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checkCompatibility="1"/>
  <mc:AlternateContent xmlns:mc="http://schemas.openxmlformats.org/markup-compatibility/2006">
    <mc:Choice Requires="x15">
      <x15ac:absPath xmlns:x15ac="http://schemas.microsoft.com/office/spreadsheetml/2010/11/ac" url="D:\Enjazco\MKH2- 02- 003 Project\Weekly Report\WPR\8. WPR Oct 2026\32. MKH2-02-003-ENJ-WPR-035-13-10-2026\"/>
    </mc:Choice>
  </mc:AlternateContent>
  <xr:revisionPtr revIDLastSave="0" documentId="13_ncr:1_{2D0FF4BC-14E7-47E7-9777-4AC7A78F0507}" xr6:coauthVersionLast="47" xr6:coauthVersionMax="47" xr10:uidLastSave="{00000000-0000-0000-0000-000000000000}"/>
  <bookViews>
    <workbookView xWindow="28680" yWindow="-120" windowWidth="29040" windowHeight="15720" tabRatio="953" firstSheet="1" activeTab="2" xr2:uid="{D1037EEC-27A1-4B6C-BDBD-E5FFCCABCA6A}"/>
  </bookViews>
  <sheets>
    <sheet name="DB" sheetId="33" state="hidden" r:id="rId1"/>
    <sheet name="Weekly Progress Report" sheetId="1" r:id="rId2"/>
    <sheet name="FIR summary " sheetId="39" r:id="rId3"/>
    <sheet name="General Information" sheetId="21" r:id="rId4"/>
    <sheet name="Progress" sheetId="31" r:id="rId5"/>
    <sheet name="Progress (2)" sheetId="40" r:id="rId6"/>
    <sheet name="Weekly Photos" sheetId="34" r:id="rId7"/>
    <sheet name="Quality" sheetId="29" r:id="rId8"/>
    <sheet name="Quality-Stat" sheetId="38" r:id="rId9"/>
    <sheet name="HSE" sheetId="28" r:id="rId10"/>
    <sheet name="HSE-Stat" sheetId="20" r:id="rId11"/>
    <sheet name="Risk Register" sheetId="36" r:id="rId12"/>
    <sheet name="Invoice Log" sheetId="12" r:id="rId13"/>
    <sheet name="EV-Chart Data" sheetId="2" r:id="rId14"/>
    <sheet name="CCO" sheetId="23" r:id="rId15"/>
    <sheet name="Major Quantities" sheetId="25" r:id="rId16"/>
    <sheet name="Procurement" sheetId="41" r:id="rId17"/>
    <sheet name="Testing" sheetId="32" r:id="rId18"/>
    <sheet name="Physical-Chart Data" sheetId="11" r:id="rId19"/>
    <sheet name="Milestones" sheetId="19" r:id="rId20"/>
    <sheet name="Issues" sheetId="24" r:id="rId21"/>
    <sheet name="Schedule" sheetId="27" r:id="rId22"/>
    <sheet name="Manpower" sheetId="6" r:id="rId23"/>
    <sheet name="Progress Summary" sheetId="42" r:id="rId24"/>
    <sheet name="LOOK AHEAD " sheetId="43" r:id="rId25"/>
    <sheet name="Codes" sheetId="9"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8">#REF!</definedName>
    <definedName name="_1B.05.M.010.0010">#REF!</definedName>
    <definedName name="_1B.05.M.010.0050" localSheetId="8">#REF!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8" hidden="1">#REF!</definedName>
    <definedName name="_Dist_Values" hidden="1">#REF!</definedName>
    <definedName name="_Fill" localSheetId="8" hidden="1">[4]GRSummary!#REF!</definedName>
    <definedName name="_Fill" hidden="1">[4]GRSummary!#REF!</definedName>
    <definedName name="_xlnm._FilterDatabase" localSheetId="2" hidden="1">'FIR summary '!$A$5:$L$87</definedName>
    <definedName name="_xlnm._FilterDatabase" localSheetId="24" hidden="1">'LOOK AHEAD '!#REF!</definedName>
    <definedName name="_xlnm._FilterDatabase" localSheetId="15" hidden="1">'Major Quantities'!$A$1:$ZN$35</definedName>
    <definedName name="_xlnm._FilterDatabase" localSheetId="16" hidden="1">Procurement!$A$1:$X$18</definedName>
    <definedName name="_xlnm._FilterDatabase" localSheetId="4" hidden="1">Progress!$A$6:$T$28</definedName>
    <definedName name="_xlnm._FilterDatabase" localSheetId="8" hidden="1">#REF!</definedName>
    <definedName name="_xlnm._FilterDatabase" hidden="1">#REF!</definedName>
    <definedName name="_jj300" localSheetId="8">#REF!</definedName>
    <definedName name="_jj300">#REF!</definedName>
    <definedName name="_Key1" localSheetId="8" hidden="1">#REF!</definedName>
    <definedName name="_Key1" hidden="1">#REF!</definedName>
    <definedName name="_Key2" localSheetId="8" hidden="1">'[5]LTR-2'!#REF!</definedName>
    <definedName name="_Key2" hidden="1">'[5]LTR-2'!#REF!</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8" hidden="1">[6]PriceSummary!#REF!</definedName>
    <definedName name="_Parse_In" hidden="1">[6]PriceSummary!#REF!</definedName>
    <definedName name="_Parse_Out" localSheetId="8" hidden="1">#REF!</definedName>
    <definedName name="_Parse_Out" hidden="1">#REF!</definedName>
    <definedName name="_Regression_Int" hidden="1">1</definedName>
    <definedName name="_Sort" localSheetId="8" hidden="1">#REF!</definedName>
    <definedName name="_Sort" hidden="1">#REF!</definedName>
    <definedName name="_WT" localSheetId="2">#REF!</definedName>
    <definedName name="_WT" localSheetId="8">#REF!</definedName>
    <definedName name="_WT">#REF!</definedName>
    <definedName name="A" localSheetId="8">#REF!</definedName>
    <definedName name="A">#REF!</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8" hidden="1">#REF!</definedName>
    <definedName name="AAA" hidden="1">#REF!</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8" hidden="1">#REF!</definedName>
    <definedName name="accomation" hidden="1">#REF!</definedName>
    <definedName name="ACT" localSheetId="2">[7]WorkBreakDown!#REF!</definedName>
    <definedName name="ACT" localSheetId="8">[7]WorkBreakDown!#REF!</definedName>
    <definedName name="ACT">[7]WorkBreakDown!#REF!</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8" hidden="1">#REF!</definedName>
    <definedName name="anvoice1" hidden="1">#REF!</definedName>
    <definedName name="APPO" localSheetId="8" hidden="1">#REF!</definedName>
    <definedName name="APPO" hidden="1">#REF!</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8" hidden="1">#REF!</definedName>
    <definedName name="ARUN" hidden="1">#REF!</definedName>
    <definedName name="asdfsa" localSheetId="8" hidden="1">#REF!</definedName>
    <definedName name="asdfsa" hidden="1">#REF!</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[8]Assumptions!$B$1</definedName>
    <definedName name="At_risk">[8]Assumptions!$B$1</definedName>
    <definedName name="atrisk_total_net_rent_for_cashflow" localSheetId="8">'[8]@risk rents and incentives'!$W$25:$AL$26</definedName>
    <definedName name="atrisk_total_net_rent_for_cashflow">'[8]@risk rents and incentives'!$W$25:$AL$26</definedName>
    <definedName name="Audit_Category" localSheetId="9">[9]Lookups!#REF!</definedName>
    <definedName name="Audit_Category" localSheetId="20">[9]Lookups!#REF!</definedName>
    <definedName name="Audit_Category" localSheetId="7">[9]Lookups!#REF!</definedName>
    <definedName name="Audit_Category" localSheetId="8">[9]Lookups!#REF!</definedName>
    <definedName name="Audit_Category" localSheetId="6">[9]Lookups!#REF!</definedName>
    <definedName name="Audit_Category">[9]Lookups!#REF!</definedName>
    <definedName name="awt" localSheetId="8" hidden="1">{#N/A,#N/A,TRUE,"Cover";#N/A,#N/A,TRUE,"Conts";#N/A,#N/A,TRUE,"VOS";#N/A,#N/A,TRUE,"Warrington";#N/A,#N/A,TRUE,"Widnes"}</definedName>
    <definedName name="awt"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8" hidden="1">{"'TELEPHONE Nos'!$A$1:$D$55"}</definedName>
    <definedName name="BAB_Control" hidden="1">{"'TELEPHONE Nos'!$A$1:$D$55"}</definedName>
    <definedName name="bb" localSheetId="8" hidden="1">{#N/A,#N/A,TRUE,"Cover";#N/A,#N/A,TRUE,"Conts";#N/A,#N/A,TRUE,"VOS";#N/A,#N/A,TRUE,"Warrington";#N/A,#N/A,TRUE,"Widnes"}</definedName>
    <definedName name="bb" hidden="1">{#N/A,#N/A,TRUE,"Cover";#N/A,#N/A,TRUE,"Conts";#N/A,#N/A,TRUE,"VOS";#N/A,#N/A,TRUE,"Warrington";#N/A,#N/A,TRUE,"Widnes"}</definedName>
    <definedName name="bbbbbbbbbb" localSheetId="8" hidden="1">#REF!</definedName>
    <definedName name="bbbbbbbbbb" hidden="1">#REF!</definedName>
    <definedName name="BC">[7]WorkBreakDown!$G$4</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8">'[11]Build-up'!#REF!</definedName>
    <definedName name="BUILDER_S__PROFIT__AND__ATTENDANCE">'[11]Build-up'!#REF!</definedName>
    <definedName name="BuiltIn_Print_Area___0" localSheetId="8">#REF!</definedName>
    <definedName name="BuiltIn_Print_Area___0">#REF!</definedName>
    <definedName name="car_park_cash_flow" localSheetId="8">'[8]Car park lease'!$A$21:$G$161</definedName>
    <definedName name="car_park_cash_flow">'[8]Car park lease'!$A$21:$G$161</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2">[9]Lookups!#REF!</definedName>
    <definedName name="CEMP_Category" localSheetId="9">[9]Lookups!#REF!</definedName>
    <definedName name="CEMP_Category" localSheetId="20">[9]Lookups!#REF!</definedName>
    <definedName name="CEMP_Category" localSheetId="7">[9]Lookups!#REF!</definedName>
    <definedName name="CEMP_Category" localSheetId="6">[9]Lookups!#REF!</definedName>
    <definedName name="CEMP_Category">[9]Lookups!#REF!</definedName>
    <definedName name="CESMM3rdDiv">'[12]CESMM3 class'!$F$7:$H$14</definedName>
    <definedName name="Channel_Template" localSheetId="8">'[13]Channel - final template'!$I$2:$V$122</definedName>
    <definedName name="Channel_Template">'[13]Channel - final template'!$I$2:$V$122</definedName>
    <definedName name="ChannelSched">'[14]Sched-Structure IFB'!$C$8:$P$33</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8">#REF!</definedName>
    <definedName name="Comp_ME">#REF!</definedName>
    <definedName name="complete" localSheetId="2">#REF!</definedName>
    <definedName name="complete" localSheetId="9">#REF!</definedName>
    <definedName name="complete" localSheetId="20">#REF!</definedName>
    <definedName name="complete" localSheetId="7">#REF!</definedName>
    <definedName name="complete" localSheetId="6">#REF!</definedName>
    <definedName name="complete">#REF!</definedName>
    <definedName name="completion_date" localSheetId="8">[8]Assumptions!$C$46</definedName>
    <definedName name="completion_date">[8]Assumptions!$C$46</definedName>
    <definedName name="CON" localSheetId="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8">#REF!</definedName>
    <definedName name="_xlnm.Database">#REF!</definedName>
    <definedName name="Date">'[16]Fill this out first...'!$D$14</definedName>
    <definedName name="dd" localSheetId="8" hidden="1">{#N/A,#N/A,TRUE,"Cover";#N/A,#N/A,TRUE,"Conts";#N/A,#N/A,TRUE,"VOS";#N/A,#N/A,TRUE,"Warrington";#N/A,#N/A,TRUE,"Widnes"}</definedName>
    <definedName name="dd"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8">#REF!</definedName>
    <definedName name="DEPTH">#REF!</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8" hidden="1">{#N/A,#N/A,TRUE,"Cover";#N/A,#N/A,TRUE,"Conts";#N/A,#N/A,TRUE,"VOS";#N/A,#N/A,TRUE,"Warrington";#N/A,#N/A,TRUE,"Widnes"}</definedName>
    <definedName name="dfgd" hidden="1">{#N/A,#N/A,TRUE,"Cover";#N/A,#N/A,TRUE,"Conts";#N/A,#N/A,TRUE,"VOS";#N/A,#N/A,TRUE,"Warrington";#N/A,#N/A,TRUE,"Widnes"}</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8"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2">[9]Lookups!#REF!</definedName>
    <definedName name="EMP_Category" localSheetId="9">[9]Lookups!#REF!</definedName>
    <definedName name="EMP_Category" localSheetId="20">[9]Lookups!#REF!</definedName>
    <definedName name="EMP_Category" localSheetId="7">[9]Lookups!#REF!</definedName>
    <definedName name="EMP_Category" localSheetId="6">[9]Lookups!#REF!</definedName>
    <definedName name="EMP_Category">[9]Lookups!#REF!</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8">'[11]Build-up'!#REF!</definedName>
    <definedName name="EXTERNAL__SERVICES">'[11]Build-up'!#REF!</definedName>
    <definedName name="EXTERNAL__WALLS" localSheetId="8">'[11]Build-up'!#REF!</definedName>
    <definedName name="EXTERNAL__WALLS">'[11]Build-up'!#REF!</definedName>
    <definedName name="eyy" localSheetId="8" hidden="1">{#N/A,#N/A,TRUE,"Cover";#N/A,#N/A,TRUE,"Conts";#N/A,#N/A,TRUE,"VOS";#N/A,#N/A,TRUE,"Warrington";#N/A,#N/A,TRUE,"Widnes"}</definedName>
    <definedName name="eyy" hidden="1">{#N/A,#N/A,TRUE,"Cover";#N/A,#N/A,TRUE,"Conts";#N/A,#N/A,TRUE,"VOS";#N/A,#N/A,TRUE,"Warrington";#N/A,#N/A,TRUE,"Widnes"}</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8" hidden="1">{#N/A,#N/A,TRUE,"Cover";#N/A,#N/A,TRUE,"Conts";#N/A,#N/A,TRUE,"VOS";#N/A,#N/A,TRUE,"Warrington";#N/A,#N/A,TRUE,"Widnes"}</definedName>
    <definedName name="Fees.1"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8" hidden="1">{#N/A,#N/A,TRUE,"Cover";#N/A,#N/A,TRUE,"Conts";#N/A,#N/A,TRUE,"VOS";#N/A,#N/A,TRUE,"Warrington";#N/A,#N/A,TRUE,"Widnes"}</definedName>
    <definedName name="frjj"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8" hidden="1">#REF!</definedName>
    <definedName name="ggg" hidden="1">#REF!</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8">#REF!</definedName>
    <definedName name="HOME">#REF!</definedName>
    <definedName name="HPTAL" localSheetId="8" hidden="1">#REF!</definedName>
    <definedName name="HPTAL" hidden="1">#REF!</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2">[9]Lookups!#REF!</definedName>
    <definedName name="Incident_Tier" localSheetId="9">[9]Lookups!#REF!</definedName>
    <definedName name="Incident_Tier" localSheetId="20">[9]Lookups!#REF!</definedName>
    <definedName name="Incident_Tier" localSheetId="6">[9]Lookups!#REF!</definedName>
    <definedName name="Incident_Tier">[9]Lookups!#REF!</definedName>
    <definedName name="Incident_Type" localSheetId="9">[9]Lookups!#REF!</definedName>
    <definedName name="Incident_Type" localSheetId="20">[9]Lookups!#REF!</definedName>
    <definedName name="Incident_Type" localSheetId="6">[9]Lookups!#REF!</definedName>
    <definedName name="Incident_Type">[9]Lookups!#REF!</definedName>
    <definedName name="Inside_Dia__ID" localSheetId="8">'[20]Pipe Schedule'!$C$7:$E$15</definedName>
    <definedName name="Inside_Dia__ID">'[20]Pipe Schedule'!$C$7:$E$15</definedName>
    <definedName name="Interior" localSheetId="8">#REF!</definedName>
    <definedName name="Interior">#REF!</definedName>
    <definedName name="INTERNAL__WALLS__AND__PARTITIONS" localSheetId="8">'[11]Build-up'!#REF!</definedName>
    <definedName name="INTERNAL__WALLS__AND__PARTITIONS">'[11]Build-up'!#REF!</definedName>
    <definedName name="INVOICE2" localSheetId="8" hidden="1">#REF!</definedName>
    <definedName name="INVOICE2" hidden="1">#REF!</definedName>
    <definedName name="io" localSheetId="8" hidden="1">{#N/A,#N/A,TRUE,"Cover";#N/A,#N/A,TRUE,"Conts";#N/A,#N/A,TRUE,"VOS";#N/A,#N/A,TRUE,"Warrington";#N/A,#N/A,TRUE,"Widnes"}</definedName>
    <definedName name="io"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8">#REF!</definedName>
    <definedName name="IRR">#REF!</definedName>
    <definedName name="IssEscStatus1" localSheetId="2">'[21]#1'!$B$10:$B$14</definedName>
    <definedName name="IssEscStatus1" localSheetId="8">'[22]#1'!$B$10:$B$14</definedName>
    <definedName name="IssEscStatus1" localSheetId="6">'[23]#1'!$B$10:$B$14</definedName>
    <definedName name="IssEscStatus1">'[22]#1'!$B$10:$B$14</definedName>
    <definedName name="Item_Range" localSheetId="8">#REF!</definedName>
    <definedName name="Item_Range">#REF!</definedName>
    <definedName name="iu" localSheetId="8" hidden="1">{#N/A,#N/A,TRUE,"Cover";#N/A,#N/A,TRUE,"Conts";#N/A,#N/A,TRUE,"VOS";#N/A,#N/A,TRUE,"Warrington";#N/A,#N/A,TRUE,"Widnes"}</definedName>
    <definedName name="iu"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'[24]Channel Invert'!$D$11:$E$543</definedName>
    <definedName name="K9B_1">'[24]Channel Invert'!$D$11:$E$543</definedName>
    <definedName name="K9B_2" localSheetId="8">'[24]Channel Invert'!$D$544:$E$1393</definedName>
    <definedName name="K9B_2">'[24]Channel Invert'!$D$544:$E$1393</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9">#REF!</definedName>
    <definedName name="kpi" localSheetId="20">#REF!</definedName>
    <definedName name="kpi" localSheetId="7">#REF!</definedName>
    <definedName name="kpi" localSheetId="8">#REF!</definedName>
    <definedName name="kpi" localSheetId="6">#REF!</definedName>
    <definedName name="kpi">#REF!</definedName>
    <definedName name="kryk" localSheetId="8" hidden="1">{#N/A,#N/A,TRUE,"Cover";#N/A,#N/A,TRUE,"Conts";#N/A,#N/A,TRUE,"VOS";#N/A,#N/A,TRUE,"Warrington";#N/A,#N/A,TRUE,"Widnes"}</definedName>
    <definedName name="kryk"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8">#REF!</definedName>
    <definedName name="Lib_Range">#REF!</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8">City&amp;" "&amp;State</definedName>
    <definedName name="Location">City&amp;" "&amp;State</definedName>
    <definedName name="m" localSheetId="8" hidden="1">#REF!</definedName>
    <definedName name="m" hidden="1">#REF!</definedName>
    <definedName name="ma" localSheetId="8" hidden="1">{#N/A,#N/A,TRUE,"Cover";#N/A,#N/A,TRUE,"Conts";#N/A,#N/A,TRUE,"VOS";#N/A,#N/A,TRUE,"Warrington";#N/A,#N/A,TRUE,"Widnes"}</definedName>
    <definedName name="ma" hidden="1">{#N/A,#N/A,TRUE,"Cover";#N/A,#N/A,TRUE,"Conts";#N/A,#N/A,TRUE,"VOS";#N/A,#N/A,TRUE,"Warrington";#N/A,#N/A,TRUE,"Widnes"}</definedName>
    <definedName name="Manhole" localSheetId="8">'[26]Manhole Sch'!$F$12:$Q$20</definedName>
    <definedName name="Manhole">'[26]Manhole Sch'!$F$12:$Q$20</definedName>
    <definedName name="MANUEL_INPUT" localSheetId="8">#REF!</definedName>
    <definedName name="MANUEL_INPUT">#REF!</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8">City&amp;" "&amp;State</definedName>
    <definedName name="Material">City&amp;" "&amp;State</definedName>
    <definedName name="MATL_PART">[25]RATES!$E$67</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MST">#REF!</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8">#REF!</definedName>
    <definedName name="ORBC">#REF!</definedName>
    <definedName name="ORBQ" localSheetId="2">#REF!</definedName>
    <definedName name="ORBQ" localSheetId="8">#REF!</definedName>
    <definedName name="ORBQ">#REF!</definedName>
    <definedName name="osdnvkls" hidden="1">'[28]Labor abs-NMR'!$I$1:$I$7</definedName>
    <definedName name="p" localSheetId="8" hidden="1">#REF!</definedName>
    <definedName name="p" hidden="1">#REF!</definedName>
    <definedName name="P1R" localSheetId="8">'[16]Fill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8" hidden="1">{#N/A,#N/A,TRUE,"Cover";#N/A,#N/A,TRUE,"Conts";#N/A,#N/A,TRUE,"VOS";#N/A,#N/A,TRUE,"Warrington";#N/A,#N/A,TRUE,"Widnes"}</definedName>
    <definedName name="p7y"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8">#REF!</definedName>
    <definedName name="PAN_TILES">#REF!</definedName>
    <definedName name="Pavement_Type">[12]Road_Schedule!$Q$4:$X$6</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8" hidden="1">{#N/A,#N/A,FALSE,"intag";#N/A,#N/A,FALSE,"budg";#N/A,#N/A,FALSE,"samtl"}</definedName>
    <definedName name="perbolag" hidden="1">{#N/A,#N/A,FALSE,"intag";#N/A,#N/A,FALSE,"budg";#N/A,#N/A,FALSE,"samtl"}</definedName>
    <definedName name="perbolagneu" localSheetId="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8">'[29]Pipe Schedule'!$C$7:$W$15</definedName>
    <definedName name="PipeSize">'[29]Pipe Schedule'!$C$7:$W$15</definedName>
    <definedName name="PipeSizeFRP" localSheetId="8">'[29]Pipe Schedule'!$B$44:$Q$88</definedName>
    <definedName name="PipeSizeFRP">'[29]Pipe Schedule'!$B$44:$Q$88</definedName>
    <definedName name="Pkg_col" localSheetId="8">#REF!</definedName>
    <definedName name="Pkg_col">#REF!</definedName>
    <definedName name="pkml" localSheetId="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8">#REF!</definedName>
    <definedName name="point1">#REF!</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9">#REF!</definedName>
    <definedName name="Pos_Neg_Obs" localSheetId="20">#REF!</definedName>
    <definedName name="Pos_Neg_Obs" localSheetId="8">#REF!</definedName>
    <definedName name="Pos_Neg_Obs" localSheetId="6">#REF!</definedName>
    <definedName name="Pos_Neg_Obs">#REF!</definedName>
    <definedName name="ppok" localSheetId="8"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'FIR summary '!$A$1:$I$87</definedName>
    <definedName name="_xlnm.Print_Area" localSheetId="9">HSE!$B$1:$AH$29</definedName>
    <definedName name="_xlnm.Print_Area" localSheetId="12">'Invoice Log'!$B$5:$AB$59</definedName>
    <definedName name="_xlnm.Print_Area" localSheetId="20">#REF!</definedName>
    <definedName name="_xlnm.Print_Area" localSheetId="15">'Major Quantities'!$A$1:$J$10</definedName>
    <definedName name="_xlnm.Print_Area" localSheetId="22">Manpower!$A$1:$Z$20</definedName>
    <definedName name="_xlnm.Print_Area" localSheetId="4">Progress!$A$1:$O$28</definedName>
    <definedName name="_xlnm.Print_Area" localSheetId="23">'Progress Summary'!$A$1:$O$34</definedName>
    <definedName name="_xlnm.Print_Area" localSheetId="7">Quality!$A$1:$AD$53</definedName>
    <definedName name="_xlnm.Print_Area" localSheetId="8">#REF!</definedName>
    <definedName name="_xlnm.Print_Area" localSheetId="6">#REF!</definedName>
    <definedName name="_xlnm.Print_Area" localSheetId="1">'Weekly Progress Report'!$A$1:$AG$94</definedName>
    <definedName name="_xlnm.Print_Area">#REF!</definedName>
    <definedName name="PRINT_AREA_MI" localSheetId="2">#REF!</definedName>
    <definedName name="PRINT_AREA_MI" localSheetId="9">#REF!</definedName>
    <definedName name="PRINT_AREA_MI" localSheetId="20">#REF!</definedName>
    <definedName name="PRINT_AREA_MI" localSheetId="7">#REF!</definedName>
    <definedName name="PRINT_AREA_MI" localSheetId="8">#REF!</definedName>
    <definedName name="PRINT_AREA_MI" localSheetId="6">#REF!</definedName>
    <definedName name="PRINT_AREA_MI">#REF!</definedName>
    <definedName name="Print_Range">#REF!</definedName>
    <definedName name="_xlnm.Print_Titles" localSheetId="2">'FIR summary '!$5:$5</definedName>
    <definedName name="_xlnm.Print_Titles" localSheetId="20">Issues!$2:$6</definedName>
    <definedName name="_xlnm.Print_Titles" localSheetId="8">#REF!</definedName>
    <definedName name="_xlnm.Print_Titles" localSheetId="11">'Risk Register'!$2:$6</definedName>
    <definedName name="_xlnm.Print_Titles">#REF!</definedName>
    <definedName name="Print_Titles_MI" localSheetId="8">#REF!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'[19]REG-BASIS'!$C$3:$S$150</definedName>
    <definedName name="qqq" localSheetId="8" hidden="1">{#N/A,#N/A,TRUE,"Cover";#N/A,#N/A,TRUE,"Conts";#N/A,#N/A,TRUE,"VOS";#N/A,#N/A,TRUE,"Warrington";#N/A,#N/A,TRUE,"Widnes"}</definedName>
    <definedName name="qqq"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'[29]Pipe Schedule'!$C$5:$Z$19</definedName>
    <definedName name="RcpPipes">'[29]Pipe Schedule'!$C$5:$Z$19</definedName>
    <definedName name="RcpPipes2" localSheetId="8">'[29]Pipe Schedule'!$C$21:$Y$37</definedName>
    <definedName name="RcpPipes2">'[29]Pipe Schedule'!$C$21:$Y$37</definedName>
    <definedName name="RD" localSheetId="2">#REF!</definedName>
    <definedName name="RD" localSheetId="8">#REF!</definedName>
    <definedName name="RD">#REF!</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8">#REF!</definedName>
    <definedName name="_xlnm.Recorder">#REF!</definedName>
    <definedName name="Reinforcement" localSheetId="8">'[10]RCBC Reinforcement'!$G$5:$S$77</definedName>
    <definedName name="Reinforcement">'[10]RCBC Reinforcement'!$G$5:$S$77</definedName>
    <definedName name="REMOVE">#N/A</definedName>
    <definedName name="rer" localSheetId="8" hidden="1">{#N/A,#N/A,TRUE,"Cover";#N/A,#N/A,TRUE,"Conts";#N/A,#N/A,TRUE,"VOS";#N/A,#N/A,TRUE,"Warrington";#N/A,#N/A,TRUE,"Widnes"}</definedName>
    <definedName name="rer" hidden="1">{#N/A,#N/A,TRUE,"Cover";#N/A,#N/A,TRUE,"Conts";#N/A,#N/A,TRUE,"VOS";#N/A,#N/A,TRUE,"Warrington";#N/A,#N/A,TRUE,"Widnes"}</definedName>
    <definedName name="RES" localSheetId="2">[7]WorkBreakDown!#REF!</definedName>
    <definedName name="RES">[7]WorkBreakDown!#REF!</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2">[7]WorkBreakDown!#REF!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8">#REF!</definedName>
    <definedName name="rolly">#REF!</definedName>
    <definedName name="ROOF" localSheetId="8">'[11]Build-up'!#REF!</definedName>
    <definedName name="ROOF">'[11]Build-up'!#REF!</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8" hidden="1">{#N/A,#N/A,TRUE,"Cover";#N/A,#N/A,TRUE,"Conts";#N/A,#N/A,TRUE,"VOS";#N/A,#N/A,TRUE,"Warrington";#N/A,#N/A,TRUE,"Widnes"}</definedName>
    <definedName name="rrr"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2">[7]WorkBreakDown!#REF!</definedName>
    <definedName name="RUT">[7]WorkBreakDown!#REF!</definedName>
    <definedName name="rwt" localSheetId="8" hidden="1">{#N/A,#N/A,TRUE,"Cover";#N/A,#N/A,TRUE,"Conts";#N/A,#N/A,TRUE,"VOS";#N/A,#N/A,TRUE,"Warrington";#N/A,#N/A,TRUE,"Widnes"}</definedName>
    <definedName name="rwt"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8">#REF!</definedName>
    <definedName name="Sewer">#REF!</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2">#REF!</definedName>
    <definedName name="Specific_Category" localSheetId="9">#REF!</definedName>
    <definedName name="Specific_Category" localSheetId="20">#REF!</definedName>
    <definedName name="Specific_Category" localSheetId="7">#REF!</definedName>
    <definedName name="Specific_Category" localSheetId="8">#REF!</definedName>
    <definedName name="Specific_Category" localSheetId="6">#REF!</definedName>
    <definedName name="Specific_Category">#REF!</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8">'[11]Build-up'!#REF!</definedName>
    <definedName name="STAIRS">'[11]Build-up'!#REF!</definedName>
    <definedName name="start" localSheetId="8">#REF!</definedName>
    <definedName name="start">#REF!</definedName>
    <definedName name="Status">[9]Lookups!$C$2:$C$3</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8">#REF!</definedName>
    <definedName name="Storm">#REF!</definedName>
    <definedName name="stormwater_pipe_network">'[12]Stormwater Pipe Network'!$D$13:$F$1575</definedName>
    <definedName name="stryt5u8h87" localSheetId="8"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8">'[11]Build-up'!#REF!</definedName>
    <definedName name="SUBSTRUCTIRE">'[11]Build-up'!#REF!</definedName>
    <definedName name="sum6b" localSheetId="8">#REF!</definedName>
    <definedName name="sum6b">#REF!</definedName>
    <definedName name="sum6C" localSheetId="8">#REF!</definedName>
    <definedName name="sum6C">#REF!</definedName>
    <definedName name="summary" localSheetId="8">#REF!</definedName>
    <definedName name="summary">#REF!</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2">[7]WorkBreakDown!#REF!</definedName>
    <definedName name="TITLE">[7]WorkBreakDown!#REF!</definedName>
    <definedName name="Total" localSheetId="2">'FIR summary '!$I$87</definedName>
    <definedName name="Total" localSheetId="8">#REF!</definedName>
    <definedName name="Total">#REF!</definedName>
    <definedName name="total_net_rent_for_cashflow" localSheetId="8">'[8]Net rent analysis'!$J$190:$X$191</definedName>
    <definedName name="total_net_rent_for_cashflow">'[8]Net rent analysis'!$J$190:$X$191</definedName>
    <definedName name="TP">'[19]TENDER PROG.'!$A$1:$P$17</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8" hidden="1">{#N/A,#N/A,TRUE,"Cover";#N/A,#N/A,TRUE,"Conts";#N/A,#N/A,TRUE,"VOS";#N/A,#N/A,TRUE,"Warrington";#N/A,#N/A,TRUE,"Widnes"}</definedName>
    <definedName name="tui"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[9]Lookups!#REF!</definedName>
    <definedName name="Type_of_Incident" localSheetId="9">[9]Lookups!#REF!</definedName>
    <definedName name="Type_of_Incident" localSheetId="20">[9]Lookups!#REF!</definedName>
    <definedName name="Type_of_Incident" localSheetId="8">[9]Lookups!#REF!</definedName>
    <definedName name="Type_of_Incident" localSheetId="6">[9]Lookups!#REF!</definedName>
    <definedName name="Type_of_Incident">[9]Lookups!#REF!</definedName>
    <definedName name="Type_of_Inspection" localSheetId="2">#REF!</definedName>
    <definedName name="Type_of_Inspection" localSheetId="9">#REF!</definedName>
    <definedName name="Type_of_Inspection" localSheetId="20">#REF!</definedName>
    <definedName name="Type_of_Inspection" localSheetId="8">#REF!</definedName>
    <definedName name="Type_of_Inspection" localSheetId="6">#REF!</definedName>
    <definedName name="Type_of_Inspection">#REF!</definedName>
    <definedName name="TypeOfFinish" localSheetId="8">'[29]CESMM3 class'!$B$19:$B$20</definedName>
    <definedName name="TypeOfFinish">'[29]CESMM3 class'!$B$19:$B$20</definedName>
    <definedName name="TypeOfPipes">'[12]CESMM3 class'!$B$7:$B$14</definedName>
    <definedName name="tyutri" localSheetId="8" hidden="1">{#N/A,#N/A,TRUE,"Cover";#N/A,#N/A,TRUE,"Conts";#N/A,#N/A,TRUE,"VOS";#N/A,#N/A,TRUE,"Warrington";#N/A,#N/A,TRUE,"Widnes"}</definedName>
    <definedName name="tyutri"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2">[7]WorkBreakDown!#REF!</definedName>
    <definedName name="UPT">[7]WorkBreakDown!#REF!</definedName>
    <definedName name="uy" localSheetId="8" hidden="1">{#N/A,#N/A,TRUE,"Cover";#N/A,#N/A,TRUE,"Conts";#N/A,#N/A,TRUE,"VOS";#N/A,#N/A,TRUE,"Warrington";#N/A,#N/A,TRUE,"Widnes"}</definedName>
    <definedName name="uy"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8">#REF!</definedName>
    <definedName name="Value_Col">#REF!</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8" hidden="1">{#N/A,#N/A,TRUE,"Cover";#N/A,#N/A,TRUE,"Conts";#N/A,#N/A,TRUE,"VOS";#N/A,#N/A,TRUE,"Warrington";#N/A,#N/A,TRUE,"Widnes"}</definedName>
    <definedName name="VENT"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8">#REF!</definedName>
    <definedName name="VO">#REF!</definedName>
    <definedName name="W" localSheetId="2">#REF!</definedName>
    <definedName name="W" localSheetId="8">#REF!</definedName>
    <definedName name="W">#REF!</definedName>
    <definedName name="w26te" localSheetId="8" hidden="1">{#N/A,#N/A,TRUE,"Cover";#N/A,#N/A,TRUE,"Conts";#N/A,#N/A,TRUE,"VOS";#N/A,#N/A,TRUE,"Warrington";#N/A,#N/A,TRUE,"Widnes"}</definedName>
    <definedName name="w26te"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8" hidden="1">{#N/A,#N/A,TRUE,"Cover";#N/A,#N/A,TRUE,"Conts";#N/A,#N/A,TRUE,"VOS";#N/A,#N/A,TRUE,"Warrington";#N/A,#N/A,TRUE,"Widnes"}</definedName>
    <definedName name="wert"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8" hidden="1">{#N/A,#N/A,TRUE,"Cover";#N/A,#N/A,TRUE,"Conts";#N/A,#N/A,TRUE,"VOS";#N/A,#N/A,TRUE,"Warrington";#N/A,#N/A,TRUE,"Widnes"}</definedName>
    <definedName name="wqer" hidden="1">{#N/A,#N/A,TRUE,"Cover";#N/A,#N/A,TRUE,"Conts";#N/A,#N/A,TRUE,"VOS";#N/A,#N/A,TRUE,"Warrington";#N/A,#N/A,TRUE,"Widnes"}</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8" hidden="1">{"Base Year Demand",#N/A,FALSE,"Demand-Base Year"}</definedName>
    <definedName name="wrn.BaseYearDemand." hidden="1">{"Base Year Demand",#N/A,FALSE,"Demand-Base Year"}</definedName>
    <definedName name="wrn.Both._.Outputs." localSheetId="8" hidden="1">{"LTV Output",#N/A,FALSE,"Output";"DCR Output",#N/A,FALSE,"Output"}</definedName>
    <definedName name="wrn.Both._.Outputs." hidden="1">{"LTV Output",#N/A,FALSE,"Output";"DCR Output",#N/A,FALSE,"Output"}</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8" hidden="1">{"DCR Output",#N/A,FALSE,"Output"}</definedName>
    <definedName name="wrn.DCR._.Output." hidden="1">{"DCR Output",#N/A,FALSE,"Output"}</definedName>
    <definedName name="wrn.Demand._.Calcs." localSheetId="8" hidden="1">{#N/A,#N/A,FALSE,"Demand Calcs"}</definedName>
    <definedName name="wrn.Demand._.Calcs." hidden="1">{#N/A,#N/A,FALSE,"Demand Calcs"}</definedName>
    <definedName name="wrn.Demand._.Inputs." localSheetId="8" hidden="1">{#N/A,#N/A,FALSE,"Demand Inputs"}</definedName>
    <definedName name="wrn.Demand._.Inputs." hidden="1">{#N/A,#N/A,FALSE,"Demand Inputs"}</definedName>
    <definedName name="wrn.Fair._.Share._.Calcs." localSheetId="8" hidden="1">{#N/A,#N/A,FALSE,"Fair Share"}</definedName>
    <definedName name="wrn.Fair._.Share._.Calcs." hidden="1">{#N/A,#N/A,FALSE,"Fair Share"}</definedName>
    <definedName name="wrn.Final._.Output." localSheetId="8" hidden="1">{#N/A,#N/A,FALSE,"Final Output"}</definedName>
    <definedName name="wrn.Final._.Output." hidden="1">{#N/A,#N/A,FALSE,"Final Output"}</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8" hidden="1">{#N/A,#N/A,FALSE,"Input"}</definedName>
    <definedName name="wrn.Inputs." hidden="1">{#N/A,#N/A,FALSE,"Input"}</definedName>
    <definedName name="wrn.Latent._.Demand._.Inputs." localSheetId="8" hidden="1">{#N/A,#N/A,FALSE,"Latent"}</definedName>
    <definedName name="wrn.Latent._.Demand._.Inputs." hidden="1">{#N/A,#N/A,FALSE,"Latent"}</definedName>
    <definedName name="wrn.LTV._.Output." localSheetId="8" hidden="1">{"LTV Output",#N/A,FALSE,"Output"}</definedName>
    <definedName name="wrn.LTV._.Output." hidden="1">{"LTV Output",#N/A,FALSE,"Output"}</definedName>
    <definedName name="wrn.Occupancy._.Calcs." localSheetId="8" hidden="1">{#N/A,#N/A,FALSE,"Occ. Calcs"}</definedName>
    <definedName name="wrn.Occupancy._.Calcs." hidden="1">{#N/A,#N/A,FALSE,"Occ. Calcs"}</definedName>
    <definedName name="wrn.Penetration." localSheetId="8" hidden="1">{#N/A,#N/A,FALSE,"Mkt Pen"}</definedName>
    <definedName name="wrn.Penetration." hidden="1">{#N/A,#N/A,FALSE,"Mkt Pen"}</definedName>
    <definedName name="wrn.pr3sty." localSheetId="8" hidden="1">{#N/A,#N/A,FALSE,"intag";#N/A,#N/A,FALSE,"budg";#N/A,#N/A,FALSE,"samtl"}</definedName>
    <definedName name="wrn.pr3sty."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8" hidden="1">{#N/A,#N/A,FALSE,"Primary"}</definedName>
    <definedName name="wrn.Primary._.Competition." hidden="1">{#N/A,#N/A,FALSE,"Primary"}</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8" hidden="1">{#N/A,#N/A,FALSE,"Secondary"}</definedName>
    <definedName name="wrn.Secondary._.Competition." hidden="1">{#N/A,#N/A,FALSE,"Secondary"}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8" hidden="1">{#N/A,#N/A,TRUE,"arnitower";#N/A,#N/A,TRUE,"arnigarage "}</definedName>
    <definedName name="wrn.struckgi." hidden="1">{#N/A,#N/A,TRUE,"arnitower";#N/A,#N/A,TRUE,"arnigarage "}</definedName>
    <definedName name="wrn.Supply._.Additions." localSheetId="8" hidden="1">{#N/A,#N/A,FALSE,"Supply Addn"}</definedName>
    <definedName name="wrn.Supply._.Additions." hidden="1">{#N/A,#N/A,FALSE,"Supply Addn"}</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8" hidden="1">#REF!</definedName>
    <definedName name="wwwwwwwww" hidden="1">#REF!</definedName>
    <definedName name="wy7u7y" localSheetId="8"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8" hidden="1">[17]Micro!#REF!</definedName>
    <definedName name="Z_0C509CAE_4B28_497F_9463_E056D87AE422_.wvu.Rows" hidden="1">[17]Micro!#REF!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8" hidden="1">'[17]Scaff-Rose'!#REF!</definedName>
    <definedName name="Z_821080B5_A53F_46D5_A7A8_C550E9A6DB8E_.wvu.Rows" hidden="1">'[17]Scaff-Rose'!#REF!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8" hidden="1">'[17]Scaff-Rose'!#REF!</definedName>
    <definedName name="Z_89FC4C3A_6586_42BA_B0E6_F0959042E6A0_.wvu.Rows" hidden="1">'[17]Scaff-Rose'!#REF!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8" hidden="1">'[34]GM &amp; TA'!#REF!,'[34]GM &amp; TA'!#REF!</definedName>
    <definedName name="Z_8FCC9949_BB10_48DD_835F_9D6E68B3AE12_.wvu.Rows" hidden="1">'[34]GM &amp; TA'!#REF!,'[34]GM &amp; TA'!#REF!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8" hidden="1">[17]Micro!#REF!</definedName>
    <definedName name="Z_E61184E6_4A82_48AD_BD46_AD03682B9E61_.wvu.Rows" hidden="1">[17]Micro!#REF!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8" hidden="1">#REF!</definedName>
    <definedName name="Z_F8A287BF_980C_4986_B08C_54EAB9AA17CB_.wvu.PrintTitles" hidden="1">#REF!</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8"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38" l="1"/>
  <c r="G56" i="20" l="1"/>
  <c r="G57" i="20"/>
  <c r="G58" i="20"/>
  <c r="G81" i="38"/>
  <c r="G82" i="38"/>
  <c r="G83" i="38"/>
  <c r="J36" i="6" l="1"/>
  <c r="J13" i="6"/>
  <c r="J5" i="6"/>
  <c r="D35" i="38"/>
  <c r="F24" i="38"/>
  <c r="D24" i="38"/>
  <c r="K2" i="39" l="1"/>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66" i="39"/>
  <c r="I67" i="39"/>
  <c r="I68" i="39"/>
  <c r="I69" i="39"/>
  <c r="I70" i="39"/>
  <c r="I71" i="39"/>
  <c r="I72" i="39"/>
  <c r="I73" i="39"/>
  <c r="I74" i="39"/>
  <c r="I75" i="39"/>
  <c r="I76" i="39"/>
  <c r="I77" i="39"/>
  <c r="I78" i="39"/>
  <c r="I79" i="39"/>
  <c r="I80" i="39"/>
  <c r="I81" i="39"/>
  <c r="I82" i="39"/>
  <c r="I83" i="39"/>
  <c r="I84" i="39"/>
  <c r="I85" i="39"/>
  <c r="I86" i="39"/>
  <c r="I65" i="39"/>
  <c r="Y14" i="12" l="1"/>
  <c r="M10" i="2"/>
  <c r="L10" i="2"/>
  <c r="L13" i="11" l="1"/>
  <c r="L14" i="11" s="1"/>
  <c r="L15" i="11" s="1"/>
  <c r="L16" i="11" s="1"/>
  <c r="L17" i="11" s="1"/>
  <c r="L18" i="11" s="1"/>
  <c r="L19" i="11" s="1"/>
  <c r="L20" i="11" s="1"/>
  <c r="L21" i="11" s="1"/>
  <c r="L22" i="11" s="1"/>
  <c r="N12" i="11"/>
  <c r="O12" i="11" s="1"/>
  <c r="I12" i="11"/>
  <c r="J12" i="11" s="1"/>
  <c r="R12" i="2"/>
  <c r="Q12" i="2"/>
  <c r="J12" i="2"/>
  <c r="I12" i="2"/>
  <c r="I5" i="12"/>
  <c r="G50" i="20" l="1"/>
  <c r="G51" i="20"/>
  <c r="G52" i="20"/>
  <c r="G53" i="20"/>
  <c r="G54" i="20"/>
  <c r="G55" i="20"/>
  <c r="G78" i="38"/>
  <c r="G79" i="38"/>
  <c r="G80" i="38"/>
  <c r="I36" i="6" l="1"/>
  <c r="I13" i="6"/>
  <c r="I5" i="6"/>
  <c r="G47" i="20" l="1"/>
  <c r="G48" i="20"/>
  <c r="G49" i="20"/>
  <c r="G73" i="38" l="1"/>
  <c r="G74" i="38"/>
  <c r="G75" i="38"/>
  <c r="G76" i="38"/>
  <c r="G77" i="38"/>
  <c r="H2" i="25" l="1"/>
  <c r="I2" i="25" s="1"/>
  <c r="J17" i="38" l="1"/>
  <c r="I44" i="39" l="1"/>
  <c r="I45" i="39"/>
  <c r="I46" i="39"/>
  <c r="I47" i="39"/>
  <c r="I48" i="39"/>
  <c r="I49" i="39"/>
  <c r="I50" i="39"/>
  <c r="I51" i="39"/>
  <c r="I52" i="39"/>
  <c r="I53" i="39"/>
  <c r="I54" i="39"/>
  <c r="I55" i="39"/>
  <c r="I56" i="39"/>
  <c r="I57" i="39"/>
  <c r="I58" i="39"/>
  <c r="I59" i="39"/>
  <c r="I60" i="39"/>
  <c r="I61" i="39"/>
  <c r="I62" i="39"/>
  <c r="I63" i="39"/>
  <c r="I43" i="39"/>
  <c r="I32" i="38" l="1"/>
  <c r="I31" i="38"/>
  <c r="N11" i="11" l="1"/>
  <c r="O11" i="11" s="1"/>
  <c r="I11" i="11"/>
  <c r="J11" i="11" s="1"/>
  <c r="Q11" i="2"/>
  <c r="R11" i="2" s="1"/>
  <c r="I11" i="2"/>
  <c r="J11" i="2" s="1"/>
  <c r="AE6" i="28" l="1"/>
  <c r="H36" i="6" l="1"/>
  <c r="H13" i="6"/>
  <c r="H5" i="6"/>
  <c r="M47" i="2" l="1"/>
  <c r="F3" i="39" l="1"/>
  <c r="U2" i="28"/>
  <c r="G46" i="20"/>
  <c r="G45" i="20"/>
  <c r="G44" i="20"/>
  <c r="G43" i="20"/>
  <c r="G42" i="20"/>
  <c r="G41" i="20"/>
  <c r="G40" i="20"/>
  <c r="G39" i="20"/>
  <c r="G38" i="20"/>
  <c r="G37" i="20"/>
  <c r="G36" i="20"/>
  <c r="G35" i="20"/>
  <c r="G34" i="20"/>
  <c r="G33" i="20"/>
  <c r="G32" i="20"/>
  <c r="G31" i="20"/>
  <c r="G30" i="20"/>
  <c r="G29" i="20"/>
  <c r="G28" i="20"/>
  <c r="G27" i="20"/>
  <c r="G72" i="38"/>
  <c r="G71" i="38"/>
  <c r="G70" i="38"/>
  <c r="G69" i="38"/>
  <c r="G68" i="38"/>
  <c r="G67" i="38"/>
  <c r="G66" i="38"/>
  <c r="G65" i="38"/>
  <c r="G64" i="38"/>
  <c r="G63" i="38"/>
  <c r="G62" i="38"/>
  <c r="G61" i="38"/>
  <c r="G60" i="38"/>
  <c r="G59" i="38"/>
  <c r="G58" i="38"/>
  <c r="G57" i="38"/>
  <c r="G56" i="38"/>
  <c r="G55" i="38"/>
  <c r="G54" i="38"/>
  <c r="G53" i="38"/>
  <c r="G52" i="38"/>
  <c r="O1" i="21"/>
  <c r="P4" i="28" l="1"/>
  <c r="AD1" i="1"/>
  <c r="O6" i="29"/>
  <c r="U8" i="29"/>
  <c r="M9" i="2" l="1"/>
  <c r="L9" i="2"/>
  <c r="V13" i="12"/>
  <c r="T13" i="12"/>
  <c r="I7" i="39" l="1"/>
  <c r="F5" i="27" l="1"/>
  <c r="O5" i="11" l="1"/>
  <c r="N10" i="11"/>
  <c r="O10" i="11" s="1"/>
  <c r="I10" i="11"/>
  <c r="J10" i="11" s="1"/>
  <c r="Q9" i="2"/>
  <c r="Q10" i="2"/>
  <c r="R10" i="2" s="1"/>
  <c r="I10" i="2"/>
  <c r="J10" i="2" s="1"/>
  <c r="S13" i="12"/>
  <c r="M8" i="2" l="1"/>
  <c r="L8" i="2"/>
  <c r="Y12" i="12"/>
  <c r="Y11" i="12"/>
  <c r="G36" i="6" l="1"/>
  <c r="G13" i="6"/>
  <c r="G5" i="6"/>
  <c r="E2" i="28" l="1"/>
  <c r="I42" i="39" l="1"/>
  <c r="I64" i="39"/>
  <c r="I87" i="39" l="1"/>
  <c r="I1" i="39" s="1"/>
  <c r="N9" i="11"/>
  <c r="O9" i="11" l="1"/>
  <c r="I9" i="11"/>
  <c r="J9" i="11" s="1"/>
  <c r="O8" i="11"/>
  <c r="R9" i="2" l="1"/>
  <c r="Q8" i="2"/>
  <c r="I9" i="2"/>
  <c r="J9" i="2" s="1"/>
  <c r="V12" i="12" l="1"/>
  <c r="T12" i="12"/>
  <c r="T11" i="12"/>
  <c r="F36" i="6" l="1"/>
  <c r="F13" i="6"/>
  <c r="F5" i="6"/>
  <c r="S12" i="12" l="1"/>
  <c r="I27" i="31" l="1"/>
  <c r="V11" i="12" l="1"/>
  <c r="V10" i="12"/>
  <c r="V9" i="12"/>
  <c r="T10" i="12"/>
  <c r="T9" i="12"/>
  <c r="Q11" i="12"/>
  <c r="Q10" i="12"/>
  <c r="S10" i="12" s="1"/>
  <c r="Q9" i="12"/>
  <c r="S11" i="12"/>
  <c r="S9" i="12"/>
  <c r="J19" i="42"/>
  <c r="J18" i="42"/>
  <c r="M5" i="2"/>
  <c r="M6" i="2"/>
  <c r="M7" i="2"/>
  <c r="L7" i="2"/>
  <c r="W9" i="12" l="1"/>
  <c r="R3" i="1" l="1"/>
  <c r="L6" i="2"/>
  <c r="A23" i="11" l="1"/>
  <c r="A24" i="11"/>
  <c r="A22" i="2"/>
  <c r="A23" i="2" s="1"/>
  <c r="A24" i="2" s="1"/>
  <c r="O13" i="2" l="1"/>
  <c r="O14" i="2" s="1"/>
  <c r="O15" i="2" s="1"/>
  <c r="O16" i="2" s="1"/>
  <c r="O17" i="2" s="1"/>
  <c r="O18" i="2" s="1"/>
  <c r="O19" i="2" s="1"/>
  <c r="O20" i="2" s="1"/>
  <c r="I7" i="11"/>
  <c r="I8" i="11" s="1"/>
  <c r="J8" i="11" s="1"/>
  <c r="J7" i="11"/>
  <c r="I8" i="2" l="1"/>
  <c r="J8" i="2" s="1"/>
  <c r="E36" i="6" l="1"/>
  <c r="E13" i="6"/>
  <c r="E5" i="6"/>
  <c r="BB4" i="29" l="1"/>
  <c r="L5" i="2" l="1"/>
  <c r="G44" i="38"/>
  <c r="E8" i="29" l="1"/>
  <c r="E6" i="29"/>
  <c r="E38" i="6" l="1"/>
  <c r="F38" i="6"/>
  <c r="G38" i="6"/>
  <c r="J7" i="2" l="1"/>
  <c r="I7" i="2"/>
  <c r="D36" i="6" l="1"/>
  <c r="D13" i="6"/>
  <c r="D5" i="6"/>
  <c r="I17" i="38" l="1"/>
  <c r="L2" i="25" l="1"/>
  <c r="G41" i="38" l="1"/>
  <c r="M12" i="2" l="1"/>
  <c r="I6" i="11" l="1"/>
  <c r="J6" i="11" l="1"/>
  <c r="Q6" i="2"/>
  <c r="Q5" i="2"/>
  <c r="I6" i="2"/>
  <c r="I5" i="2"/>
  <c r="I42" i="38"/>
  <c r="I43" i="38"/>
  <c r="I44" i="38"/>
  <c r="I41" i="38"/>
  <c r="L17" i="38"/>
  <c r="L14" i="38"/>
  <c r="L24" i="38" s="1"/>
  <c r="J14" i="38"/>
  <c r="J6" i="2" l="1"/>
  <c r="J33" i="38"/>
  <c r="J30" i="38"/>
  <c r="L31" i="38"/>
  <c r="J31" i="38" s="1"/>
  <c r="L32" i="38"/>
  <c r="J32" i="38" s="1"/>
  <c r="L33" i="38"/>
  <c r="L34" i="38"/>
  <c r="J34" i="38" s="1"/>
  <c r="L30" i="38"/>
  <c r="C36" i="6" l="1"/>
  <c r="C13" i="6" l="1"/>
  <c r="C5" i="6"/>
  <c r="J5" i="2" l="1"/>
  <c r="R5" i="2"/>
  <c r="R6" i="2" l="1"/>
  <c r="X6" i="29"/>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N31" i="29" s="1"/>
  <c r="AG22" i="29"/>
  <c r="AF22" i="29"/>
  <c r="AV21" i="29"/>
  <c r="AN21" i="29"/>
  <c r="AG21" i="29"/>
  <c r="AF21" i="29"/>
  <c r="AV20" i="29"/>
  <c r="AW20" i="29" s="1"/>
  <c r="AN20" i="29"/>
  <c r="AG20" i="29"/>
  <c r="AF20" i="29"/>
  <c r="AG19" i="29"/>
  <c r="AF19" i="29"/>
  <c r="AG18" i="29"/>
  <c r="AF18" i="29"/>
  <c r="AO16" i="29"/>
  <c r="AN11" i="29"/>
  <c r="AN10" i="29"/>
  <c r="AY21" i="29" l="1"/>
  <c r="AF17" i="29"/>
  <c r="AY22" i="29"/>
  <c r="AY23" i="29"/>
  <c r="AY20" i="29"/>
  <c r="AW22" i="29"/>
  <c r="AW27" i="29"/>
  <c r="AR33" i="29" s="1"/>
  <c r="AW24" i="29"/>
  <c r="AW21" i="29"/>
  <c r="AV25" i="29"/>
  <c r="AX20" i="29" s="1"/>
  <c r="AW23" i="29"/>
  <c r="Q49" i="29" l="1"/>
  <c r="AC10" i="29" s="1"/>
  <c r="AX23" i="29"/>
  <c r="AW25" i="29"/>
  <c r="AR31" i="29" s="1"/>
  <c r="AW31" i="29" s="1"/>
  <c r="AY25" i="29"/>
  <c r="AX21" i="29"/>
  <c r="AX22" i="29"/>
  <c r="AX24" i="29"/>
  <c r="AX25" i="29" l="1"/>
  <c r="E5" i="27"/>
  <c r="G35" i="40" l="1"/>
  <c r="G3" i="40" s="1"/>
  <c r="F35" i="40"/>
  <c r="F3" i="40" s="1"/>
  <c r="E35" i="40"/>
  <c r="E3" i="40" s="1"/>
  <c r="D35" i="40"/>
  <c r="D3" i="40" s="1"/>
  <c r="C35" i="40"/>
  <c r="C4" i="40" s="1"/>
  <c r="B35" i="40"/>
  <c r="B3" i="40" s="1"/>
  <c r="G44" i="40"/>
  <c r="G12" i="40" s="1"/>
  <c r="F44" i="40"/>
  <c r="F12" i="40" s="1"/>
  <c r="E44" i="40"/>
  <c r="E12" i="40" s="1"/>
  <c r="D44" i="40"/>
  <c r="D12" i="40" s="1"/>
  <c r="C44" i="40"/>
  <c r="C12" i="40" s="1"/>
  <c r="B44" i="40"/>
  <c r="B12" i="40" s="1"/>
  <c r="G43" i="40"/>
  <c r="G11" i="40" s="1"/>
  <c r="F43" i="40"/>
  <c r="F11" i="40" s="1"/>
  <c r="E43" i="40"/>
  <c r="E11" i="40" s="1"/>
  <c r="D43" i="40"/>
  <c r="D11" i="40" s="1"/>
  <c r="C43" i="40"/>
  <c r="C11" i="40" s="1"/>
  <c r="B43" i="40"/>
  <c r="B11" i="40" s="1"/>
  <c r="G42" i="40"/>
  <c r="G10" i="40" s="1"/>
  <c r="F42" i="40"/>
  <c r="F10" i="40" s="1"/>
  <c r="E42" i="40"/>
  <c r="E10" i="40" s="1"/>
  <c r="D42" i="40"/>
  <c r="D10" i="40" s="1"/>
  <c r="C42" i="40"/>
  <c r="C10" i="40" s="1"/>
  <c r="B42" i="40"/>
  <c r="B10" i="40" s="1"/>
  <c r="G41" i="40"/>
  <c r="G9" i="40" s="1"/>
  <c r="F41" i="40"/>
  <c r="F9" i="40" s="1"/>
  <c r="E41" i="40"/>
  <c r="E9" i="40" s="1"/>
  <c r="D41" i="40"/>
  <c r="D9" i="40" s="1"/>
  <c r="C41" i="40"/>
  <c r="C9" i="40" s="1"/>
  <c r="B41" i="40"/>
  <c r="B9" i="40" s="1"/>
  <c r="G40" i="40"/>
  <c r="G8" i="40" s="1"/>
  <c r="F40" i="40"/>
  <c r="F8" i="40" s="1"/>
  <c r="E40" i="40"/>
  <c r="E8" i="40" s="1"/>
  <c r="D40" i="40"/>
  <c r="D8" i="40" s="1"/>
  <c r="C40" i="40"/>
  <c r="C8" i="40" s="1"/>
  <c r="B40" i="40"/>
  <c r="B8" i="40" s="1"/>
  <c r="G39" i="40"/>
  <c r="G7" i="40" s="1"/>
  <c r="F39" i="40"/>
  <c r="F7" i="40" s="1"/>
  <c r="E39" i="40"/>
  <c r="E7" i="40" s="1"/>
  <c r="D39" i="40"/>
  <c r="D7" i="40" s="1"/>
  <c r="C39" i="40"/>
  <c r="C7" i="40" s="1"/>
  <c r="B39" i="40"/>
  <c r="B7" i="40" s="1"/>
  <c r="G38" i="40"/>
  <c r="G6" i="40" s="1"/>
  <c r="F38" i="40"/>
  <c r="F6" i="40" s="1"/>
  <c r="E38" i="40"/>
  <c r="E6" i="40" s="1"/>
  <c r="D38" i="40"/>
  <c r="D6" i="40" s="1"/>
  <c r="C38" i="40"/>
  <c r="C6" i="40" s="1"/>
  <c r="B38" i="40"/>
  <c r="B6" i="40" s="1"/>
  <c r="G37" i="40"/>
  <c r="G5" i="40" s="1"/>
  <c r="F37" i="40"/>
  <c r="F5" i="40" s="1"/>
  <c r="E37" i="40"/>
  <c r="E5" i="40" s="1"/>
  <c r="D37" i="40"/>
  <c r="D5" i="40" s="1"/>
  <c r="C37" i="40"/>
  <c r="C5" i="40" s="1"/>
  <c r="B37" i="40"/>
  <c r="B5" i="40" s="1"/>
  <c r="G36" i="40"/>
  <c r="G4" i="40" s="1"/>
  <c r="F36" i="40"/>
  <c r="F4" i="40" s="1"/>
  <c r="E36" i="40"/>
  <c r="E4" i="40" s="1"/>
  <c r="D36" i="40"/>
  <c r="D4" i="40" s="1"/>
  <c r="C36" i="40"/>
  <c r="B36" i="40"/>
  <c r="B4" i="40" s="1"/>
  <c r="Z3" i="1"/>
  <c r="J22" i="20"/>
  <c r="L3" i="19"/>
  <c r="W18" i="41"/>
  <c r="T18" i="41"/>
  <c r="W17" i="41"/>
  <c r="T17" i="41"/>
  <c r="W16" i="41"/>
  <c r="T16" i="41"/>
  <c r="W15" i="41"/>
  <c r="T15" i="41"/>
  <c r="W14" i="41"/>
  <c r="T14" i="41"/>
  <c r="W13" i="41"/>
  <c r="T13" i="41"/>
  <c r="W12" i="41"/>
  <c r="T12" i="41"/>
  <c r="W11" i="41"/>
  <c r="T11" i="41"/>
  <c r="W10" i="41"/>
  <c r="T10" i="41"/>
  <c r="W9" i="41"/>
  <c r="T9" i="41"/>
  <c r="W8" i="41"/>
  <c r="T8" i="41"/>
  <c r="W7" i="41"/>
  <c r="T7" i="41"/>
  <c r="W6" i="41"/>
  <c r="T6" i="41"/>
  <c r="W5" i="41"/>
  <c r="T5" i="41"/>
  <c r="W4" i="41"/>
  <c r="T4" i="41"/>
  <c r="W3" i="41"/>
  <c r="T3" i="41"/>
  <c r="W2" i="41"/>
  <c r="T2" i="41"/>
  <c r="G3" i="25" l="1"/>
  <c r="G2" i="25"/>
  <c r="G20" i="25"/>
  <c r="I22" i="38"/>
  <c r="M22" i="38" l="1"/>
  <c r="D43" i="21"/>
  <c r="N5" i="11"/>
  <c r="C6" i="11"/>
  <c r="C7" i="11"/>
  <c r="C8" i="11"/>
  <c r="C9" i="11"/>
  <c r="C10" i="11"/>
  <c r="C11" i="11"/>
  <c r="C12" i="11"/>
  <c r="C13" i="11"/>
  <c r="C14" i="11"/>
  <c r="C15" i="11"/>
  <c r="C16" i="11"/>
  <c r="C17" i="11"/>
  <c r="C18" i="11" s="1"/>
  <c r="C19" i="11" s="1"/>
  <c r="C20" i="11" s="1"/>
  <c r="C21" i="11" s="1"/>
  <c r="C22" i="11" s="1"/>
  <c r="C5" i="11"/>
  <c r="C4" i="11"/>
  <c r="E14" i="19"/>
  <c r="D6" i="19"/>
  <c r="D7" i="19"/>
  <c r="D8" i="19"/>
  <c r="D9" i="19"/>
  <c r="D10" i="19"/>
  <c r="D11" i="19"/>
  <c r="D12" i="19"/>
  <c r="D13" i="19"/>
  <c r="D3" i="19"/>
  <c r="E3" i="19"/>
  <c r="C3" i="19"/>
  <c r="J23" i="20" l="1"/>
  <c r="P12" i="2" l="1"/>
  <c r="C21" i="42"/>
  <c r="D13" i="42" s="1"/>
  <c r="J20" i="42"/>
  <c r="I20" i="42"/>
  <c r="I19" i="42"/>
  <c r="I18" i="42"/>
  <c r="J17" i="42"/>
  <c r="I17" i="42"/>
  <c r="J16" i="42"/>
  <c r="I16" i="42"/>
  <c r="J15" i="42"/>
  <c r="I15" i="42"/>
  <c r="J14" i="42"/>
  <c r="I14" i="42"/>
  <c r="J7" i="42"/>
  <c r="I7" i="42"/>
  <c r="J6" i="42"/>
  <c r="I6" i="42"/>
  <c r="J5" i="42"/>
  <c r="I5" i="42"/>
  <c r="J4" i="42"/>
  <c r="I4" i="42"/>
  <c r="P13" i="2" l="1"/>
  <c r="D10" i="42"/>
  <c r="D11" i="42"/>
  <c r="D12" i="42"/>
  <c r="P14" i="2" l="1"/>
  <c r="D21" i="42"/>
  <c r="P15" i="2" l="1"/>
  <c r="D7" i="6"/>
  <c r="E15" i="6"/>
  <c r="F15" i="6"/>
  <c r="D15" i="6"/>
  <c r="P16" i="2" l="1"/>
  <c r="C14" i="19"/>
  <c r="D14" i="19" s="1"/>
  <c r="P17" i="2" l="1"/>
  <c r="J47" i="38"/>
  <c r="K3" i="40"/>
  <c r="I3" i="40"/>
  <c r="B1" i="2"/>
  <c r="P18" i="2" l="1"/>
  <c r="K5" i="40"/>
  <c r="O26" i="31"/>
  <c r="O25" i="31" s="1"/>
  <c r="N26" i="31"/>
  <c r="N25" i="31" s="1"/>
  <c r="M26" i="31"/>
  <c r="M25" i="31" s="1"/>
  <c r="L26" i="31"/>
  <c r="L25" i="31" s="1"/>
  <c r="H26" i="31"/>
  <c r="H25" i="31" s="1"/>
  <c r="G26" i="31"/>
  <c r="G25" i="31" s="1"/>
  <c r="F26" i="31"/>
  <c r="F25" i="31" s="1"/>
  <c r="E26" i="31"/>
  <c r="E25" i="31" s="1"/>
  <c r="D26" i="31"/>
  <c r="D25" i="31" s="1"/>
  <c r="J25" i="31"/>
  <c r="P19" i="2" l="1"/>
  <c r="P20" i="2" l="1"/>
  <c r="D30" i="21"/>
  <c r="C23" i="21"/>
  <c r="N8" i="11" l="1"/>
  <c r="J5" i="27" l="1"/>
  <c r="Q7" i="2"/>
  <c r="K13" i="40" l="1"/>
  <c r="K12" i="40"/>
  <c r="K11" i="40"/>
  <c r="K10" i="40"/>
  <c r="K9" i="40"/>
  <c r="K8" i="40"/>
  <c r="K7" i="40"/>
  <c r="K6" i="40"/>
  <c r="K4" i="40"/>
  <c r="F4" i="11" l="1"/>
  <c r="C4" i="2"/>
  <c r="C5" i="2" l="1"/>
  <c r="F5" i="11"/>
  <c r="D4" i="2"/>
  <c r="B1" i="11"/>
  <c r="N7" i="11"/>
  <c r="J4" i="11" l="1"/>
  <c r="D5" i="2"/>
  <c r="C6" i="2"/>
  <c r="D5" i="11"/>
  <c r="D17" i="11"/>
  <c r="D6" i="11"/>
  <c r="D15" i="11"/>
  <c r="D16" i="11"/>
  <c r="D19" i="11"/>
  <c r="D4" i="11"/>
  <c r="D7" i="11"/>
  <c r="D8" i="11"/>
  <c r="D20" i="11"/>
  <c r="D9" i="11"/>
  <c r="D18" i="11"/>
  <c r="D21" i="11"/>
  <c r="D10" i="11"/>
  <c r="D11" i="11"/>
  <c r="D12" i="11"/>
  <c r="D13" i="11"/>
  <c r="D14" i="11"/>
  <c r="D22" i="11"/>
  <c r="C7" i="2" l="1"/>
  <c r="D6" i="2"/>
  <c r="J13" i="40"/>
  <c r="C8" i="2" l="1"/>
  <c r="D7" i="2"/>
  <c r="C9" i="2" l="1"/>
  <c r="D8" i="2"/>
  <c r="C10" i="2" l="1"/>
  <c r="D9" i="2"/>
  <c r="C11" i="2" l="1"/>
  <c r="D10" i="2"/>
  <c r="C12" i="2" l="1"/>
  <c r="D11" i="2"/>
  <c r="C13" i="2" l="1"/>
  <c r="D12" i="2"/>
  <c r="E24" i="38"/>
  <c r="K24" i="38"/>
  <c r="H24" i="38"/>
  <c r="G24" i="38"/>
  <c r="I23" i="38"/>
  <c r="J23" i="38" s="1"/>
  <c r="L23" i="38" s="1"/>
  <c r="L22" i="38"/>
  <c r="I20" i="38"/>
  <c r="J20" i="38" s="1"/>
  <c r="L20" i="38" s="1"/>
  <c r="I19" i="38"/>
  <c r="J19" i="38" s="1"/>
  <c r="I18" i="38"/>
  <c r="J18" i="38" s="1"/>
  <c r="L18" i="38" s="1"/>
  <c r="I16" i="38"/>
  <c r="J16" i="38" s="1"/>
  <c r="L16" i="38" s="1"/>
  <c r="J15" i="38"/>
  <c r="L15" i="38" s="1"/>
  <c r="J13" i="38"/>
  <c r="L13" i="38" s="1"/>
  <c r="H9" i="12"/>
  <c r="G9" i="12"/>
  <c r="J9" i="12" s="1"/>
  <c r="Y9" i="12" s="1"/>
  <c r="C14" i="2" l="1"/>
  <c r="D13" i="2"/>
  <c r="I25" i="38"/>
  <c r="J21" i="38"/>
  <c r="L21" i="38" s="1"/>
  <c r="L19" i="38"/>
  <c r="M18" i="38"/>
  <c r="O3" i="40"/>
  <c r="F8" i="38"/>
  <c r="F7" i="38"/>
  <c r="F6" i="38"/>
  <c r="F5" i="38"/>
  <c r="C15" i="2" l="1"/>
  <c r="D14" i="2"/>
  <c r="J24" i="38"/>
  <c r="O5" i="40"/>
  <c r="C16" i="2" l="1"/>
  <c r="D15" i="2"/>
  <c r="C17" i="2" l="1"/>
  <c r="D16" i="2"/>
  <c r="V14" i="38"/>
  <c r="Y13" i="38"/>
  <c r="X13" i="38"/>
  <c r="U14" i="38"/>
  <c r="C18" i="2" l="1"/>
  <c r="D17" i="2"/>
  <c r="N64" i="1"/>
  <c r="N63" i="1"/>
  <c r="N62" i="1"/>
  <c r="N61" i="1"/>
  <c r="N60" i="1"/>
  <c r="T63" i="1"/>
  <c r="C19" i="2" l="1"/>
  <c r="D18" i="2"/>
  <c r="C20" i="2" l="1"/>
  <c r="D19" i="2"/>
  <c r="U15" i="38"/>
  <c r="D20" i="2" l="1"/>
  <c r="M13" i="38" l="1"/>
  <c r="M17" i="38"/>
  <c r="N17" i="38"/>
  <c r="N6" i="11" l="1"/>
  <c r="AC1" i="1" l="1"/>
  <c r="Y15" i="38"/>
  <c r="G22" i="25" l="1"/>
  <c r="H22" i="25"/>
  <c r="I22" i="25" s="1"/>
  <c r="L22" i="25"/>
  <c r="AB3" i="43" l="1"/>
  <c r="G13" i="19" l="1"/>
  <c r="G14" i="19"/>
  <c r="D5" i="19"/>
  <c r="H38" i="6"/>
  <c r="I38" i="6"/>
  <c r="J38" i="6"/>
  <c r="K38" i="6"/>
  <c r="L38" i="6"/>
  <c r="M38" i="6"/>
  <c r="N38" i="6"/>
  <c r="O38" i="6"/>
  <c r="P38" i="6"/>
  <c r="Q38" i="6"/>
  <c r="R38" i="6"/>
  <c r="S38" i="6"/>
  <c r="T38" i="6"/>
  <c r="G15" i="6"/>
  <c r="H15" i="6"/>
  <c r="I15" i="6"/>
  <c r="J15" i="6"/>
  <c r="K15" i="6"/>
  <c r="L15" i="6"/>
  <c r="M15" i="6"/>
  <c r="N15" i="6"/>
  <c r="O15" i="6"/>
  <c r="P15" i="6"/>
  <c r="Q15" i="6"/>
  <c r="R15" i="6"/>
  <c r="S15" i="6"/>
  <c r="T15" i="6"/>
  <c r="B2" i="6"/>
  <c r="B33" i="6" s="1"/>
  <c r="J12" i="24"/>
  <c r="A4" i="11"/>
  <c r="B10" i="6" l="1"/>
  <c r="E5" i="19"/>
  <c r="K47" i="2" l="1"/>
  <c r="Q4" i="2"/>
  <c r="F4" i="2" l="1"/>
  <c r="F5" i="2" s="1"/>
  <c r="F6" i="2" l="1"/>
  <c r="K6" i="39"/>
  <c r="J10" i="40" l="1"/>
  <c r="T11" i="36"/>
  <c r="T12" i="36"/>
  <c r="T13" i="36"/>
  <c r="T14" i="36"/>
  <c r="K55" i="39" l="1"/>
  <c r="W22" i="12"/>
  <c r="J19" i="12" l="1"/>
  <c r="J11" i="24" l="1"/>
  <c r="F35" i="38" l="1"/>
  <c r="G35" i="38"/>
  <c r="H35" i="38"/>
  <c r="Y3" i="12" l="1"/>
  <c r="AB24" i="6" l="1"/>
  <c r="P50" i="6"/>
  <c r="W17" i="12" l="1"/>
  <c r="L8" i="25" l="1"/>
  <c r="G8" i="25"/>
  <c r="H8" i="25"/>
  <c r="I8" i="25" s="1"/>
  <c r="R16" i="38" l="1"/>
  <c r="Y16" i="38"/>
  <c r="V16" i="38"/>
  <c r="U16" i="38"/>
  <c r="T16" i="38"/>
  <c r="S16" i="38"/>
  <c r="V15" i="38"/>
  <c r="T15" i="38"/>
  <c r="S15" i="38"/>
  <c r="R15" i="38"/>
  <c r="S13" i="38"/>
  <c r="T13" i="38"/>
  <c r="U13" i="38"/>
  <c r="V13" i="38"/>
  <c r="R13" i="38"/>
  <c r="G29" i="25" l="1"/>
  <c r="W16" i="12" l="1"/>
  <c r="AH3" i="12" l="1"/>
  <c r="J9" i="27" l="1"/>
  <c r="L11" i="25" l="1"/>
  <c r="W13" i="38" l="1"/>
  <c r="X16" i="38"/>
  <c r="X15" i="38"/>
  <c r="W15" i="38"/>
  <c r="W16" i="38"/>
  <c r="W14" i="38" l="1"/>
  <c r="X14" i="38"/>
  <c r="N14" i="38"/>
  <c r="M14" i="38"/>
  <c r="M16" i="38"/>
  <c r="G5" i="25" l="1"/>
  <c r="AF85" i="1" s="1"/>
  <c r="H5" i="25"/>
  <c r="L5" i="25"/>
  <c r="G6" i="25"/>
  <c r="AF86" i="1" s="1"/>
  <c r="H6" i="25"/>
  <c r="I6" i="25" s="1"/>
  <c r="L6" i="25"/>
  <c r="G7" i="25"/>
  <c r="H7" i="25"/>
  <c r="I7" i="25" s="1"/>
  <c r="L7" i="25"/>
  <c r="AB85" i="1"/>
  <c r="AC85" i="1"/>
  <c r="AD85" i="1"/>
  <c r="AE85" i="1"/>
  <c r="AB86" i="1"/>
  <c r="AC86" i="1"/>
  <c r="AD86" i="1"/>
  <c r="AE86" i="1"/>
  <c r="W85" i="1"/>
  <c r="W86" i="1"/>
  <c r="V85" i="1"/>
  <c r="V86" i="1"/>
  <c r="AG86" i="1" l="1"/>
  <c r="AG85" i="1"/>
  <c r="I5" i="25"/>
  <c r="R6" i="1" l="1"/>
  <c r="U6" i="1" s="1"/>
  <c r="AA12" i="12" l="1"/>
  <c r="R13" i="40" l="1"/>
  <c r="Q13" i="40"/>
  <c r="P13" i="40"/>
  <c r="O13" i="40"/>
  <c r="M13" i="40"/>
  <c r="L13" i="40"/>
  <c r="I13" i="40"/>
  <c r="R12" i="40"/>
  <c r="O24" i="31" s="1"/>
  <c r="Q12" i="40"/>
  <c r="N24" i="31" s="1"/>
  <c r="P12" i="40"/>
  <c r="M24" i="31" s="1"/>
  <c r="O12" i="40"/>
  <c r="L24" i="31" s="1"/>
  <c r="M12" i="40"/>
  <c r="H24" i="31" s="1"/>
  <c r="L12" i="40"/>
  <c r="G24" i="31" s="1"/>
  <c r="F24" i="31"/>
  <c r="J12" i="40"/>
  <c r="E24" i="31" s="1"/>
  <c r="I12" i="40"/>
  <c r="D24" i="31" s="1"/>
  <c r="R11" i="40"/>
  <c r="O22" i="31" s="1"/>
  <c r="Q11" i="40"/>
  <c r="N22" i="31" s="1"/>
  <c r="P11" i="40"/>
  <c r="M22" i="31" s="1"/>
  <c r="O11" i="40"/>
  <c r="L22" i="31" s="1"/>
  <c r="M11" i="40"/>
  <c r="H22" i="31" s="1"/>
  <c r="L11" i="40"/>
  <c r="G22" i="31" s="1"/>
  <c r="F22" i="31"/>
  <c r="J11" i="40"/>
  <c r="E22" i="31" s="1"/>
  <c r="I11" i="40"/>
  <c r="D22" i="31" s="1"/>
  <c r="R10" i="40"/>
  <c r="O20" i="31" s="1"/>
  <c r="Q10" i="40"/>
  <c r="N20" i="31" s="1"/>
  <c r="P10" i="40"/>
  <c r="M20" i="31" s="1"/>
  <c r="O10" i="40"/>
  <c r="L20" i="31" s="1"/>
  <c r="M10" i="40"/>
  <c r="H20" i="31" s="1"/>
  <c r="L10" i="40"/>
  <c r="G20" i="31" s="1"/>
  <c r="F20" i="31"/>
  <c r="E20" i="31"/>
  <c r="I10" i="40"/>
  <c r="D20" i="31" s="1"/>
  <c r="R9" i="40"/>
  <c r="O18" i="31" s="1"/>
  <c r="Q9" i="40"/>
  <c r="N18" i="31" s="1"/>
  <c r="P9" i="40"/>
  <c r="M18" i="31" s="1"/>
  <c r="O9" i="40"/>
  <c r="L18" i="31" s="1"/>
  <c r="M9" i="40"/>
  <c r="H18" i="31" s="1"/>
  <c r="L9" i="40"/>
  <c r="G18" i="31" s="1"/>
  <c r="F18" i="31"/>
  <c r="J9" i="40"/>
  <c r="E18" i="31" s="1"/>
  <c r="I9" i="40"/>
  <c r="D18" i="31" s="1"/>
  <c r="R8" i="40"/>
  <c r="O16" i="31" s="1"/>
  <c r="Q8" i="40"/>
  <c r="N16" i="31" s="1"/>
  <c r="P8" i="40"/>
  <c r="M16" i="31" s="1"/>
  <c r="O8" i="40"/>
  <c r="L16" i="31" s="1"/>
  <c r="M8" i="40"/>
  <c r="H16" i="31" s="1"/>
  <c r="L8" i="40"/>
  <c r="G16" i="31" s="1"/>
  <c r="F16" i="31"/>
  <c r="J8" i="40"/>
  <c r="E16" i="31" s="1"/>
  <c r="I8" i="40"/>
  <c r="D16" i="31" s="1"/>
  <c r="R7" i="40"/>
  <c r="O14" i="31" s="1"/>
  <c r="Q7" i="40"/>
  <c r="N14" i="31" s="1"/>
  <c r="P7" i="40"/>
  <c r="M14" i="31" s="1"/>
  <c r="O7" i="40"/>
  <c r="L14" i="31" s="1"/>
  <c r="M7" i="40"/>
  <c r="H14" i="31" s="1"/>
  <c r="L7" i="40"/>
  <c r="G14" i="31" s="1"/>
  <c r="F14" i="31"/>
  <c r="J7" i="40"/>
  <c r="E14" i="31" s="1"/>
  <c r="I7" i="40"/>
  <c r="D14" i="31" s="1"/>
  <c r="R6" i="40"/>
  <c r="O12" i="31" s="1"/>
  <c r="Q6" i="40"/>
  <c r="N12" i="31" s="1"/>
  <c r="P6" i="40"/>
  <c r="M12" i="31" s="1"/>
  <c r="O6" i="40"/>
  <c r="L12" i="31" s="1"/>
  <c r="M6" i="40"/>
  <c r="H12" i="31" s="1"/>
  <c r="L6" i="40"/>
  <c r="G12" i="31" s="1"/>
  <c r="F12" i="31"/>
  <c r="F11" i="31" s="1"/>
  <c r="J6" i="40"/>
  <c r="E12" i="31" s="1"/>
  <c r="I6" i="40"/>
  <c r="D12" i="31" s="1"/>
  <c r="R5" i="40"/>
  <c r="O10" i="31" s="1"/>
  <c r="Q5" i="40"/>
  <c r="N10" i="31" s="1"/>
  <c r="P5" i="40"/>
  <c r="M10" i="31" s="1"/>
  <c r="L10" i="31"/>
  <c r="M5" i="40"/>
  <c r="H10" i="31" s="1"/>
  <c r="L5" i="40"/>
  <c r="G10" i="31" s="1"/>
  <c r="F10" i="31"/>
  <c r="F9" i="31" s="1"/>
  <c r="F13" i="1" s="1"/>
  <c r="J5" i="40"/>
  <c r="E10" i="31" s="1"/>
  <c r="I5" i="40"/>
  <c r="D10" i="31" s="1"/>
  <c r="D9" i="31" s="1"/>
  <c r="R4" i="40"/>
  <c r="O8" i="31" s="1"/>
  <c r="O7" i="31" s="1"/>
  <c r="Q4" i="40"/>
  <c r="N8" i="31" s="1"/>
  <c r="N7" i="31" s="1"/>
  <c r="P4" i="40"/>
  <c r="M8" i="31" s="1"/>
  <c r="M7" i="31" s="1"/>
  <c r="O4" i="40"/>
  <c r="L8" i="31" s="1"/>
  <c r="L7" i="31" s="1"/>
  <c r="M4" i="40"/>
  <c r="H8" i="31" s="1"/>
  <c r="L4" i="40"/>
  <c r="G8" i="31" s="1"/>
  <c r="G7" i="31" s="1"/>
  <c r="F8" i="31"/>
  <c r="F7" i="31" s="1"/>
  <c r="J4" i="40"/>
  <c r="E8" i="31" s="1"/>
  <c r="I4" i="40"/>
  <c r="D8" i="31" s="1"/>
  <c r="D7" i="31" s="1"/>
  <c r="R3" i="40"/>
  <c r="Q3" i="40"/>
  <c r="P3" i="40"/>
  <c r="M3" i="40"/>
  <c r="L3" i="40"/>
  <c r="J3" i="40"/>
  <c r="W11" i="12" l="1"/>
  <c r="Y14" i="38" l="1"/>
  <c r="S14" i="38"/>
  <c r="T14" i="38"/>
  <c r="R14" i="38"/>
  <c r="J14" i="24" l="1"/>
  <c r="G33" i="25" l="1"/>
  <c r="G34" i="25"/>
  <c r="G35" i="25"/>
  <c r="G32" i="25"/>
  <c r="H28" i="25"/>
  <c r="I28" i="25" s="1"/>
  <c r="H29" i="25"/>
  <c r="I29" i="25" s="1"/>
  <c r="H30" i="25"/>
  <c r="I30" i="25" s="1"/>
  <c r="H31" i="25"/>
  <c r="I31" i="25" s="1"/>
  <c r="H32" i="25"/>
  <c r="I32" i="25" s="1"/>
  <c r="H33" i="25"/>
  <c r="I33" i="25" s="1"/>
  <c r="H34" i="25"/>
  <c r="I34" i="25" s="1"/>
  <c r="H35" i="25"/>
  <c r="I35" i="25" s="1"/>
  <c r="G31" i="25"/>
  <c r="G30" i="25"/>
  <c r="G28" i="25"/>
  <c r="L28" i="25"/>
  <c r="L29" i="25"/>
  <c r="L30" i="25"/>
  <c r="L31" i="25"/>
  <c r="L32" i="25"/>
  <c r="L33" i="25"/>
  <c r="L34" i="25"/>
  <c r="L35" i="25"/>
  <c r="AA10" i="12" l="1"/>
  <c r="G25" i="25" l="1"/>
  <c r="H25" i="25"/>
  <c r="I25" i="25" s="1"/>
  <c r="L25" i="25"/>
  <c r="G26" i="25"/>
  <c r="H26" i="25"/>
  <c r="I26" i="25" s="1"/>
  <c r="L26" i="25"/>
  <c r="G27" i="25"/>
  <c r="H27" i="25"/>
  <c r="I27" i="25" s="1"/>
  <c r="L27" i="25"/>
  <c r="AB3" i="12" l="1"/>
  <c r="W10" i="12" l="1"/>
  <c r="O6" i="11" l="1"/>
  <c r="O7" i="11" s="1"/>
  <c r="D26" i="21" l="1"/>
  <c r="C2" i="39" l="1"/>
  <c r="O21" i="31" l="1"/>
  <c r="U19" i="1" s="1"/>
  <c r="N21" i="31"/>
  <c r="T19" i="1" s="1"/>
  <c r="M21" i="31"/>
  <c r="Q19" i="1" s="1"/>
  <c r="L21" i="31"/>
  <c r="P19" i="1" s="1"/>
  <c r="J21" i="31"/>
  <c r="N19" i="1" s="1"/>
  <c r="H21" i="31"/>
  <c r="H19" i="1" s="1"/>
  <c r="G21" i="31"/>
  <c r="G19" i="1" s="1"/>
  <c r="F21" i="31"/>
  <c r="F19" i="1" s="1"/>
  <c r="E21" i="31"/>
  <c r="E19" i="1" s="1"/>
  <c r="D21" i="31"/>
  <c r="D19" i="1" s="1"/>
  <c r="B21" i="31"/>
  <c r="B19" i="1" s="1"/>
  <c r="O19" i="31"/>
  <c r="U18" i="1" s="1"/>
  <c r="N19" i="31"/>
  <c r="T18" i="1" s="1"/>
  <c r="M19" i="31"/>
  <c r="Q18" i="1" s="1"/>
  <c r="L19" i="31"/>
  <c r="P18" i="1" s="1"/>
  <c r="J19" i="31"/>
  <c r="N18" i="1" s="1"/>
  <c r="H19" i="31"/>
  <c r="H18" i="1" s="1"/>
  <c r="G19" i="31"/>
  <c r="G18" i="1" s="1"/>
  <c r="F19" i="31"/>
  <c r="F18" i="1" s="1"/>
  <c r="E19" i="31"/>
  <c r="E18" i="1" s="1"/>
  <c r="D19" i="31"/>
  <c r="D18" i="1" s="1"/>
  <c r="B19" i="31"/>
  <c r="B18" i="1" s="1"/>
  <c r="I19" i="1" l="1"/>
  <c r="J19" i="1"/>
  <c r="K19" i="1"/>
  <c r="V19" i="1"/>
  <c r="V18" i="1"/>
  <c r="W19" i="1"/>
  <c r="W18" i="1"/>
  <c r="I18" i="1"/>
  <c r="K18" i="1"/>
  <c r="J18" i="1"/>
  <c r="S19" i="1"/>
  <c r="S18" i="1"/>
  <c r="R19" i="1"/>
  <c r="R18" i="1"/>
  <c r="L19" i="1" l="1"/>
  <c r="M19" i="1"/>
  <c r="X19" i="1"/>
  <c r="Y19" i="1"/>
  <c r="Y18" i="1"/>
  <c r="X18" i="1"/>
  <c r="L18" i="1"/>
  <c r="M18" i="1"/>
  <c r="G18" i="12" l="1"/>
  <c r="W18" i="12" l="1"/>
  <c r="I5" i="11" l="1"/>
  <c r="J46" i="12" l="1"/>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E1" i="2" l="1"/>
  <c r="G5" i="2" l="1"/>
  <c r="G6" i="2"/>
  <c r="L23" i="25"/>
  <c r="L24" i="25"/>
  <c r="G24" i="25"/>
  <c r="H24" i="25"/>
  <c r="I24" i="25" s="1"/>
  <c r="G10" i="12" l="1"/>
  <c r="L15" i="31"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G23" i="25"/>
  <c r="H23" i="25"/>
  <c r="I23" i="25" s="1"/>
  <c r="L29" i="28" l="1"/>
  <c r="G14" i="12" l="1"/>
  <c r="G15" i="12"/>
  <c r="J15" i="12" s="1"/>
  <c r="G13" i="12"/>
  <c r="AB15" i="12" l="1"/>
  <c r="L3" i="25"/>
  <c r="L4" i="25"/>
  <c r="L9" i="25"/>
  <c r="L10" i="25"/>
  <c r="L12" i="25"/>
  <c r="L13" i="25"/>
  <c r="L14" i="25"/>
  <c r="L15" i="25"/>
  <c r="L16" i="25"/>
  <c r="L17" i="25"/>
  <c r="L18" i="25"/>
  <c r="L19" i="25"/>
  <c r="L20" i="25"/>
  <c r="L21" i="25"/>
  <c r="H3" i="25"/>
  <c r="I3" i="25" s="1"/>
  <c r="AC13" i="12" l="1"/>
  <c r="AA13" i="12"/>
  <c r="N13" i="38" l="1"/>
  <c r="H13" i="12" l="1"/>
  <c r="J13" i="12" s="1"/>
  <c r="Y13" i="12" s="1"/>
  <c r="G58" i="12" l="1"/>
  <c r="G57" i="12"/>
  <c r="G56" i="12"/>
  <c r="G55" i="12"/>
  <c r="G54" i="12"/>
  <c r="G53" i="12"/>
  <c r="G52" i="12"/>
  <c r="G51" i="12"/>
  <c r="G50" i="12"/>
  <c r="G49" i="12"/>
  <c r="G48" i="12"/>
  <c r="G47" i="12"/>
  <c r="G46" i="12"/>
  <c r="G45" i="12"/>
  <c r="G44" i="12"/>
  <c r="G43" i="12"/>
  <c r="G42" i="12"/>
  <c r="G41" i="12"/>
  <c r="G12" i="12"/>
  <c r="G11" i="12"/>
  <c r="Q5" i="12" l="1"/>
  <c r="Z13" i="12" l="1"/>
  <c r="Z15" i="12"/>
  <c r="Z22" i="12"/>
  <c r="Z23" i="12"/>
  <c r="Z24" i="12"/>
  <c r="Z25" i="12"/>
  <c r="Z26" i="12"/>
  <c r="Z27" i="12"/>
  <c r="Z28" i="12"/>
  <c r="Z29" i="12"/>
  <c r="Z30" i="12"/>
  <c r="Z31" i="12"/>
  <c r="Z32" i="12"/>
  <c r="Z33" i="12"/>
  <c r="Z34" i="12"/>
  <c r="Z35" i="12"/>
  <c r="AB9" i="12" l="1"/>
  <c r="AA9" i="12"/>
  <c r="AE15" i="36" l="1"/>
  <c r="T15" i="36"/>
  <c r="AE14" i="36"/>
  <c r="T16" i="36"/>
  <c r="T17" i="36"/>
  <c r="T18" i="36"/>
  <c r="T19" i="36"/>
  <c r="T20" i="36"/>
  <c r="T21" i="36"/>
  <c r="T22" i="36"/>
  <c r="T23" i="36"/>
  <c r="T24" i="36"/>
  <c r="T25" i="36"/>
  <c r="T26" i="36"/>
  <c r="T27" i="36"/>
  <c r="T28" i="36"/>
  <c r="T29" i="36"/>
  <c r="T30" i="36"/>
  <c r="T31" i="36"/>
  <c r="AE13" i="36"/>
  <c r="AE16" i="36"/>
  <c r="AE17" i="36"/>
  <c r="AE18" i="36"/>
  <c r="AE19" i="36"/>
  <c r="AE20" i="36"/>
  <c r="AE21" i="36"/>
  <c r="AE22" i="36"/>
  <c r="AE23" i="36"/>
  <c r="AE24" i="36"/>
  <c r="AE25" i="36"/>
  <c r="AE26" i="36"/>
  <c r="AE27" i="36"/>
  <c r="AE28" i="36"/>
  <c r="AE29" i="36"/>
  <c r="AE30" i="36"/>
  <c r="AE31" i="36"/>
  <c r="AE12" i="36" l="1"/>
  <c r="AE11" i="36"/>
  <c r="Z9" i="12" l="1"/>
  <c r="AC11" i="12" l="1"/>
  <c r="AA11" i="12"/>
  <c r="AB13" i="12"/>
  <c r="M48" i="38" l="1"/>
  <c r="G11" i="19" l="1"/>
  <c r="G12" i="19" l="1"/>
  <c r="G6" i="19"/>
  <c r="E4" i="19"/>
  <c r="D4" i="19"/>
  <c r="J13" i="24"/>
  <c r="B12" i="24"/>
  <c r="B13" i="24" s="1"/>
  <c r="B14" i="24" s="1"/>
  <c r="B15" i="24" s="1"/>
  <c r="B16" i="24" s="1"/>
  <c r="G5" i="19" l="1"/>
  <c r="G4" i="19"/>
  <c r="G3" i="19" l="1"/>
  <c r="H14" i="12"/>
  <c r="J14" i="12" s="1"/>
  <c r="P12" i="12"/>
  <c r="H12" i="12"/>
  <c r="J12" i="12" s="1"/>
  <c r="P11" i="12"/>
  <c r="H11" i="12"/>
  <c r="J11" i="12" s="1"/>
  <c r="AC10" i="12"/>
  <c r="P10" i="12"/>
  <c r="H10" i="12"/>
  <c r="AC9" i="12"/>
  <c r="P9" i="12"/>
  <c r="C1" i="39"/>
  <c r="C3" i="39"/>
  <c r="O23" i="31"/>
  <c r="U20" i="1" s="1"/>
  <c r="N23" i="31"/>
  <c r="T20" i="1" s="1"/>
  <c r="M23" i="31"/>
  <c r="Q20" i="1" s="1"/>
  <c r="L23" i="31"/>
  <c r="O17" i="31"/>
  <c r="N17" i="31"/>
  <c r="M17" i="31"/>
  <c r="L17" i="31"/>
  <c r="O15" i="31"/>
  <c r="N15" i="31"/>
  <c r="M15" i="31"/>
  <c r="O13" i="31"/>
  <c r="N13" i="31"/>
  <c r="M13" i="31"/>
  <c r="L13" i="31"/>
  <c r="O11" i="31"/>
  <c r="N11" i="31"/>
  <c r="M11" i="31"/>
  <c r="L11" i="31"/>
  <c r="O9" i="31"/>
  <c r="N9" i="31"/>
  <c r="M9" i="31"/>
  <c r="L9" i="31"/>
  <c r="J23" i="31"/>
  <c r="J17" i="31"/>
  <c r="J15" i="31"/>
  <c r="J13" i="31"/>
  <c r="J11" i="31"/>
  <c r="J9" i="31"/>
  <c r="J7" i="31"/>
  <c r="H23" i="31"/>
  <c r="H20" i="1" s="1"/>
  <c r="G23" i="31"/>
  <c r="G20" i="1" s="1"/>
  <c r="F23" i="31"/>
  <c r="F20" i="1" s="1"/>
  <c r="E23" i="31"/>
  <c r="E20" i="1" s="1"/>
  <c r="D23" i="31"/>
  <c r="H17" i="31"/>
  <c r="G17" i="31"/>
  <c r="F17" i="31"/>
  <c r="E17" i="31"/>
  <c r="D17" i="31"/>
  <c r="H15" i="31"/>
  <c r="G15" i="31"/>
  <c r="F15" i="31"/>
  <c r="E15" i="31"/>
  <c r="D15" i="31"/>
  <c r="H13" i="31"/>
  <c r="G13" i="31"/>
  <c r="F13" i="31"/>
  <c r="E13" i="31"/>
  <c r="D13" i="31"/>
  <c r="H11" i="31"/>
  <c r="G11" i="31"/>
  <c r="E11" i="31"/>
  <c r="D11" i="31"/>
  <c r="H9" i="31"/>
  <c r="G9" i="31"/>
  <c r="E9" i="31"/>
  <c r="B9" i="31"/>
  <c r="B11" i="31"/>
  <c r="B13" i="31"/>
  <c r="B15" i="31"/>
  <c r="B17" i="31"/>
  <c r="B23" i="31"/>
  <c r="D47" i="21"/>
  <c r="D38" i="21"/>
  <c r="D34" i="21"/>
  <c r="O27" i="31" l="1"/>
  <c r="K26" i="31"/>
  <c r="G27" i="31"/>
  <c r="M27" i="31"/>
  <c r="E27" i="31"/>
  <c r="D27" i="31"/>
  <c r="N27" i="31"/>
  <c r="H27" i="31"/>
  <c r="W28" i="2" s="1"/>
  <c r="W29" i="2" s="1"/>
  <c r="F27" i="31"/>
  <c r="L27" i="31"/>
  <c r="B27" i="31"/>
  <c r="N16" i="38"/>
  <c r="J10" i="12"/>
  <c r="Y10" i="12" s="1"/>
  <c r="Z10" i="12" s="1"/>
  <c r="Z14" i="12"/>
  <c r="AB14" i="12"/>
  <c r="L35" i="38"/>
  <c r="Z11" i="12"/>
  <c r="E45"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K25" i="31" l="1"/>
  <c r="V22" i="11"/>
  <c r="O28" i="31"/>
  <c r="K7" i="31"/>
  <c r="L28" i="31"/>
  <c r="AB10" i="12"/>
  <c r="K11" i="31"/>
  <c r="K24" i="31"/>
  <c r="K15" i="31"/>
  <c r="H28" i="31"/>
  <c r="D6" i="42" s="1"/>
  <c r="E28" i="31"/>
  <c r="D28" i="31"/>
  <c r="G28" i="31"/>
  <c r="B6" i="42" s="1"/>
  <c r="F28" i="31"/>
  <c r="N28" i="31"/>
  <c r="K22" i="31"/>
  <c r="K20" i="31"/>
  <c r="K21" i="31"/>
  <c r="K19" i="31"/>
  <c r="C20" i="31"/>
  <c r="C22" i="31"/>
  <c r="C19" i="31"/>
  <c r="C21" i="31"/>
  <c r="M28" i="31"/>
  <c r="AB11" i="12"/>
  <c r="Z12" i="12"/>
  <c r="M47" i="38" l="1"/>
  <c r="AB12" i="12"/>
  <c r="B7" i="31" l="1"/>
  <c r="A1" i="19" l="1"/>
  <c r="V83" i="1" l="1"/>
  <c r="V84" i="1"/>
  <c r="W83" i="1"/>
  <c r="W84" i="1"/>
  <c r="AB83" i="1"/>
  <c r="AC83" i="1"/>
  <c r="AD83" i="1"/>
  <c r="AE83" i="1"/>
  <c r="AF83" i="1"/>
  <c r="AG83" i="1"/>
  <c r="AB84" i="1"/>
  <c r="AC84" i="1"/>
  <c r="AD84" i="1"/>
  <c r="AE84" i="1"/>
  <c r="AF84" i="1"/>
  <c r="AG84" i="1"/>
  <c r="AC82" i="1"/>
  <c r="AD82" i="1"/>
  <c r="AE82" i="1"/>
  <c r="AF82" i="1"/>
  <c r="AG82" i="1"/>
  <c r="AB82" i="1"/>
  <c r="F6" i="11" l="1"/>
  <c r="F7" i="11" l="1"/>
  <c r="F8" i="11" l="1"/>
  <c r="F9" i="11" l="1"/>
  <c r="F10" i="11" l="1"/>
  <c r="F11" i="11" l="1"/>
  <c r="F12" i="11" l="1"/>
  <c r="F13" i="11" l="1"/>
  <c r="F14" i="11" l="1"/>
  <c r="F15" i="11" l="1"/>
  <c r="F16" i="11" l="1"/>
  <c r="F17" i="11" l="1"/>
  <c r="F18" i="11" l="1"/>
  <c r="F19" i="11" l="1"/>
  <c r="F20" i="11" l="1"/>
  <c r="F21" i="11" l="1"/>
  <c r="F22" i="11" l="1"/>
  <c r="H17" i="12" l="1"/>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4" i="12"/>
  <c r="Y5" i="12"/>
  <c r="AB17" i="12"/>
  <c r="Y59" i="12"/>
  <c r="Y6" i="12" s="1"/>
  <c r="P13" i="12"/>
  <c r="P14" i="12"/>
  <c r="P15" i="12"/>
  <c r="P16" i="12"/>
  <c r="P17" i="12"/>
  <c r="H73" i="1" l="1"/>
  <c r="H74" i="1"/>
  <c r="H75" i="1"/>
  <c r="H76" i="1"/>
  <c r="H72" i="1"/>
  <c r="N55" i="1"/>
  <c r="O55" i="1"/>
  <c r="P55" i="1"/>
  <c r="Q55" i="1"/>
  <c r="R55" i="1"/>
  <c r="S55" i="1"/>
  <c r="T55" i="1"/>
  <c r="U55" i="1"/>
  <c r="N56" i="1"/>
  <c r="O56" i="1"/>
  <c r="P56" i="1"/>
  <c r="Q56" i="1"/>
  <c r="R56" i="1"/>
  <c r="S56" i="1"/>
  <c r="T56" i="1"/>
  <c r="U56" i="1"/>
  <c r="N57" i="1"/>
  <c r="O57" i="1"/>
  <c r="P57" i="1"/>
  <c r="Q57" i="1"/>
  <c r="R57" i="1"/>
  <c r="S57" i="1"/>
  <c r="T57" i="1"/>
  <c r="U57" i="1"/>
  <c r="N58" i="1"/>
  <c r="O58" i="1"/>
  <c r="P58" i="1"/>
  <c r="Q58" i="1"/>
  <c r="R58" i="1"/>
  <c r="S58" i="1"/>
  <c r="T58" i="1"/>
  <c r="U58" i="1"/>
  <c r="M56" i="1"/>
  <c r="M57" i="1"/>
  <c r="M58" i="1"/>
  <c r="M55" i="1"/>
  <c r="C72" i="1"/>
  <c r="D72" i="1"/>
  <c r="E72" i="1"/>
  <c r="F72" i="1"/>
  <c r="G72" i="1"/>
  <c r="C73" i="1"/>
  <c r="D73" i="1"/>
  <c r="E73" i="1"/>
  <c r="F73" i="1"/>
  <c r="G73" i="1"/>
  <c r="C74" i="1"/>
  <c r="D74" i="1"/>
  <c r="E74" i="1"/>
  <c r="F74" i="1"/>
  <c r="G74" i="1"/>
  <c r="C75" i="1"/>
  <c r="D75" i="1"/>
  <c r="E75" i="1"/>
  <c r="F75" i="1"/>
  <c r="G75" i="1"/>
  <c r="C76" i="1"/>
  <c r="D76" i="1"/>
  <c r="E76" i="1"/>
  <c r="F76" i="1"/>
  <c r="G76" i="1"/>
  <c r="B73" i="1"/>
  <c r="B74" i="1"/>
  <c r="B75" i="1"/>
  <c r="B76" i="1"/>
  <c r="B72" i="1"/>
  <c r="C63" i="1"/>
  <c r="D63" i="1"/>
  <c r="E63" i="1"/>
  <c r="F63" i="1"/>
  <c r="I63" i="1"/>
  <c r="C64" i="1"/>
  <c r="D64" i="1"/>
  <c r="E64" i="1"/>
  <c r="F64" i="1"/>
  <c r="I64" i="1"/>
  <c r="J64" i="1"/>
  <c r="C65" i="1"/>
  <c r="D65" i="1"/>
  <c r="E65" i="1"/>
  <c r="F65" i="1"/>
  <c r="I65" i="1"/>
  <c r="C66" i="1"/>
  <c r="D66" i="1"/>
  <c r="E66" i="1"/>
  <c r="F66" i="1"/>
  <c r="I66" i="1"/>
  <c r="C67" i="1"/>
  <c r="D67" i="1"/>
  <c r="E67" i="1"/>
  <c r="F67" i="1"/>
  <c r="I67" i="1"/>
  <c r="B64" i="1"/>
  <c r="B65" i="1"/>
  <c r="B66" i="1"/>
  <c r="B67" i="1"/>
  <c r="B63" i="1"/>
  <c r="C54" i="1"/>
  <c r="D54" i="1"/>
  <c r="E54" i="1"/>
  <c r="F54" i="1"/>
  <c r="I54" i="1"/>
  <c r="C55" i="1"/>
  <c r="D55" i="1"/>
  <c r="E55" i="1"/>
  <c r="F55" i="1"/>
  <c r="I55" i="1"/>
  <c r="C56" i="1"/>
  <c r="D56" i="1"/>
  <c r="E56" i="1"/>
  <c r="F56" i="1"/>
  <c r="I56" i="1"/>
  <c r="C57" i="1"/>
  <c r="D57" i="1"/>
  <c r="E57" i="1"/>
  <c r="F57" i="1"/>
  <c r="I57" i="1"/>
  <c r="C58" i="1"/>
  <c r="D58" i="1"/>
  <c r="E58" i="1"/>
  <c r="F58" i="1"/>
  <c r="I58" i="1"/>
  <c r="B55" i="1"/>
  <c r="B56" i="1"/>
  <c r="B57" i="1"/>
  <c r="B58" i="1"/>
  <c r="B54" i="1"/>
  <c r="J45" i="38"/>
  <c r="I45" i="38"/>
  <c r="G77" i="1" s="1"/>
  <c r="H45" i="38"/>
  <c r="F77" i="1" s="1"/>
  <c r="G45" i="38"/>
  <c r="E77" i="1" s="1"/>
  <c r="F45" i="38"/>
  <c r="D77" i="1" s="1"/>
  <c r="C77" i="1"/>
  <c r="D45" i="38"/>
  <c r="B77" i="1" s="1"/>
  <c r="K35" i="38"/>
  <c r="Y17" i="38" s="1"/>
  <c r="V17" i="38"/>
  <c r="U17" i="38"/>
  <c r="T17" i="38"/>
  <c r="E35" i="38"/>
  <c r="S17" i="38" s="1"/>
  <c r="N35" i="38"/>
  <c r="J67" i="1"/>
  <c r="H67" i="1"/>
  <c r="J66" i="1"/>
  <c r="G66" i="1"/>
  <c r="J65" i="1"/>
  <c r="H65" i="1"/>
  <c r="H63" i="1"/>
  <c r="G63" i="1"/>
  <c r="N24" i="38"/>
  <c r="J58" i="1"/>
  <c r="H58" i="1"/>
  <c r="G58" i="1"/>
  <c r="J57" i="1"/>
  <c r="H57" i="1"/>
  <c r="G57" i="1"/>
  <c r="J56" i="1"/>
  <c r="H56" i="1"/>
  <c r="G56" i="1"/>
  <c r="J55" i="1"/>
  <c r="H55" i="1"/>
  <c r="G55" i="1"/>
  <c r="G54" i="1"/>
  <c r="R17" i="38" l="1"/>
  <c r="H66" i="1"/>
  <c r="J54" i="1"/>
  <c r="I35" i="38"/>
  <c r="W17" i="38" s="1"/>
  <c r="J63" i="1"/>
  <c r="G64" i="1"/>
  <c r="G65" i="1"/>
  <c r="G67" i="1"/>
  <c r="H54" i="1"/>
  <c r="M24" i="38" l="1"/>
  <c r="J35" i="38"/>
  <c r="X17" i="38" s="1"/>
  <c r="H64"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R6" i="28" l="1"/>
  <c r="E6" i="28"/>
  <c r="E4" i="28"/>
  <c r="S1" i="31" l="1"/>
  <c r="M15" i="2" l="1"/>
  <c r="M13" i="2"/>
  <c r="M14" i="2"/>
  <c r="J4" i="2"/>
  <c r="AF29" i="1" l="1"/>
  <c r="AF30" i="1"/>
  <c r="AF31" i="1"/>
  <c r="AF32" i="1"/>
  <c r="AF28" i="1"/>
  <c r="AE32" i="1"/>
  <c r="AD32" i="1"/>
  <c r="AE31" i="1"/>
  <c r="AD31" i="1"/>
  <c r="AE30" i="1"/>
  <c r="AD30" i="1"/>
  <c r="AE29" i="1"/>
  <c r="AD29" i="1"/>
  <c r="AE28" i="1"/>
  <c r="AD28" i="1"/>
  <c r="AE27" i="1"/>
  <c r="AD27" i="1"/>
  <c r="AE26" i="1"/>
  <c r="AD26" i="1"/>
  <c r="AE25" i="1"/>
  <c r="AD25" i="1"/>
  <c r="AE24" i="1"/>
  <c r="AD24" i="1"/>
  <c r="AC29" i="1"/>
  <c r="AC30" i="1"/>
  <c r="AC31" i="1"/>
  <c r="AC32" i="1"/>
  <c r="AC28" i="1"/>
  <c r="AC26" i="1"/>
  <c r="AC27" i="1"/>
  <c r="Z31" i="1"/>
  <c r="Z32" i="1"/>
  <c r="AA31" i="1"/>
  <c r="AA32" i="1"/>
  <c r="Z27" i="1"/>
  <c r="Z28" i="1"/>
  <c r="Z29" i="1"/>
  <c r="Z30" i="1"/>
  <c r="AA26" i="1"/>
  <c r="AA27" i="1"/>
  <c r="AA28" i="1"/>
  <c r="AA29" i="1"/>
  <c r="AA30" i="1"/>
  <c r="AA25" i="1"/>
  <c r="AA24" i="1"/>
  <c r="U12" i="1"/>
  <c r="U13" i="1"/>
  <c r="U14" i="1"/>
  <c r="U15" i="1"/>
  <c r="U16" i="1"/>
  <c r="U17" i="1"/>
  <c r="T17" i="1"/>
  <c r="T16" i="1"/>
  <c r="T15" i="1"/>
  <c r="T14" i="1"/>
  <c r="T13" i="1"/>
  <c r="T12" i="1"/>
  <c r="T21" i="1" s="1"/>
  <c r="Q12" i="1"/>
  <c r="Q13" i="1"/>
  <c r="Q14" i="1"/>
  <c r="Q15" i="1"/>
  <c r="Q16" i="1"/>
  <c r="Q17" i="1"/>
  <c r="P20" i="1"/>
  <c r="P17" i="1"/>
  <c r="P16" i="1"/>
  <c r="P15" i="1"/>
  <c r="P14" i="1"/>
  <c r="P13" i="1"/>
  <c r="N20" i="1"/>
  <c r="N17" i="1"/>
  <c r="N16" i="1"/>
  <c r="N15" i="1"/>
  <c r="N14" i="1"/>
  <c r="N13" i="1"/>
  <c r="N12" i="1"/>
  <c r="R14" i="1" l="1"/>
  <c r="R13" i="1"/>
  <c r="S17" i="1"/>
  <c r="R17" i="1"/>
  <c r="K3" i="36"/>
  <c r="E5" i="36"/>
  <c r="E4" i="36"/>
  <c r="E12" i="1"/>
  <c r="F12" i="1"/>
  <c r="G12" i="1"/>
  <c r="H12" i="1"/>
  <c r="E13" i="1"/>
  <c r="G13" i="1"/>
  <c r="H13" i="1"/>
  <c r="E14" i="1"/>
  <c r="F14" i="1"/>
  <c r="G14" i="1"/>
  <c r="H14" i="1"/>
  <c r="E15" i="1"/>
  <c r="F15" i="1"/>
  <c r="G15" i="1"/>
  <c r="H15" i="1"/>
  <c r="K15" i="1" s="1"/>
  <c r="E16" i="1"/>
  <c r="F16" i="1"/>
  <c r="G16" i="1"/>
  <c r="H16" i="1"/>
  <c r="E17" i="1"/>
  <c r="F17" i="1"/>
  <c r="G17" i="1"/>
  <c r="H17" i="1"/>
  <c r="D20" i="1"/>
  <c r="D17" i="1"/>
  <c r="D16" i="1"/>
  <c r="D15" i="1"/>
  <c r="D14" i="1"/>
  <c r="D13" i="1"/>
  <c r="B13" i="1"/>
  <c r="I13" i="1" s="1"/>
  <c r="B14" i="1"/>
  <c r="B15" i="1"/>
  <c r="B16" i="1"/>
  <c r="B17" i="1"/>
  <c r="B20" i="1"/>
  <c r="W15" i="1"/>
  <c r="V15" i="1"/>
  <c r="S15" i="1"/>
  <c r="R15" i="1"/>
  <c r="AG25" i="1"/>
  <c r="AG26" i="1"/>
  <c r="G7" i="19"/>
  <c r="AG27" i="1" s="1"/>
  <c r="J20" i="1" l="1"/>
  <c r="I20" i="1"/>
  <c r="K20" i="1"/>
  <c r="C16" i="31"/>
  <c r="K16" i="31"/>
  <c r="C15" i="31"/>
  <c r="K12" i="31"/>
  <c r="C12" i="31"/>
  <c r="C11" i="31"/>
  <c r="K10" i="31"/>
  <c r="C10" i="31"/>
  <c r="C8" i="31"/>
  <c r="K8" i="31"/>
  <c r="J14" i="1"/>
  <c r="J17" i="1"/>
  <c r="I16" i="1"/>
  <c r="J16" i="1"/>
  <c r="K17" i="1"/>
  <c r="J15" i="1"/>
  <c r="I17" i="1"/>
  <c r="K16" i="1"/>
  <c r="C7" i="31"/>
  <c r="I15" i="1"/>
  <c r="E3" i="12"/>
  <c r="Q3" i="12" s="1"/>
  <c r="K14" i="1"/>
  <c r="X15" i="1"/>
  <c r="R16" i="1"/>
  <c r="W16" i="1"/>
  <c r="W20" i="1"/>
  <c r="V16" i="1"/>
  <c r="Y15" i="1"/>
  <c r="W14" i="1"/>
  <c r="V14" i="1"/>
  <c r="S20" i="1"/>
  <c r="V20" i="1"/>
  <c r="S16" i="1"/>
  <c r="S14" i="1"/>
  <c r="I14" i="1"/>
  <c r="R20" i="1"/>
  <c r="V17" i="1"/>
  <c r="W17" i="1"/>
  <c r="C18" i="31"/>
  <c r="C17" i="31"/>
  <c r="C14" i="31"/>
  <c r="C13" i="31"/>
  <c r="C24" i="31"/>
  <c r="C23" i="31"/>
  <c r="L15" i="1" l="1"/>
  <c r="M14" i="1"/>
  <c r="L14" i="1"/>
  <c r="Q4" i="12"/>
  <c r="Y20" i="1"/>
  <c r="M20" i="1"/>
  <c r="L20" i="1"/>
  <c r="E4" i="12"/>
  <c r="AB5" i="12" s="1"/>
  <c r="L17" i="1"/>
  <c r="M17" i="1"/>
  <c r="L16" i="1"/>
  <c r="M16" i="1"/>
  <c r="M15" i="1"/>
  <c r="X20" i="1"/>
  <c r="X16" i="1"/>
  <c r="Y16" i="1"/>
  <c r="Y14" i="1"/>
  <c r="X14" i="1"/>
  <c r="Y17" i="1"/>
  <c r="X17" i="1"/>
  <c r="E5" i="12" l="1"/>
  <c r="K88" i="1"/>
  <c r="E88" i="1"/>
  <c r="AE91" i="1" l="1"/>
  <c r="AF91" i="1"/>
  <c r="AG91" i="1"/>
  <c r="AE92" i="1"/>
  <c r="AF92" i="1"/>
  <c r="AG92" i="1"/>
  <c r="AE93" i="1"/>
  <c r="AF93" i="1"/>
  <c r="AG93" i="1"/>
  <c r="AE94" i="1"/>
  <c r="AF94" i="1"/>
  <c r="AG94" i="1"/>
  <c r="W91" i="1"/>
  <c r="W92" i="1"/>
  <c r="W93" i="1"/>
  <c r="W94" i="1"/>
  <c r="V91" i="1"/>
  <c r="V92" i="1"/>
  <c r="V93" i="1"/>
  <c r="V94" i="1"/>
  <c r="R91" i="1"/>
  <c r="R92" i="1"/>
  <c r="R93" i="1"/>
  <c r="R94" i="1"/>
  <c r="Q91" i="1"/>
  <c r="Q92" i="1"/>
  <c r="Q93" i="1"/>
  <c r="Q94" i="1"/>
  <c r="P91" i="1"/>
  <c r="P92" i="1"/>
  <c r="P93" i="1"/>
  <c r="P94" i="1"/>
  <c r="AF90" i="1"/>
  <c r="AE90" i="1"/>
  <c r="W90" i="1"/>
  <c r="V90" i="1"/>
  <c r="R90" i="1"/>
  <c r="Q90" i="1"/>
  <c r="P90" i="1"/>
  <c r="M6" i="12"/>
  <c r="I6" i="12" s="1"/>
  <c r="M5" i="12" l="1"/>
  <c r="R5" i="1"/>
  <c r="Q72" i="1"/>
  <c r="E68" i="1"/>
  <c r="B68" i="1"/>
  <c r="C68" i="1"/>
  <c r="F68" i="1"/>
  <c r="I68" i="1"/>
  <c r="D68" i="1"/>
  <c r="I59" i="12"/>
  <c r="F59" i="12"/>
  <c r="AC25" i="1"/>
  <c r="F67" i="12" l="1"/>
  <c r="F63" i="12"/>
  <c r="R4" i="1"/>
  <c r="T64" i="1"/>
  <c r="T62" i="1"/>
  <c r="T61" i="1"/>
  <c r="T6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A54" i="1" l="1"/>
  <c r="DO4" i="33" s="1"/>
  <c r="AB54" i="1"/>
  <c r="EE4" i="33" s="1"/>
  <c r="AC54" i="1"/>
  <c r="EU4" i="33" s="1"/>
  <c r="AA55" i="1"/>
  <c r="DP4" i="33" s="1"/>
  <c r="AB55" i="1"/>
  <c r="EF4" i="33" s="1"/>
  <c r="AC55" i="1"/>
  <c r="EV4" i="33" s="1"/>
  <c r="AA56" i="1"/>
  <c r="DQ4" i="33" s="1"/>
  <c r="AB56" i="1"/>
  <c r="EG4" i="33" s="1"/>
  <c r="AC56" i="1"/>
  <c r="EW4" i="33" s="1"/>
  <c r="AA57" i="1"/>
  <c r="DR4" i="33" s="1"/>
  <c r="AB57" i="1"/>
  <c r="EH4" i="33" s="1"/>
  <c r="AC57" i="1"/>
  <c r="EX4" i="33" s="1"/>
  <c r="AA58" i="1"/>
  <c r="DS4" i="33" s="1"/>
  <c r="AB58" i="1"/>
  <c r="EI4" i="33" s="1"/>
  <c r="AC58" i="1"/>
  <c r="EY4" i="33" s="1"/>
  <c r="AA59" i="1"/>
  <c r="DT4" i="33" s="1"/>
  <c r="AB59" i="1"/>
  <c r="EJ4" i="33" s="1"/>
  <c r="AC59" i="1"/>
  <c r="EZ4" i="33" s="1"/>
  <c r="AA60" i="1"/>
  <c r="DU4" i="33" s="1"/>
  <c r="AB60" i="1"/>
  <c r="EK4" i="33" s="1"/>
  <c r="AC60" i="1"/>
  <c r="FA4" i="33" s="1"/>
  <c r="AA61" i="1"/>
  <c r="DV4" i="33" s="1"/>
  <c r="AB61" i="1"/>
  <c r="EL4" i="33" s="1"/>
  <c r="AC61" i="1"/>
  <c r="FB4" i="33" s="1"/>
  <c r="AA62" i="1"/>
  <c r="DW4" i="33" s="1"/>
  <c r="AB62" i="1"/>
  <c r="EM4" i="33" s="1"/>
  <c r="AC62" i="1"/>
  <c r="FC4" i="33" s="1"/>
  <c r="AA63" i="1"/>
  <c r="DX4" i="33" s="1"/>
  <c r="AB63" i="1"/>
  <c r="EN4" i="33" s="1"/>
  <c r="AC63" i="1"/>
  <c r="FD4" i="33" s="1"/>
  <c r="AA64" i="1"/>
  <c r="DY4" i="33" s="1"/>
  <c r="AB64" i="1"/>
  <c r="EO4" i="33" s="1"/>
  <c r="AC64" i="1"/>
  <c r="FE4" i="33" s="1"/>
  <c r="AA65" i="1"/>
  <c r="DZ4" i="33" s="1"/>
  <c r="AB65" i="1"/>
  <c r="EP4" i="33" s="1"/>
  <c r="AC65" i="1"/>
  <c r="FF4" i="33" s="1"/>
  <c r="AA66" i="1"/>
  <c r="EA4" i="33" s="1"/>
  <c r="AB66" i="1"/>
  <c r="EQ4" i="33" s="1"/>
  <c r="AC66" i="1"/>
  <c r="FG4" i="33" s="1"/>
  <c r="AA67" i="1"/>
  <c r="EB4" i="33" s="1"/>
  <c r="AB67" i="1"/>
  <c r="ER4" i="33" s="1"/>
  <c r="AC67" i="1"/>
  <c r="FH4" i="33" s="1"/>
  <c r="AA68" i="1"/>
  <c r="EC4" i="33" s="1"/>
  <c r="AB68" i="1"/>
  <c r="ES4" i="33" s="1"/>
  <c r="AC68" i="1"/>
  <c r="FI4" i="33" s="1"/>
  <c r="AA69" i="1"/>
  <c r="ED4" i="33" s="1"/>
  <c r="AB69" i="1"/>
  <c r="ET4" i="33" s="1"/>
  <c r="AC69" i="1"/>
  <c r="FJ4" i="33" s="1"/>
  <c r="Y54" i="1"/>
  <c r="CY4" i="33" s="1"/>
  <c r="Y55" i="1"/>
  <c r="CZ4" i="33" s="1"/>
  <c r="Y56" i="1"/>
  <c r="DA4" i="33" s="1"/>
  <c r="Y57" i="1"/>
  <c r="DB4" i="33" s="1"/>
  <c r="Y58" i="1"/>
  <c r="DC4" i="33" s="1"/>
  <c r="Y59" i="1"/>
  <c r="DD4" i="33" s="1"/>
  <c r="Y60" i="1"/>
  <c r="DE4" i="33" s="1"/>
  <c r="Y61" i="1"/>
  <c r="DF4" i="33" s="1"/>
  <c r="Y62" i="1"/>
  <c r="DG4" i="33" s="1"/>
  <c r="Y63" i="1"/>
  <c r="DH4" i="33" s="1"/>
  <c r="Y64" i="1"/>
  <c r="DI4" i="33" s="1"/>
  <c r="Y65" i="1"/>
  <c r="DJ4" i="33" s="1"/>
  <c r="Y66" i="1"/>
  <c r="DK4" i="33" s="1"/>
  <c r="Y67" i="1"/>
  <c r="DL4" i="33" s="1"/>
  <c r="Y68" i="1"/>
  <c r="DM4" i="33" s="1"/>
  <c r="Y69" i="1"/>
  <c r="DN4" i="33" s="1"/>
  <c r="W54" i="1"/>
  <c r="W55" i="1"/>
  <c r="W56" i="1"/>
  <c r="W57" i="1"/>
  <c r="W58" i="1"/>
  <c r="W59" i="1"/>
  <c r="W60" i="1"/>
  <c r="W61" i="1"/>
  <c r="W62" i="1"/>
  <c r="W63" i="1"/>
  <c r="W64" i="1"/>
  <c r="W65" i="1"/>
  <c r="W66" i="1"/>
  <c r="W67" i="1"/>
  <c r="W68" i="1"/>
  <c r="W6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G54" i="1"/>
  <c r="FD3" i="33"/>
  <c r="EN3" i="33"/>
  <c r="DX3" i="33"/>
  <c r="DH3" i="33"/>
  <c r="FI3" i="33"/>
  <c r="ES3" i="33"/>
  <c r="EC3" i="33"/>
  <c r="DM3" i="33"/>
  <c r="FA3" i="33"/>
  <c r="EK3" i="33"/>
  <c r="DU3" i="33"/>
  <c r="DE3" i="33"/>
  <c r="AG55"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c r="Q1" i="27"/>
  <c r="P1" i="27"/>
  <c r="R1" i="31"/>
  <c r="P12" i="1"/>
  <c r="D12" i="1"/>
  <c r="D21" i="1" s="1"/>
  <c r="B12" i="1"/>
  <c r="B21" i="1" s="1"/>
  <c r="C18" i="1" l="1"/>
  <c r="C19" i="1"/>
  <c r="C20" i="1"/>
  <c r="J13" i="1"/>
  <c r="G21" i="1"/>
  <c r="K12" i="1"/>
  <c r="V13" i="1"/>
  <c r="S12" i="1"/>
  <c r="W12" i="1"/>
  <c r="K13" i="1"/>
  <c r="R12" i="1"/>
  <c r="V12" i="1"/>
  <c r="J12" i="1"/>
  <c r="FK2" i="33"/>
  <c r="E80" i="1"/>
  <c r="FK3" i="33"/>
  <c r="A81" i="1"/>
  <c r="FL3" i="33" s="1"/>
  <c r="B81" i="1"/>
  <c r="FM3" i="33" s="1"/>
  <c r="C81" i="1"/>
  <c r="FN3" i="33" s="1"/>
  <c r="D81" i="1"/>
  <c r="E81" i="1"/>
  <c r="F81" i="1"/>
  <c r="G81" i="1"/>
  <c r="H81" i="1"/>
  <c r="I81" i="1"/>
  <c r="J81" i="1"/>
  <c r="FK4" i="33"/>
  <c r="A82" i="1"/>
  <c r="FL4" i="33" s="1"/>
  <c r="B82" i="1"/>
  <c r="FM4" i="33" s="1"/>
  <c r="C82" i="1"/>
  <c r="FN4" i="33" s="1"/>
  <c r="F82" i="1"/>
  <c r="G82" i="1"/>
  <c r="C83" i="1"/>
  <c r="G83" i="1"/>
  <c r="C84" i="1"/>
  <c r="E84" i="1"/>
  <c r="A85" i="1"/>
  <c r="B85" i="1"/>
  <c r="C85" i="1"/>
  <c r="D85" i="1"/>
  <c r="E85" i="1"/>
  <c r="F85" i="1"/>
  <c r="G85" i="1"/>
  <c r="H85" i="1"/>
  <c r="I85" i="1"/>
  <c r="J85" i="1"/>
  <c r="FO4" i="33"/>
  <c r="A86" i="1"/>
  <c r="FP4" i="33" s="1"/>
  <c r="C86" i="1"/>
  <c r="D86" i="1"/>
  <c r="E86" i="1"/>
  <c r="F86" i="1"/>
  <c r="G86" i="1"/>
  <c r="FQ4" i="33" s="1"/>
  <c r="H86" i="1"/>
  <c r="FR4" i="33" s="1"/>
  <c r="T67" i="1" l="1"/>
  <c r="J21" i="1"/>
  <c r="K9" i="31"/>
  <c r="C9" i="31"/>
  <c r="C27" i="31" s="1"/>
  <c r="K14" i="31"/>
  <c r="K13" i="31"/>
  <c r="K17" i="31"/>
  <c r="K18" i="31"/>
  <c r="K23" i="31"/>
  <c r="I12" i="1"/>
  <c r="F21" i="1"/>
  <c r="I21" i="1" s="1"/>
  <c r="W13" i="1"/>
  <c r="S13" i="1"/>
  <c r="P21" i="1"/>
  <c r="K27" i="31" l="1"/>
  <c r="J48" i="38"/>
  <c r="F50" i="9"/>
  <c r="Y3" i="1"/>
  <c r="W29" i="28" l="1"/>
  <c r="D29" i="28"/>
  <c r="AA6" i="28" l="1"/>
  <c r="I86" i="1"/>
  <c r="C9" i="27"/>
  <c r="B86" i="1" s="1"/>
  <c r="D82" i="1"/>
  <c r="E82" i="1" l="1"/>
  <c r="F45" i="9" s="1"/>
  <c r="M85" i="1"/>
  <c r="M84" i="1"/>
  <c r="M83" i="1"/>
  <c r="L84" i="1"/>
  <c r="L83" i="1"/>
  <c r="L81" i="1"/>
  <c r="K85" i="1"/>
  <c r="K84" i="1"/>
  <c r="K83" i="1"/>
  <c r="K82" i="1"/>
  <c r="K81" i="1"/>
  <c r="K80" i="1"/>
  <c r="K79" i="1"/>
  <c r="U85" i="1"/>
  <c r="U84" i="1"/>
  <c r="U83" i="1"/>
  <c r="U82" i="1"/>
  <c r="U81" i="1"/>
  <c r="U80" i="1"/>
  <c r="U79" i="1"/>
  <c r="P52" i="6"/>
  <c r="T81" i="1"/>
  <c r="T85" i="1"/>
  <c r="T84" i="1"/>
  <c r="T83" i="1"/>
  <c r="T82" i="1"/>
  <c r="T80" i="1"/>
  <c r="T79" i="1"/>
  <c r="S85" i="1"/>
  <c r="S84" i="1"/>
  <c r="S83" i="1"/>
  <c r="S82" i="1"/>
  <c r="S81" i="1"/>
  <c r="S80" i="1"/>
  <c r="S79" i="1"/>
  <c r="R85" i="1"/>
  <c r="R84" i="1"/>
  <c r="R83" i="1"/>
  <c r="R82" i="1"/>
  <c r="R81" i="1"/>
  <c r="R80" i="1"/>
  <c r="R79" i="1"/>
  <c r="I82" i="1" l="1"/>
  <c r="H82" i="1"/>
  <c r="S86" i="1"/>
  <c r="CW4" i="33" s="1"/>
  <c r="U86" i="1"/>
  <c r="T86" i="1"/>
  <c r="AC24" i="1"/>
  <c r="AF24" i="1"/>
  <c r="AF25" i="1"/>
  <c r="AF26" i="1"/>
  <c r="AF27" i="1"/>
  <c r="Z25" i="1"/>
  <c r="Z26" i="1"/>
  <c r="Z24" i="1"/>
  <c r="F47" i="9" l="1"/>
  <c r="CX4" i="33"/>
  <c r="C15" i="1" l="1"/>
  <c r="C14" i="1"/>
  <c r="C16" i="1"/>
  <c r="C17" i="1"/>
  <c r="AC4" i="33"/>
  <c r="AF1" i="1" l="1"/>
  <c r="A4" i="33" l="1"/>
  <c r="C1" i="34"/>
  <c r="A3" i="1" l="1"/>
  <c r="B4" i="33" s="1"/>
  <c r="A6" i="1"/>
  <c r="E4" i="33" s="1"/>
  <c r="A5" i="1"/>
  <c r="D4" i="33" s="1"/>
  <c r="A4" i="1"/>
  <c r="C4" i="33" l="1"/>
  <c r="W82" i="1"/>
  <c r="AG78" i="1"/>
  <c r="AF78" i="1"/>
  <c r="AE78" i="1"/>
  <c r="AD78" i="1"/>
  <c r="AC78" i="1"/>
  <c r="W78" i="1"/>
  <c r="V78" i="1"/>
  <c r="X78" i="1"/>
  <c r="V82" i="1" l="1"/>
  <c r="BX4" i="33" l="1"/>
  <c r="CB4" i="33"/>
  <c r="CC4" i="33"/>
  <c r="M82" i="1"/>
  <c r="M81" i="1"/>
  <c r="M80" i="1"/>
  <c r="M79" i="1"/>
  <c r="L82" i="1"/>
  <c r="L80" i="1"/>
  <c r="L79" i="1"/>
  <c r="AB25" i="6"/>
  <c r="M86" i="1" l="1"/>
  <c r="P76" i="1" s="1"/>
  <c r="CV4" i="33" s="1"/>
  <c r="AG90" i="1"/>
  <c r="M3" i="24"/>
  <c r="CA4" i="33" l="1"/>
  <c r="BZ4" i="33"/>
  <c r="BY4" i="33"/>
  <c r="BW4" i="33"/>
  <c r="BV4" i="33"/>
  <c r="BU4" i="33"/>
  <c r="BT4" i="33"/>
  <c r="BE4" i="33"/>
  <c r="BG4" i="33"/>
  <c r="BI4" i="33"/>
  <c r="BK4" i="33"/>
  <c r="BM4" i="33"/>
  <c r="BO4" i="33"/>
  <c r="BQ4" i="33"/>
  <c r="BS4" i="33"/>
  <c r="BP4" i="33"/>
  <c r="BL4" i="33"/>
  <c r="BH4" i="33"/>
  <c r="BD4" i="33"/>
  <c r="AC76" i="1"/>
  <c r="AG76" i="1"/>
  <c r="AF76" i="1"/>
  <c r="AE76" i="1"/>
  <c r="AD76" i="1"/>
  <c r="X76" i="1"/>
  <c r="W76" i="1"/>
  <c r="V76" i="1"/>
  <c r="AF74" i="1"/>
  <c r="AE74" i="1"/>
  <c r="AD74" i="1"/>
  <c r="AC74" i="1"/>
  <c r="X74" i="1"/>
  <c r="W74" i="1"/>
  <c r="V74" i="1"/>
  <c r="AG74" i="1" l="1"/>
  <c r="Y4" i="33"/>
  <c r="N5" i="1"/>
  <c r="W4" i="33" s="1"/>
  <c r="N4" i="1"/>
  <c r="N3" i="1"/>
  <c r="U4" i="33" s="1"/>
  <c r="P51" i="6"/>
  <c r="W6" i="1" l="1"/>
  <c r="T66" i="1"/>
  <c r="V4" i="33"/>
  <c r="B37" i="6"/>
  <c r="C37" i="6" s="1"/>
  <c r="D37" i="6" s="1"/>
  <c r="E37" i="6" s="1"/>
  <c r="F37" i="6" s="1"/>
  <c r="G37" i="6" s="1"/>
  <c r="H37" i="6" s="1"/>
  <c r="I37" i="6" s="1"/>
  <c r="J37" i="6" s="1"/>
  <c r="K37" i="6" s="1"/>
  <c r="L37" i="6" s="1"/>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M72" i="1"/>
  <c r="CJ4" i="33" s="1"/>
  <c r="M71" i="1"/>
  <c r="CI4" i="33" s="1"/>
  <c r="M70" i="1"/>
  <c r="CH4" i="33" s="1"/>
  <c r="Q68" i="1"/>
  <c r="Q67" i="1"/>
  <c r="Q66" i="1"/>
  <c r="CK4" i="33" s="1"/>
  <c r="M68" i="1"/>
  <c r="U5" i="12"/>
  <c r="M67" i="1" s="1"/>
  <c r="U4" i="12"/>
  <c r="E6" i="12"/>
  <c r="F5" i="12"/>
  <c r="J4" i="12"/>
  <c r="D6" i="12"/>
  <c r="C10" i="6"/>
  <c r="D10" i="6" s="1"/>
  <c r="E10" i="6" s="1"/>
  <c r="F10" i="6" s="1"/>
  <c r="G10" i="6" s="1"/>
  <c r="H10" i="6" s="1"/>
  <c r="I10" i="6" s="1"/>
  <c r="J10" i="6" s="1"/>
  <c r="K10" i="6" s="1"/>
  <c r="L10" i="6" s="1"/>
  <c r="M10" i="6" s="1"/>
  <c r="N10" i="6" s="1"/>
  <c r="O10" i="6" s="1"/>
  <c r="P10" i="6" s="1"/>
  <c r="Q10" i="6" s="1"/>
  <c r="R10" i="6" s="1"/>
  <c r="S10" i="6" s="1"/>
  <c r="T10" i="6" s="1"/>
  <c r="B14" i="6"/>
  <c r="C14" i="6" s="1"/>
  <c r="D14" i="6" s="1"/>
  <c r="E14" i="6" s="1"/>
  <c r="F14" i="6" s="1"/>
  <c r="G14" i="6" s="1"/>
  <c r="H14" i="6" s="1"/>
  <c r="I14" i="6" s="1"/>
  <c r="J14" i="6" s="1"/>
  <c r="K14" i="6" s="1"/>
  <c r="L14" i="6" s="1"/>
  <c r="M14" i="6" s="1"/>
  <c r="N14" i="6" s="1"/>
  <c r="O14" i="6" s="1"/>
  <c r="P14" i="6" s="1"/>
  <c r="Q14" i="6" s="1"/>
  <c r="R14" i="6" s="1"/>
  <c r="S14" i="6" s="1"/>
  <c r="T14" i="6" s="1"/>
  <c r="B12" i="6"/>
  <c r="C12" i="6" s="1"/>
  <c r="D12" i="6" s="1"/>
  <c r="E12" i="6" s="1"/>
  <c r="F12" i="6" s="1"/>
  <c r="G12" i="6" s="1"/>
  <c r="H12" i="6" s="1"/>
  <c r="I12" i="6" s="1"/>
  <c r="J12" i="6" s="1"/>
  <c r="K12" i="6" s="1"/>
  <c r="L12" i="6" s="1"/>
  <c r="M12" i="6" s="1"/>
  <c r="N12" i="6" s="1"/>
  <c r="O12" i="6" s="1"/>
  <c r="P12" i="6" s="1"/>
  <c r="Q12" i="6" s="1"/>
  <c r="R12" i="6" s="1"/>
  <c r="S12" i="6" s="1"/>
  <c r="T12" i="6" s="1"/>
  <c r="AI18" i="6"/>
  <c r="B24" i="6" s="1"/>
  <c r="D6" i="1"/>
  <c r="H4" i="33" s="1"/>
  <c r="D5" i="1"/>
  <c r="G4" i="33" s="1"/>
  <c r="D4" i="1"/>
  <c r="F4" i="33" s="1"/>
  <c r="B6" i="6"/>
  <c r="B4" i="6"/>
  <c r="C4" i="6" s="1"/>
  <c r="D4" i="6" s="1"/>
  <c r="E4" i="6" s="1"/>
  <c r="F4" i="6" s="1"/>
  <c r="G4" i="6" s="1"/>
  <c r="H4" i="6" s="1"/>
  <c r="I4" i="6" s="1"/>
  <c r="J4" i="6" s="1"/>
  <c r="K4" i="6" s="1"/>
  <c r="L4" i="6" s="1"/>
  <c r="M4" i="6" s="1"/>
  <c r="N4" i="6" s="1"/>
  <c r="O4" i="6" s="1"/>
  <c r="P4" i="6" s="1"/>
  <c r="Q4" i="6" s="1"/>
  <c r="R4" i="6" s="1"/>
  <c r="S4" i="6" s="1"/>
  <c r="T4" i="6" s="1"/>
  <c r="C6" i="6" l="1"/>
  <c r="D6" i="6" s="1"/>
  <c r="E6" i="6" s="1"/>
  <c r="F6" i="6" s="1"/>
  <c r="G6" i="6" s="1"/>
  <c r="H6" i="6" s="1"/>
  <c r="I6" i="6" s="1"/>
  <c r="J6" i="6" s="1"/>
  <c r="K6" i="6" s="1"/>
  <c r="L6" i="6" s="1"/>
  <c r="M6" i="6" s="1"/>
  <c r="N6" i="6" s="1"/>
  <c r="O6" i="6" s="1"/>
  <c r="P6" i="6" s="1"/>
  <c r="Q6" i="6" s="1"/>
  <c r="R6" i="6" s="1"/>
  <c r="S6" i="6" s="1"/>
  <c r="T6" i="6" s="1"/>
  <c r="M37" i="6"/>
  <c r="N37" i="6" s="1"/>
  <c r="O37" i="6" s="1"/>
  <c r="P37" i="6" s="1"/>
  <c r="Q37" i="6" s="1"/>
  <c r="R37" i="6" s="1"/>
  <c r="S37" i="6" s="1"/>
  <c r="T37" i="6" s="1"/>
  <c r="G33" i="6"/>
  <c r="M69" i="1"/>
  <c r="CG4" i="33" s="1"/>
  <c r="A24" i="6"/>
  <c r="H24" i="6"/>
  <c r="F48" i="9"/>
  <c r="CM4" i="33"/>
  <c r="CF4" i="33"/>
  <c r="M66" i="1"/>
  <c r="CD4" i="33" s="1"/>
  <c r="Q70" i="1"/>
  <c r="CO4" i="33" s="1"/>
  <c r="T71" i="1"/>
  <c r="Q71" i="1"/>
  <c r="CP4" i="33" s="1"/>
  <c r="CE4" i="33"/>
  <c r="CN4" i="33"/>
  <c r="T69" i="1"/>
  <c r="AM18" i="6"/>
  <c r="D24" i="6" l="1"/>
  <c r="H33" i="6"/>
  <c r="Z4" i="33"/>
  <c r="T70" i="1"/>
  <c r="CL4" i="33"/>
  <c r="R76" i="1"/>
  <c r="A5" i="11"/>
  <c r="A6" i="11" s="1"/>
  <c r="A7" i="11" s="1"/>
  <c r="A5" i="2"/>
  <c r="A6" i="2" s="1"/>
  <c r="A7" i="2" s="1"/>
  <c r="A8" i="2" s="1"/>
  <c r="A9" i="2" s="1"/>
  <c r="A10" i="2" s="1"/>
  <c r="A11" i="2" s="1"/>
  <c r="A12" i="2" s="1"/>
  <c r="A13" i="2" s="1"/>
  <c r="A14" i="2" s="1"/>
  <c r="A15" i="2" s="1"/>
  <c r="A16" i="2" s="1"/>
  <c r="A17" i="2" s="1"/>
  <c r="A18" i="2" s="1"/>
  <c r="A19" i="2" s="1"/>
  <c r="A20" i="2" s="1"/>
  <c r="A21" i="2" s="1"/>
  <c r="I33" i="6" l="1"/>
  <c r="A8" i="11"/>
  <c r="I3" i="19" l="1"/>
  <c r="B3" i="19" s="1"/>
  <c r="J33" i="6"/>
  <c r="A9" i="11"/>
  <c r="K5" i="1"/>
  <c r="T4" i="33" s="1"/>
  <c r="K4" i="1"/>
  <c r="S4" i="33" s="1"/>
  <c r="G3" i="1"/>
  <c r="J4" i="33" s="1"/>
  <c r="K3" i="1"/>
  <c r="R4" i="33" s="1"/>
  <c r="G5" i="1"/>
  <c r="L4" i="33" s="1"/>
  <c r="G4" i="1"/>
  <c r="K4" i="33" s="1"/>
  <c r="G6" i="1"/>
  <c r="M4" i="33" s="1"/>
  <c r="J3" i="19" l="1"/>
  <c r="K33" i="6"/>
  <c r="A10" i="11"/>
  <c r="I4" i="1"/>
  <c r="O4" i="33" s="1"/>
  <c r="K6" i="1"/>
  <c r="I6" i="1"/>
  <c r="Q4" i="33" s="1"/>
  <c r="I3" i="1"/>
  <c r="N4" i="33" s="1"/>
  <c r="I5" i="1"/>
  <c r="P4" i="33" s="1"/>
  <c r="H77" i="1"/>
  <c r="BC4" i="33" s="1"/>
  <c r="AT4" i="33"/>
  <c r="F59" i="1"/>
  <c r="E59" i="1"/>
  <c r="D59" i="1"/>
  <c r="C59" i="1"/>
  <c r="B59" i="1"/>
  <c r="AP4" i="33" s="1"/>
  <c r="L33" i="6" l="1"/>
  <c r="A11" i="11"/>
  <c r="M33" i="6" l="1"/>
  <c r="A12" i="11"/>
  <c r="H68" i="1"/>
  <c r="BA4" i="33"/>
  <c r="AZ4" i="33"/>
  <c r="AY4" i="33"/>
  <c r="AX4" i="33"/>
  <c r="F49" i="9"/>
  <c r="N33" i="6" l="1"/>
  <c r="A13" i="11"/>
  <c r="H59" i="1"/>
  <c r="AQ4" i="33" s="1"/>
  <c r="Y5" i="1"/>
  <c r="O33" i="6" l="1"/>
  <c r="A14" i="11"/>
  <c r="Y6" i="1"/>
  <c r="AI4" i="33"/>
  <c r="AW4" i="33"/>
  <c r="BB4" i="33"/>
  <c r="AH4" i="33"/>
  <c r="AG24" i="1"/>
  <c r="P33" i="6" l="1"/>
  <c r="A15" i="11"/>
  <c r="J68" i="1"/>
  <c r="AV4" i="33" s="1"/>
  <c r="J59" i="1"/>
  <c r="AS4" i="33" s="1"/>
  <c r="G68" i="1"/>
  <c r="I59" i="1"/>
  <c r="AR4" i="33" s="1"/>
  <c r="Y4" i="1"/>
  <c r="AU4" i="33"/>
  <c r="Q33" i="6" l="1"/>
  <c r="A16" i="11"/>
  <c r="G59" i="1"/>
  <c r="R33" i="6" l="1"/>
  <c r="A17" i="11"/>
  <c r="N6" i="1"/>
  <c r="X4" i="33" s="1"/>
  <c r="S33" i="6" l="1"/>
  <c r="A18" i="11"/>
  <c r="AG30" i="1"/>
  <c r="AG31" i="1"/>
  <c r="AG32" i="1"/>
  <c r="G10" i="19"/>
  <c r="AG28" i="1" s="1"/>
  <c r="G9" i="19"/>
  <c r="AG29" i="1"/>
  <c r="G8" i="19"/>
  <c r="T33" i="6" l="1"/>
  <c r="B43" i="6" s="1"/>
  <c r="A19" i="11"/>
  <c r="A43" i="6" l="1"/>
  <c r="F43" i="6" s="1"/>
  <c r="A20" i="11"/>
  <c r="H43" i="6" l="1"/>
  <c r="A21" i="11"/>
  <c r="BF4" i="33"/>
  <c r="BJ4" i="33"/>
  <c r="BN4" i="33"/>
  <c r="BR4" i="33"/>
  <c r="A22" i="11" l="1"/>
  <c r="K45" i="9" l="1"/>
  <c r="M4" i="2" l="1"/>
  <c r="O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Q21" i="1"/>
  <c r="U21" i="1" l="1"/>
  <c r="Y13" i="1"/>
  <c r="Y12" i="1"/>
  <c r="X13" i="1"/>
  <c r="X12" i="1"/>
  <c r="E1" i="11" l="1"/>
  <c r="G4" i="11" l="1"/>
  <c r="G5" i="11"/>
  <c r="G6" i="11"/>
  <c r="G7" i="11"/>
  <c r="G8" i="11"/>
  <c r="G9" i="11"/>
  <c r="G10" i="11"/>
  <c r="G12" i="11"/>
  <c r="G13" i="11"/>
  <c r="G14" i="11"/>
  <c r="G15" i="11"/>
  <c r="G11" i="11"/>
  <c r="G16" i="11"/>
  <c r="G17" i="11"/>
  <c r="G18" i="11"/>
  <c r="G19" i="11"/>
  <c r="G20" i="11"/>
  <c r="G21" i="11"/>
  <c r="G22" i="11"/>
  <c r="J5" i="11"/>
  <c r="H21" i="1" l="1"/>
  <c r="AJ4" i="33"/>
  <c r="AL4" i="33" s="1"/>
  <c r="T68" i="1" l="1"/>
  <c r="K21" i="1"/>
  <c r="M21" i="1" s="1"/>
  <c r="C2" i="6"/>
  <c r="L21" i="1" l="1"/>
  <c r="F44" i="9"/>
  <c r="D2" i="6"/>
  <c r="E2" i="6" s="1"/>
  <c r="F2" i="6" s="1"/>
  <c r="G2" i="6" l="1"/>
  <c r="F24" i="6"/>
  <c r="Q76" i="1" s="1"/>
  <c r="H2" i="6" l="1"/>
  <c r="I2" i="6" l="1"/>
  <c r="J2" i="6" l="1"/>
  <c r="E21" i="1"/>
  <c r="AK4" i="33" s="1"/>
  <c r="AM4" i="33" s="1"/>
  <c r="L12" i="1"/>
  <c r="M13" i="1"/>
  <c r="M12" i="1"/>
  <c r="L13" i="1"/>
  <c r="K2" i="6" l="1"/>
  <c r="L2" i="6" l="1"/>
  <c r="M2" i="6" l="1"/>
  <c r="F7" i="2"/>
  <c r="V17" i="2" l="1"/>
  <c r="G7" i="2"/>
  <c r="N2" i="6"/>
  <c r="F8" i="2"/>
  <c r="G8" i="2" s="1"/>
  <c r="O2" i="6" l="1"/>
  <c r="F9" i="2"/>
  <c r="G9" i="2" s="1"/>
  <c r="P2" i="6" l="1"/>
  <c r="F10" i="2"/>
  <c r="G10" i="2" s="1"/>
  <c r="Q2" i="6" l="1"/>
  <c r="F11" i="2"/>
  <c r="G11" i="2" s="1"/>
  <c r="R2" i="6" l="1"/>
  <c r="F12" i="2"/>
  <c r="G12" i="2" s="1"/>
  <c r="S2" i="6" l="1"/>
  <c r="F13" i="2"/>
  <c r="G13" i="2" s="1"/>
  <c r="T2" i="6" l="1"/>
  <c r="A20" i="6" s="1"/>
  <c r="K76" i="1" s="1"/>
  <c r="CR4" i="33" s="1"/>
  <c r="F14" i="2"/>
  <c r="G14" i="2" s="1"/>
  <c r="F15" i="2" l="1"/>
  <c r="G15" i="2" s="1"/>
  <c r="F16" i="2" l="1"/>
  <c r="G16" i="2" s="1"/>
  <c r="F17" i="2" l="1"/>
  <c r="G17" i="2" s="1"/>
  <c r="F18" i="2" l="1"/>
  <c r="G18" i="2" s="1"/>
  <c r="F19" i="2" l="1"/>
  <c r="G19" i="2" s="1"/>
  <c r="F20" i="2" l="1"/>
  <c r="G20" i="2" s="1"/>
  <c r="H20" i="6" l="1"/>
  <c r="N76" i="1" s="1"/>
  <c r="CT4" i="33" s="1"/>
  <c r="D20" i="6"/>
  <c r="F20" i="6"/>
  <c r="M76" i="1" s="1"/>
  <c r="L76" i="1" l="1"/>
  <c r="CS4" i="33" l="1"/>
  <c r="T76" i="1"/>
  <c r="V21" i="1" l="1"/>
  <c r="O18" i="1"/>
  <c r="O19" i="1"/>
  <c r="O20" i="1"/>
  <c r="R21" i="1"/>
  <c r="S21" i="1"/>
  <c r="AO4" i="33" s="1"/>
  <c r="O15" i="1"/>
  <c r="O14" i="1"/>
  <c r="O16" i="1"/>
  <c r="O17" i="1"/>
  <c r="W21" i="1"/>
  <c r="U3" i="1"/>
  <c r="O12" i="1"/>
  <c r="O13" i="1"/>
  <c r="C12" i="1"/>
  <c r="C13" i="1"/>
  <c r="Y21" i="1" l="1"/>
  <c r="W3" i="1"/>
  <c r="AF4" i="33" s="1"/>
  <c r="AD4" i="33"/>
  <c r="W4" i="1"/>
  <c r="U4" i="1"/>
  <c r="O21" i="1"/>
  <c r="AN4" i="33"/>
  <c r="C21" i="1"/>
  <c r="X21" i="1"/>
  <c r="AG4" i="33" l="1"/>
  <c r="W5" i="1"/>
  <c r="AE4" i="33"/>
  <c r="U5" i="1"/>
  <c r="F43" i="9"/>
  <c r="L85" i="1" l="1"/>
  <c r="L86" i="1" s="1"/>
  <c r="O76" i="1" l="1"/>
  <c r="CU4" i="33" s="1"/>
  <c r="F46" i="9"/>
  <c r="S76" i="1" l="1"/>
  <c r="U76" i="1" s="1"/>
  <c r="AB4" i="33" l="1"/>
  <c r="R7" i="2" l="1"/>
  <c r="R8" i="2" s="1"/>
  <c r="V23" i="11"/>
  <c r="V13" i="11"/>
  <c r="M12" i="11" l="1"/>
  <c r="M15" i="11"/>
  <c r="M13" i="11"/>
  <c r="M14" i="11"/>
  <c r="M16" i="11" l="1"/>
  <c r="M17" i="11" l="1"/>
  <c r="M18" i="11" l="1"/>
  <c r="M19" i="11" l="1"/>
  <c r="M20" i="11" l="1"/>
  <c r="M21" i="11" l="1"/>
  <c r="I42" i="11" l="1"/>
  <c r="I41" i="11" s="1"/>
  <c r="M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7"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<sst xmlns="http://schemas.openxmlformats.org/spreadsheetml/2006/main" count="2496" uniqueCount="1396">
  <si>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</si>
  <si>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</si>
  <si>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</si>
  <si>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</si>
  <si>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</si>
  <si>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</si>
  <si>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</si>
  <si>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</si>
  <si>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</si>
  <si>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</si>
  <si>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</si>
  <si>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</si>
  <si>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</si>
  <si>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</si>
  <si>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</si>
  <si>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</si>
  <si>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</si>
  <si>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</si>
  <si>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</si>
  <si>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</si>
  <si>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</si>
  <si>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</si>
  <si>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</si>
  <si>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</si>
  <si>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</si>
  <si>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</si>
  <si>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</si>
  <si>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</si>
  <si>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</si>
  <si>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</si>
  <si>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</si>
  <si>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</si>
  <si>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</si>
  <si>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</si>
  <si>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</si>
  <si>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</si>
  <si>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</si>
  <si>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</si>
  <si>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</si>
  <si>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</si>
  <si>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</si>
  <si>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</si>
  <si>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</si>
  <si>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</si>
  <si>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</si>
  <si>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</si>
  <si>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</si>
  <si>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</si>
  <si>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</si>
  <si>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</si>
  <si>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</si>
  <si>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</si>
  <si>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</si>
  <si>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</si>
  <si>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</si>
  <si>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</si>
  <si>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</si>
  <si>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</si>
  <si>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</si>
  <si>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</si>
  <si>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</si>
  <si>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</si>
  <si>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</si>
  <si>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</si>
  <si>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</si>
  <si>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Physical Progress (Effort)</t>
  </si>
  <si>
    <t>Earned Value Progress (%)</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</si>
  <si>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</si>
  <si>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</si>
  <si>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</si>
  <si>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</si>
  <si>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</si>
  <si>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</si>
  <si>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</si>
  <si>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</si>
  <si>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</si>
  <si>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</si>
  <si>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</si>
  <si>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</si>
  <si>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</si>
  <si>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</si>
  <si>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</si>
  <si>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</si>
  <si>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</si>
  <si>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</si>
  <si>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</si>
  <si>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</si>
  <si>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</si>
  <si>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</si>
  <si>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</si>
  <si>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</si>
  <si>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</si>
  <si>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</si>
  <si>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</si>
  <si>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</si>
  <si>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</si>
  <si>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</si>
  <si>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</si>
  <si>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</si>
  <si>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</si>
  <si>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</si>
  <si>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</si>
  <si>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</si>
  <si>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</si>
  <si>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</si>
  <si>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</si>
  <si>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</si>
  <si>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</si>
  <si>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</si>
  <si>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</si>
  <si>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</si>
  <si>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</si>
  <si>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</si>
  <si>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</si>
  <si>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</si>
  <si>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</si>
  <si>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</si>
  <si>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</si>
  <si>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</si>
  <si>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</si>
  <si>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</si>
  <si>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</si>
  <si>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</si>
  <si>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</si>
  <si>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</si>
  <si>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</si>
  <si>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</si>
  <si>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</si>
  <si>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</si>
  <si>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</si>
  <si>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</si>
  <si>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</si>
  <si>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</si>
  <si>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</si>
  <si>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</si>
  <si>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</si>
  <si>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</si>
  <si>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</si>
  <si>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</si>
  <si>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</si>
  <si>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</si>
  <si>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</si>
  <si>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</si>
  <si>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</si>
  <si>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</si>
  <si>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</si>
  <si>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</si>
  <si>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</si>
  <si>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</si>
  <si>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</si>
  <si>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</si>
  <si>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</si>
  <si>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</si>
  <si>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</si>
  <si>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</si>
  <si>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</si>
  <si>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</si>
  <si>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</si>
  <si>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</si>
  <si>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</si>
  <si>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</si>
  <si>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</si>
  <si>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</si>
  <si>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</si>
  <si>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</si>
  <si>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</si>
  <si>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</si>
  <si>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</si>
  <si>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</si>
  <si>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</si>
  <si>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</si>
  <si>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</si>
  <si>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</si>
  <si>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</si>
  <si>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</si>
  <si>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</si>
  <si>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</si>
  <si>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</si>
  <si>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</si>
  <si>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</si>
  <si>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</si>
  <si>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</si>
  <si>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</si>
  <si>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</si>
  <si>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</si>
  <si>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</si>
  <si>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</si>
  <si>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</si>
  <si>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</si>
  <si>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</si>
  <si>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</si>
  <si>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</si>
  <si>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</si>
  <si>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</si>
  <si>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</si>
  <si>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</si>
  <si>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</si>
  <si>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</si>
  <si>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</si>
  <si>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</si>
  <si>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</si>
  <si>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</si>
  <si>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</si>
  <si>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</si>
  <si>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</si>
  <si>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</si>
  <si>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</si>
  <si>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</si>
  <si>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</si>
  <si>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</si>
  <si>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</si>
  <si>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</si>
  <si>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</si>
  <si>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</si>
  <si>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</si>
  <si>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</si>
  <si>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</si>
  <si>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</si>
  <si>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</si>
  <si>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</si>
  <si>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</si>
  <si>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</si>
  <si>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</si>
  <si>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</si>
  <si>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</si>
  <si>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</si>
  <si>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</si>
  <si>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</si>
  <si>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</si>
  <si>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</si>
  <si>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</si>
  <si>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</si>
  <si>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</si>
  <si>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</si>
  <si>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m3</t>
  </si>
  <si>
    <t>Total Pariod Amount</t>
  </si>
  <si>
    <t>Weekly Progress Report - Construction Projects</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</si>
  <si>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</si>
  <si>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</si>
  <si>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</si>
  <si>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</si>
  <si>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</si>
  <si>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</si>
  <si>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</si>
  <si>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</si>
  <si>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</si>
  <si>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</si>
  <si>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</si>
  <si>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</si>
  <si>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</si>
  <si>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</si>
  <si>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</si>
  <si>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</si>
  <si>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</si>
  <si>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</si>
  <si>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</si>
  <si>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</si>
  <si>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</si>
  <si>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</si>
  <si>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</si>
  <si>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</si>
  <si>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</si>
  <si>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</si>
  <si>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</si>
  <si>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</si>
  <si>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</si>
  <si>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Mobilization</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</si>
  <si>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</si>
  <si>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</si>
  <si>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</si>
  <si>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</si>
  <si>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</si>
  <si>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</si>
  <si>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</si>
  <si>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</si>
  <si>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</si>
  <si>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</si>
  <si>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</si>
  <si>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</si>
  <si>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</si>
  <si>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</si>
  <si>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</si>
  <si>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</si>
  <si>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</si>
  <si>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</si>
  <si>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</si>
  <si>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</si>
  <si>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</si>
  <si>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</si>
  <si>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</si>
  <si>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</si>
  <si>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</si>
  <si>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</si>
  <si>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</si>
  <si>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</si>
  <si>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</si>
  <si>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</si>
  <si>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</si>
  <si>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</si>
  <si>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</si>
  <si>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</si>
  <si>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</si>
  <si>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</si>
  <si>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</si>
  <si>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</si>
  <si>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</si>
  <si>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</si>
  <si>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</si>
  <si>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</si>
  <si>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</si>
  <si>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</si>
  <si>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</si>
  <si>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</si>
  <si>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</si>
  <si>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</si>
  <si>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</si>
  <si>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</si>
  <si>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</si>
  <si>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</si>
  <si>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</si>
  <si>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</si>
  <si>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</si>
  <si>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</si>
  <si>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</si>
  <si>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</si>
  <si>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</si>
  <si>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</si>
  <si>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</si>
  <si>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</si>
  <si>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</si>
  <si>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</si>
  <si>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</si>
  <si>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</si>
  <si>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</si>
  <si>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</si>
  <si>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</si>
  <si>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</si>
  <si>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</si>
  <si>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</si>
  <si>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</si>
  <si>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</si>
  <si>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</si>
  <si>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</si>
  <si>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</si>
  <si>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</si>
  <si>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</si>
  <si>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</si>
  <si>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</si>
  <si>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</si>
  <si>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</si>
  <si>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</si>
  <si>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</si>
  <si>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</si>
  <si>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</si>
  <si>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</si>
  <si>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</si>
  <si>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</si>
  <si>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</si>
  <si>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</si>
  <si>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</si>
  <si>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</si>
  <si>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</si>
  <si>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</si>
  <si>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</si>
  <si>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</si>
  <si>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</si>
  <si>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</si>
  <si>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</si>
  <si>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</si>
  <si>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</si>
  <si>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</si>
  <si>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</si>
  <si>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</si>
  <si>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</si>
  <si>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</si>
  <si>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</si>
  <si>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</si>
  <si>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</si>
  <si>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</si>
  <si>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</si>
  <si>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</si>
  <si>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</si>
  <si>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</si>
  <si>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</si>
  <si>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</si>
  <si>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</si>
  <si>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</si>
  <si>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</si>
  <si>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</si>
  <si>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</si>
  <si>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</si>
  <si>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</si>
  <si>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</si>
  <si>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</si>
  <si>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</si>
  <si>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</si>
  <si>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</si>
  <si>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</si>
  <si>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</si>
  <si>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</si>
  <si>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</si>
  <si>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</si>
  <si>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</si>
  <si>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</si>
  <si>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</si>
  <si>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</si>
  <si>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</si>
  <si>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</si>
  <si>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</si>
  <si>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</si>
  <si>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</si>
  <si>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</si>
  <si>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</si>
  <si>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</si>
  <si>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</si>
  <si>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</si>
  <si>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</si>
  <si>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</si>
  <si>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</si>
  <si>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</si>
  <si>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</si>
  <si>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</si>
  <si>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</si>
  <si>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</si>
  <si>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</si>
  <si>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</si>
  <si>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</si>
  <si>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</si>
  <si>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</si>
  <si>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</si>
  <si>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</si>
  <si>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</si>
  <si>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</si>
  <si>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</si>
  <si>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</si>
  <si>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</si>
  <si>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</si>
  <si>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</si>
  <si>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</si>
  <si>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</si>
  <si>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</si>
  <si>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</si>
  <si>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</si>
  <si>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</si>
  <si>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</si>
  <si>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</si>
  <si>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</si>
  <si>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</si>
  <si>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</si>
  <si>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</si>
  <si>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</si>
  <si>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</si>
  <si>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</si>
  <si>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</si>
  <si>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</si>
  <si>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</si>
  <si>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</si>
  <si>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</si>
  <si>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</si>
  <si>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</si>
  <si>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</si>
  <si>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</si>
  <si>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</si>
  <si>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</si>
  <si>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</si>
  <si>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</si>
  <si>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</si>
  <si>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</si>
  <si>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</si>
  <si>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</si>
  <si>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</si>
  <si>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</si>
  <si>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</si>
  <si>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</si>
  <si>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</si>
  <si>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</si>
  <si>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</si>
  <si>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</si>
  <si>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</si>
  <si>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</si>
  <si>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</si>
  <si>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</si>
  <si>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</si>
  <si>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</si>
  <si>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</si>
  <si>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</si>
  <si>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</si>
  <si>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</si>
  <si>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</si>
  <si>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</si>
  <si>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</si>
  <si>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</si>
  <si>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</si>
  <si>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</si>
  <si>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</si>
  <si>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</si>
  <si>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</si>
  <si>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</si>
  <si>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</si>
  <si>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</si>
  <si>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</si>
  <si>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</si>
  <si>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</si>
  <si>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</si>
  <si>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</si>
  <si>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</si>
  <si>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</si>
  <si>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</si>
  <si>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</si>
  <si>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</si>
  <si>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</si>
  <si>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</si>
  <si>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</si>
  <si>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</si>
  <si>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</si>
  <si>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</si>
  <si>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</si>
  <si>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</si>
  <si>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</si>
  <si>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</si>
  <si>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</si>
  <si>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</si>
  <si>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</si>
  <si>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</si>
  <si>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</si>
  <si>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</si>
  <si>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</si>
  <si>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</si>
  <si>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</si>
  <si>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</si>
  <si>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</si>
  <si>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</si>
  <si>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</si>
  <si>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</si>
  <si>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</si>
  <si>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</si>
  <si>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</si>
  <si>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</si>
  <si>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</si>
  <si>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</si>
  <si>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</si>
  <si>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</si>
  <si>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</si>
  <si>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</si>
  <si>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</si>
  <si>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</si>
  <si>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</si>
  <si>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</si>
  <si>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</si>
  <si>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</si>
  <si>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</si>
  <si>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</si>
  <si>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</si>
  <si>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</si>
  <si>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</si>
  <si>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</si>
  <si>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</si>
  <si>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</si>
  <si>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</si>
  <si>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</si>
  <si>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</si>
  <si>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</si>
  <si>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</si>
  <si>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</si>
  <si>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</si>
  <si>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</si>
  <si>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</si>
  <si>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</si>
  <si>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</si>
  <si>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</si>
  <si>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</si>
  <si>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</si>
  <si>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</si>
  <si>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</si>
  <si>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</si>
  <si>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</si>
  <si>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</si>
  <si>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</si>
  <si>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</si>
  <si>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</si>
  <si>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</si>
  <si>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</si>
  <si>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</si>
  <si>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</si>
  <si>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</si>
  <si>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</si>
  <si>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</si>
  <si>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</si>
  <si>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</si>
  <si>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</si>
  <si>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</si>
  <si>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Open</t>
  </si>
  <si>
    <t>Threat</t>
  </si>
  <si>
    <t>External</t>
  </si>
  <si>
    <t>Design / Planning</t>
  </si>
  <si>
    <t>Hard</t>
  </si>
  <si>
    <t>Imminent</t>
  </si>
  <si>
    <t>Very High</t>
  </si>
  <si>
    <t>Transfer</t>
  </si>
  <si>
    <t>Mitigate</t>
  </si>
  <si>
    <t>Medium</t>
  </si>
  <si>
    <t>Internal</t>
  </si>
  <si>
    <t>Safety / Quality</t>
  </si>
  <si>
    <t>Moderate</t>
  </si>
  <si>
    <t>Med Term</t>
  </si>
  <si>
    <t>Low</t>
  </si>
  <si>
    <t>Treat</t>
  </si>
  <si>
    <t>Ease</t>
  </si>
  <si>
    <t>High</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</si>
  <si>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</si>
  <si>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</si>
  <si>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</si>
  <si>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</si>
  <si>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</si>
  <si>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</si>
  <si>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</si>
  <si>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</si>
  <si>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</si>
  <si>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</si>
  <si>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</si>
  <si>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</si>
  <si>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</si>
  <si>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</si>
  <si>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</si>
  <si>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</si>
  <si>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</si>
  <si>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</si>
  <si>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</si>
  <si>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</si>
  <si>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</si>
  <si>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</si>
  <si>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</si>
  <si>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</si>
  <si>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</si>
  <si>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</si>
  <si>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</si>
  <si>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</si>
  <si>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</si>
  <si>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</si>
  <si>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</si>
  <si>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</si>
  <si>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</si>
  <si>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</si>
  <si>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</si>
  <si>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</si>
  <si>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</si>
  <si>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</si>
  <si>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</si>
  <si>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</si>
  <si>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</si>
  <si>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</si>
  <si>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</si>
  <si>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</si>
  <si>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</si>
  <si>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</si>
  <si>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</si>
  <si>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</si>
  <si>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</si>
  <si>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</si>
  <si>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</si>
  <si>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</si>
  <si>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</si>
  <si>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</si>
  <si>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</si>
  <si>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</si>
  <si>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</si>
  <si>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</si>
  <si>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</si>
  <si>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</si>
  <si>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</si>
  <si>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</si>
  <si>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</si>
  <si>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</si>
  <si>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</si>
  <si>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</si>
  <si>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</si>
  <si>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</si>
  <si>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</si>
  <si>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</si>
  <si>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</si>
  <si>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</si>
  <si>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</si>
  <si>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</si>
  <si>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</si>
  <si>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</si>
  <si>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</si>
  <si>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</si>
  <si>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</si>
  <si>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</si>
  <si>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</si>
  <si>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</si>
  <si>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</si>
  <si>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</si>
  <si>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</si>
  <si>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</si>
  <si>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</si>
  <si>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</si>
  <si>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</si>
  <si>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</si>
  <si>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</si>
  <si>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</si>
  <si>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</si>
  <si>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</si>
  <si>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</si>
  <si>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</si>
  <si>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</si>
  <si>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</si>
  <si>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</si>
  <si>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</si>
  <si>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</si>
  <si>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</si>
  <si>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</si>
  <si>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</si>
  <si>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</si>
  <si>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</si>
  <si>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</si>
  <si>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</si>
  <si>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</si>
  <si>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</si>
  <si>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</si>
  <si>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</si>
  <si>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</si>
  <si>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</si>
  <si>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</si>
  <si>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</si>
  <si>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</si>
  <si>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</si>
  <si>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</si>
  <si>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</si>
  <si>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</si>
  <si>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</si>
  <si>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</si>
  <si>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</si>
  <si>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</si>
  <si>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</si>
  <si>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</si>
  <si>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</si>
  <si>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</si>
  <si>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</si>
  <si>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</si>
  <si>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</si>
  <si>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</si>
  <si>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</si>
  <si>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</si>
  <si>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</si>
  <si>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</si>
  <si>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</si>
  <si>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</si>
  <si>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</si>
  <si>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</si>
  <si>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</si>
  <si>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</si>
  <si>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</si>
  <si>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</si>
  <si>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</si>
  <si>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</si>
  <si>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</si>
  <si>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</si>
  <si>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</si>
  <si>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</si>
  <si>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</si>
  <si>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</si>
  <si>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</si>
  <si>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</si>
  <si>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</si>
  <si>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</si>
  <si>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</si>
  <si>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</si>
  <si>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</si>
  <si>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</si>
  <si>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</si>
  <si>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</si>
  <si>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</si>
  <si>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</si>
  <si>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</si>
  <si>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</si>
  <si>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</si>
  <si>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</si>
  <si>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</si>
  <si>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</si>
  <si>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</si>
  <si>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</si>
  <si>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</si>
  <si>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</si>
  <si>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</si>
  <si>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</si>
  <si>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</si>
  <si>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</si>
  <si>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</si>
  <si>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</si>
  <si>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</si>
  <si>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</si>
  <si>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</si>
  <si>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</si>
  <si>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</si>
  <si>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</si>
  <si>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</si>
  <si>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</si>
  <si>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</si>
  <si>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</si>
  <si>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</si>
  <si>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</si>
  <si>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</si>
  <si>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</si>
  <si>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</si>
  <si>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</si>
  <si>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</si>
  <si>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</si>
  <si>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</si>
  <si>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</si>
  <si>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</si>
  <si>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</si>
  <si>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</si>
  <si>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</si>
  <si>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</si>
  <si>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</si>
  <si>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</si>
  <si>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</si>
  <si>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</si>
  <si>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</si>
  <si>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</si>
  <si>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</si>
  <si>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</si>
  <si>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</si>
  <si>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</si>
  <si>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</si>
  <si>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</si>
  <si>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</si>
  <si>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</si>
  <si>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</si>
  <si>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</si>
  <si>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</si>
  <si>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</si>
  <si>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</si>
  <si>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</si>
  <si>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</si>
  <si>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</si>
  <si>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</si>
  <si>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</si>
  <si>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</si>
  <si>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</si>
  <si>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</si>
  <si>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</si>
  <si>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</si>
  <si>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</si>
  <si>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</si>
  <si>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</si>
  <si>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</si>
  <si>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</si>
  <si>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</si>
  <si>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</si>
  <si>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</si>
  <si>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</si>
  <si>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</si>
  <si>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</si>
  <si>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</si>
  <si>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</si>
  <si>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</si>
  <si>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</si>
  <si>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</si>
  <si>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</si>
  <si>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</si>
  <si>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</si>
  <si>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</si>
  <si>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</si>
  <si>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</si>
  <si>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</si>
  <si>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</si>
  <si>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</si>
  <si>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</si>
  <si>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</si>
  <si>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</si>
  <si>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Western</t>
  </si>
  <si>
    <t>Terminate</t>
  </si>
  <si>
    <t xml:space="preserve">Mitigation </t>
  </si>
  <si>
    <t>Saudi Electricity Company (SEC)</t>
  </si>
  <si>
    <t>Contractor / Modon</t>
  </si>
  <si>
    <t xml:space="preserve">  Mobilization</t>
  </si>
  <si>
    <t xml:space="preserve">  Engineering</t>
  </si>
  <si>
    <t xml:space="preserve">  Procuments</t>
  </si>
  <si>
    <t xml:space="preserve">  Road Works</t>
  </si>
  <si>
    <t xml:space="preserve">  Electrical Works</t>
  </si>
  <si>
    <t xml:space="preserve">  Demolition Works</t>
  </si>
  <si>
    <t xml:space="preserve">  Box Culvert</t>
  </si>
  <si>
    <t xml:space="preserve">  Open Drain Channel</t>
  </si>
  <si>
    <t xml:space="preserve">  Testing and Commissioning</t>
  </si>
  <si>
    <t xml:space="preserve">  No Construction </t>
  </si>
  <si>
    <t xml:space="preserve">ROAD WORKS </t>
  </si>
  <si>
    <t>B1.31 05 05.01</t>
  </si>
  <si>
    <t>B1.31 05 05.02</t>
  </si>
  <si>
    <t>Removal of the existing asphalt layers (up to base course layer)</t>
  </si>
  <si>
    <t>B1.31 05 05.03</t>
  </si>
  <si>
    <t xml:space="preserve">Milling of the existing asphalt layer </t>
  </si>
  <si>
    <t>B4.31 05 05.13</t>
  </si>
  <si>
    <t>B1.31 22 00.01</t>
  </si>
  <si>
    <t>B1.31 22 00.02</t>
  </si>
  <si>
    <t>B1.31 22 00.03</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</si>
  <si>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</si>
  <si>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</si>
  <si>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</si>
  <si>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</si>
  <si>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</si>
  <si>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</si>
  <si>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</si>
  <si>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</si>
  <si>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</si>
  <si>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</si>
  <si>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13.02</t>
  </si>
  <si>
    <t>B1.32 14 13.03</t>
  </si>
  <si>
    <t>B1.32 14 13.13.01</t>
  </si>
  <si>
    <t>Interlocking block pavers for sidewalk/footpath</t>
  </si>
  <si>
    <t>B1.32 17 23.01</t>
  </si>
  <si>
    <t>B1.32 17 23.02</t>
  </si>
  <si>
    <t>B1.10 14 53.01</t>
  </si>
  <si>
    <t>B1.10 14 53.02</t>
  </si>
  <si>
    <t>ELECTRICAL WORKS</t>
  </si>
  <si>
    <t>B2.33 71 19.01</t>
  </si>
  <si>
    <t>B2.33 71 19.02</t>
  </si>
  <si>
    <t>B2.26.05.13.16.01</t>
  </si>
  <si>
    <t xml:space="preserve">Cable: 15KV 3Cx500mm² AL/XLPE/LLDPE unarmored   </t>
  </si>
  <si>
    <t>B2.26 05 19.01</t>
  </si>
  <si>
    <t>B2.26 05 19.02</t>
  </si>
  <si>
    <t>B2.26 05 19.03</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</si>
  <si>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</si>
  <si>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</si>
  <si>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</si>
  <si>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</si>
  <si>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</si>
  <si>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</si>
  <si>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</si>
  <si>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</si>
  <si>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</si>
  <si>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</si>
  <si>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</si>
  <si>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B2.26 05 26.01</t>
  </si>
  <si>
    <t>B2.33 71 16.01</t>
  </si>
  <si>
    <t xml:space="preserve">Street Lighting Feeder pillars </t>
  </si>
  <si>
    <t xml:space="preserve">6 way 50mm HDPE Pipe </t>
  </si>
  <si>
    <t>B2.33 71 19.01.01</t>
  </si>
  <si>
    <t>2 x 32 mm diameter HDPE ducts</t>
  </si>
  <si>
    <t xml:space="preserve">STORM WATER DRAINAGE </t>
  </si>
  <si>
    <t>Plain Concrete for box culvert</t>
  </si>
  <si>
    <t>Steel Reinforcement for box culverts as per drawings and the Engineer's instructions</t>
  </si>
  <si>
    <t>B6.31 22 00.01</t>
  </si>
  <si>
    <t>Channel excavation in all type of soil for any depth including  levelling, compaction and disposal of surplus material</t>
  </si>
  <si>
    <t>B6.31 22 00.04</t>
  </si>
  <si>
    <t>ton</t>
  </si>
  <si>
    <t>Long Lead Items</t>
  </si>
  <si>
    <t>Elec.</t>
  </si>
  <si>
    <t>Completion Rate</t>
  </si>
  <si>
    <t>The Impact (BOQ Cost)</t>
  </si>
  <si>
    <t>Supplier
Phone</t>
  </si>
  <si>
    <t>(Long \Short) Lead Items</t>
  </si>
  <si>
    <t>Discipline</t>
  </si>
  <si>
    <t>8-</t>
  </si>
  <si>
    <t>7-</t>
  </si>
  <si>
    <t>6-</t>
  </si>
  <si>
    <t>التحديات والعوائق</t>
  </si>
  <si>
    <t>تم الإنتهاء</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</si>
  <si>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</si>
  <si>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</si>
  <si>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</si>
  <si>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</si>
  <si>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</si>
  <si>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</si>
  <si>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</si>
  <si>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</si>
  <si>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</si>
  <si>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</si>
  <si>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</si>
  <si>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أعمال الطرق</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</si>
  <si>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</si>
  <si>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</si>
  <si>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</si>
  <si>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</si>
  <si>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</si>
  <si>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</si>
  <si>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r>
      <t xml:space="preserve">قيمة العقد 
</t>
    </r>
    <r>
      <rPr>
        <b/>
        <sz val="9"/>
        <color rgb="FFFFFFFF"/>
        <rFont val="Arial"/>
        <family val="2"/>
      </rPr>
      <t>(شامل ضريبة القيمة المضافة)</t>
    </r>
  </si>
  <si>
    <t>من تاريخ استلام الموقع</t>
  </si>
  <si>
    <t>بداية العقد</t>
  </si>
  <si>
    <t>18  شهرًا ميلاديًا</t>
  </si>
  <si>
    <t>مدة التنفيذ</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</si>
  <si>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</si>
  <si>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</si>
  <si>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</si>
  <si>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</si>
  <si>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</si>
  <si>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</si>
  <si>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</si>
  <si>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</si>
  <si>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</si>
  <si>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</si>
  <si>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القطاع الغربي</t>
  </si>
  <si>
    <t>نهاية المشروع المتوقعة</t>
  </si>
  <si>
    <t>تأثير التأخير (إن وجد) على المبادرات في الربع الاول 2025</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</si>
  <si>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</si>
  <si>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</si>
  <si>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</si>
  <si>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</si>
  <si>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</si>
  <si>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</si>
  <si>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</si>
  <si>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</si>
  <si>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</si>
  <si>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</si>
  <si>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</si>
  <si>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</si>
  <si>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</si>
  <si>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</si>
  <si>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</si>
  <si>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</si>
  <si>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</si>
  <si>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valves</t>
  </si>
  <si>
    <t>On Progress</t>
  </si>
  <si>
    <t xml:space="preserve">Project Execution Plan submission </t>
  </si>
  <si>
    <t>مستهدف الربع الاول  2026</t>
  </si>
  <si>
    <t>لم يبدأ</t>
  </si>
  <si>
    <t xml:space="preserve">Execution Plan Approval </t>
  </si>
  <si>
    <t xml:space="preserve">5 Execution Plan Approval </t>
  </si>
  <si>
    <t>Telecom</t>
  </si>
  <si>
    <t>Potable</t>
  </si>
  <si>
    <t>Sewer</t>
  </si>
  <si>
    <t>Strom</t>
  </si>
  <si>
    <t>Enviromental</t>
  </si>
  <si>
    <t>Irrigation</t>
  </si>
  <si>
    <t>نسبة الانجاز المستهدفة بنهاية Q1 2026</t>
  </si>
  <si>
    <t>نسبة الانجاز المحققة بنهاية Q1 2026</t>
  </si>
  <si>
    <t>مجموع المبالغ المفوترة  المستهدفة بنهاية Q1  2026</t>
  </si>
  <si>
    <t>مجموع المبالغ المفوترة  المحققة بنهاية Q1  2026</t>
  </si>
  <si>
    <t>Activity Name</t>
  </si>
  <si>
    <t>Original Duration</t>
  </si>
  <si>
    <t>BL Project Start</t>
  </si>
  <si>
    <t>BL Project Finish</t>
  </si>
  <si>
    <t>Finish</t>
  </si>
  <si>
    <t>Completion of Road Works</t>
  </si>
  <si>
    <t>Total Float</t>
  </si>
  <si>
    <t>MKH2-02-003</t>
  </si>
  <si>
    <t>Al Enjaz Trading &amp; Contracting Co.</t>
  </si>
  <si>
    <t xml:space="preserve"> Saudi Arabia Consulting Engineering Company "EGIS"</t>
  </si>
  <si>
    <t>01/02/1447</t>
  </si>
  <si>
    <t>08/02/1447</t>
  </si>
  <si>
    <t>15/02/1447</t>
  </si>
  <si>
    <t>14/08/1447</t>
  </si>
  <si>
    <t>Removal of existing curbstone</t>
  </si>
  <si>
    <t>B1.31 05 05.08</t>
  </si>
  <si>
    <t>Removal of the existing signages</t>
  </si>
  <si>
    <t>B1.31 05 05.11</t>
  </si>
  <si>
    <t>Removal of the existing Street Lighting Poles</t>
  </si>
  <si>
    <t>Roadway Excavation for cuttings (all types of soil)</t>
  </si>
  <si>
    <t>Embankments to the ROW with common / suitable excavated material or with suitable imported material</t>
  </si>
  <si>
    <t>Subgrade</t>
  </si>
  <si>
    <t>Aggregate base course</t>
  </si>
  <si>
    <t>Bituminous concrete wearing course, (Grading I - Class A), including tack coat (RC2)</t>
  </si>
  <si>
    <t>Precast Concrete Kerb, Type K1-A</t>
  </si>
  <si>
    <t>Precast Concrete Kerb, Type K4</t>
  </si>
  <si>
    <t>Precast Concrete Kerb, Type K1-B</t>
  </si>
  <si>
    <t xml:space="preserve">60mm thick - Interlocking block pavers for sidewalk/footpath </t>
  </si>
  <si>
    <t>m2</t>
  </si>
  <si>
    <t>Retroreflective Thermoplastic White paiting and traffic lines</t>
  </si>
  <si>
    <t>Retroreflective Thermoplastic Yellow paiting and traffic lines</t>
  </si>
  <si>
    <t>Traffic signs,  ground mounted, Sheet Alumenium, (breakaway)Single post, with all accessories</t>
  </si>
  <si>
    <t>Set of traffic signals at intersection , the set include 4 signals,TSCP, controller, support and automatic traffic violation detection system (Saher) with all components and all necessary civil and electrical works to complete the works as per drawings and specifications. .</t>
  </si>
  <si>
    <t>Cable, Copper 4Cx16mm2 +1Cx10mm2 CU/XLPE/SWA/PVC</t>
  </si>
  <si>
    <t>Cable, Copper 4Cx50mm2 +1Cx25mm2 CU/XLPE/SWA/PVC</t>
  </si>
  <si>
    <t>Cable, Copper 4Cx95mm2 +1Cx50mm2 CU/XLPE/SWA/PVC</t>
  </si>
  <si>
    <t>Lighting poles with 2 arms,  height of  ( 16 ) meters,  including the power distribution box,  cables , and RCC foundation.</t>
  </si>
  <si>
    <t>Lighting poles with 1 arm,  height of  ( 10 ) meters,  including the power distribution box,  cables , and RCC foundation.</t>
  </si>
  <si>
    <t>B2.26.56.19.04</t>
  </si>
  <si>
    <t>Street Lighting( LED) Luminaire of  Output ≥ 36385 lumen complete with control gear and lamp, (262) WATT.</t>
  </si>
  <si>
    <t>B2.26.56.19.05</t>
  </si>
  <si>
    <t>Street Lighting( LED) Luminaire of  Output ≥ 16784 lumen complete with control gear and lamp, (107) WATT.</t>
  </si>
  <si>
    <t xml:space="preserve">Including earthing of  lighting poles ,masts. feeder pillars , unit substations, L.V feeders and KWH meter. </t>
  </si>
  <si>
    <t>Road crossing ducts, 2 ways (2 x 150mm PVC)</t>
  </si>
  <si>
    <t>Road crossing ducts, 4 ways (4 x 150mm PVC)</t>
  </si>
  <si>
    <t>Road crossing ducts, 6 ways (6 x 150mm PVC)</t>
  </si>
  <si>
    <t>B2.33 71 19.13.01</t>
  </si>
  <si>
    <t>Drawpit with medium duty steel cover, size600x600x1000mm</t>
  </si>
  <si>
    <t>B2.33 71 19.13.02</t>
  </si>
  <si>
    <t>Drawpit with medium duty steel cover, size 900x900x1200mm</t>
  </si>
  <si>
    <t>B2.26 24 16.01</t>
  </si>
  <si>
    <t xml:space="preserve"> Street Lighting panels</t>
  </si>
  <si>
    <t>B2.26 24 16.02</t>
  </si>
  <si>
    <t xml:space="preserve">Feeder pillars </t>
  </si>
  <si>
    <t>B2.26 24 16.03</t>
  </si>
  <si>
    <t>Supply and installation of KWH meter mounting frame including concrete block for installation of KWH meter according to the standards and specifications of SEC.</t>
  </si>
  <si>
    <t>Excavation in (all types of soil) including all the required backfilling</t>
  </si>
  <si>
    <t>B6.03 30 00.01</t>
  </si>
  <si>
    <t>B6.03 30 00.02</t>
  </si>
  <si>
    <t>Concrete for box culvert including bitumenous coating (Steel Reinforcement is measured separately)</t>
  </si>
  <si>
    <t>B6.03 30 00.03</t>
  </si>
  <si>
    <t>B6.31 22 00.05</t>
  </si>
  <si>
    <t>embankments to the Channel Berms ,with suitable and approved imported material,from borrow pits, as showin in drawings.</t>
  </si>
  <si>
    <t>B6.31 25 00.02</t>
  </si>
  <si>
    <t>Finished grouted riprap as per drawings</t>
  </si>
  <si>
    <r>
      <t>MAKKAH 2</t>
    </r>
    <r>
      <rPr>
        <vertAlign val="superscript"/>
        <sz val="14"/>
        <color theme="1"/>
        <rFont val="Janna LT"/>
      </rPr>
      <t>nd</t>
    </r>
    <r>
      <rPr>
        <sz val="14"/>
        <color theme="1"/>
        <rFont val="Janna LT"/>
      </rPr>
      <t xml:space="preserve"> INDUSTRIAL CITY </t>
    </r>
  </si>
  <si>
    <t>MKH2-02-003-PR-1020</t>
  </si>
  <si>
    <t>MKH2-02-003-PR-1050</t>
  </si>
  <si>
    <t>MKH2-02-003-PR-1080</t>
  </si>
  <si>
    <t>MKH2-02-003-PR-1100</t>
  </si>
  <si>
    <t>MKH2-02-003-PR-1130</t>
  </si>
  <si>
    <t>MKH2-02-003-PR-1160</t>
  </si>
  <si>
    <t>MKH2-02-003-PR-1190</t>
  </si>
  <si>
    <t>MKH2-02-003-PR-1220</t>
  </si>
  <si>
    <t>MKH2-02-003-PR-1250</t>
  </si>
  <si>
    <t>Steel Reinforcement</t>
  </si>
  <si>
    <t xml:space="preserve">Concrete </t>
  </si>
  <si>
    <t>Water Proofing</t>
  </si>
  <si>
    <t>Aggregate Base Course</t>
  </si>
  <si>
    <t>Bituminous Base &amp; Wearing Course</t>
  </si>
  <si>
    <t>Precast Concrete Kerbs</t>
  </si>
  <si>
    <t>Interlocking block pavers</t>
  </si>
  <si>
    <t>Pavement markings</t>
  </si>
  <si>
    <t>Traffic signs</t>
  </si>
  <si>
    <t>MKH2-02-003-PR-1330</t>
  </si>
  <si>
    <t>RIP-RAP material &amp; Its Acessories</t>
  </si>
  <si>
    <t>MKH2-02-003-PR-1280</t>
  </si>
  <si>
    <t>MKH2-02-003-PR-1310</t>
  </si>
  <si>
    <t>Pipe for Ducts</t>
  </si>
  <si>
    <t>Earthing system</t>
  </si>
  <si>
    <t>MKH2-02-003-PR-1380</t>
  </si>
  <si>
    <t>MKH2-02-003-PR-1440</t>
  </si>
  <si>
    <t>Low Voltage cables</t>
  </si>
  <si>
    <t>Low Voltatage distribution panels</t>
  </si>
  <si>
    <t>MKH2-02-003-PR-1510</t>
  </si>
  <si>
    <t>MKH2-02-003-PR-1580</t>
  </si>
  <si>
    <t>MKH2-02-003-PR-1650</t>
  </si>
  <si>
    <t>Lighting Poles</t>
  </si>
  <si>
    <t>Lighting Panels/Feder Pillers</t>
  </si>
  <si>
    <t>Lighting Luminare</t>
  </si>
  <si>
    <t>Structural</t>
  </si>
  <si>
    <t>Short Lead Items</t>
  </si>
  <si>
    <t>Ton</t>
  </si>
  <si>
    <t>B6.03 30 00.01&amp; 00.02</t>
  </si>
  <si>
    <r>
      <t>m</t>
    </r>
    <r>
      <rPr>
        <vertAlign val="superscript"/>
        <sz val="10"/>
        <rFont val="Verdana"/>
        <family val="2"/>
      </rPr>
      <t>3</t>
    </r>
  </si>
  <si>
    <t>B1.32 11 26.01 &amp;B1.32 12 16.01</t>
  </si>
  <si>
    <t>B1.32 14 13</t>
  </si>
  <si>
    <r>
      <t>m</t>
    </r>
    <r>
      <rPr>
        <vertAlign val="superscript"/>
        <sz val="10"/>
        <rFont val="Verdana"/>
        <family val="2"/>
      </rPr>
      <t>2</t>
    </r>
  </si>
  <si>
    <t>B1.32 17 23</t>
  </si>
  <si>
    <t>B1. 10 14 53</t>
  </si>
  <si>
    <t>B2. 33 71 19</t>
  </si>
  <si>
    <t>B2.26 05 19</t>
  </si>
  <si>
    <t>B2.26 56 19</t>
  </si>
  <si>
    <t>Baseline Programme Approval</t>
  </si>
  <si>
    <t>Prequalification &amp; Material Approval</t>
  </si>
  <si>
    <t>Actual Start</t>
  </si>
  <si>
    <t>Actual Finish</t>
  </si>
  <si>
    <t>Budgeted Total Cost</t>
  </si>
  <si>
    <t>Budgeted Labor Units</t>
  </si>
  <si>
    <t xml:space="preserve">      MKH2-02-003-MS-1000</t>
  </si>
  <si>
    <t>Completion of Mobilization</t>
  </si>
  <si>
    <t xml:space="preserve">      MKH2-02-003-MS-1010</t>
  </si>
  <si>
    <t xml:space="preserve">      MKH2-02-003-MS-1020</t>
  </si>
  <si>
    <t xml:space="preserve">      MKH2-02-003-MS-1030</t>
  </si>
  <si>
    <t>Completion of Long lead Materials Delivery</t>
  </si>
  <si>
    <t xml:space="preserve">      MKH2-02-003-MS-1040</t>
  </si>
  <si>
    <t xml:space="preserve">      MKH2-02-003-MS-1050</t>
  </si>
  <si>
    <t>Completion of Open Drain Channel</t>
  </si>
  <si>
    <t xml:space="preserve">      MKH2-02-003-MS-1060</t>
  </si>
  <si>
    <t>Completion of All Works</t>
  </si>
  <si>
    <t xml:space="preserve">      MKH2-02-003-MS-1070</t>
  </si>
  <si>
    <t>Test for Roads</t>
  </si>
  <si>
    <t>Test for Open Drain Channel</t>
  </si>
  <si>
    <t>Test for Box Culvert</t>
  </si>
  <si>
    <t>Test for Electrical Networks</t>
  </si>
  <si>
    <t xml:space="preserve">  MOBILIZATION</t>
  </si>
  <si>
    <t xml:space="preserve">  ENGINEERING</t>
  </si>
  <si>
    <t xml:space="preserve">  PROCUREMENT</t>
  </si>
  <si>
    <t xml:space="preserve">  CONSTRUCTION PHASE</t>
  </si>
  <si>
    <t xml:space="preserve">    ROADS</t>
  </si>
  <si>
    <t xml:space="preserve">    DEMOLISHING WORKS</t>
  </si>
  <si>
    <t xml:space="preserve">    Open Drain Channels</t>
  </si>
  <si>
    <t xml:space="preserve">  TESTING &amp; COMMISSIONING</t>
  </si>
  <si>
    <t xml:space="preserve">  PROJECT CLOSEOUT &amp; DEMOBILIZATION</t>
  </si>
  <si>
    <t>Completion of Infrastructure Works in The Second Industrial City in Makkah Al-Mukarramah</t>
  </si>
  <si>
    <t>Project Commencement Date</t>
  </si>
  <si>
    <t>Project Kick Off Meeting/NTP</t>
  </si>
  <si>
    <t>Project Completion</t>
  </si>
  <si>
    <t>01-Mar-26 A</t>
  </si>
  <si>
    <t>تقدم سير استكمال أعمال البنية التحتية بالمدينة الصناعية الثانية بمكة</t>
  </si>
  <si>
    <t>15 فبراير 2026</t>
  </si>
  <si>
    <t>أعمال الطرق  (Road)</t>
  </si>
  <si>
    <t>59,829,343.40  ريال</t>
  </si>
  <si>
    <t>الأعمال الكهربائية(LV)</t>
  </si>
  <si>
    <t>عبارات صندوقية من الخرسانة وتشمل حوائط التوجيه</t>
  </si>
  <si>
    <t>قنوات الصرف المكشوف والسدود</t>
  </si>
  <si>
    <t>الأعمال الكهربائية</t>
  </si>
  <si>
    <t>كيابل الجهد المنخفض(متر)</t>
  </si>
  <si>
    <r>
      <t>أعمدة إنارة ذات ذراعين</t>
    </r>
    <r>
      <rPr>
        <sz val="14"/>
        <color rgb="FF0A2C52"/>
        <rFont val="Calibri"/>
        <family val="2"/>
        <scheme val="minor"/>
      </rPr>
      <t>(Unit)</t>
    </r>
    <r>
      <rPr>
        <b/>
        <sz val="14"/>
        <color rgb="FF0A2C52"/>
        <rFont val="Calibri"/>
        <family val="2"/>
        <scheme val="minor"/>
      </rPr>
      <t xml:space="preserve"> </t>
    </r>
  </si>
  <si>
    <r>
      <t>أعمدة إنارة بذراع واحد</t>
    </r>
    <r>
      <rPr>
        <sz val="14"/>
        <color rgb="FF0A2C52"/>
        <rFont val="Calibri"/>
        <family val="2"/>
        <scheme val="minor"/>
      </rPr>
      <t>(Unit)</t>
    </r>
  </si>
  <si>
    <r>
      <t>وحدات إنارة الشوارع</t>
    </r>
    <r>
      <rPr>
        <sz val="14"/>
        <color rgb="FF0A2C52"/>
        <rFont val="Calibri"/>
        <family val="2"/>
        <scheme val="minor"/>
      </rPr>
      <t>(Unit)</t>
    </r>
  </si>
  <si>
    <r>
      <t xml:space="preserve">نظام التاريض </t>
    </r>
    <r>
      <rPr>
        <sz val="14"/>
        <color rgb="FF0A2C52"/>
        <rFont val="Calibri"/>
        <family val="2"/>
        <scheme val="minor"/>
      </rPr>
      <t>(Unit)</t>
    </r>
    <r>
      <rPr>
        <b/>
        <sz val="14"/>
        <color rgb="FF0A2C52"/>
        <rFont val="Calibri"/>
        <family val="2"/>
        <scheme val="minor"/>
      </rPr>
      <t xml:space="preserve"> </t>
    </r>
  </si>
  <si>
    <r>
      <t>لوحات توزيع الإنارة</t>
    </r>
    <r>
      <rPr>
        <sz val="14"/>
        <color rgb="FF0A2C52"/>
        <rFont val="Calibri"/>
        <family val="2"/>
        <scheme val="minor"/>
      </rPr>
      <t>(Unit)</t>
    </r>
  </si>
  <si>
    <r>
      <t>كبائن توزيع دوائر الإنارة</t>
    </r>
    <r>
      <rPr>
        <sz val="14"/>
        <color rgb="FF0A2C52"/>
        <rFont val="Calibri"/>
        <family val="2"/>
        <scheme val="minor"/>
      </rPr>
      <t>(Unit)</t>
    </r>
  </si>
  <si>
    <t>اتاريخ بدء المشروع</t>
  </si>
  <si>
    <t xml:space="preserve">اجتماع انطلاق المشروع / برنامج التدريب الوطني </t>
  </si>
  <si>
    <t>إنجاز المشروع</t>
  </si>
  <si>
    <t>إتمام التعبئة</t>
  </si>
  <si>
    <t>الموافقة على البرنامج الأساسي</t>
  </si>
  <si>
    <t>التأهيل المسبق والموافقة على المواد</t>
  </si>
  <si>
    <t>إتمام تسليم المواد ذات المهلة الطويلة</t>
  </si>
  <si>
    <t xml:space="preserve">إنجاز أعمال الطرق	</t>
  </si>
  <si>
    <t xml:space="preserve">إنجاز قناة الصرف المفتوحة	</t>
  </si>
  <si>
    <t>إنجاز جميع الأعمال</t>
  </si>
  <si>
    <t>9-</t>
  </si>
  <si>
    <t>التسليم النهائي</t>
  </si>
  <si>
    <t>10-</t>
  </si>
  <si>
    <t>استكمال أعمال البنية التحتية بالمدينة الصناعية الثانية بمكة</t>
  </si>
  <si>
    <t>Electrcal Work
أعمال الكهرباء  (المنفذ)</t>
  </si>
  <si>
    <t>Electrical
أعمال الكهرباء (المخطط)</t>
  </si>
  <si>
    <t>Engr. Abdallah Aljulaifi</t>
  </si>
  <si>
    <t xml:space="preserve">Completion of Infrastruture in The Second Industrial City in Makkah (The project includes construction of Roads works ;  Box Culvert ; Open Drain Channels and Dike Walls ; Street Lightings and Low Voltage Cables ,concrete ducts at road crossing) </t>
  </si>
  <si>
    <t>المهندس عبد الله الجليفي</t>
  </si>
  <si>
    <t>F</t>
  </si>
  <si>
    <t xml:space="preserve">  KEY MILESTONES</t>
  </si>
  <si>
    <t>15-Feb-26 A</t>
  </si>
  <si>
    <t>17-Feb-26 A</t>
  </si>
  <si>
    <t>18-Feb-26 A</t>
  </si>
  <si>
    <t xml:space="preserve">      ARTERIAL-03 (2+510 to 4+267.54)</t>
  </si>
  <si>
    <t xml:space="preserve">        Box Culvert - 1</t>
  </si>
  <si>
    <t xml:space="preserve">        ARTERIAL-03-ROAD</t>
  </si>
  <si>
    <t xml:space="preserve">          ROADS &amp; ROUNDABOUT</t>
  </si>
  <si>
    <t xml:space="preserve">          ELECTRICAL</t>
  </si>
  <si>
    <t xml:space="preserve">      ARTERIAL-04 (0+000 to 1+0.83)</t>
  </si>
  <si>
    <t>10-Mar-26 A</t>
  </si>
  <si>
    <t xml:space="preserve">        Box Culvert - 2</t>
  </si>
  <si>
    <t xml:space="preserve">        ARTERIAL-04-ROAD</t>
  </si>
  <si>
    <t xml:space="preserve">          ROADS</t>
  </si>
  <si>
    <t xml:space="preserve">          ELECTRICAL WORKS (MKH2-01-007-DAR-TS8-0-SL-DWG-1010-00)</t>
  </si>
  <si>
    <t xml:space="preserve">      CONNECTION TO 5th RING ROAD (IF-0+000 to 1+258)</t>
  </si>
  <si>
    <t xml:space="preserve">        EARTHWORKS &amp; SITE GRADING</t>
  </si>
  <si>
    <t xml:space="preserve">        ASPHALT WORKS</t>
  </si>
  <si>
    <t xml:space="preserve">        FINISHING WORKS</t>
  </si>
  <si>
    <t xml:space="preserve">      RAMP-2-IN (0+000 to 0+400)</t>
  </si>
  <si>
    <t xml:space="preserve">        ROADS</t>
  </si>
  <si>
    <t xml:space="preserve">        ELECTRICAL WORKS (MKH2-01-007-DAR-TS8-0-SL-DWG-1010-00)</t>
  </si>
  <si>
    <t xml:space="preserve">      RAMP-2-OUT (0+398 to 0+000)</t>
  </si>
  <si>
    <t>14-Mar-26 A</t>
  </si>
  <si>
    <t>P122647</t>
  </si>
  <si>
    <t>25-Mar-26 A</t>
  </si>
  <si>
    <t>04-Mar-26 A</t>
  </si>
  <si>
    <t>01-Apr-26 A</t>
  </si>
  <si>
    <t>08-Apr-26 A</t>
  </si>
  <si>
    <t xml:space="preserve">Construction of additional culvert, Number 3, at the Northern Entrance of the Al-Badad </t>
  </si>
  <si>
    <t>MKH2-02-003-00</t>
  </si>
  <si>
    <t>Makkah</t>
  </si>
  <si>
    <t>Delay in Designing of Channels</t>
  </si>
  <si>
    <t>Delay in Construction Works</t>
  </si>
  <si>
    <t>Contractor/MODON</t>
  </si>
  <si>
    <t>MKH2-02-003-01</t>
  </si>
  <si>
    <t>Design revision for Open Channel 3A issued by MODON</t>
  </si>
  <si>
    <t>Delay in Designing of Culvert No. 3</t>
  </si>
  <si>
    <t>Close</t>
  </si>
  <si>
    <t>MKH2-02-003-02</t>
  </si>
  <si>
    <t>Authorities / Permits</t>
  </si>
  <si>
    <t>Delay in Receiving perrmit for work in Makkah I Hajj Period</t>
  </si>
  <si>
    <t>MKH2-02-003-03</t>
  </si>
  <si>
    <t xml:space="preserve">No permission for Non-Muslim workers to work in Hajj Period </t>
  </si>
  <si>
    <t>P123856</t>
  </si>
  <si>
    <t>P126329</t>
  </si>
  <si>
    <t>P123209</t>
  </si>
  <si>
    <t>P126274</t>
  </si>
  <si>
    <t>P125948</t>
  </si>
  <si>
    <t>ENJAZCO</t>
  </si>
  <si>
    <t>Essam Qabbani-IKK</t>
  </si>
  <si>
    <t>AL-HARAMAIN</t>
  </si>
  <si>
    <t>Ruvi-Pioneer Trading Company</t>
  </si>
  <si>
    <t>ADWAN TRADING</t>
  </si>
  <si>
    <t>BRC Steel</t>
  </si>
  <si>
    <t>Al Zaidy</t>
  </si>
  <si>
    <t>Riyadh ABLE</t>
  </si>
  <si>
    <t>Al Ojaimi</t>
  </si>
  <si>
    <t>Al Babtain</t>
  </si>
  <si>
    <t>P127343</t>
  </si>
  <si>
    <t>06-Jun-26 A</t>
  </si>
  <si>
    <t>03-Jun-26 A</t>
  </si>
  <si>
    <r>
      <t>m</t>
    </r>
    <r>
      <rPr>
        <vertAlign val="superscript"/>
        <sz val="11"/>
        <color theme="1"/>
        <rFont val="Calibri"/>
        <family val="2"/>
        <scheme val="minor"/>
      </rPr>
      <t>2</t>
    </r>
  </si>
  <si>
    <t>P128303</t>
  </si>
  <si>
    <t>MKH2-02-003-ENJ-TS9-1-PRW-IPC-0001-00</t>
  </si>
  <si>
    <t>MKH2-02-003-ENJ-TS9-1-PRW-IPC-0002-00</t>
  </si>
  <si>
    <t>MKH2-02-003-ENJ-TS9-1-PRW-IPC-0003-00</t>
  </si>
  <si>
    <t>MKH2-02-003-ENJ-TS9-1-PRW-IPC-0004-00</t>
  </si>
  <si>
    <t>MKH2-02-003-04</t>
  </si>
  <si>
    <t>Delay in Designing of Culvert No. 4</t>
  </si>
  <si>
    <t xml:space="preserve">Construction of additional culvert, Number 4, at the RAMP2-IN </t>
  </si>
  <si>
    <t>MKH2-02-003-05</t>
  </si>
  <si>
    <t>Eastern</t>
  </si>
  <si>
    <t>Scope Change</t>
  </si>
  <si>
    <t>Addition works in Collector 9</t>
  </si>
  <si>
    <t>MKH2-02-003-06</t>
  </si>
  <si>
    <t>MKH2-02-003-07</t>
  </si>
  <si>
    <t>Scope / Requirments / Contractual</t>
  </si>
  <si>
    <t>Construction of Road 52</t>
  </si>
  <si>
    <t>Earned Value Progress (SAR)</t>
  </si>
  <si>
    <t>Engineering</t>
  </si>
  <si>
    <t>Procurement</t>
  </si>
  <si>
    <t>Electricity Works</t>
  </si>
  <si>
    <t>Demolision</t>
  </si>
  <si>
    <t>Box Culvert</t>
  </si>
  <si>
    <t>Open Channel</t>
  </si>
  <si>
    <t>Testing &amp; Commissioning</t>
  </si>
  <si>
    <t>22-Jul-26 A</t>
  </si>
  <si>
    <t>P127855</t>
  </si>
  <si>
    <t>MKH2-02-003-ENJ-TS9-1-PRW-IPC-0005-00</t>
  </si>
  <si>
    <t>05-Aug-26 A</t>
  </si>
  <si>
    <t>Waleed Mahmoud</t>
  </si>
  <si>
    <t>MKH2-02-003-ENJ-TS9-1-PRW-IPC-0006-00</t>
  </si>
  <si>
    <t>Marafiq Altoriq Cont. East</t>
  </si>
  <si>
    <t>22-Aug-26 A</t>
  </si>
  <si>
    <t xml:space="preserve">	1.		توصيل المواد لكابلات الجهد المنخفض (8464 متراً)
2.	توصيل مواد لأعمدة الإنارة ذات ذراع واحد (42 عمودًا)
3.	توريد مواد لأعمدة الإنارة ذات ذراعين (101 قطعة)
4.	توريد مواد الإضاءة لومينار (264 وحدة)
5.	لوحات إنارة الشوارع (4 قطع)
6.	حاويات تغذية (عدد 1)
</t>
  </si>
  <si>
    <t>10-Sep-26 A</t>
  </si>
  <si>
    <t>1.		تركيب قواعد أعمدة الإنارة في الطريق الرئيسي رقم 3 (110 عمودًا)
2.	تركيب أعمدة إنارة بارتفاع 16 متراً على الطريق الرئيسي رقم 3 (70 عموداً)
3.	تركيب أعمدة إنارة بارتفاع 10 أمتار في الطريق الرئيسي رقم 3 (14 عمودًا)
4.	تركيب كابلات الجهد المنخفض في الطريق الرئيسي رقم 3 (4757 مترًا)
5.	تركيب قواعد أعمدة الإنارة في الطريق الرئيسي رقم 4 (28 عمودًا)
6.	تركيب أعمدة إنارة بارتفاع 16 متراً في الطريق الرئيسي رقم 4 (28 عموداً)
7.	تركيب كابلات الجهد المنخفض في الطريق الرئيسي رقم 4 (1628 متر)</t>
  </si>
  <si>
    <t>Installation of Interlock Block works for Arterial 4</t>
  </si>
  <si>
    <t xml:space="preserve">
1.	تركيب كابلات الجهد المنخفض في الطريق الرئيسي رقم 3 (4,022 مترًا)</t>
  </si>
  <si>
    <t>22-Sep-26 A</t>
  </si>
  <si>
    <t>RIP-RAP Works for Dike Wall 1</t>
  </si>
  <si>
    <t>1-أعمال إضافية في طريق "كوليكتور 9"</t>
  </si>
  <si>
    <t>2-إنشاء طريق جديد، الطريق 52</t>
  </si>
  <si>
    <t>3-إنشاء طريق جديد: الطريق الأحمر (Al Gloud Road)</t>
  </si>
  <si>
    <t>Construction of Al Gloud Road</t>
  </si>
  <si>
    <t>Cum Previous FIR up to 29-09-2026</t>
  </si>
  <si>
    <t>30/09/2026</t>
  </si>
  <si>
    <t>28/09/2026</t>
  </si>
  <si>
    <t>26/09/2026</t>
  </si>
  <si>
    <t>27/09/2026</t>
  </si>
  <si>
    <t>Cutting Works for Collector 9</t>
  </si>
  <si>
    <t>MKH2-02-003-ENJ-TS9-1-PRW-IPC-0007-00</t>
  </si>
  <si>
    <r>
      <t xml:space="preserve">	1.	أعمال القطع في الطريق الرئيسي 3 - 100%
2.	أعمال الردم في الشريان الرئيسي 3 - 100%
3.	أعمال الطبقة التحتية في الشريان 3 - 100%
4.	تعمل شركة ABC في الشريان 3 - 100%
5.	عمل بي بي سي في الشريان 3 - 100%
6.	أعمال الردم في المجمع رقم 9-%</t>
    </r>
    <r>
      <rPr>
        <sz val="20"/>
        <color theme="1"/>
        <rFont val="ADLaM Display"/>
      </rPr>
      <t>100</t>
    </r>
    <r>
      <rPr>
        <b/>
        <sz val="20"/>
        <color theme="1"/>
        <rFont val="ADLaM Display"/>
      </rPr>
      <t xml:space="preserve">
7.	أعمال القطع في الطريق السريع رقم 4 (218,473 م3)
8.	أعمال الردم في الطريق السريع رقم 4 (56,974 م3)
9.	أعمال الطبقة التحتية في الطريق الرئيسي رقم 4-%</t>
    </r>
    <r>
      <rPr>
        <sz val="20"/>
        <color theme="1"/>
        <rFont val="ADLaM Display"/>
      </rPr>
      <t>100</t>
    </r>
    <r>
      <rPr>
        <b/>
        <sz val="20"/>
        <color theme="1"/>
        <rFont val="ADLaM Display"/>
      </rPr>
      <t xml:space="preserve">
10.	في الطريق السريع رقم 4 -100%
11.	أعمال بي بي سي في الطريق السريع 4 -100%
12.		أعمال الخرسانة للعبّارة رقم 1 -100%
13.	الخرسانة للعبّارة رقم 2 -100%
14.	مشروع RIP-RAP يعمل في القناة المفتوحة 3a &amp; 3c (39,857 م3)
</t>
    </r>
  </si>
  <si>
    <t>MKH2-02-003-ENJ-TS9-1-CVL-FIR-0782-00</t>
  </si>
  <si>
    <t>Interlock Block Paver for Sidewalk 60mm Thickness at Arterial Road 03 L/S Station 2+740 to 3+020 (Sand filling and compaction)</t>
  </si>
  <si>
    <t>MKH2-02-003-ENJ-TS9-1-CVL-FIR-0772-00</t>
  </si>
  <si>
    <t>14/09/2026</t>
  </si>
  <si>
    <t>Pavement of BWC at Sta 0+150 to 0+180 (Asphalt and Compaction) at BOX CULVERT 2</t>
  </si>
  <si>
    <t>MKH2-02-003-ENJ-TS9-1-CVL-FIR-0783-00</t>
  </si>
  <si>
    <t>MKH2-02-003-ENJ-TS9-1-CVL-FIR-0796-00</t>
  </si>
  <si>
    <t>15/09/2026</t>
  </si>
  <si>
    <t>17/09/2026</t>
  </si>
  <si>
    <t>CASTING OF CONCRET CURB STONE (K1-A) FOR ART 03 AT STA (0+510 - 1+060) L SHOULDER</t>
  </si>
  <si>
    <t>CASTING OF CONCRET CURB STONE (K1-A) FOR ART 03 AT STA (0+420 - 1+060) R SHOULDER</t>
  </si>
  <si>
    <t>MKH2-02-003-ENJ-TS9-1-CVL-FIR-0804-00</t>
  </si>
  <si>
    <t>16/09/2026</t>
  </si>
  <si>
    <t>CASTING OF CONCRET CURB STONE (K4) FOR ART 04 2 STA (0+510 - 1+060) L/S SHOULDER</t>
  </si>
  <si>
    <t>MKH2-02-003-ENJ-TS9-1-CVL-FIR-0784-01</t>
  </si>
  <si>
    <t>MKH2-02-003-ENJ-TS9-1-CVL-FIR-0787-00</t>
  </si>
  <si>
    <t>CASTING OF CONCRET CURB STONE (K1-B) FOR ART 03 )ROUND ABOUT 05 L/S</t>
  </si>
  <si>
    <t>CASTING OF CONCRET CURB STONE (K1-B) FOR ART 03 )ROUND ABOUT 05 R/S</t>
  </si>
  <si>
    <t>MKH2-02-003-ENJ-TS9-1-CVL-FIR-0778-00</t>
  </si>
  <si>
    <t>MKH2-02-003-ENJ-TS9-1-CVL-FIR-0801-00</t>
  </si>
  <si>
    <t>MKH2-02-003-ENJ-TS9-1-CVL-FIR-0805-00</t>
  </si>
  <si>
    <t>MKH2-02-003-ENJ-TS9-1-CVL-FIR-0818-00</t>
  </si>
  <si>
    <t>MKH2-02-003-ENJ-TS9-1-CVL-FIR-0857-00</t>
  </si>
  <si>
    <t>MKH2-02-003-ENJ-TS9-1-CVL-FIR-0858-00</t>
  </si>
  <si>
    <t>MKH2-02-003-ENJ-TS9-1-CVL-FIR-0868-00</t>
  </si>
  <si>
    <t>20/09/2026</t>
  </si>
  <si>
    <t>Interlock Block Paver for Side Walk 60mm Thickness at Arterial Road 03 L/S Station 3+100 to 3+720 (Sand filling and compaction)</t>
  </si>
  <si>
    <t>Interlock Block Paver for Sidewalk 60mm Thickness at Arterial Road 03 L&amp;R ( BOX CULVERT 2) Station 0+150 to 0+180 (Sand filling and compaction)</t>
  </si>
  <si>
    <t>Interlock Block Paver for Sidewalk 60mm Thickness at Arterial Road 03 L/S Station 2+600 to 2+740 (Sand filling and compaction)</t>
  </si>
  <si>
    <t>Interlock Block Paver for Sidewalk 60mm Thickness at ROUND ABOUT 04 AT ROAD 03 L/S (Sand filling and compaction)</t>
  </si>
  <si>
    <t>Installation of Interlock Block Paver for Side Walk 60mm Thickness at Arterial Road 03 L/S Station 3+080 to 3+100</t>
  </si>
  <si>
    <t>Interlock Block Paver for Side Walk 60mm Thickness at Arterial Road 03 L/S Station 3+816 to 3+840 (Sand filling and compaction)</t>
  </si>
  <si>
    <t>INSULLATION Interlock Block Paver for Side Walk 60mm Thickness at Arterial Road 03 L/S Station 3+720 to 3+760</t>
  </si>
  <si>
    <t>MKH2-02-003-ENJ-TS9-1-CVL-FIR-0766-00</t>
  </si>
  <si>
    <t>Checking coordinates and elevations for formworks and pouring lean concrete for box culvert 04</t>
  </si>
  <si>
    <t>MKH2-02-003-ENJ-TS9-1-CVL-FIR-0800-00</t>
  </si>
  <si>
    <t>MKH2-02-003-ENJ-TS9-1-CVL-FIR-0825-00</t>
  </si>
  <si>
    <t>checking coordinates and elevations for formworks and pouring concrete grade 35 mpa for base slab of box culvert 04</t>
  </si>
  <si>
    <t>checking coordinates and elevations for formworks and pouring concrete grade 35 mpa for outer and inner walls for box culvert 04</t>
  </si>
  <si>
    <t>MKH2-02-003-ENJ-TS9-1-CVL-FIR-0799-00</t>
  </si>
  <si>
    <t>MKH2-02-003-ENJ-TS9-1-CVL-FIR-0869-00</t>
  </si>
  <si>
    <t>checking reinforcement for base slab for box culvert 04</t>
  </si>
  <si>
    <t>checking reinforcement for top slab for box culvert 04</t>
  </si>
  <si>
    <t>MKH2-02-003-ENJ-TS9-1-CVL-FIR-0780-00</t>
  </si>
  <si>
    <t>MKH2-02-003-ENJ-TS9-1-CVL-FIR-0781-00</t>
  </si>
  <si>
    <t>MKH2-02-003-ENJ-TS9-1-CVL-FIR-0802-00</t>
  </si>
  <si>
    <t>MKH2-02-003-ENJ-TS9-1-CVL-FIR-0803-00</t>
  </si>
  <si>
    <t>MKH2-02-003-ENJ-TS9-1-CVL-FIR-0819-00</t>
  </si>
  <si>
    <t>MKH2-02-003-ENJ-TS9-1-CVL-FIR-0851-00</t>
  </si>
  <si>
    <t>Replacement of Sand with granular material 30cm for open channel 3C from station 1+460 TO 1+543.50 RS</t>
  </si>
  <si>
    <t>Replacement of Sand with granular material 30cm for open channel 3C from station 1+680 TO 1+740 RS</t>
  </si>
  <si>
    <t>Replacement of Sand with granular material 30cm for open channel 3C from station 0+750 TO 0+800 L/R</t>
  </si>
  <si>
    <t>Replacement of Sand with granular material 30cm for open channel 3C from station 1+460 TO 1+543 LS</t>
  </si>
  <si>
    <t>Field Inspection Request for Backfill 6th Layer at DIKE WALL 2 Station. 0+200 TO 0+240</t>
  </si>
  <si>
    <t>Field Inspection Request for BACKFILL TOE at DIKE WALL 1 Station. 0+110 TO 0+147</t>
  </si>
  <si>
    <t>MKH2-02-003-ENJ-TS9-1-CVL-FIR-0762-00</t>
  </si>
  <si>
    <t>MKH2-02-003-ENJ-TS9-1-CVL-FIR-0789-00</t>
  </si>
  <si>
    <t>MKH2-02-003-ENJ-TS9-1-CVL-FIR-0791-00</t>
  </si>
  <si>
    <t>MKH2-02-003-ENJ-TS9-1-CVL-FIR-0795-00</t>
  </si>
  <si>
    <t>13/09/2026</t>
  </si>
  <si>
    <t>Checking Grouting and finishing of joints For Rip Rap Stones for Open Channel 3C from Sta. 0+280 to Sta.0+540 (Right Side)</t>
  </si>
  <si>
    <t>Checking Grouting and finishing of joints For Rip Rap Stones for Open Channel 3C from Sta. 0+000 to Sta.0+080 (Left Side)</t>
  </si>
  <si>
    <t>Checking Grouting and finishing of joints For Rip Rap Stones for Open Channel 3C from Sta. 0+000 to Sta.0+060 (Right Side)</t>
  </si>
  <si>
    <t>Checking Grouting and finihings of joints for Dike Wall-2 from Sta. 0+400 to Sta.0+489.12</t>
  </si>
  <si>
    <t>MKH2-02-003 - Completion of Infrastructure Works at the Second Industrial City in Makkah UP 32</t>
  </si>
  <si>
    <t>10-Oct-26 A</t>
  </si>
  <si>
    <t>08-Oct-26 A</t>
  </si>
  <si>
    <t>ABC Works for Non-Muslim Road</t>
  </si>
  <si>
    <t>1.	 أعمال حفر الطرق (537,023 م³)
2. أعمال الردم (438,442 م³)
3. أعمال طبقة ما تحت الأساس (34,317 م³)
4. أعمال طبقة الأساس الحصوية (ABC) (18,913 م³)
5. أعمال طبقة الأساس البيتومينية (BBC) (3,719 م³)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</si>
</sst>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_ ;[Red]\-#,##0.0\ "/>
    <numFmt numFmtId="196" formatCode="00"/>
    <numFmt numFmtId="197" formatCode="0.00%;[Red]\(0.00%\)"/>
    <numFmt numFmtId="198" formatCode="#,##0.000000000_);[Red]\(#,##0.000000000\)"/>
    <numFmt numFmtId="199" formatCode="#,##0.00000_);[Red]\(#,##0.00000\)"/>
    <numFmt numFmtId="200" formatCode="_-&quot;AED&quot;* #,##0.00_-;\-&quot;AED&quot;* #,##0.00_-;_-&quot;AED&quot;* &quot;-&quot;??_-;_-@_-"/>
    <numFmt numFmtId="201" formatCode="dd\-mm\-yyyy"/>
  </numFmts>
  <fonts count="2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u/>
      <sz val="11"/>
      <color theme="10"/>
      <name val="Calibri"/>
      <family val="2"/>
      <scheme val="minor"/>
    </font>
    <font>
      <vertAlign val="superscript"/>
      <sz val="14"/>
      <color theme="1"/>
      <name val="Janna LT"/>
    </font>
    <font>
      <sz val="12"/>
      <name val="Times New Roman"/>
      <family val="1"/>
    </font>
    <font>
      <sz val="10"/>
      <name val="Arial"/>
      <family val="2"/>
      <charset val="161"/>
    </font>
    <font>
      <vertAlign val="superscript"/>
      <sz val="10"/>
      <name val="Verdana"/>
      <family val="2"/>
    </font>
    <font>
      <sz val="14"/>
      <color rgb="FF0A2C52"/>
      <name val="Calibri"/>
      <family val="2"/>
      <scheme val="minor"/>
    </font>
    <font>
      <b/>
      <sz val="14"/>
      <color rgb="FF0A2C52"/>
      <name val="Calibri"/>
      <family val="2"/>
      <scheme val="minor"/>
    </font>
    <font>
      <sz val="10"/>
      <color theme="9" tint="-0.249977111117893"/>
      <name val="TheSansArabic Bold"/>
    </font>
    <font>
      <vertAlign val="superscript"/>
      <sz val="11"/>
      <color theme="1"/>
      <name val="Calibri"/>
      <family val="2"/>
      <scheme val="minor"/>
    </font>
    <font>
      <sz val="20"/>
      <color theme="1"/>
      <name val="ADLaM Display"/>
    </font>
    <font>
      <b/>
      <sz val="11"/>
      <name val="Times New Roman"/>
      <family val="1"/>
    </font>
    <font>
      <sz val="11"/>
      <name val="Times New Roman"/>
      <family val="1"/>
    </font>
    <font>
      <sz val="11"/>
      <color theme="1"/>
      <name val="Times New Roman"/>
      <family val="1"/>
    </font>
    <font>
      <sz val="11"/>
      <color theme="0"/>
      <name val="Times New Roman"/>
      <family val="1"/>
    </font>
    <font>
      <b/>
      <sz val="10"/>
      <name val="Times New Roman"/>
      <family val="1"/>
    </font>
    <font>
      <b/>
      <sz val="10"/>
      <color theme="0"/>
      <name val="Times New Roman"/>
      <family val="1"/>
    </font>
    <font>
      <sz val="12"/>
      <color theme="0"/>
      <name val="Times New Roman"/>
      <family val="1"/>
    </font>
    <font>
      <sz val="10"/>
      <color theme="0"/>
      <name val="Times New Roman"/>
      <family val="1"/>
    </font>
    <font>
      <b/>
      <sz val="11"/>
      <color theme="1"/>
      <name val="Times New Roman"/>
      <family val="1"/>
    </font>
    <font>
      <sz val="8"/>
      <color rgb="FF666666"/>
      <name val="Roboto"/>
    </font>
  </fonts>
  <fills count="6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33CCCC"/>
        <bgColor indexed="64"/>
      </patternFill>
    </fill>
    <fill>
      <patternFill patternType="solid">
        <fgColor rgb="FFFF99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2C6682"/>
        <bgColor rgb="FF2C6682"/>
      </patternFill>
    </fill>
    <fill>
      <patternFill patternType="solid">
        <fgColor rgb="FF92D050"/>
        <bgColor rgb="FF92D050"/>
      </patternFill>
    </fill>
    <fill>
      <patternFill patternType="solid">
        <fgColor rgb="FFC5E0B3"/>
        <bgColor rgb="FFC5E0B3"/>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59999389629810485"/>
        <bgColor indexed="64"/>
      </patternFill>
    </fill>
  </fills>
  <borders count="589">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53B3DD"/>
      </left>
      <right style="medium">
        <color rgb="FF2C6682"/>
      </right>
      <top style="medium">
        <color theme="0"/>
      </top>
      <bottom/>
      <diagonal/>
    </border>
    <border>
      <left/>
      <right style="medium">
        <color rgb="FF2C6682"/>
      </right>
      <top style="thick">
        <color rgb="FF53B3DD"/>
      </top>
      <bottom/>
      <diagonal/>
    </border>
    <border>
      <left/>
      <right style="medium">
        <color rgb="FF2C6682"/>
      </right>
      <top/>
      <bottom/>
      <diagonal/>
    </border>
    <border>
      <left/>
      <right style="medium">
        <color rgb="FF2C6682"/>
      </right>
      <top/>
      <bottom style="thin">
        <color rgb="FF53B3DD"/>
      </bottom>
      <diagonal/>
    </border>
    <border>
      <left style="medium">
        <color rgb="FF53B3DD"/>
      </left>
      <right style="medium">
        <color rgb="FF2C6682"/>
      </right>
      <top style="medium">
        <color theme="0"/>
      </top>
      <bottom style="medium">
        <color theme="0"/>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right style="medium">
        <color rgb="FF2C6682"/>
      </right>
      <top/>
      <bottom style="thin">
        <color theme="0"/>
      </bottom>
      <diagonal/>
    </border>
    <border>
      <left/>
      <right style="medium">
        <color rgb="FF2C6682"/>
      </right>
      <top style="thin">
        <color rgb="FF53B3DD"/>
      </top>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right/>
      <top style="thin">
        <color theme="0"/>
      </top>
      <bottom style="medium">
        <color indexed="64"/>
      </bottom>
      <diagonal/>
    </border>
    <border>
      <left/>
      <right style="thin">
        <color theme="0"/>
      </right>
      <top style="thin">
        <color theme="0"/>
      </top>
      <bottom style="medium">
        <color indexed="64"/>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right style="medium">
        <color rgb="FF53B3DD"/>
      </right>
      <top style="hair">
        <color indexed="64"/>
      </top>
      <bottom style="hair">
        <color rgb="FF7F7F7F"/>
      </bottom>
      <diagonal/>
    </border>
    <border>
      <left style="thin">
        <color theme="0"/>
      </left>
      <right style="thin">
        <color indexed="64"/>
      </right>
      <top style="thin">
        <color theme="0"/>
      </top>
      <bottom style="thin">
        <color theme="0"/>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rgb="FF53B3DD"/>
      </right>
      <top style="hair">
        <color theme="0" tint="-0.499984740745262"/>
      </top>
      <bottom style="hair">
        <color theme="0" tint="-0.499984740745262"/>
      </bottom>
      <diagonal/>
    </border>
    <border>
      <left style="medium">
        <color theme="0"/>
      </left>
      <right/>
      <top style="medium">
        <color indexed="64"/>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thin">
        <color theme="0"/>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ck">
        <color rgb="FF53B3DD"/>
      </left>
      <right style="dotted">
        <color indexed="64"/>
      </right>
      <top style="dotted">
        <color indexed="64"/>
      </top>
      <bottom style="thick">
        <color rgb="FF53B3DD"/>
      </bottom>
      <diagonal/>
    </border>
    <border>
      <left/>
      <right/>
      <top/>
      <bottom style="thick">
        <color rgb="FF53B3DD"/>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right style="thick">
        <color indexed="64"/>
      </right>
      <top/>
      <bottom/>
      <diagonal/>
    </border>
    <border>
      <left/>
      <right style="thick">
        <color indexed="64"/>
      </right>
      <top style="dashed">
        <color indexed="64"/>
      </top>
      <bottom style="medium">
        <color indexed="64"/>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medium">
        <color indexed="64"/>
      </right>
      <top style="thin">
        <color indexed="64"/>
      </top>
      <bottom style="dashed">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style="dashed">
        <color indexed="64"/>
      </right>
      <top style="dotted">
        <color indexed="64"/>
      </top>
      <bottom style="dashed">
        <color indexed="64"/>
      </bottom>
      <diagonal/>
    </border>
    <border>
      <left style="dashed">
        <color auto="1"/>
      </left>
      <right style="dashed">
        <color auto="1"/>
      </right>
      <top style="dashed">
        <color auto="1"/>
      </top>
      <bottom/>
      <diagonal/>
    </border>
    <border>
      <left style="hair">
        <color auto="1"/>
      </left>
      <right style="hair">
        <color auto="1"/>
      </right>
      <top style="thin">
        <color auto="1"/>
      </top>
      <bottom style="hair">
        <color auto="1"/>
      </bottom>
      <diagonal/>
    </border>
    <border>
      <left style="thin">
        <color indexed="64"/>
      </left>
      <right style="dotted">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right/>
      <top style="medium">
        <color rgb="FFDEE2E6"/>
      </top>
      <bottom/>
      <diagonal/>
    </border>
  </borders>
  <cellStyleXfs count="9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3" fillId="0" borderId="0"/>
    <xf numFmtId="0" fontId="1" fillId="21" borderId="119" applyNumberFormat="0" applyFont="0" applyAlignment="0" applyProtection="0"/>
    <xf numFmtId="0" fontId="14" fillId="0" borderId="0"/>
    <xf numFmtId="187" fontId="134" fillId="0" borderId="0" applyFont="0" applyFill="0" applyBorder="0" applyAlignment="0" applyProtection="0"/>
    <xf numFmtId="43" fontId="14" fillId="0" borderId="0" applyFont="0" applyFill="0" applyBorder="0" applyAlignment="0" applyProtection="0"/>
    <xf numFmtId="188"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8" fontId="1" fillId="0" borderId="0" applyFont="0" applyFill="0" applyBorder="0" applyAlignment="0" applyProtection="0"/>
    <xf numFmtId="0" fontId="154"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34" fillId="0" borderId="0"/>
    <xf numFmtId="43" fontId="14" fillId="0" borderId="0" applyFont="0" applyFill="0" applyBorder="0" applyAlignment="0" applyProtection="0"/>
    <xf numFmtId="0" fontId="14" fillId="0" borderId="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 fillId="0" borderId="0" applyFont="0" applyFill="0" applyBorder="0" applyAlignment="0" applyProtection="0"/>
    <xf numFmtId="9" fontId="1" fillId="0" borderId="0" applyFont="0" applyFill="0" applyBorder="0" applyAlignment="0" applyProtection="0"/>
    <xf numFmtId="0" fontId="154" fillId="0" borderId="0"/>
    <xf numFmtId="0" fontId="191" fillId="0" borderId="0" applyNumberFormat="0" applyFill="0" applyBorder="0" applyAlignment="0" applyProtection="0"/>
    <xf numFmtId="0" fontId="154" fillId="0" borderId="0"/>
    <xf numFmtId="0" fontId="134" fillId="0" borderId="0"/>
    <xf numFmtId="187" fontId="134" fillId="0" borderId="0" applyFont="0" applyFill="0" applyBorder="0" applyAlignment="0" applyProtection="0"/>
    <xf numFmtId="0" fontId="1" fillId="0" borderId="0"/>
    <xf numFmtId="187"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horizontal="justify" vertical="top" wrapText="1"/>
    </xf>
    <xf numFmtId="0" fontId="194" fillId="0" borderId="0"/>
    <xf numFmtId="0" fontId="134" fillId="0" borderId="0"/>
    <xf numFmtId="9" fontId="134" fillId="0" borderId="0" applyFont="0" applyFill="0" applyBorder="0" applyAlignment="0" applyProtection="0"/>
    <xf numFmtId="187" fontId="14" fillId="0" borderId="0" applyFont="0" applyFill="0" applyBorder="0" applyAlignment="0" applyProtection="0"/>
    <xf numFmtId="0" fontId="1" fillId="0" borderId="0"/>
    <xf numFmtId="0" fontId="134" fillId="0" borderId="0"/>
    <xf numFmtId="0" fontId="1" fillId="0" borderId="0"/>
    <xf numFmtId="0" fontId="134" fillId="0" borderId="0"/>
    <xf numFmtId="0" fontId="1" fillId="0" borderId="0"/>
    <xf numFmtId="0" fontId="134" fillId="0" borderId="0"/>
    <xf numFmtId="9" fontId="14"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0" fontId="1" fillId="0" borderId="0"/>
    <xf numFmtId="0" fontId="1" fillId="0" borderId="0"/>
    <xf numFmtId="0" fontId="134" fillId="0" borderId="0"/>
    <xf numFmtId="0" fontId="1" fillId="0" borderId="0"/>
    <xf numFmtId="43" fontId="1" fillId="0" borderId="0" applyFont="0" applyFill="0" applyBorder="0" applyAlignment="0" applyProtection="0"/>
    <xf numFmtId="0" fontId="193" fillId="0" borderId="0"/>
    <xf numFmtId="9" fontId="1" fillId="0" borderId="0" applyFont="0" applyFill="0" applyBorder="0" applyAlignment="0" applyProtection="0"/>
    <xf numFmtId="0" fontId="1" fillId="0" borderId="0"/>
    <xf numFmtId="0" fontId="14" fillId="0" borderId="0"/>
    <xf numFmtId="200" fontId="134" fillId="0" borderId="0" applyFont="0" applyFill="0" applyBorder="0" applyAlignment="0" applyProtection="0"/>
    <xf numFmtId="0" fontId="134" fillId="0" borderId="0"/>
  </cellStyleXfs>
  <cellXfs count="2180">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indent="1"/>
    </xf>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2" fillId="0" borderId="7"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6" fillId="0" borderId="18"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20" fillId="16" borderId="66" xfId="0" applyFont="1" applyFill="1" applyBorder="1" applyAlignment="1">
      <alignment horizontal="center" vertical="center" wrapText="1"/>
    </xf>
    <xf numFmtId="0" fontId="27" fillId="0" borderId="0" xfId="0" applyFont="1" applyAlignment="1">
      <alignment vertical="center"/>
    </xf>
    <xf numFmtId="0" fontId="28" fillId="14" borderId="71" xfId="0" applyFont="1" applyFill="1" applyBorder="1" applyAlignment="1">
      <alignment horizontal="left" vertical="center"/>
    </xf>
    <xf numFmtId="0" fontId="0" fillId="0" borderId="0" xfId="0" applyAlignment="1">
      <alignment wrapText="1"/>
    </xf>
    <xf numFmtId="0" fontId="20" fillId="16" borderId="68"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4" borderId="73" xfId="0" applyFont="1" applyFill="1" applyBorder="1" applyAlignment="1">
      <alignment horizontal="center" vertical="center" wrapText="1"/>
    </xf>
    <xf numFmtId="0" fontId="40" fillId="0" borderId="0" xfId="0" applyFont="1"/>
    <xf numFmtId="0" fontId="40"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center" vertical="center"/>
    </xf>
    <xf numFmtId="0" fontId="45" fillId="0" borderId="0" xfId="0" applyFont="1" applyAlignment="1">
      <alignment vertical="center"/>
    </xf>
    <xf numFmtId="0" fontId="42" fillId="0" borderId="0" xfId="0" applyFont="1" applyAlignment="1">
      <alignment horizontal="center" vertical="center"/>
    </xf>
    <xf numFmtId="0" fontId="43" fillId="0" borderId="0" xfId="0" applyFont="1"/>
    <xf numFmtId="0" fontId="22" fillId="18" borderId="0" xfId="0" applyFont="1" applyFill="1" applyAlignment="1">
      <alignment horizontal="center" vertical="center"/>
    </xf>
    <xf numFmtId="15" fontId="22" fillId="18" borderId="0" xfId="0" applyNumberFormat="1" applyFont="1" applyFill="1" applyAlignment="1">
      <alignment horizontal="center" vertical="center"/>
    </xf>
    <xf numFmtId="0" fontId="26" fillId="16" borderId="29" xfId="0" applyFont="1" applyFill="1" applyBorder="1" applyAlignment="1">
      <alignment horizontal="center" vertical="center"/>
    </xf>
    <xf numFmtId="0" fontId="20" fillId="16" borderId="29" xfId="0" applyFont="1" applyFill="1" applyBorder="1" applyAlignment="1">
      <alignment horizontal="right" vertical="center"/>
    </xf>
    <xf numFmtId="0" fontId="50" fillId="0" borderId="26" xfId="0" applyFont="1" applyBorder="1" applyAlignment="1">
      <alignment horizontal="center" vertical="center"/>
    </xf>
    <xf numFmtId="0" fontId="20" fillId="16" borderId="117" xfId="0" applyFont="1" applyFill="1" applyBorder="1" applyAlignment="1">
      <alignment horizontal="right" vertical="center"/>
    </xf>
    <xf numFmtId="0" fontId="50" fillId="0" borderId="53" xfId="0" applyFont="1" applyBorder="1" applyAlignment="1">
      <alignment horizontal="center" vertical="center"/>
    </xf>
    <xf numFmtId="0" fontId="20" fillId="16" borderId="121" xfId="0" applyFont="1" applyFill="1" applyBorder="1" applyAlignment="1">
      <alignment horizontal="right" vertical="center"/>
    </xf>
    <xf numFmtId="0" fontId="50" fillId="0" borderId="122" xfId="0" applyFont="1" applyBorder="1" applyAlignment="1">
      <alignment horizontal="center" vertical="center"/>
    </xf>
    <xf numFmtId="0" fontId="20" fillId="16" borderId="125" xfId="0" applyFont="1" applyFill="1" applyBorder="1" applyAlignment="1">
      <alignment horizontal="center" vertical="center" wrapText="1"/>
    </xf>
    <xf numFmtId="15" fontId="54" fillId="4" borderId="119" xfId="10" applyNumberFormat="1" applyFont="1" applyFill="1" applyAlignment="1" applyProtection="1">
      <alignment horizontal="center" vertical="center"/>
      <protection locked="0"/>
    </xf>
    <xf numFmtId="0" fontId="54" fillId="4" borderId="119" xfId="10" applyFont="1" applyFill="1" applyAlignment="1" applyProtection="1">
      <alignment vertical="center" shrinkToFit="1"/>
      <protection locked="0"/>
    </xf>
    <xf numFmtId="179" fontId="55" fillId="4" borderId="119" xfId="10" applyNumberFormat="1" applyFont="1" applyFill="1" applyAlignment="1" applyProtection="1">
      <alignment horizontal="right" vertical="center"/>
      <protection locked="0"/>
    </xf>
    <xf numFmtId="0" fontId="54" fillId="4" borderId="119" xfId="10" applyFont="1" applyFill="1" applyAlignment="1" applyProtection="1">
      <alignment horizontal="center" vertical="center"/>
      <protection locked="0"/>
    </xf>
    <xf numFmtId="15" fontId="54" fillId="4" borderId="130" xfId="10" applyNumberFormat="1" applyFont="1" applyFill="1" applyBorder="1" applyAlignment="1" applyProtection="1">
      <alignment horizontal="center" vertical="center"/>
      <protection locked="0"/>
    </xf>
    <xf numFmtId="0" fontId="54" fillId="4" borderId="130" xfId="10" applyFont="1" applyFill="1" applyBorder="1" applyAlignment="1" applyProtection="1">
      <alignment vertical="center" shrinkToFit="1"/>
      <protection locked="0"/>
    </xf>
    <xf numFmtId="180" fontId="54" fillId="4" borderId="130" xfId="10" applyNumberFormat="1" applyFont="1" applyFill="1" applyBorder="1" applyAlignment="1" applyProtection="1">
      <alignment horizontal="right" vertical="center"/>
      <protection locked="0"/>
    </xf>
    <xf numFmtId="0" fontId="54" fillId="4" borderId="130" xfId="10" applyFont="1" applyFill="1" applyBorder="1" applyAlignment="1" applyProtection="1">
      <alignment horizontal="center" vertical="center"/>
      <protection locked="0"/>
    </xf>
    <xf numFmtId="0" fontId="56" fillId="23" borderId="131" xfId="9" applyFont="1" applyFill="1" applyBorder="1" applyAlignment="1">
      <alignment horizontal="center" vertical="center"/>
    </xf>
    <xf numFmtId="0" fontId="54" fillId="4" borderId="132" xfId="10" applyFont="1" applyFill="1" applyBorder="1" applyAlignment="1" applyProtection="1">
      <alignment horizontal="center" vertical="center"/>
      <protection locked="0"/>
    </xf>
    <xf numFmtId="179" fontId="55" fillId="4" borderId="133" xfId="10" applyNumberFormat="1" applyFont="1" applyFill="1" applyBorder="1" applyAlignment="1" applyProtection="1">
      <alignment horizontal="right" vertical="center"/>
      <protection locked="0"/>
    </xf>
    <xf numFmtId="0" fontId="54" fillId="4" borderId="134" xfId="10" applyFont="1" applyFill="1" applyBorder="1" applyAlignment="1" applyProtection="1">
      <alignment horizontal="center" vertical="center"/>
      <protection locked="0"/>
    </xf>
    <xf numFmtId="180" fontId="54" fillId="4" borderId="135" xfId="10" applyNumberFormat="1" applyFont="1" applyFill="1" applyBorder="1" applyAlignment="1" applyProtection="1">
      <alignment horizontal="right" vertical="center"/>
      <protection locked="0"/>
    </xf>
    <xf numFmtId="0" fontId="54" fillId="4" borderId="136" xfId="10" applyFont="1" applyFill="1" applyBorder="1" applyAlignment="1" applyProtection="1">
      <alignment horizontal="center" vertical="center"/>
      <protection locked="0"/>
    </xf>
    <xf numFmtId="0" fontId="54" fillId="4" borderId="137" xfId="10" applyFont="1" applyFill="1" applyBorder="1" applyAlignment="1" applyProtection="1">
      <alignment horizontal="center" vertical="center"/>
      <protection locked="0"/>
    </xf>
    <xf numFmtId="15" fontId="54" fillId="4" borderId="136" xfId="10" applyNumberFormat="1" applyFont="1" applyFill="1" applyBorder="1" applyAlignment="1" applyProtection="1">
      <alignment horizontal="center" vertical="center"/>
      <protection locked="0"/>
    </xf>
    <xf numFmtId="179" fontId="55" fillId="4" borderId="133" xfId="10" applyNumberFormat="1" applyFont="1" applyFill="1" applyBorder="1" applyAlignment="1" applyProtection="1">
      <alignment horizontal="center" vertical="center"/>
      <protection locked="0"/>
    </xf>
    <xf numFmtId="0" fontId="54" fillId="4" borderId="132" xfId="10" quotePrefix="1" applyFont="1" applyFill="1" applyBorder="1" applyAlignment="1" applyProtection="1">
      <alignment horizontal="center" vertical="center"/>
      <protection locked="0"/>
    </xf>
    <xf numFmtId="15" fontId="54" fillId="4" borderId="119" xfId="10" quotePrefix="1" applyNumberFormat="1" applyFont="1" applyFill="1" applyAlignment="1" applyProtection="1">
      <alignment horizontal="center" vertical="center"/>
      <protection locked="0"/>
    </xf>
    <xf numFmtId="0" fontId="54" fillId="4" borderId="119" xfId="10" quotePrefix="1" applyFont="1" applyFill="1" applyAlignment="1" applyProtection="1">
      <alignment vertical="center" shrinkToFit="1"/>
      <protection locked="0"/>
    </xf>
    <xf numFmtId="179" fontId="55" fillId="4" borderId="119" xfId="10" quotePrefix="1" applyNumberFormat="1" applyFont="1" applyFill="1" applyAlignment="1" applyProtection="1">
      <alignment horizontal="right" vertical="center"/>
      <protection locked="0"/>
    </xf>
    <xf numFmtId="0" fontId="54" fillId="4" borderId="119" xfId="10" quotePrefix="1" applyFont="1" applyFill="1" applyAlignment="1" applyProtection="1">
      <alignment horizontal="center" vertical="center"/>
      <protection locked="0"/>
    </xf>
    <xf numFmtId="0" fontId="54" fillId="4" borderId="136" xfId="10" quotePrefix="1" applyFont="1" applyFill="1" applyBorder="1" applyAlignment="1" applyProtection="1">
      <alignment horizontal="center" vertical="center"/>
      <protection locked="0"/>
    </xf>
    <xf numFmtId="179" fontId="55" fillId="4" borderId="133" xfId="10" quotePrefix="1" applyNumberFormat="1" applyFont="1" applyFill="1" applyBorder="1" applyAlignment="1" applyProtection="1">
      <alignment horizontal="right" vertical="center"/>
      <protection locked="0"/>
    </xf>
    <xf numFmtId="15" fontId="0" fillId="0" borderId="0" xfId="0" applyNumberFormat="1"/>
    <xf numFmtId="168" fontId="46" fillId="20" borderId="11" xfId="0" applyNumberFormat="1" applyFont="1" applyFill="1" applyBorder="1" applyAlignment="1">
      <alignment horizontal="center" vertical="center" wrapText="1"/>
    </xf>
    <xf numFmtId="0" fontId="0" fillId="0" borderId="11" xfId="0" applyBorder="1" applyAlignment="1">
      <alignment horizontal="center" vertical="center"/>
    </xf>
    <xf numFmtId="1" fontId="57" fillId="20" borderId="11" xfId="0" applyNumberFormat="1" applyFont="1" applyFill="1" applyBorder="1" applyAlignment="1">
      <alignment horizontal="center" vertical="center" wrapText="1"/>
    </xf>
    <xf numFmtId="167" fontId="25" fillId="13" borderId="79" xfId="0" applyNumberFormat="1" applyFont="1" applyFill="1" applyBorder="1" applyAlignment="1">
      <alignment horizontal="center" vertical="center" wrapText="1"/>
    </xf>
    <xf numFmtId="167" fontId="59" fillId="13" borderId="79" xfId="0" applyNumberFormat="1" applyFont="1" applyFill="1" applyBorder="1" applyAlignment="1">
      <alignment horizontal="center" vertical="center" wrapText="1"/>
    </xf>
    <xf numFmtId="0" fontId="25" fillId="13" borderId="79" xfId="0" applyFont="1" applyFill="1" applyBorder="1" applyAlignment="1">
      <alignment horizontal="left" vertical="top" wrapText="1"/>
    </xf>
    <xf numFmtId="0" fontId="24" fillId="13" borderId="153" xfId="0" applyFont="1" applyFill="1" applyBorder="1" applyAlignment="1">
      <alignment horizontal="left" vertical="center" wrapText="1"/>
    </xf>
    <xf numFmtId="1" fontId="24" fillId="13" borderId="153" xfId="0" applyNumberFormat="1" applyFont="1" applyFill="1" applyBorder="1" applyAlignment="1">
      <alignment horizontal="center" vertical="center" wrapText="1"/>
    </xf>
    <xf numFmtId="0" fontId="24" fillId="13" borderId="153" xfId="0" quotePrefix="1" applyFont="1" applyFill="1" applyBorder="1" applyAlignment="1">
      <alignment horizontal="center" vertical="center" wrapText="1"/>
    </xf>
    <xf numFmtId="0" fontId="24" fillId="13" borderId="154" xfId="0" quotePrefix="1" applyFont="1" applyFill="1" applyBorder="1" applyAlignment="1">
      <alignment horizontal="center" vertical="center" wrapText="1"/>
    </xf>
    <xf numFmtId="177" fontId="24" fillId="13" borderId="155" xfId="0" applyNumberFormat="1" applyFont="1" applyFill="1" applyBorder="1" applyAlignment="1">
      <alignment horizontal="center" vertical="center" wrapText="1"/>
    </xf>
    <xf numFmtId="0" fontId="23" fillId="13" borderId="156" xfId="0" quotePrefix="1" applyFont="1" applyFill="1" applyBorder="1" applyAlignment="1">
      <alignment horizontal="center" vertical="center" wrapText="1"/>
    </xf>
    <xf numFmtId="177" fontId="23" fillId="13" borderId="149" xfId="0" applyNumberFormat="1" applyFont="1" applyFill="1" applyBorder="1" applyAlignment="1">
      <alignment horizontal="center" vertical="center" wrapText="1"/>
    </xf>
    <xf numFmtId="0" fontId="0" fillId="0" borderId="218" xfId="0" applyBorder="1"/>
    <xf numFmtId="0" fontId="0" fillId="0" borderId="54" xfId="0" applyBorder="1"/>
    <xf numFmtId="0" fontId="0" fillId="0" borderId="55" xfId="0" applyBorder="1"/>
    <xf numFmtId="0" fontId="0" fillId="0" borderId="60" xfId="0" applyBorder="1"/>
    <xf numFmtId="0" fontId="0" fillId="0" borderId="59" xfId="0" applyBorder="1"/>
    <xf numFmtId="0" fontId="72" fillId="14" borderId="103" xfId="0" applyFont="1" applyFill="1" applyBorder="1" applyAlignment="1">
      <alignment horizontal="center" vertical="center" wrapText="1"/>
    </xf>
    <xf numFmtId="0" fontId="72" fillId="14" borderId="259" xfId="0" applyFont="1" applyFill="1" applyBorder="1" applyAlignment="1">
      <alignment horizontal="center" vertical="center" wrapText="1"/>
    </xf>
    <xf numFmtId="0" fontId="72" fillId="14" borderId="260" xfId="0" applyFont="1" applyFill="1" applyBorder="1" applyAlignment="1">
      <alignment horizontal="center" vertical="center" wrapText="1"/>
    </xf>
    <xf numFmtId="0" fontId="72" fillId="14" borderId="116" xfId="0" applyFont="1" applyFill="1" applyBorder="1" applyAlignment="1">
      <alignment horizontal="center" vertical="center" wrapText="1"/>
    </xf>
    <xf numFmtId="0" fontId="72" fillId="14" borderId="65" xfId="0" applyFont="1" applyFill="1" applyBorder="1" applyAlignment="1">
      <alignment horizontal="center" vertical="center" wrapText="1"/>
    </xf>
    <xf numFmtId="0" fontId="38" fillId="32" borderId="275" xfId="0" applyFont="1" applyFill="1" applyBorder="1" applyAlignment="1">
      <alignment horizontal="center" vertical="center"/>
    </xf>
    <xf numFmtId="165" fontId="38" fillId="32" borderId="276" xfId="0" applyNumberFormat="1" applyFont="1" applyFill="1" applyBorder="1" applyAlignment="1">
      <alignment vertical="center"/>
    </xf>
    <xf numFmtId="0" fontId="60" fillId="27" borderId="316" xfId="0" applyFont="1" applyFill="1" applyBorder="1" applyAlignment="1">
      <alignment horizontal="centerContinuous" vertical="center"/>
    </xf>
    <xf numFmtId="0" fontId="60" fillId="27" borderId="293" xfId="0" applyFont="1" applyFill="1" applyBorder="1" applyAlignment="1">
      <alignment horizontal="centerContinuous" vertical="center"/>
    </xf>
    <xf numFmtId="0" fontId="60" fillId="27" borderId="294" xfId="0" applyFont="1" applyFill="1" applyBorder="1" applyAlignment="1">
      <alignment horizontal="centerContinuous" vertical="center"/>
    </xf>
    <xf numFmtId="0" fontId="60" fillId="0" borderId="317" xfId="0" applyFont="1" applyBorder="1" applyAlignment="1" applyProtection="1">
      <alignment horizontal="center" vertical="center"/>
      <protection locked="0"/>
    </xf>
    <xf numFmtId="0" fontId="60" fillId="0" borderId="296" xfId="0" applyFont="1" applyBorder="1" applyAlignment="1" applyProtection="1">
      <alignment horizontal="center" vertical="center"/>
      <protection locked="0"/>
    </xf>
    <xf numFmtId="0" fontId="60" fillId="0" borderId="297" xfId="0" applyFont="1" applyBorder="1" applyAlignment="1" applyProtection="1">
      <alignment horizontal="center" vertical="center" wrapText="1"/>
      <protection locked="0"/>
    </xf>
    <xf numFmtId="0" fontId="60" fillId="2" borderId="297" xfId="0" applyFont="1" applyFill="1" applyBorder="1" applyAlignment="1">
      <alignment horizontal="center" vertical="center"/>
    </xf>
    <xf numFmtId="38" fontId="60" fillId="0" borderId="296" xfId="0" applyNumberFormat="1" applyFont="1" applyBorder="1" applyAlignment="1" applyProtection="1">
      <alignment horizontal="center" vertical="center"/>
      <protection locked="0"/>
    </xf>
    <xf numFmtId="10" fontId="60" fillId="2" borderId="297" xfId="2" applyNumberFormat="1" applyFont="1" applyFill="1" applyBorder="1" applyAlignment="1">
      <alignment horizontal="center" vertical="center"/>
    </xf>
    <xf numFmtId="38" fontId="60" fillId="0" borderId="317" xfId="0" applyNumberFormat="1" applyFont="1" applyBorder="1" applyAlignment="1">
      <alignment horizontal="center" vertical="center"/>
    </xf>
    <xf numFmtId="38" fontId="60" fillId="2" borderId="296" xfId="0" applyNumberFormat="1" applyFont="1" applyFill="1" applyBorder="1" applyAlignment="1">
      <alignment horizontal="center" vertical="center"/>
    </xf>
    <xf numFmtId="0" fontId="81" fillId="27" borderId="319" xfId="0" applyFont="1" applyFill="1" applyBorder="1" applyAlignment="1">
      <alignment horizontal="centerContinuous" vertical="center"/>
    </xf>
    <xf numFmtId="0" fontId="81" fillId="27" borderId="320" xfId="0" applyFont="1" applyFill="1" applyBorder="1" applyAlignment="1">
      <alignment horizontal="centerContinuous" vertical="center"/>
    </xf>
    <xf numFmtId="0" fontId="80" fillId="27" borderId="339" xfId="0" applyFont="1" applyFill="1" applyBorder="1" applyAlignment="1">
      <alignment horizontal="centerContinuous" vertical="center"/>
    </xf>
    <xf numFmtId="0" fontId="60" fillId="27" borderId="292" xfId="0" applyFont="1" applyFill="1" applyBorder="1" applyAlignment="1">
      <alignment horizontal="centerContinuous" vertical="center"/>
    </xf>
    <xf numFmtId="38" fontId="60" fillId="0" borderId="298" xfId="0" applyNumberFormat="1" applyFont="1" applyBorder="1" applyAlignment="1" applyProtection="1">
      <alignment horizontal="center" vertical="center"/>
      <protection locked="0"/>
    </xf>
    <xf numFmtId="0" fontId="75" fillId="37" borderId="194" xfId="0" applyFont="1" applyFill="1" applyBorder="1" applyAlignment="1">
      <alignment horizontal="centerContinuous" vertical="center"/>
    </xf>
    <xf numFmtId="0" fontId="75" fillId="37" borderId="182" xfId="0" applyFont="1" applyFill="1" applyBorder="1" applyAlignment="1">
      <alignment horizontal="centerContinuous" vertical="center"/>
    </xf>
    <xf numFmtId="0" fontId="75" fillId="37" borderId="168" xfId="0" applyFont="1" applyFill="1" applyBorder="1" applyAlignment="1">
      <alignment horizontal="centerContinuous" vertical="center"/>
    </xf>
    <xf numFmtId="0" fontId="93" fillId="0" borderId="0" xfId="4" applyFont="1"/>
    <xf numFmtId="0" fontId="97" fillId="0" borderId="0" xfId="4" applyFont="1"/>
    <xf numFmtId="166" fontId="93" fillId="0" borderId="0" xfId="4" applyNumberFormat="1" applyFont="1"/>
    <xf numFmtId="10" fontId="93" fillId="0" borderId="0" xfId="4" applyNumberFormat="1" applyFont="1"/>
    <xf numFmtId="166" fontId="93" fillId="0" borderId="0" xfId="5" applyNumberFormat="1" applyFont="1" applyProtection="1"/>
    <xf numFmtId="0" fontId="93" fillId="0" borderId="0" xfId="4" applyFont="1" applyAlignment="1">
      <alignment horizontal="center" vertical="center"/>
    </xf>
    <xf numFmtId="0" fontId="93" fillId="13" borderId="0" xfId="4" applyFont="1" applyFill="1"/>
    <xf numFmtId="0" fontId="93" fillId="0" borderId="0" xfId="4" applyFont="1" applyAlignment="1">
      <alignment vertical="center"/>
    </xf>
    <xf numFmtId="0" fontId="97" fillId="13" borderId="0" xfId="4" applyFont="1" applyFill="1" applyAlignment="1">
      <alignment vertical="center" wrapText="1"/>
    </xf>
    <xf numFmtId="0" fontId="97" fillId="13" borderId="0" xfId="4" applyFont="1" applyFill="1" applyAlignment="1">
      <alignment horizontal="left" vertical="center" wrapText="1"/>
    </xf>
    <xf numFmtId="0" fontId="97" fillId="0" borderId="0" xfId="11" applyFont="1" applyAlignment="1">
      <alignment vertical="center" wrapText="1"/>
    </xf>
    <xf numFmtId="0" fontId="93" fillId="0" borderId="0" xfId="4" applyFont="1" applyAlignment="1">
      <alignment vertical="center" wrapText="1"/>
    </xf>
    <xf numFmtId="0" fontId="97" fillId="0" borderId="0" xfId="11" applyFont="1" applyAlignment="1">
      <alignment horizontal="left" vertical="center" wrapText="1"/>
    </xf>
    <xf numFmtId="0" fontId="0" fillId="0" borderId="343" xfId="0" applyBorder="1"/>
    <xf numFmtId="0" fontId="0" fillId="0" borderId="344" xfId="0" applyBorder="1"/>
    <xf numFmtId="0" fontId="0" fillId="0" borderId="345" xfId="0" applyBorder="1"/>
    <xf numFmtId="0" fontId="102" fillId="0" borderId="0" xfId="0" applyFont="1"/>
    <xf numFmtId="0" fontId="103" fillId="0" borderId="0" xfId="0" applyFont="1"/>
    <xf numFmtId="9" fontId="102" fillId="0" borderId="0" xfId="2" applyFont="1" applyProtection="1"/>
    <xf numFmtId="0" fontId="102" fillId="0" borderId="0" xfId="2" applyNumberFormat="1" applyFont="1" applyProtection="1"/>
    <xf numFmtId="0" fontId="112" fillId="25" borderId="5" xfId="11" applyFont="1" applyFill="1" applyBorder="1" applyAlignment="1">
      <alignment horizontal="center" vertical="center"/>
    </xf>
    <xf numFmtId="0" fontId="112" fillId="25" borderId="371" xfId="11" applyFont="1" applyFill="1" applyBorder="1" applyAlignment="1">
      <alignment horizontal="center" vertical="center" wrapText="1"/>
    </xf>
    <xf numFmtId="0" fontId="112" fillId="25" borderId="372" xfId="11" applyFont="1" applyFill="1" applyBorder="1" applyAlignment="1">
      <alignment horizontal="center" vertical="center" wrapText="1"/>
    </xf>
    <xf numFmtId="0" fontId="106" fillId="2" borderId="0" xfId="0" applyFont="1" applyFill="1" applyAlignment="1">
      <alignment vertical="center"/>
    </xf>
    <xf numFmtId="0" fontId="113" fillId="25" borderId="5" xfId="11" applyFont="1" applyFill="1" applyBorder="1" applyAlignment="1">
      <alignment horizontal="center" vertical="center"/>
    </xf>
    <xf numFmtId="0" fontId="114" fillId="0" borderId="0" xfId="0" applyFont="1" applyAlignment="1">
      <alignment vertical="center"/>
    </xf>
    <xf numFmtId="0" fontId="118" fillId="2" borderId="0" xfId="0" applyFont="1" applyFill="1" applyAlignment="1">
      <alignment vertical="center"/>
    </xf>
    <xf numFmtId="0" fontId="114" fillId="39" borderId="0" xfId="0" applyFont="1" applyFill="1" applyAlignment="1">
      <alignment horizontal="center" vertical="center" wrapText="1"/>
    </xf>
    <xf numFmtId="0" fontId="103" fillId="0" borderId="0" xfId="11" applyFont="1" applyAlignment="1">
      <alignment vertical="center" wrapText="1"/>
    </xf>
    <xf numFmtId="1" fontId="102" fillId="0" borderId="0" xfId="0" applyNumberFormat="1" applyFont="1"/>
    <xf numFmtId="0" fontId="102" fillId="13" borderId="0" xfId="0" applyFont="1" applyFill="1"/>
    <xf numFmtId="0" fontId="102" fillId="0" borderId="0" xfId="0" applyFont="1" applyAlignment="1">
      <alignment horizontal="center" vertical="center"/>
    </xf>
    <xf numFmtId="0" fontId="103" fillId="0" borderId="0" xfId="11" applyFont="1" applyAlignment="1">
      <alignment horizontal="center" vertical="center" wrapText="1"/>
    </xf>
    <xf numFmtId="0" fontId="102" fillId="0" borderId="0" xfId="0" applyFont="1" applyAlignment="1">
      <alignment vertical="center"/>
    </xf>
    <xf numFmtId="0" fontId="102" fillId="0" borderId="0" xfId="0" applyFont="1" applyAlignment="1">
      <alignment vertical="center" wrapText="1"/>
    </xf>
    <xf numFmtId="0" fontId="102" fillId="0" borderId="80" xfId="0" applyFont="1" applyBorder="1" applyAlignment="1">
      <alignment horizontal="center" vertical="center"/>
    </xf>
    <xf numFmtId="10" fontId="102" fillId="0" borderId="80" xfId="0" applyNumberFormat="1" applyFont="1" applyBorder="1" applyAlignment="1">
      <alignment horizontal="center" vertical="center"/>
    </xf>
    <xf numFmtId="0" fontId="103" fillId="0" borderId="0" xfId="11" applyFont="1" applyAlignment="1">
      <alignment vertical="top" wrapText="1"/>
    </xf>
    <xf numFmtId="0" fontId="102" fillId="0" borderId="381" xfId="0" applyFont="1" applyBorder="1" applyAlignment="1">
      <alignment horizontal="center" vertical="center"/>
    </xf>
    <xf numFmtId="9" fontId="102" fillId="0" borderId="381" xfId="2" applyFont="1" applyFill="1" applyBorder="1" applyAlignment="1" applyProtection="1">
      <alignment horizontal="center" vertical="center"/>
    </xf>
    <xf numFmtId="0" fontId="102" fillId="0" borderId="0" xfId="0" applyFont="1" applyAlignment="1">
      <alignment horizontal="right" vertical="center"/>
    </xf>
    <xf numFmtId="2" fontId="102" fillId="0" borderId="0" xfId="0" applyNumberFormat="1" applyFont="1" applyAlignment="1">
      <alignment vertical="center"/>
    </xf>
    <xf numFmtId="0" fontId="121" fillId="0" borderId="0" xfId="11" applyFont="1" applyAlignment="1">
      <alignment horizontal="center" vertical="center" wrapText="1"/>
    </xf>
    <xf numFmtId="0" fontId="122" fillId="0" borderId="0" xfId="11" applyFont="1" applyAlignment="1">
      <alignment horizontal="center" vertical="center" wrapText="1"/>
    </xf>
    <xf numFmtId="2" fontId="102" fillId="2" borderId="0" xfId="0" applyNumberFormat="1" applyFont="1" applyFill="1" applyAlignment="1">
      <alignment vertical="center"/>
    </xf>
    <xf numFmtId="184" fontId="102" fillId="0" borderId="0" xfId="0" applyNumberFormat="1" applyFont="1"/>
    <xf numFmtId="0" fontId="103" fillId="0" borderId="0" xfId="11" applyFont="1" applyAlignment="1">
      <alignment horizontal="left" vertical="center" wrapText="1"/>
    </xf>
    <xf numFmtId="0" fontId="115" fillId="2" borderId="377" xfId="11" applyFont="1" applyFill="1" applyBorder="1" applyAlignment="1">
      <alignment horizontal="center" vertical="center"/>
    </xf>
    <xf numFmtId="0" fontId="123" fillId="2" borderId="0" xfId="11" applyFont="1" applyFill="1" applyAlignment="1">
      <alignment horizontal="center"/>
    </xf>
    <xf numFmtId="0" fontId="106" fillId="2" borderId="0" xfId="0" applyFont="1" applyFill="1"/>
    <xf numFmtId="0" fontId="123" fillId="0" borderId="0" xfId="11" applyFont="1" applyAlignment="1" applyProtection="1">
      <alignment horizontal="center" vertical="center"/>
      <protection locked="0"/>
    </xf>
    <xf numFmtId="0" fontId="106" fillId="2" borderId="0" xfId="0" applyFont="1" applyFill="1" applyAlignment="1">
      <alignment horizontal="center"/>
    </xf>
    <xf numFmtId="0" fontId="124" fillId="2" borderId="0" xfId="0" applyFont="1" applyFill="1" applyAlignment="1">
      <alignment vertical="center" wrapText="1"/>
    </xf>
    <xf numFmtId="0" fontId="112" fillId="2" borderId="0" xfId="0" applyFont="1" applyFill="1" applyAlignment="1">
      <alignment vertical="center" wrapText="1"/>
    </xf>
    <xf numFmtId="0" fontId="124" fillId="2" borderId="0" xfId="0" applyFont="1" applyFill="1" applyAlignment="1">
      <alignment horizontal="right" vertical="center" wrapText="1"/>
    </xf>
    <xf numFmtId="0" fontId="112" fillId="2" borderId="0" xfId="0" applyFont="1" applyFill="1" applyAlignment="1">
      <alignment horizontal="left" vertical="center" wrapText="1"/>
    </xf>
    <xf numFmtId="0" fontId="127" fillId="0" borderId="72" xfId="0" applyFont="1" applyBorder="1" applyAlignment="1">
      <alignment vertical="center" wrapText="1"/>
    </xf>
    <xf numFmtId="0" fontId="128" fillId="0" borderId="72" xfId="0" applyFont="1" applyBorder="1" applyAlignment="1">
      <alignment vertical="center" wrapText="1"/>
    </xf>
    <xf numFmtId="0" fontId="128" fillId="0" borderId="72" xfId="0" applyFont="1" applyBorder="1" applyAlignment="1">
      <alignment vertical="center"/>
    </xf>
    <xf numFmtId="0" fontId="127" fillId="0" borderId="0" xfId="0" applyFont="1" applyAlignment="1">
      <alignment vertical="center" wrapText="1"/>
    </xf>
    <xf numFmtId="0" fontId="129" fillId="0" borderId="0" xfId="0" applyFont="1" applyAlignment="1">
      <alignment vertical="top" wrapText="1"/>
    </xf>
    <xf numFmtId="0" fontId="102" fillId="0" borderId="0" xfId="0" applyFont="1" applyAlignment="1">
      <alignment vertical="top" wrapText="1"/>
    </xf>
    <xf numFmtId="0" fontId="130" fillId="0" borderId="0" xfId="0" applyFont="1" applyAlignment="1">
      <alignment vertical="center" wrapText="1"/>
    </xf>
    <xf numFmtId="166" fontId="131" fillId="40" borderId="266" xfId="2" applyNumberFormat="1" applyFont="1" applyFill="1" applyBorder="1" applyAlignment="1" applyProtection="1">
      <alignment horizontal="center" vertical="center"/>
    </xf>
    <xf numFmtId="165" fontId="2" fillId="40" borderId="263" xfId="1" applyNumberFormat="1" applyFont="1" applyFill="1" applyBorder="1" applyAlignment="1" applyProtection="1">
      <alignment vertical="center"/>
    </xf>
    <xf numFmtId="15" fontId="0" fillId="0" borderId="0" xfId="0" applyNumberFormat="1" applyAlignment="1">
      <alignment horizontal="center"/>
    </xf>
    <xf numFmtId="0" fontId="34" fillId="14" borderId="218" xfId="0" applyFont="1" applyFill="1" applyBorder="1" applyAlignment="1">
      <alignment horizontal="center" vertical="center" wrapText="1"/>
    </xf>
    <xf numFmtId="0" fontId="34" fillId="14" borderId="400" xfId="0" applyFont="1" applyFill="1" applyBorder="1" applyAlignment="1">
      <alignment horizontal="center" vertical="center" wrapText="1"/>
    </xf>
    <xf numFmtId="0" fontId="0" fillId="0" borderId="5" xfId="0" applyBorder="1" applyAlignment="1">
      <alignment horizontal="center" vertical="center"/>
    </xf>
    <xf numFmtId="0" fontId="60" fillId="27" borderId="409" xfId="0" quotePrefix="1" applyFont="1" applyFill="1" applyBorder="1" applyAlignment="1">
      <alignment horizontal="center" vertical="center" wrapText="1"/>
    </xf>
    <xf numFmtId="0" fontId="60" fillId="27" borderId="410" xfId="0" quotePrefix="1" applyFont="1" applyFill="1" applyBorder="1" applyAlignment="1">
      <alignment horizontal="center" vertical="center" wrapText="1"/>
    </xf>
    <xf numFmtId="0" fontId="60" fillId="27" borderId="411" xfId="0" quotePrefix="1" applyFont="1" applyFill="1" applyBorder="1" applyAlignment="1">
      <alignment horizontal="center" vertical="center" wrapText="1"/>
    </xf>
    <xf numFmtId="0" fontId="60" fillId="27" borderId="410" xfId="0" quotePrefix="1" applyFont="1" applyFill="1" applyBorder="1" applyAlignment="1">
      <alignment vertical="center" wrapText="1"/>
    </xf>
    <xf numFmtId="0" fontId="2" fillId="0" borderId="218" xfId="0" applyFont="1" applyBorder="1"/>
    <xf numFmtId="0" fontId="2" fillId="0" borderId="54" xfId="0" applyFont="1" applyBorder="1"/>
    <xf numFmtId="0" fontId="2" fillId="0" borderId="55" xfId="0" applyFont="1" applyBorder="1"/>
    <xf numFmtId="0" fontId="0" fillId="20" borderId="377" xfId="0" applyFill="1" applyBorder="1" applyAlignment="1">
      <alignment horizontal="center" vertical="center"/>
    </xf>
    <xf numFmtId="0" fontId="0" fillId="0" borderId="18" xfId="0" applyBorder="1" applyAlignment="1">
      <alignment horizontal="center" vertical="center"/>
    </xf>
    <xf numFmtId="0" fontId="47" fillId="16" borderId="60" xfId="0" applyFont="1" applyFill="1" applyBorder="1" applyAlignment="1">
      <alignment wrapText="1"/>
    </xf>
    <xf numFmtId="0" fontId="47" fillId="16" borderId="0" xfId="0" applyFont="1" applyFill="1" applyAlignment="1">
      <alignment wrapText="1"/>
    </xf>
    <xf numFmtId="0" fontId="47" fillId="16" borderId="59"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3" xfId="0" applyNumberFormat="1" applyBorder="1" applyAlignment="1">
      <alignment wrapText="1"/>
    </xf>
    <xf numFmtId="186" fontId="0" fillId="0" borderId="344" xfId="0" applyNumberFormat="1" applyBorder="1" applyAlignment="1">
      <alignment wrapText="1"/>
    </xf>
    <xf numFmtId="185" fontId="0" fillId="0" borderId="344" xfId="0" applyNumberFormat="1" applyBorder="1" applyAlignment="1">
      <alignment wrapText="1"/>
    </xf>
    <xf numFmtId="185" fontId="0" fillId="0" borderId="345" xfId="0" applyNumberFormat="1" applyBorder="1" applyAlignment="1">
      <alignment wrapText="1"/>
    </xf>
    <xf numFmtId="37" fontId="0" fillId="0" borderId="343" xfId="0" applyNumberFormat="1" applyBorder="1" applyAlignment="1">
      <alignment wrapText="1"/>
    </xf>
    <xf numFmtId="37" fontId="0" fillId="0" borderId="344" xfId="0" applyNumberFormat="1" applyBorder="1" applyAlignment="1">
      <alignment wrapText="1"/>
    </xf>
    <xf numFmtId="38" fontId="0" fillId="0" borderId="344" xfId="0" applyNumberFormat="1" applyBorder="1" applyAlignment="1">
      <alignment wrapText="1"/>
    </xf>
    <xf numFmtId="38" fontId="0" fillId="0" borderId="345" xfId="0" applyNumberFormat="1" applyBorder="1" applyAlignment="1">
      <alignment wrapText="1"/>
    </xf>
    <xf numFmtId="10" fontId="0" fillId="0" borderId="343" xfId="0" applyNumberFormat="1" applyBorder="1" applyAlignment="1">
      <alignment wrapText="1"/>
    </xf>
    <xf numFmtId="10" fontId="0" fillId="0" borderId="344" xfId="0" applyNumberFormat="1" applyBorder="1" applyAlignment="1">
      <alignment wrapText="1"/>
    </xf>
    <xf numFmtId="0" fontId="0" fillId="0" borderId="344" xfId="0" applyBorder="1" applyAlignment="1">
      <alignment wrapText="1"/>
    </xf>
    <xf numFmtId="10" fontId="0" fillId="0" borderId="345" xfId="0" applyNumberFormat="1" applyBorder="1" applyAlignment="1">
      <alignment wrapText="1"/>
    </xf>
    <xf numFmtId="0" fontId="0" fillId="0" borderId="343" xfId="0" applyBorder="1" applyAlignment="1">
      <alignment wrapText="1"/>
    </xf>
    <xf numFmtId="0" fontId="0" fillId="0" borderId="345" xfId="0" applyBorder="1" applyAlignment="1">
      <alignment wrapText="1"/>
    </xf>
    <xf numFmtId="15" fontId="0" fillId="0" borderId="343" xfId="0" applyNumberFormat="1" applyBorder="1" applyAlignment="1">
      <alignment wrapText="1"/>
    </xf>
    <xf numFmtId="15" fontId="0" fillId="0" borderId="344" xfId="0" applyNumberFormat="1" applyBorder="1" applyAlignment="1">
      <alignment wrapText="1"/>
    </xf>
    <xf numFmtId="37" fontId="70" fillId="0" borderId="344" xfId="0" applyNumberFormat="1" applyFont="1" applyBorder="1" applyAlignment="1">
      <alignment wrapText="1"/>
    </xf>
    <xf numFmtId="15" fontId="70" fillId="0" borderId="344" xfId="0" applyNumberFormat="1" applyFont="1" applyBorder="1" applyAlignment="1">
      <alignment wrapText="1"/>
    </xf>
    <xf numFmtId="37" fontId="70" fillId="0" borderId="345" xfId="0" applyNumberFormat="1" applyFont="1" applyBorder="1" applyAlignment="1">
      <alignment wrapText="1"/>
    </xf>
    <xf numFmtId="1" fontId="0" fillId="0" borderId="343" xfId="0" applyNumberFormat="1" applyBorder="1" applyAlignment="1">
      <alignment wrapText="1"/>
    </xf>
    <xf numFmtId="1" fontId="0" fillId="0" borderId="344" xfId="0" applyNumberFormat="1" applyBorder="1" applyAlignment="1">
      <alignment wrapText="1"/>
    </xf>
    <xf numFmtId="38" fontId="0" fillId="0" borderId="343" xfId="0" applyNumberFormat="1" applyBorder="1" applyAlignment="1">
      <alignment wrapText="1"/>
    </xf>
    <xf numFmtId="9" fontId="0" fillId="0" borderId="344" xfId="2" applyFont="1" applyBorder="1" applyAlignment="1">
      <alignment wrapText="1"/>
    </xf>
    <xf numFmtId="0" fontId="61" fillId="11" borderId="408" xfId="0" applyFont="1" applyFill="1" applyBorder="1" applyAlignment="1">
      <alignment horizontal="left" vertical="center"/>
    </xf>
    <xf numFmtId="0" fontId="61" fillId="11" borderId="406" xfId="0" applyFont="1" applyFill="1" applyBorder="1" applyAlignment="1">
      <alignment horizontal="left" vertical="center"/>
    </xf>
    <xf numFmtId="0" fontId="61" fillId="11" borderId="407" xfId="0" applyFont="1" applyFill="1" applyBorder="1" applyAlignment="1">
      <alignment horizontal="left" vertical="center"/>
    </xf>
    <xf numFmtId="0" fontId="60" fillId="29" borderId="224" xfId="0" applyFont="1" applyFill="1" applyBorder="1" applyAlignment="1">
      <alignment horizontal="center" vertical="center" wrapText="1"/>
    </xf>
    <xf numFmtId="0" fontId="60" fillId="29" borderId="225" xfId="0" applyFont="1" applyFill="1" applyBorder="1" applyAlignment="1">
      <alignment horizontal="center" vertical="center" wrapText="1"/>
    </xf>
    <xf numFmtId="0" fontId="60" fillId="29" borderId="242" xfId="0" applyFont="1" applyFill="1" applyBorder="1" applyAlignment="1">
      <alignment horizontal="center" vertical="center" wrapText="1"/>
    </xf>
    <xf numFmtId="0" fontId="88" fillId="30" borderId="229" xfId="0" applyFont="1" applyFill="1" applyBorder="1" applyAlignment="1">
      <alignment horizontal="center" vertical="center" wrapText="1"/>
    </xf>
    <xf numFmtId="0" fontId="88" fillId="2" borderId="232" xfId="0" applyFont="1" applyFill="1" applyBorder="1" applyAlignment="1">
      <alignment horizontal="center" vertical="center" wrapText="1"/>
    </xf>
    <xf numFmtId="0" fontId="88" fillId="30" borderId="232" xfId="0" applyFont="1" applyFill="1" applyBorder="1" applyAlignment="1">
      <alignment horizontal="center" vertical="center" wrapText="1"/>
    </xf>
    <xf numFmtId="0" fontId="88" fillId="2" borderId="244" xfId="0" applyFont="1" applyFill="1" applyBorder="1" applyAlignment="1">
      <alignment horizontal="center" vertical="center" wrapText="1"/>
    </xf>
    <xf numFmtId="0" fontId="88" fillId="30" borderId="230" xfId="0" applyFont="1" applyFill="1" applyBorder="1" applyAlignment="1">
      <alignment horizontal="center" vertical="center" wrapText="1"/>
    </xf>
    <xf numFmtId="0" fontId="88" fillId="2" borderId="233" xfId="0" applyFont="1" applyFill="1" applyBorder="1" applyAlignment="1">
      <alignment horizontal="center" vertical="center" wrapText="1"/>
    </xf>
    <xf numFmtId="0" fontId="88" fillId="30" borderId="233" xfId="0" applyFont="1" applyFill="1" applyBorder="1" applyAlignment="1">
      <alignment horizontal="center" vertical="center" wrapText="1"/>
    </xf>
    <xf numFmtId="0" fontId="88" fillId="2" borderId="245" xfId="0" applyFont="1" applyFill="1" applyBorder="1" applyAlignment="1">
      <alignment horizontal="center" vertical="center" wrapText="1"/>
    </xf>
    <xf numFmtId="0" fontId="60" fillId="29" borderId="179" xfId="0" applyFont="1" applyFill="1" applyBorder="1" applyAlignment="1">
      <alignment horizontal="center" vertical="center" wrapText="1"/>
    </xf>
    <xf numFmtId="0" fontId="60" fillId="29" borderId="146" xfId="0" applyFont="1" applyFill="1" applyBorder="1" applyAlignment="1">
      <alignment horizontal="center" vertical="center" wrapText="1"/>
    </xf>
    <xf numFmtId="0" fontId="60" fillId="29" borderId="252" xfId="0" applyFont="1" applyFill="1" applyBorder="1" applyAlignment="1">
      <alignment horizontal="center" vertical="center" wrapText="1"/>
    </xf>
    <xf numFmtId="0" fontId="60" fillId="29" borderId="235" xfId="0" applyFont="1" applyFill="1" applyBorder="1" applyAlignment="1">
      <alignment horizontal="center" vertical="center" wrapText="1"/>
    </xf>
    <xf numFmtId="0" fontId="60" fillId="29" borderId="254" xfId="0" applyFont="1" applyFill="1" applyBorder="1" applyAlignment="1">
      <alignment horizontal="center" vertical="center" wrapText="1"/>
    </xf>
    <xf numFmtId="0" fontId="132" fillId="28" borderId="316" xfId="0" applyFont="1" applyFill="1" applyBorder="1" applyAlignment="1">
      <alignment horizontal="center" vertical="center" wrapText="1"/>
    </xf>
    <xf numFmtId="0" fontId="132" fillId="28" borderId="293" xfId="0" applyFont="1" applyFill="1" applyBorder="1" applyAlignment="1">
      <alignment horizontal="center" vertical="center" wrapText="1"/>
    </xf>
    <xf numFmtId="0" fontId="132" fillId="28" borderId="294" xfId="0" applyFont="1" applyFill="1" applyBorder="1" applyAlignment="1">
      <alignment horizontal="center" vertical="center" wrapText="1"/>
    </xf>
    <xf numFmtId="0" fontId="75" fillId="37" borderId="162" xfId="0" applyFont="1" applyFill="1" applyBorder="1" applyAlignment="1">
      <alignment horizontal="centerContinuous" vertical="center"/>
    </xf>
    <xf numFmtId="0" fontId="72" fillId="37" borderId="0" xfId="0" applyFont="1" applyFill="1" applyAlignment="1">
      <alignment horizontal="centerContinuous" vertical="center"/>
    </xf>
    <xf numFmtId="0" fontId="75" fillId="37" borderId="0" xfId="0" applyFont="1" applyFill="1" applyAlignment="1">
      <alignment horizontal="centerContinuous" vertical="center"/>
    </xf>
    <xf numFmtId="0" fontId="72" fillId="37" borderId="358" xfId="0" applyFont="1" applyFill="1" applyBorder="1" applyAlignment="1">
      <alignment horizontal="centerContinuous" vertical="center"/>
    </xf>
    <xf numFmtId="0" fontId="60" fillId="28" borderId="163" xfId="0" applyFont="1" applyFill="1" applyBorder="1" applyAlignment="1">
      <alignment horizontal="center" vertical="center" wrapText="1"/>
    </xf>
    <xf numFmtId="0" fontId="60" fillId="28" borderId="178" xfId="0" applyFont="1" applyFill="1" applyBorder="1" applyAlignment="1">
      <alignment horizontal="center" vertical="center" wrapText="1"/>
    </xf>
    <xf numFmtId="0" fontId="60" fillId="28" borderId="365" xfId="0" applyFont="1" applyFill="1" applyBorder="1" applyAlignment="1">
      <alignment horizontal="center" vertical="center" wrapText="1"/>
    </xf>
    <xf numFmtId="0" fontId="81" fillId="27" borderId="203" xfId="0" applyFont="1" applyFill="1" applyBorder="1" applyAlignment="1">
      <alignment horizontal="centerContinuous" vertical="center"/>
    </xf>
    <xf numFmtId="0" fontId="81" fillId="27" borderId="314" xfId="0" applyFont="1" applyFill="1" applyBorder="1" applyAlignment="1">
      <alignment horizontal="centerContinuous" vertical="center"/>
    </xf>
    <xf numFmtId="0" fontId="81" fillId="27" borderId="415" xfId="0" applyFont="1" applyFill="1" applyBorder="1" applyAlignment="1">
      <alignment horizontal="centerContinuous" vertical="center"/>
    </xf>
    <xf numFmtId="0" fontId="60" fillId="28" borderId="116" xfId="0" applyFont="1" applyFill="1" applyBorder="1" applyAlignment="1">
      <alignment horizontal="centerContinuous"/>
    </xf>
    <xf numFmtId="0" fontId="72" fillId="25" borderId="197" xfId="0" applyFont="1" applyFill="1" applyBorder="1" applyAlignment="1">
      <alignment horizontal="center" vertical="center" wrapText="1"/>
    </xf>
    <xf numFmtId="0" fontId="60" fillId="28" borderId="184" xfId="0" applyFont="1" applyFill="1" applyBorder="1" applyAlignment="1">
      <alignment horizontal="centerContinuous"/>
    </xf>
    <xf numFmtId="0" fontId="60" fillId="28" borderId="0" xfId="0" applyFont="1" applyFill="1" applyAlignment="1">
      <alignment horizontal="centerContinuous"/>
    </xf>
    <xf numFmtId="0" fontId="60" fillId="28" borderId="205" xfId="0" applyFont="1" applyFill="1" applyBorder="1" applyAlignment="1">
      <alignment horizontal="centerContinuous"/>
    </xf>
    <xf numFmtId="0" fontId="72" fillId="25" borderId="195" xfId="0" applyFont="1" applyFill="1" applyBorder="1" applyAlignment="1">
      <alignment horizontal="center" vertical="center" wrapText="1"/>
    </xf>
    <xf numFmtId="0" fontId="81" fillId="27" borderId="204" xfId="0" applyFont="1" applyFill="1" applyBorder="1" applyAlignment="1">
      <alignment horizontal="centerContinuous" vertical="center"/>
    </xf>
    <xf numFmtId="0" fontId="80" fillId="27" borderId="0" xfId="0" applyFont="1" applyFill="1" applyAlignment="1">
      <alignment horizontal="centerContinuous" vertical="center"/>
    </xf>
    <xf numFmtId="0" fontId="75" fillId="26" borderId="145" xfId="0" applyFont="1" applyFill="1" applyBorder="1" applyAlignment="1">
      <alignment horizontal="centerContinuous" vertical="center"/>
    </xf>
    <xf numFmtId="0" fontId="62" fillId="26" borderId="188" xfId="0" applyFont="1" applyFill="1" applyBorder="1" applyAlignment="1">
      <alignment horizontal="centerContinuous" vertical="center"/>
    </xf>
    <xf numFmtId="0" fontId="64" fillId="26" borderId="188" xfId="0" applyFont="1" applyFill="1" applyBorder="1" applyAlignment="1">
      <alignment horizontal="centerContinuous" vertical="center"/>
    </xf>
    <xf numFmtId="0" fontId="62" fillId="26" borderId="360" xfId="0" applyFont="1" applyFill="1" applyBorder="1" applyAlignment="1">
      <alignment horizontal="centerContinuous" vertical="center"/>
    </xf>
    <xf numFmtId="0" fontId="60" fillId="38" borderId="207" xfId="0" applyFont="1" applyFill="1" applyBorder="1" applyAlignment="1">
      <alignment horizontal="center" vertical="center" wrapText="1"/>
    </xf>
    <xf numFmtId="0" fontId="60" fillId="38" borderId="143" xfId="0" applyFont="1" applyFill="1" applyBorder="1" applyAlignment="1">
      <alignment horizontal="center" vertical="center" wrapText="1"/>
    </xf>
    <xf numFmtId="0" fontId="60" fillId="38" borderId="239" xfId="0" applyFont="1" applyFill="1" applyBorder="1" applyAlignment="1">
      <alignment horizontal="center" vertical="center" wrapText="1"/>
    </xf>
    <xf numFmtId="0" fontId="80" fillId="0" borderId="429" xfId="0" applyFont="1" applyBorder="1" applyAlignment="1">
      <alignment horizontal="center" vertical="center" wrapText="1"/>
    </xf>
    <xf numFmtId="43" fontId="0" fillId="0" borderId="344" xfId="1" applyFont="1" applyBorder="1" applyAlignment="1">
      <alignment wrapText="1"/>
    </xf>
    <xf numFmtId="10" fontId="0" fillId="0" borderId="344" xfId="2" applyNumberFormat="1" applyFont="1" applyBorder="1" applyAlignment="1">
      <alignment wrapText="1"/>
    </xf>
    <xf numFmtId="0" fontId="81" fillId="0" borderId="392" xfId="0" applyFont="1" applyBorder="1" applyAlignment="1">
      <alignment horizontal="center" vertical="center"/>
    </xf>
    <xf numFmtId="185" fontId="74" fillId="0" borderId="293" xfId="0" applyNumberFormat="1" applyFont="1" applyBorder="1" applyAlignment="1">
      <alignment horizontal="center" vertical="center"/>
    </xf>
    <xf numFmtId="0" fontId="81" fillId="0" borderId="293" xfId="0" applyFont="1" applyBorder="1" applyAlignment="1">
      <alignment horizontal="center" vertical="center" wrapText="1"/>
    </xf>
    <xf numFmtId="0" fontId="81" fillId="0" borderId="293" xfId="0" applyFont="1" applyBorder="1" applyAlignment="1">
      <alignment horizontal="center" vertical="center"/>
    </xf>
    <xf numFmtId="185" fontId="81" fillId="0" borderId="293" xfId="0" applyNumberFormat="1" applyFont="1" applyBorder="1" applyAlignment="1">
      <alignment horizontal="center" vertical="center"/>
    </xf>
    <xf numFmtId="1" fontId="81" fillId="0" borderId="367" xfId="0" applyNumberFormat="1" applyFont="1" applyBorder="1" applyAlignment="1">
      <alignment horizontal="center" vertical="center"/>
    </xf>
    <xf numFmtId="0" fontId="81" fillId="0" borderId="367" xfId="0" applyFont="1" applyBorder="1" applyAlignment="1">
      <alignment horizontal="center" vertical="center"/>
    </xf>
    <xf numFmtId="0" fontId="81" fillId="0" borderId="389" xfId="0" applyFont="1" applyBorder="1" applyAlignment="1">
      <alignment horizontal="center" vertical="center"/>
    </xf>
    <xf numFmtId="185" fontId="81" fillId="0" borderId="368" xfId="0" applyNumberFormat="1" applyFont="1" applyBorder="1" applyAlignment="1">
      <alignment horizontal="center" vertical="center"/>
    </xf>
    <xf numFmtId="0" fontId="81" fillId="0" borderId="368" xfId="0" applyFont="1" applyBorder="1" applyAlignment="1">
      <alignment horizontal="center" vertical="center"/>
    </xf>
    <xf numFmtId="0" fontId="81" fillId="0" borderId="369" xfId="0" applyFont="1" applyBorder="1" applyAlignment="1">
      <alignment horizontal="center" vertical="center"/>
    </xf>
    <xf numFmtId="0" fontId="84" fillId="16" borderId="75" xfId="0" applyFont="1" applyFill="1" applyBorder="1" applyAlignment="1">
      <alignment vertical="center"/>
    </xf>
    <xf numFmtId="0" fontId="84" fillId="16" borderId="361" xfId="0" applyFont="1" applyFill="1" applyBorder="1" applyAlignment="1">
      <alignment vertical="center"/>
    </xf>
    <xf numFmtId="0" fontId="75" fillId="26" borderId="158" xfId="0" applyFont="1" applyFill="1" applyBorder="1" applyAlignment="1">
      <alignment horizontal="centerContinuous" vertical="center"/>
    </xf>
    <xf numFmtId="0" fontId="75" fillId="26" borderId="151" xfId="0" applyFont="1" applyFill="1" applyBorder="1" applyAlignment="1">
      <alignment horizontal="centerContinuous" vertical="center"/>
    </xf>
    <xf numFmtId="0" fontId="75" fillId="26" borderId="152" xfId="0" applyFont="1" applyFill="1" applyBorder="1" applyAlignment="1">
      <alignment horizontal="centerContinuous" vertical="center"/>
    </xf>
    <xf numFmtId="0" fontId="75" fillId="26" borderId="146" xfId="0" applyFont="1" applyFill="1" applyBorder="1" applyAlignment="1">
      <alignment horizontal="centerContinuous" vertical="center"/>
    </xf>
    <xf numFmtId="0" fontId="75" fillId="26" borderId="362" xfId="0" applyFont="1" applyFill="1" applyBorder="1" applyAlignment="1">
      <alignment horizontal="centerContinuous" vertical="center"/>
    </xf>
    <xf numFmtId="0" fontId="0" fillId="0" borderId="358" xfId="0" applyBorder="1"/>
    <xf numFmtId="174" fontId="60" fillId="0" borderId="290" xfId="0" applyNumberFormat="1" applyFont="1" applyBorder="1" applyAlignment="1">
      <alignment horizontal="center"/>
    </xf>
    <xf numFmtId="174" fontId="60" fillId="0" borderId="290" xfId="0" applyNumberFormat="1" applyFont="1" applyBorder="1" applyAlignment="1">
      <alignment horizontal="center" vertical="center"/>
    </xf>
    <xf numFmtId="174" fontId="60" fillId="0" borderId="335" xfId="0" applyNumberFormat="1" applyFont="1" applyBorder="1" applyAlignment="1">
      <alignment horizontal="center" vertical="center"/>
    </xf>
    <xf numFmtId="174" fontId="0" fillId="0" borderId="358" xfId="0" applyNumberFormat="1" applyBorder="1"/>
    <xf numFmtId="174" fontId="80" fillId="11" borderId="338" xfId="1" applyNumberFormat="1" applyFont="1" applyFill="1" applyBorder="1" applyAlignment="1" applyProtection="1">
      <alignment horizontal="center" vertical="center"/>
    </xf>
    <xf numFmtId="174" fontId="60" fillId="0" borderId="293" xfId="0" applyNumberFormat="1" applyFont="1" applyBorder="1" applyAlignment="1">
      <alignment horizontal="center"/>
    </xf>
    <xf numFmtId="174" fontId="60" fillId="0" borderId="293" xfId="0" applyNumberFormat="1" applyFont="1" applyBorder="1" applyAlignment="1">
      <alignment horizontal="center" vertical="center"/>
    </xf>
    <xf numFmtId="174" fontId="60" fillId="0" borderId="336" xfId="0" applyNumberFormat="1" applyFont="1" applyBorder="1" applyAlignment="1">
      <alignment horizontal="center" vertical="center"/>
    </xf>
    <xf numFmtId="174" fontId="61" fillId="27" borderId="172" xfId="1" applyNumberFormat="1" applyFont="1" applyFill="1" applyBorder="1" applyAlignment="1" applyProtection="1">
      <alignment horizontal="center"/>
    </xf>
    <xf numFmtId="0" fontId="75" fillId="26" borderId="332" xfId="0" applyFont="1" applyFill="1" applyBorder="1" applyAlignment="1">
      <alignment horizontal="centerContinuous" vertical="center"/>
    </xf>
    <xf numFmtId="0" fontId="72" fillId="26" borderId="326" xfId="0" applyFont="1" applyFill="1" applyBorder="1" applyAlignment="1">
      <alignment horizontal="centerContinuous" vertical="center"/>
    </xf>
    <xf numFmtId="0" fontId="72" fillId="26" borderId="333" xfId="0" applyFont="1" applyFill="1" applyBorder="1" applyAlignment="1">
      <alignment horizontal="centerContinuous" vertical="center"/>
    </xf>
    <xf numFmtId="0" fontId="72" fillId="26" borderId="334" xfId="0" applyFont="1" applyFill="1" applyBorder="1" applyAlignment="1">
      <alignment horizontal="centerContinuous" vertical="center"/>
    </xf>
    <xf numFmtId="0" fontId="72" fillId="26" borderId="178" xfId="0" applyFont="1" applyFill="1" applyBorder="1" applyAlignment="1">
      <alignment horizontal="centerContinuous" vertical="center"/>
    </xf>
    <xf numFmtId="0" fontId="72" fillId="26" borderId="318"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37" fontId="81" fillId="0" borderId="180" xfId="0" applyNumberFormat="1" applyFont="1" applyBorder="1" applyAlignment="1">
      <alignment horizontal="center" vertical="center"/>
    </xf>
    <xf numFmtId="0" fontId="65" fillId="0" borderId="0" xfId="0" applyFont="1" applyAlignment="1">
      <alignment vertical="center"/>
    </xf>
    <xf numFmtId="0" fontId="63" fillId="0" borderId="238" xfId="0" applyFont="1" applyBorder="1" applyAlignment="1">
      <alignment vertical="center"/>
    </xf>
    <xf numFmtId="37" fontId="63" fillId="0" borderId="144" xfId="0" applyNumberFormat="1" applyFont="1" applyBorder="1" applyAlignment="1">
      <alignment vertical="center"/>
    </xf>
    <xf numFmtId="37" fontId="65" fillId="0" borderId="214" xfId="0" applyNumberFormat="1" applyFont="1" applyBorder="1" applyAlignment="1">
      <alignment vertical="center"/>
    </xf>
    <xf numFmtId="37" fontId="81" fillId="0" borderId="181" xfId="0" applyNumberFormat="1" applyFont="1" applyBorder="1" applyAlignment="1">
      <alignment horizontal="center" vertical="center"/>
    </xf>
    <xf numFmtId="165" fontId="65" fillId="0" borderId="0" xfId="0" applyNumberFormat="1" applyFont="1" applyAlignment="1">
      <alignment vertical="center"/>
    </xf>
    <xf numFmtId="37" fontId="0" fillId="0" borderId="216" xfId="0" applyNumberFormat="1" applyBorder="1" applyAlignment="1">
      <alignment vertical="center"/>
    </xf>
    <xf numFmtId="174" fontId="61" fillId="27" borderId="160" xfId="1" applyNumberFormat="1" applyFont="1" applyFill="1" applyBorder="1" applyAlignment="1" applyProtection="1">
      <alignment horizontal="center"/>
    </xf>
    <xf numFmtId="174" fontId="61" fillId="27" borderId="175" xfId="1" applyNumberFormat="1" applyFont="1" applyFill="1" applyBorder="1" applyAlignment="1" applyProtection="1">
      <alignment horizontal="center"/>
    </xf>
    <xf numFmtId="0" fontId="63" fillId="0" borderId="147" xfId="0" applyFont="1" applyBorder="1" applyAlignment="1">
      <alignment vertical="center"/>
    </xf>
    <xf numFmtId="167" fontId="81" fillId="0" borderId="181" xfId="0" applyNumberFormat="1" applyFont="1" applyBorder="1" applyAlignment="1">
      <alignment horizontal="center" vertical="center"/>
    </xf>
    <xf numFmtId="37" fontId="63" fillId="0" borderId="142" xfId="0" applyNumberFormat="1" applyFont="1" applyBorder="1" applyAlignment="1">
      <alignment vertical="center"/>
    </xf>
    <xf numFmtId="167" fontId="2" fillId="0" borderId="216" xfId="0" applyNumberFormat="1" applyFont="1" applyBorder="1" applyAlignment="1">
      <alignment vertical="center"/>
    </xf>
    <xf numFmtId="174" fontId="60" fillId="0" borderId="296" xfId="0" applyNumberFormat="1" applyFont="1" applyBorder="1" applyAlignment="1">
      <alignment horizontal="center"/>
    </xf>
    <xf numFmtId="174" fontId="60" fillId="0" borderId="296" xfId="0" applyNumberFormat="1" applyFont="1" applyBorder="1" applyAlignment="1">
      <alignment horizontal="center" vertical="center"/>
    </xf>
    <xf numFmtId="174" fontId="60" fillId="0" borderId="337" xfId="0" applyNumberFormat="1" applyFont="1" applyBorder="1" applyAlignment="1">
      <alignment horizontal="center" vertical="center"/>
    </xf>
    <xf numFmtId="9" fontId="80" fillId="0" borderId="0" xfId="2" applyFont="1" applyFill="1" applyBorder="1" applyAlignment="1" applyProtection="1">
      <alignment horizontal="center" vertical="center"/>
    </xf>
    <xf numFmtId="37" fontId="0" fillId="0" borderId="145" xfId="0" applyNumberFormat="1" applyBorder="1" applyAlignment="1">
      <alignment vertical="center"/>
    </xf>
    <xf numFmtId="9" fontId="80" fillId="0" borderId="215" xfId="2" applyFont="1" applyFill="1" applyBorder="1" applyAlignment="1" applyProtection="1">
      <alignment horizontal="center" vertical="center"/>
    </xf>
    <xf numFmtId="38" fontId="81" fillId="0" borderId="313" xfId="0" applyNumberFormat="1" applyFont="1" applyBorder="1" applyAlignment="1">
      <alignment horizontal="center" vertical="center"/>
    </xf>
    <xf numFmtId="0" fontId="63" fillId="0" borderId="217" xfId="0" applyFont="1" applyBorder="1" applyAlignment="1">
      <alignment vertical="center"/>
    </xf>
    <xf numFmtId="0" fontId="65" fillId="0" borderId="217" xfId="0" applyFont="1" applyBorder="1" applyAlignment="1">
      <alignment vertical="center"/>
    </xf>
    <xf numFmtId="38" fontId="0" fillId="0" borderId="217" xfId="0" applyNumberFormat="1" applyBorder="1" applyAlignment="1">
      <alignment vertical="center"/>
    </xf>
    <xf numFmtId="38" fontId="0" fillId="0" borderId="327" xfId="0" applyNumberFormat="1" applyBorder="1" applyAlignment="1">
      <alignment vertical="center"/>
    </xf>
    <xf numFmtId="0" fontId="60" fillId="0" borderId="315" xfId="0" applyFont="1" applyBorder="1" applyAlignment="1">
      <alignment horizontal="centerContinuous" vertical="center" wrapText="1"/>
    </xf>
    <xf numFmtId="0" fontId="60" fillId="0" borderId="290" xfId="0" applyFont="1" applyBorder="1" applyAlignment="1">
      <alignment horizontal="centerContinuous" vertical="center" wrapText="1"/>
    </xf>
    <xf numFmtId="0" fontId="60" fillId="0" borderId="290" xfId="0" applyFont="1" applyBorder="1" applyAlignment="1">
      <alignment horizontal="centerContinuous" vertical="center"/>
    </xf>
    <xf numFmtId="0" fontId="60" fillId="0" borderId="291" xfId="0" applyFont="1" applyBorder="1" applyAlignment="1">
      <alignment horizontal="centerContinuous" vertical="center" wrapText="1"/>
    </xf>
    <xf numFmtId="0" fontId="61" fillId="27" borderId="76" xfId="0" applyFont="1" applyFill="1" applyBorder="1" applyAlignment="1">
      <alignment horizontal="center" vertical="center" wrapText="1"/>
    </xf>
    <xf numFmtId="0" fontId="61" fillId="27" borderId="74" xfId="0" applyFont="1" applyFill="1" applyBorder="1" applyAlignment="1">
      <alignment horizontal="center" vertical="center" wrapText="1"/>
    </xf>
    <xf numFmtId="0" fontId="61" fillId="27" borderId="68" xfId="0" applyFont="1" applyFill="1" applyBorder="1" applyAlignment="1">
      <alignment horizontal="center" vertical="center" wrapText="1"/>
    </xf>
    <xf numFmtId="1" fontId="60" fillId="0" borderId="317" xfId="0" applyNumberFormat="1" applyFont="1" applyBorder="1" applyAlignment="1">
      <alignment horizontal="center" vertical="center"/>
    </xf>
    <xf numFmtId="0" fontId="60" fillId="0" borderId="296" xfId="0" applyFont="1" applyBorder="1" applyAlignment="1">
      <alignment horizontal="center" vertical="center"/>
    </xf>
    <xf numFmtId="1" fontId="60" fillId="0" borderId="296" xfId="0" applyNumberFormat="1" applyFont="1" applyBorder="1" applyAlignment="1">
      <alignment horizontal="center" vertical="center"/>
    </xf>
    <xf numFmtId="0" fontId="60" fillId="0" borderId="324" xfId="0" applyFont="1" applyBorder="1" applyAlignment="1">
      <alignment horizontal="center" vertical="center"/>
    </xf>
    <xf numFmtId="1" fontId="60" fillId="0" borderId="199" xfId="0" applyNumberFormat="1" applyFont="1" applyBorder="1" applyAlignment="1">
      <alignment horizontal="center" vertical="center"/>
    </xf>
    <xf numFmtId="0" fontId="60" fillId="0" borderId="199" xfId="0" applyFont="1" applyBorder="1" applyAlignment="1">
      <alignment horizontal="center" vertical="center"/>
    </xf>
    <xf numFmtId="1" fontId="65" fillId="0" borderId="0" xfId="0" applyNumberFormat="1" applyFont="1" applyAlignment="1">
      <alignment horizontal="center"/>
    </xf>
    <xf numFmtId="0" fontId="60" fillId="27" borderId="175" xfId="0" applyFont="1" applyFill="1" applyBorder="1" applyAlignment="1">
      <alignment horizontal="centerContinuous" vertical="center"/>
    </xf>
    <xf numFmtId="0" fontId="60" fillId="27" borderId="178" xfId="0" applyFont="1" applyFill="1" applyBorder="1" applyAlignment="1">
      <alignment horizontal="centerContinuous" vertical="center"/>
    </xf>
    <xf numFmtId="0" fontId="61" fillId="28" borderId="321" xfId="0" applyFont="1" applyFill="1" applyBorder="1" applyAlignment="1">
      <alignment horizontal="left" vertical="center" wrapText="1"/>
    </xf>
    <xf numFmtId="0" fontId="60" fillId="28" borderId="322" xfId="0" applyFont="1" applyFill="1" applyBorder="1" applyAlignment="1">
      <alignment horizontal="center" vertical="center"/>
    </xf>
    <xf numFmtId="0" fontId="60" fillId="28" borderId="323" xfId="0" applyFont="1" applyFill="1" applyBorder="1" applyAlignment="1">
      <alignment horizontal="center" vertical="center"/>
    </xf>
    <xf numFmtId="0" fontId="132" fillId="29" borderId="316" xfId="0" applyFont="1" applyFill="1" applyBorder="1" applyAlignment="1">
      <alignment horizontal="left" vertical="center" wrapText="1"/>
    </xf>
    <xf numFmtId="0" fontId="60" fillId="0" borderId="293" xfId="0" applyFont="1" applyBorder="1" applyAlignment="1">
      <alignment horizontal="center" vertical="center"/>
    </xf>
    <xf numFmtId="0" fontId="60" fillId="0" borderId="294" xfId="0" applyFont="1" applyBorder="1" applyAlignment="1">
      <alignment horizontal="center" vertical="center"/>
    </xf>
    <xf numFmtId="38" fontId="60" fillId="0" borderId="296" xfId="0" applyNumberFormat="1" applyFont="1" applyBorder="1" applyAlignment="1">
      <alignment horizontal="center" vertical="center"/>
    </xf>
    <xf numFmtId="10" fontId="60" fillId="2" borderId="297" xfId="2" applyNumberFormat="1" applyFont="1" applyFill="1" applyBorder="1" applyAlignment="1" applyProtection="1">
      <alignment horizontal="center" vertical="center"/>
    </xf>
    <xf numFmtId="0" fontId="132" fillId="29" borderId="317" xfId="0" applyFont="1" applyFill="1" applyBorder="1" applyAlignment="1">
      <alignment horizontal="left" vertical="center" wrapText="1"/>
    </xf>
    <xf numFmtId="0" fontId="60" fillId="0" borderId="297" xfId="0" applyFont="1" applyBorder="1" applyAlignment="1">
      <alignment horizontal="center" vertical="center"/>
    </xf>
    <xf numFmtId="0" fontId="60" fillId="0" borderId="317" xfId="0" applyFont="1" applyBorder="1" applyAlignment="1">
      <alignment horizontal="center" vertical="center"/>
    </xf>
    <xf numFmtId="0" fontId="60" fillId="0" borderId="297" xfId="0" applyFont="1" applyBorder="1" applyAlignment="1">
      <alignment horizontal="center" vertical="center" wrapText="1"/>
    </xf>
    <xf numFmtId="0" fontId="60" fillId="0" borderId="175" xfId="0" applyFont="1" applyBorder="1" applyAlignment="1">
      <alignment horizontal="center" vertical="center"/>
    </xf>
    <xf numFmtId="0" fontId="60" fillId="0" borderId="178" xfId="0" applyFont="1" applyBorder="1" applyAlignment="1">
      <alignment horizontal="center" vertical="center"/>
    </xf>
    <xf numFmtId="0" fontId="60" fillId="0" borderId="318" xfId="0" applyFont="1" applyBorder="1" applyAlignment="1">
      <alignment horizontal="center" vertical="center"/>
    </xf>
    <xf numFmtId="0" fontId="82" fillId="16" borderId="331" xfId="0" applyFont="1" applyFill="1" applyBorder="1" applyAlignment="1">
      <alignment vertical="center"/>
    </xf>
    <xf numFmtId="0" fontId="75" fillId="16" borderId="104" xfId="0" applyFont="1" applyFill="1" applyBorder="1" applyAlignment="1">
      <alignment horizontal="centerContinuous" vertical="center"/>
    </xf>
    <xf numFmtId="0" fontId="75" fillId="16" borderId="363" xfId="0" applyFont="1" applyFill="1" applyBorder="1" applyAlignment="1">
      <alignment horizontal="centerContinuous" vertical="center"/>
    </xf>
    <xf numFmtId="0" fontId="64" fillId="26" borderId="111" xfId="0" applyFont="1" applyFill="1" applyBorder="1" applyAlignment="1">
      <alignment horizontal="centerContinuous" vertical="center"/>
    </xf>
    <xf numFmtId="0" fontId="72" fillId="26" borderId="104" xfId="0" applyFont="1" applyFill="1" applyBorder="1" applyAlignment="1">
      <alignment horizontal="centerContinuous" vertical="center"/>
    </xf>
    <xf numFmtId="0" fontId="72" fillId="26" borderId="363" xfId="0" applyFont="1" applyFill="1" applyBorder="1" applyAlignment="1">
      <alignment horizontal="centerContinuous" vertical="center"/>
    </xf>
    <xf numFmtId="0" fontId="60" fillId="27" borderId="340" xfId="0" quotePrefix="1" applyFont="1" applyFill="1" applyBorder="1" applyAlignment="1">
      <alignment horizontal="center" vertical="center" wrapText="1"/>
    </xf>
    <xf numFmtId="0" fontId="60" fillId="27" borderId="340" xfId="0" applyFont="1" applyFill="1" applyBorder="1" applyAlignment="1">
      <alignment horizontal="center" vertical="center" wrapText="1"/>
    </xf>
    <xf numFmtId="0" fontId="60" fillId="27" borderId="366" xfId="0" applyFont="1" applyFill="1" applyBorder="1" applyAlignment="1">
      <alignment horizontal="center" vertical="center" wrapText="1"/>
    </xf>
    <xf numFmtId="0" fontId="64" fillId="16" borderId="354" xfId="0" applyFont="1" applyFill="1" applyBorder="1" applyAlignment="1">
      <alignment horizontal="centerContinuous" vertical="center"/>
    </xf>
    <xf numFmtId="0" fontId="8" fillId="16" borderId="354" xfId="0" applyFont="1" applyFill="1" applyBorder="1" applyAlignment="1">
      <alignment vertical="center"/>
    </xf>
    <xf numFmtId="15" fontId="8" fillId="16" borderId="354" xfId="0" applyNumberFormat="1" applyFont="1" applyFill="1" applyBorder="1" applyAlignment="1">
      <alignment vertical="center"/>
    </xf>
    <xf numFmtId="0" fontId="65" fillId="16" borderId="354" xfId="0" applyFont="1" applyFill="1" applyBorder="1" applyAlignment="1">
      <alignment vertical="center"/>
    </xf>
    <xf numFmtId="0" fontId="86" fillId="16" borderId="354" xfId="0" applyFont="1" applyFill="1" applyBorder="1" applyAlignment="1">
      <alignment vertical="center"/>
    </xf>
    <xf numFmtId="15" fontId="86" fillId="16" borderId="198" xfId="0" applyNumberFormat="1" applyFont="1" applyFill="1" applyBorder="1" applyAlignment="1">
      <alignment vertical="center"/>
    </xf>
    <xf numFmtId="15" fontId="86" fillId="0" borderId="355" xfId="0" applyNumberFormat="1" applyFont="1" applyBorder="1" applyAlignment="1">
      <alignment vertical="center"/>
    </xf>
    <xf numFmtId="0" fontId="90" fillId="26" borderId="185" xfId="0" applyFont="1" applyFill="1" applyBorder="1" applyAlignment="1">
      <alignment horizontal="centerContinuous" vertical="top" wrapText="1"/>
    </xf>
    <xf numFmtId="0" fontId="90" fillId="26" borderId="186" xfId="0" applyFont="1" applyFill="1" applyBorder="1" applyAlignment="1">
      <alignment horizontal="centerContinuous" vertical="top" wrapText="1"/>
    </xf>
    <xf numFmtId="0" fontId="75" fillId="26" borderId="201" xfId="0" applyFont="1" applyFill="1" applyBorder="1" applyAlignment="1">
      <alignment horizontal="centerContinuous" vertical="center"/>
    </xf>
    <xf numFmtId="0" fontId="90" fillId="26" borderId="164" xfId="0" applyFont="1" applyFill="1" applyBorder="1" applyAlignment="1">
      <alignment horizontal="centerContinuous" vertical="center" wrapText="1"/>
    </xf>
    <xf numFmtId="0" fontId="90" fillId="26" borderId="209" xfId="0" applyFont="1" applyFill="1" applyBorder="1" applyAlignment="1">
      <alignment horizontal="centerContinuous" vertical="center" wrapText="1"/>
    </xf>
    <xf numFmtId="0" fontId="75" fillId="26" borderId="187" xfId="0" applyFont="1" applyFill="1" applyBorder="1" applyAlignment="1">
      <alignment horizontal="centerContinuous" vertical="center"/>
    </xf>
    <xf numFmtId="0" fontId="90" fillId="26" borderId="185" xfId="0" applyFont="1" applyFill="1" applyBorder="1" applyAlignment="1">
      <alignment horizontal="centerContinuous" vertical="center" wrapText="1"/>
    </xf>
    <xf numFmtId="0" fontId="91" fillId="26" borderId="189" xfId="0" applyFont="1" applyFill="1" applyBorder="1" applyAlignment="1">
      <alignment horizontal="centerContinuous" vertical="center"/>
    </xf>
    <xf numFmtId="0" fontId="75" fillId="26" borderId="189" xfId="0" applyFont="1" applyFill="1" applyBorder="1" applyAlignment="1">
      <alignment horizontal="centerContinuous" vertical="center"/>
    </xf>
    <xf numFmtId="0" fontId="91" fillId="0" borderId="356" xfId="0" applyFont="1" applyBorder="1" applyAlignment="1">
      <alignment horizontal="centerContinuous" vertical="center"/>
    </xf>
    <xf numFmtId="0" fontId="76" fillId="0" borderId="0" xfId="0" applyFont="1" applyAlignment="1">
      <alignment vertical="center"/>
    </xf>
    <xf numFmtId="0" fontId="80" fillId="2" borderId="220" xfId="0" applyFont="1" applyFill="1" applyBorder="1" applyAlignment="1">
      <alignment horizontal="centerContinuous" vertical="center" wrapText="1"/>
    </xf>
    <xf numFmtId="0" fontId="60" fillId="2" borderId="158" xfId="0" applyFont="1" applyFill="1" applyBorder="1" applyAlignment="1">
      <alignment horizontal="centerContinuous" vertical="center"/>
    </xf>
    <xf numFmtId="0" fontId="38" fillId="2" borderId="158" xfId="0" applyFont="1" applyFill="1" applyBorder="1" applyAlignment="1">
      <alignment horizontal="centerContinuous" vertical="center"/>
    </xf>
    <xf numFmtId="0" fontId="38" fillId="2" borderId="221" xfId="0" applyFont="1" applyFill="1" applyBorder="1" applyAlignment="1">
      <alignment horizontal="centerContinuous" vertical="center"/>
    </xf>
    <xf numFmtId="167" fontId="61" fillId="31" borderId="230" xfId="0" applyNumberFormat="1" applyFont="1" applyFill="1" applyBorder="1" applyAlignment="1">
      <alignment horizontal="center" vertical="center"/>
    </xf>
    <xf numFmtId="173" fontId="61" fillId="31" borderId="230" xfId="0" applyNumberFormat="1" applyFont="1" applyFill="1" applyBorder="1" applyAlignment="1">
      <alignment horizontal="center" vertical="center"/>
    </xf>
    <xf numFmtId="167" fontId="61" fillId="31" borderId="231" xfId="0" applyNumberFormat="1" applyFont="1" applyFill="1" applyBorder="1" applyAlignment="1">
      <alignment horizontal="center" vertical="center"/>
    </xf>
    <xf numFmtId="10" fontId="60" fillId="2" borderId="236" xfId="0" applyNumberFormat="1" applyFont="1" applyFill="1" applyBorder="1" applyAlignment="1">
      <alignment horizontal="center" vertical="center"/>
    </xf>
    <xf numFmtId="167" fontId="61" fillId="2" borderId="233" xfId="0" applyNumberFormat="1" applyFont="1" applyFill="1" applyBorder="1" applyAlignment="1">
      <alignment horizontal="center" vertical="center"/>
    </xf>
    <xf numFmtId="173" fontId="61" fillId="2" borderId="233" xfId="0" applyNumberFormat="1" applyFont="1" applyFill="1" applyBorder="1" applyAlignment="1">
      <alignment horizontal="center" vertical="center"/>
    </xf>
    <xf numFmtId="167" fontId="61" fillId="2" borderId="234" xfId="0" applyNumberFormat="1" applyFont="1" applyFill="1" applyBorder="1" applyAlignment="1">
      <alignment horizontal="center" vertical="center"/>
    </xf>
    <xf numFmtId="10" fontId="60" fillId="2" borderId="237" xfId="0" applyNumberFormat="1" applyFont="1" applyFill="1" applyBorder="1" applyAlignment="1">
      <alignment horizontal="center" vertical="center"/>
    </xf>
    <xf numFmtId="0" fontId="78" fillId="24" borderId="240" xfId="0" applyFont="1" applyFill="1" applyBorder="1" applyAlignment="1">
      <alignment horizontal="center" vertical="center" wrapText="1"/>
    </xf>
    <xf numFmtId="167" fontId="61" fillId="31" borderId="233" xfId="0" applyNumberFormat="1" applyFont="1" applyFill="1" applyBorder="1" applyAlignment="1">
      <alignment horizontal="center" vertical="center"/>
    </xf>
    <xf numFmtId="173" fontId="61" fillId="31" borderId="233" xfId="0" applyNumberFormat="1" applyFont="1" applyFill="1" applyBorder="1" applyAlignment="1">
      <alignment horizontal="center" vertical="center"/>
    </xf>
    <xf numFmtId="167" fontId="61" fillId="31" borderId="234" xfId="0" applyNumberFormat="1" applyFont="1" applyFill="1" applyBorder="1" applyAlignment="1">
      <alignment horizontal="center" vertical="center"/>
    </xf>
    <xf numFmtId="178" fontId="61" fillId="2" borderId="237" xfId="0" applyNumberFormat="1" applyFont="1" applyFill="1" applyBorder="1" applyAlignment="1">
      <alignment horizontal="center" vertical="center"/>
    </xf>
    <xf numFmtId="167" fontId="61" fillId="2" borderId="245" xfId="0" applyNumberFormat="1" applyFont="1" applyFill="1" applyBorder="1" applyAlignment="1">
      <alignment horizontal="center" vertical="center"/>
    </xf>
    <xf numFmtId="173" fontId="61" fillId="2" borderId="245" xfId="0" applyNumberFormat="1" applyFont="1" applyFill="1" applyBorder="1" applyAlignment="1">
      <alignment horizontal="center" vertical="center"/>
    </xf>
    <xf numFmtId="169" fontId="61" fillId="2" borderId="246" xfId="0" applyNumberFormat="1" applyFont="1" applyFill="1" applyBorder="1" applyAlignment="1">
      <alignment horizontal="center" vertical="center"/>
    </xf>
    <xf numFmtId="0" fontId="78" fillId="24" borderId="256" xfId="0" applyFont="1" applyFill="1" applyBorder="1" applyAlignment="1">
      <alignment horizontal="center" vertical="center" wrapText="1"/>
    </xf>
    <xf numFmtId="0" fontId="84" fillId="16" borderId="198" xfId="0" applyFont="1" applyFill="1" applyBorder="1" applyAlignment="1">
      <alignment horizontal="left" vertical="center"/>
    </xf>
    <xf numFmtId="0" fontId="84" fillId="16" borderId="355"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90" fillId="26" borderId="146" xfId="0" applyFont="1" applyFill="1" applyBorder="1" applyAlignment="1">
      <alignment horizontal="centerContinuous" vertical="center" wrapText="1"/>
    </xf>
    <xf numFmtId="0" fontId="75" fillId="26" borderId="221"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202" xfId="0" applyFont="1" applyBorder="1" applyAlignment="1">
      <alignment horizontal="centerContinuous" vertical="center" wrapText="1"/>
    </xf>
    <xf numFmtId="0" fontId="80" fillId="0" borderId="203" xfId="0" applyFont="1" applyBorder="1" applyAlignment="1">
      <alignment horizontal="centerContinuous" vertical="center" wrapText="1"/>
    </xf>
    <xf numFmtId="0" fontId="80" fillId="0" borderId="204" xfId="0" applyFont="1" applyBorder="1" applyAlignment="1">
      <alignment horizontal="centerContinuous" vertical="center" wrapText="1"/>
    </xf>
    <xf numFmtId="0" fontId="65" fillId="0" borderId="358" xfId="0" applyFont="1" applyBorder="1" applyAlignment="1">
      <alignment vertical="center"/>
    </xf>
    <xf numFmtId="0" fontId="65" fillId="0" borderId="0" xfId="0" applyFont="1"/>
    <xf numFmtId="0" fontId="32" fillId="14" borderId="432" xfId="0" applyFont="1" applyFill="1" applyBorder="1" applyAlignment="1">
      <alignment horizontal="center" vertical="center" wrapText="1"/>
    </xf>
    <xf numFmtId="0" fontId="32" fillId="14" borderId="433" xfId="0" applyFont="1" applyFill="1" applyBorder="1" applyAlignment="1">
      <alignment horizontal="center" vertical="center" wrapText="1"/>
    </xf>
    <xf numFmtId="0" fontId="32" fillId="14" borderId="260" xfId="0" applyFont="1" applyFill="1" applyBorder="1" applyAlignment="1">
      <alignment horizontal="center" vertical="center" wrapText="1"/>
    </xf>
    <xf numFmtId="0" fontId="32" fillId="14" borderId="116" xfId="0" applyFont="1" applyFill="1" applyBorder="1" applyAlignment="1">
      <alignment horizontal="center" vertical="center" wrapText="1"/>
    </xf>
    <xf numFmtId="166" fontId="32" fillId="14" borderId="116" xfId="0" applyNumberFormat="1" applyFont="1" applyFill="1" applyBorder="1" applyAlignment="1">
      <alignment horizontal="center" vertical="center" wrapText="1"/>
    </xf>
    <xf numFmtId="0" fontId="32" fillId="14" borderId="171" xfId="0" applyFont="1" applyFill="1" applyBorder="1" applyAlignment="1">
      <alignment horizontal="center" vertical="center" wrapText="1"/>
    </xf>
    <xf numFmtId="0" fontId="72" fillId="14" borderId="70" xfId="0" applyFont="1" applyFill="1" applyBorder="1" applyAlignment="1">
      <alignment horizontal="center" vertical="center" wrapText="1"/>
    </xf>
    <xf numFmtId="166" fontId="69" fillId="2" borderId="436" xfId="2" applyNumberFormat="1" applyFont="1" applyFill="1" applyBorder="1" applyAlignment="1" applyProtection="1">
      <alignment horizontal="center" vertical="center"/>
    </xf>
    <xf numFmtId="165" fontId="70" fillId="0" borderId="439" xfId="1" applyNumberFormat="1" applyFont="1" applyFill="1" applyBorder="1" applyAlignment="1" applyProtection="1">
      <alignment horizontal="center" vertical="center"/>
    </xf>
    <xf numFmtId="166" fontId="70" fillId="2" borderId="268" xfId="2" applyNumberFormat="1" applyFont="1" applyFill="1" applyBorder="1" applyAlignment="1" applyProtection="1">
      <alignment horizontal="center" vertical="center"/>
    </xf>
    <xf numFmtId="166" fontId="70" fillId="2" borderId="269" xfId="2" applyNumberFormat="1" applyFont="1" applyFill="1" applyBorder="1" applyAlignment="1" applyProtection="1">
      <alignment horizontal="center" vertical="center"/>
    </xf>
    <xf numFmtId="166" fontId="69" fillId="2" borderId="20" xfId="2" applyNumberFormat="1" applyFont="1" applyFill="1" applyBorder="1" applyAlignment="1" applyProtection="1">
      <alignment horizontal="center" vertical="center"/>
    </xf>
    <xf numFmtId="2" fontId="70" fillId="2" borderId="273" xfId="2" applyNumberFormat="1" applyFont="1" applyFill="1" applyBorder="1" applyAlignment="1" applyProtection="1">
      <alignment horizontal="center" vertical="center"/>
    </xf>
    <xf numFmtId="166" fontId="69" fillId="2" borderId="262" xfId="2" applyNumberFormat="1" applyFont="1" applyFill="1" applyBorder="1" applyAlignment="1" applyProtection="1">
      <alignment horizontal="center" vertical="center"/>
    </xf>
    <xf numFmtId="165" fontId="70" fillId="0" borderId="398" xfId="1" applyNumberFormat="1" applyFont="1" applyFill="1" applyBorder="1" applyAlignment="1" applyProtection="1">
      <alignment horizontal="center" vertical="center"/>
    </xf>
    <xf numFmtId="166" fontId="70" fillId="2" borderId="261" xfId="2" applyNumberFormat="1" applyFont="1" applyFill="1" applyBorder="1" applyAlignment="1" applyProtection="1">
      <alignment horizontal="center" vertical="center"/>
    </xf>
    <xf numFmtId="166" fontId="70" fillId="2" borderId="262" xfId="2" applyNumberFormat="1" applyFont="1" applyFill="1" applyBorder="1" applyAlignment="1" applyProtection="1">
      <alignment horizontal="center" vertical="center"/>
    </xf>
    <xf numFmtId="0" fontId="0" fillId="0" borderId="358" xfId="0" applyBorder="1" applyAlignment="1">
      <alignment vertical="center"/>
    </xf>
    <xf numFmtId="166" fontId="69" fillId="2" borderId="267" xfId="2" applyNumberFormat="1" applyFont="1" applyFill="1" applyBorder="1" applyAlignment="1" applyProtection="1">
      <alignment horizontal="center" vertical="center"/>
    </xf>
    <xf numFmtId="165" fontId="70" fillId="0" borderId="159" xfId="1" applyNumberFormat="1" applyFont="1" applyFill="1" applyBorder="1" applyAlignment="1" applyProtection="1">
      <alignment horizontal="center" vertical="center"/>
    </xf>
    <xf numFmtId="166" fontId="70" fillId="2" borderId="270" xfId="2" applyNumberFormat="1" applyFont="1" applyFill="1" applyBorder="1" applyAlignment="1" applyProtection="1">
      <alignment horizontal="center" vertical="center"/>
    </xf>
    <xf numFmtId="166" fontId="70" fillId="2" borderId="271" xfId="2" applyNumberFormat="1" applyFont="1" applyFill="1" applyBorder="1" applyAlignment="1" applyProtection="1">
      <alignment horizontal="center" vertical="center"/>
    </xf>
    <xf numFmtId="166" fontId="69" fillId="2" borderId="26" xfId="2" applyNumberFormat="1" applyFont="1" applyFill="1" applyBorder="1" applyAlignment="1" applyProtection="1">
      <alignment horizontal="center" vertical="center"/>
    </xf>
    <xf numFmtId="2" fontId="70" fillId="2" borderId="159" xfId="2" applyNumberFormat="1" applyFont="1" applyFill="1" applyBorder="1" applyAlignment="1" applyProtection="1">
      <alignment horizontal="center" vertical="center"/>
    </xf>
    <xf numFmtId="166" fontId="69" fillId="2" borderId="265" xfId="2" applyNumberFormat="1" applyFont="1" applyFill="1" applyBorder="1" applyAlignment="1" applyProtection="1">
      <alignment horizontal="center" vertical="center"/>
    </xf>
    <xf numFmtId="165" fontId="70" fillId="0" borderId="397" xfId="1" applyNumberFormat="1" applyFont="1" applyFill="1" applyBorder="1" applyAlignment="1" applyProtection="1">
      <alignment horizontal="center" vertical="center"/>
    </xf>
    <xf numFmtId="166" fontId="70" fillId="2" borderId="264" xfId="2" applyNumberFormat="1" applyFont="1" applyFill="1" applyBorder="1" applyAlignment="1" applyProtection="1">
      <alignment horizontal="center" vertical="center"/>
    </xf>
    <xf numFmtId="166" fontId="70" fillId="2" borderId="265" xfId="2" applyNumberFormat="1" applyFont="1" applyFill="1" applyBorder="1" applyAlignment="1" applyProtection="1">
      <alignment horizontal="center" vertical="center"/>
    </xf>
    <xf numFmtId="3" fontId="32" fillId="0" borderId="0" xfId="0" applyNumberFormat="1" applyFont="1" applyAlignment="1">
      <alignment vertical="center"/>
    </xf>
    <xf numFmtId="3" fontId="32" fillId="0" borderId="0" xfId="0" applyNumberFormat="1" applyFont="1" applyAlignment="1">
      <alignment horizontal="center" vertical="center"/>
    </xf>
    <xf numFmtId="43" fontId="0" fillId="0" borderId="0" xfId="1" applyFont="1" applyProtection="1"/>
    <xf numFmtId="165" fontId="70" fillId="0" borderId="274" xfId="1" applyNumberFormat="1" applyFont="1" applyFill="1" applyBorder="1" applyAlignment="1" applyProtection="1">
      <alignment horizontal="center" vertical="center"/>
    </xf>
    <xf numFmtId="165" fontId="70" fillId="0" borderId="399" xfId="1" applyNumberFormat="1" applyFont="1" applyFill="1" applyBorder="1" applyAlignment="1" applyProtection="1">
      <alignment horizontal="center" vertical="center"/>
    </xf>
    <xf numFmtId="43" fontId="0" fillId="0" borderId="0" xfId="0" applyNumberFormat="1"/>
    <xf numFmtId="165" fontId="70" fillId="0" borderId="265" xfId="1" applyNumberFormat="1" applyFont="1" applyFill="1" applyBorder="1" applyAlignment="1" applyProtection="1">
      <alignment horizontal="center" vertical="center"/>
    </xf>
    <xf numFmtId="166" fontId="69" fillId="2" borderId="14" xfId="2" applyNumberFormat="1" applyFont="1" applyFill="1" applyBorder="1" applyAlignment="1" applyProtection="1">
      <alignment horizontal="center" vertical="center"/>
    </xf>
    <xf numFmtId="165" fontId="70" fillId="0" borderId="264"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2" fillId="32" borderId="275" xfId="0" applyNumberFormat="1" applyFont="1" applyFill="1" applyBorder="1" applyAlignment="1">
      <alignment horizontal="center" vertical="center"/>
    </xf>
    <xf numFmtId="165" fontId="67" fillId="32" borderId="278" xfId="0" applyNumberFormat="1" applyFont="1" applyFill="1" applyBorder="1" applyAlignment="1">
      <alignment vertical="center"/>
    </xf>
    <xf numFmtId="165" fontId="67" fillId="32" borderId="280" xfId="0" applyNumberFormat="1" applyFont="1" applyFill="1" applyBorder="1" applyAlignment="1">
      <alignment vertical="center"/>
    </xf>
    <xf numFmtId="165" fontId="38" fillId="32" borderId="281" xfId="0" applyNumberFormat="1" applyFont="1" applyFill="1" applyBorder="1" applyAlignment="1">
      <alignment vertical="center"/>
    </xf>
    <xf numFmtId="10" fontId="67" fillId="32" borderId="281" xfId="2" applyNumberFormat="1" applyFont="1" applyFill="1" applyBorder="1" applyAlignment="1" applyProtection="1">
      <alignment horizontal="center" vertical="center"/>
    </xf>
    <xf numFmtId="10" fontId="67" fillId="32" borderId="282" xfId="2" applyNumberFormat="1" applyFont="1" applyFill="1" applyBorder="1" applyAlignment="1" applyProtection="1">
      <alignment horizontal="center" vertical="center"/>
    </xf>
    <xf numFmtId="10" fontId="92" fillId="32" borderId="283" xfId="0" applyNumberFormat="1" applyFont="1" applyFill="1" applyBorder="1" applyAlignment="1">
      <alignment horizontal="center" vertical="center"/>
    </xf>
    <xf numFmtId="2" fontId="67" fillId="32" borderId="284" xfId="2" applyNumberFormat="1" applyFont="1" applyFill="1" applyBorder="1" applyAlignment="1" applyProtection="1">
      <alignment horizontal="center" vertical="center"/>
    </xf>
    <xf numFmtId="165" fontId="38" fillId="32" borderId="275" xfId="0" applyNumberFormat="1" applyFont="1" applyFill="1" applyBorder="1" applyAlignment="1">
      <alignment vertical="center"/>
    </xf>
    <xf numFmtId="166" fontId="92" fillId="32" borderId="277" xfId="0" applyNumberFormat="1" applyFont="1" applyFill="1" applyBorder="1" applyAlignment="1">
      <alignment horizontal="center" vertical="center"/>
    </xf>
    <xf numFmtId="165" fontId="67" fillId="32" borderId="275" xfId="0" applyNumberFormat="1" applyFont="1" applyFill="1" applyBorder="1" applyAlignment="1">
      <alignment vertical="center"/>
    </xf>
    <xf numFmtId="10" fontId="67" fillId="32" borderId="279" xfId="2" applyNumberFormat="1" applyFont="1" applyFill="1" applyBorder="1" applyAlignment="1" applyProtection="1">
      <alignment horizontal="center" vertical="center"/>
    </xf>
    <xf numFmtId="10" fontId="67" fillId="32" borderId="280" xfId="0" applyNumberFormat="1" applyFont="1" applyFill="1" applyBorder="1" applyAlignment="1">
      <alignment horizontal="center" vertical="center"/>
    </xf>
    <xf numFmtId="165" fontId="67" fillId="32" borderId="285" xfId="1" applyNumberFormat="1" applyFont="1" applyFill="1" applyBorder="1" applyAlignment="1" applyProtection="1">
      <alignment vertical="center"/>
    </xf>
    <xf numFmtId="165" fontId="67" fillId="32" borderId="286" xfId="1" applyNumberFormat="1" applyFont="1" applyFill="1" applyBorder="1" applyAlignment="1" applyProtection="1">
      <alignment vertical="center"/>
    </xf>
    <xf numFmtId="0" fontId="38" fillId="0" borderId="0" xfId="0" applyFont="1"/>
    <xf numFmtId="0" fontId="38" fillId="0" borderId="358" xfId="0" applyFont="1" applyBorder="1"/>
    <xf numFmtId="0" fontId="38" fillId="0" borderId="0" xfId="0" applyFont="1" applyAlignment="1">
      <alignment vertical="center"/>
    </xf>
    <xf numFmtId="0" fontId="65" fillId="0" borderId="434" xfId="0" applyFont="1" applyBorder="1" applyAlignment="1">
      <alignment vertical="center"/>
    </xf>
    <xf numFmtId="0" fontId="65" fillId="0" borderId="215" xfId="0" applyFont="1" applyBorder="1" applyAlignment="1">
      <alignment vertical="center"/>
    </xf>
    <xf numFmtId="0" fontId="65" fillId="0" borderId="435" xfId="0" applyFont="1" applyBorder="1" applyAlignment="1">
      <alignment vertical="center"/>
    </xf>
    <xf numFmtId="0" fontId="66" fillId="15" borderId="0" xfId="0" applyFont="1" applyFill="1" applyAlignment="1">
      <alignment horizontal="center" vertical="center"/>
    </xf>
    <xf numFmtId="0" fontId="0" fillId="2" borderId="0" xfId="0" applyFill="1"/>
    <xf numFmtId="0" fontId="0" fillId="2" borderId="358" xfId="0" applyFill="1" applyBorder="1"/>
    <xf numFmtId="0" fontId="71" fillId="0" borderId="0" xfId="0" applyFont="1" applyAlignment="1">
      <alignment vertical="center"/>
    </xf>
    <xf numFmtId="0" fontId="0" fillId="2" borderId="200" xfId="0" applyFill="1" applyBorder="1"/>
    <xf numFmtId="0" fontId="66" fillId="16" borderId="0" xfId="0" applyFont="1" applyFill="1" applyAlignment="1">
      <alignment horizontal="center" vertical="center"/>
    </xf>
    <xf numFmtId="0" fontId="66" fillId="14" borderId="0" xfId="0" applyFont="1" applyFill="1" applyAlignment="1">
      <alignment horizontal="center" vertical="center"/>
    </xf>
    <xf numFmtId="0" fontId="65" fillId="16" borderId="0" xfId="0" applyFont="1" applyFill="1"/>
    <xf numFmtId="0" fontId="65" fillId="0" borderId="0" xfId="0" applyFont="1" applyAlignment="1">
      <alignment horizontal="center" vertical="center"/>
    </xf>
    <xf numFmtId="0" fontId="65" fillId="0" borderId="200" xfId="0" applyFont="1" applyBorder="1" applyAlignment="1">
      <alignment vertical="center"/>
    </xf>
    <xf numFmtId="165" fontId="38" fillId="0" borderId="0" xfId="1" applyNumberFormat="1" applyFont="1" applyBorder="1" applyAlignment="1" applyProtection="1">
      <alignment vertical="center"/>
    </xf>
    <xf numFmtId="0" fontId="65" fillId="0" borderId="288"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7" fillId="28" borderId="293" xfId="0" applyFont="1" applyFill="1" applyBorder="1" applyAlignment="1">
      <alignment horizontal="center" vertical="center" wrapText="1"/>
    </xf>
    <xf numFmtId="0" fontId="60" fillId="0" borderId="390" xfId="0" applyFont="1" applyBorder="1" applyAlignment="1">
      <alignment horizontal="center" vertical="center"/>
    </xf>
    <xf numFmtId="0" fontId="60" fillId="0" borderId="444" xfId="0" applyFont="1" applyBorder="1" applyAlignment="1">
      <alignment horizontal="center" vertical="center"/>
    </xf>
    <xf numFmtId="0" fontId="74" fillId="0" borderId="315" xfId="0" applyFont="1" applyBorder="1" applyAlignment="1">
      <alignment horizontal="center" vertical="center"/>
    </xf>
    <xf numFmtId="2" fontId="74" fillId="0" borderId="290" xfId="0" applyNumberFormat="1" applyFont="1" applyBorder="1" applyAlignment="1">
      <alignment horizontal="center" vertical="center"/>
    </xf>
    <xf numFmtId="0" fontId="74" fillId="0" borderId="316" xfId="0" applyFont="1" applyBorder="1" applyAlignment="1">
      <alignment horizontal="center" vertical="center"/>
    </xf>
    <xf numFmtId="2" fontId="74" fillId="0" borderId="293" xfId="0" applyNumberFormat="1" applyFont="1" applyBorder="1" applyAlignment="1">
      <alignment horizontal="center" vertical="center"/>
    </xf>
    <xf numFmtId="0" fontId="0" fillId="0" borderId="447" xfId="0" applyBorder="1"/>
    <xf numFmtId="0" fontId="0" fillId="0" borderId="448" xfId="0" applyBorder="1"/>
    <xf numFmtId="0" fontId="0" fillId="0" borderId="449" xfId="0" applyBorder="1"/>
    <xf numFmtId="9" fontId="74" fillId="2" borderId="253" xfId="2" applyFont="1" applyFill="1" applyBorder="1" applyAlignment="1">
      <alignment horizontal="center" vertical="center"/>
    </xf>
    <xf numFmtId="0" fontId="136" fillId="0" borderId="0" xfId="0" applyFont="1"/>
    <xf numFmtId="0" fontId="136" fillId="0" borderId="0" xfId="0" applyFont="1" applyAlignment="1">
      <alignment vertical="top"/>
    </xf>
    <xf numFmtId="0" fontId="136" fillId="0" borderId="0" xfId="0" applyFont="1" applyAlignment="1">
      <alignment horizontal="left"/>
    </xf>
    <xf numFmtId="0" fontId="137" fillId="0" borderId="0" xfId="0" applyFont="1"/>
    <xf numFmtId="0" fontId="138" fillId="0" borderId="0" xfId="0" applyFont="1"/>
    <xf numFmtId="0" fontId="136" fillId="0" borderId="0" xfId="0" applyFont="1" applyAlignment="1">
      <alignment vertical="center"/>
    </xf>
    <xf numFmtId="0" fontId="137" fillId="0" borderId="0" xfId="0" applyFont="1" applyAlignment="1">
      <alignment vertical="center"/>
    </xf>
    <xf numFmtId="0" fontId="138" fillId="0" borderId="0" xfId="0" applyFont="1" applyAlignment="1">
      <alignment vertical="center"/>
    </xf>
    <xf numFmtId="0" fontId="138" fillId="0" borderId="0" xfId="0" applyFont="1" applyAlignment="1">
      <alignment horizontal="left" vertical="top"/>
    </xf>
    <xf numFmtId="0" fontId="139" fillId="0" borderId="0" xfId="0" applyFont="1" applyAlignment="1">
      <alignment horizontal="left" vertical="top"/>
    </xf>
    <xf numFmtId="0" fontId="140" fillId="0" borderId="0" xfId="0" applyFont="1" applyAlignment="1">
      <alignment vertical="top"/>
    </xf>
    <xf numFmtId="0" fontId="141" fillId="0" borderId="0" xfId="0" applyFont="1" applyAlignment="1">
      <alignment vertical="top"/>
    </xf>
    <xf numFmtId="0" fontId="138" fillId="0" borderId="0" xfId="0" applyFont="1" applyAlignment="1">
      <alignment vertical="top"/>
    </xf>
    <xf numFmtId="0" fontId="142" fillId="0" borderId="0" xfId="0" applyFont="1" applyAlignment="1">
      <alignment horizontal="left" vertical="top" readingOrder="1"/>
    </xf>
    <xf numFmtId="0" fontId="142" fillId="0" borderId="454" xfId="0" applyFont="1" applyBorder="1" applyAlignment="1">
      <alignment horizontal="left" vertical="top" readingOrder="1"/>
    </xf>
    <xf numFmtId="0" fontId="142" fillId="0" borderId="455" xfId="0" applyFont="1" applyBorder="1" applyAlignment="1">
      <alignment horizontal="left" vertical="top" readingOrder="1"/>
    </xf>
    <xf numFmtId="0" fontId="142" fillId="0" borderId="456" xfId="0" applyFont="1" applyBorder="1" applyAlignment="1">
      <alignment horizontal="left" vertical="top" readingOrder="1"/>
    </xf>
    <xf numFmtId="0" fontId="143" fillId="0" borderId="0" xfId="0" applyFont="1"/>
    <xf numFmtId="0" fontId="136" fillId="0" borderId="0" xfId="0" quotePrefix="1" applyFont="1" applyAlignment="1">
      <alignment vertical="center"/>
    </xf>
    <xf numFmtId="0" fontId="135" fillId="0" borderId="457" xfId="0" applyFont="1" applyBorder="1" applyAlignment="1">
      <alignment horizontal="center" vertical="center"/>
    </xf>
    <xf numFmtId="49" fontId="145" fillId="0" borderId="114" xfId="7" applyNumberFormat="1" applyFont="1" applyBorder="1" applyAlignment="1">
      <alignment horizontal="center" vertical="center"/>
    </xf>
    <xf numFmtId="0" fontId="146" fillId="0" borderId="0" xfId="0" applyFont="1" applyAlignment="1">
      <alignment vertical="center"/>
    </xf>
    <xf numFmtId="0" fontId="146" fillId="0" borderId="0" xfId="0" applyFont="1" applyAlignment="1">
      <alignment vertical="center" wrapText="1"/>
    </xf>
    <xf numFmtId="0" fontId="147" fillId="14" borderId="4" xfId="0" quotePrefix="1" applyFont="1" applyFill="1" applyBorder="1" applyAlignment="1">
      <alignment horizontal="center" vertical="center" wrapText="1"/>
    </xf>
    <xf numFmtId="0" fontId="147" fillId="14" borderId="3" xfId="0" quotePrefix="1" applyFont="1" applyFill="1" applyBorder="1" applyAlignment="1">
      <alignment horizontal="center" vertical="center" wrapText="1"/>
    </xf>
    <xf numFmtId="0" fontId="147" fillId="14" borderId="377" xfId="0" quotePrefix="1" applyFont="1" applyFill="1" applyBorder="1" applyAlignment="1">
      <alignment horizontal="center" vertical="center" wrapText="1"/>
    </xf>
    <xf numFmtId="0" fontId="148" fillId="0" borderId="0" xfId="0" applyFont="1" applyAlignment="1">
      <alignment vertical="center"/>
    </xf>
    <xf numFmtId="0" fontId="149" fillId="0" borderId="139" xfId="0" quotePrefix="1" applyFont="1" applyBorder="1" applyAlignment="1">
      <alignment vertical="center"/>
    </xf>
    <xf numFmtId="0" fontId="149" fillId="0" borderId="0" xfId="0" applyFont="1" applyAlignment="1">
      <alignment horizontal="center" vertical="center"/>
    </xf>
    <xf numFmtId="0" fontId="149" fillId="0" borderId="139" xfId="0" applyFont="1" applyBorder="1" applyAlignment="1">
      <alignment horizontal="center" vertical="center"/>
    </xf>
    <xf numFmtId="0" fontId="137" fillId="0" borderId="0" xfId="0" applyFont="1" applyAlignment="1">
      <alignment horizontal="left" vertical="top"/>
    </xf>
    <xf numFmtId="0" fontId="137" fillId="0" borderId="0" xfId="0" applyFont="1" applyAlignment="1">
      <alignment vertical="top"/>
    </xf>
    <xf numFmtId="0" fontId="150" fillId="0" borderId="0" xfId="0" applyFont="1" applyAlignment="1">
      <alignment horizontal="left" vertical="top"/>
    </xf>
    <xf numFmtId="0" fontId="150" fillId="0" borderId="0" xfId="0" applyFont="1" applyAlignment="1">
      <alignment horizontal="left" vertical="top" wrapText="1"/>
    </xf>
    <xf numFmtId="38" fontId="30" fillId="2" borderId="405" xfId="0" applyNumberFormat="1" applyFont="1" applyFill="1" applyBorder="1" applyAlignment="1">
      <alignment horizontal="center" vertical="center"/>
    </xf>
    <xf numFmtId="0" fontId="45" fillId="0" borderId="0" xfId="0" applyFont="1" applyAlignment="1">
      <alignment horizontal="center" vertical="center"/>
    </xf>
    <xf numFmtId="0" fontId="151" fillId="16" borderId="125" xfId="0" applyFont="1" applyFill="1" applyBorder="1" applyAlignment="1">
      <alignment horizontal="center" vertical="center" wrapText="1"/>
    </xf>
    <xf numFmtId="4" fontId="0" fillId="0" borderId="0" xfId="0" applyNumberFormat="1"/>
    <xf numFmtId="165" fontId="0" fillId="36" borderId="263" xfId="1" applyNumberFormat="1" applyFont="1" applyFill="1" applyBorder="1" applyAlignment="1" applyProtection="1">
      <alignment vertical="center"/>
    </xf>
    <xf numFmtId="166" fontId="69" fillId="36" borderId="266" xfId="2" applyNumberFormat="1" applyFont="1" applyFill="1" applyBorder="1" applyAlignment="1" applyProtection="1">
      <alignment horizontal="center" vertical="center"/>
    </xf>
    <xf numFmtId="0" fontId="0" fillId="36" borderId="0" xfId="0" applyFill="1"/>
    <xf numFmtId="10" fontId="2" fillId="40" borderId="263" xfId="2" applyNumberFormat="1" applyFont="1" applyFill="1" applyBorder="1" applyAlignment="1" applyProtection="1">
      <alignment horizontal="center" vertical="center"/>
    </xf>
    <xf numFmtId="10" fontId="0" fillId="36" borderId="263" xfId="2" applyNumberFormat="1" applyFont="1" applyFill="1" applyBorder="1" applyAlignment="1" applyProtection="1">
      <alignment horizontal="center" vertical="center"/>
    </xf>
    <xf numFmtId="0" fontId="28" fillId="18" borderId="0" xfId="0" applyFont="1" applyFill="1" applyAlignment="1">
      <alignment horizontal="center" vertical="center"/>
    </xf>
    <xf numFmtId="10" fontId="0" fillId="0" borderId="0" xfId="2" applyNumberFormat="1" applyFont="1"/>
    <xf numFmtId="43" fontId="70" fillId="0" borderId="24" xfId="1" applyFont="1" applyFill="1" applyBorder="1" applyAlignment="1" applyProtection="1">
      <alignment horizontal="center" vertical="center"/>
    </xf>
    <xf numFmtId="15" fontId="137" fillId="0" borderId="0" xfId="0" applyNumberFormat="1" applyFont="1" applyAlignment="1">
      <alignment horizontal="left" vertical="top"/>
    </xf>
    <xf numFmtId="0" fontId="153" fillId="0" borderId="0" xfId="0" applyFont="1" applyAlignment="1">
      <alignment horizontal="center" vertical="center" wrapText="1"/>
    </xf>
    <xf numFmtId="0" fontId="153" fillId="0" borderId="0" xfId="0" applyFont="1" applyAlignment="1">
      <alignment horizontal="center" vertical="center"/>
    </xf>
    <xf numFmtId="0" fontId="88" fillId="36" borderId="315" xfId="0" applyFont="1" applyFill="1" applyBorder="1" applyAlignment="1">
      <alignment horizontal="center" vertical="center" wrapText="1"/>
    </xf>
    <xf numFmtId="167" fontId="73" fillId="36" borderId="290" xfId="0" applyNumberFormat="1" applyFont="1" applyFill="1" applyBorder="1" applyAlignment="1">
      <alignment horizontal="center" vertical="center" wrapText="1"/>
    </xf>
    <xf numFmtId="177" fontId="87" fillId="36" borderId="442" xfId="0" applyNumberFormat="1" applyFont="1" applyFill="1" applyBorder="1" applyAlignment="1">
      <alignment horizontal="center" vertical="center" wrapText="1"/>
    </xf>
    <xf numFmtId="0" fontId="88" fillId="36" borderId="316" xfId="0" applyFont="1" applyFill="1" applyBorder="1" applyAlignment="1">
      <alignment horizontal="center" vertical="center" wrapText="1"/>
    </xf>
    <xf numFmtId="167" fontId="73" fillId="36" borderId="293" xfId="0" applyNumberFormat="1" applyFont="1" applyFill="1" applyBorder="1" applyAlignment="1">
      <alignment horizontal="center" vertical="center" wrapText="1"/>
    </xf>
    <xf numFmtId="177" fontId="87" fillId="36" borderId="367" xfId="0" applyNumberFormat="1" applyFont="1" applyFill="1" applyBorder="1" applyAlignment="1">
      <alignment horizontal="center" vertical="center" wrapText="1"/>
    </xf>
    <xf numFmtId="0" fontId="0" fillId="2" borderId="176" xfId="0" applyFill="1" applyBorder="1" applyAlignment="1">
      <alignment vertical="center"/>
    </xf>
    <xf numFmtId="0" fontId="0" fillId="2" borderId="0" xfId="0" applyFill="1" applyAlignment="1">
      <alignment vertical="center"/>
    </xf>
    <xf numFmtId="0" fontId="0" fillId="2" borderId="358"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8" fillId="2" borderId="347" xfId="4" applyFont="1" applyFill="1" applyBorder="1" applyAlignment="1">
      <alignment horizontal="center" vertical="top"/>
    </xf>
    <xf numFmtId="0" fontId="93" fillId="13" borderId="344" xfId="4" applyFont="1" applyFill="1" applyBorder="1"/>
    <xf numFmtId="0" fontId="93" fillId="13" borderId="59" xfId="4" applyFont="1" applyFill="1" applyBorder="1"/>
    <xf numFmtId="0" fontId="95" fillId="0" borderId="0" xfId="4" applyFont="1"/>
    <xf numFmtId="0" fontId="63" fillId="13" borderId="60" xfId="11" applyFont="1" applyFill="1" applyBorder="1" applyAlignment="1">
      <alignment horizontal="center" vertical="center"/>
    </xf>
    <xf numFmtId="0" fontId="96" fillId="11" borderId="371" xfId="4" applyFont="1" applyFill="1" applyBorder="1" applyAlignment="1">
      <alignment vertical="center" wrapText="1"/>
    </xf>
    <xf numFmtId="0" fontId="93" fillId="11" borderId="377" xfId="4" applyFont="1" applyFill="1" applyBorder="1" applyAlignment="1">
      <alignment vertical="center"/>
    </xf>
    <xf numFmtId="0" fontId="93" fillId="0" borderId="3" xfId="4" applyFont="1" applyBorder="1"/>
    <xf numFmtId="0" fontId="93" fillId="0" borderId="376" xfId="4" applyFont="1" applyBorder="1" applyAlignment="1" applyProtection="1">
      <alignment vertical="center" wrapText="1"/>
      <protection locked="0"/>
    </xf>
    <xf numFmtId="0" fontId="98" fillId="0" borderId="0" xfId="4" applyFont="1"/>
    <xf numFmtId="0" fontId="100" fillId="0" borderId="0" xfId="4" applyFont="1"/>
    <xf numFmtId="0" fontId="95" fillId="13" borderId="0" xfId="4" applyFont="1" applyFill="1"/>
    <xf numFmtId="17" fontId="49" fillId="0" borderId="26" xfId="0" applyNumberFormat="1" applyFont="1" applyBorder="1" applyAlignment="1">
      <alignment horizontal="center" vertical="center" textRotation="90"/>
    </xf>
    <xf numFmtId="0" fontId="39"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57" fillId="0" borderId="0" xfId="4" applyNumberFormat="1" applyFont="1" applyAlignment="1">
      <alignment horizontal="center" vertical="center" wrapText="1"/>
    </xf>
    <xf numFmtId="190" fontId="158" fillId="0" borderId="0" xfId="0" applyNumberFormat="1" applyFont="1"/>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7" fillId="2" borderId="19" xfId="0" applyFont="1" applyFill="1" applyBorder="1" applyAlignment="1">
      <alignment horizontal="center" vertical="center"/>
    </xf>
    <xf numFmtId="170" fontId="7" fillId="0" borderId="19" xfId="0" applyNumberFormat="1" applyFont="1" applyBorder="1" applyAlignment="1" applyProtection="1">
      <alignment vertical="center"/>
      <protection locked="0"/>
    </xf>
    <xf numFmtId="170" fontId="7" fillId="2" borderId="20" xfId="0" applyNumberFormat="1" applyFont="1" applyFill="1" applyBorder="1" applyAlignment="1">
      <alignment vertical="center"/>
    </xf>
    <xf numFmtId="0" fontId="7" fillId="2" borderId="25" xfId="0" applyFont="1" applyFill="1" applyBorder="1" applyAlignment="1">
      <alignment horizontal="center" vertical="center"/>
    </xf>
    <xf numFmtId="0" fontId="7" fillId="4" borderId="26"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protection locked="0"/>
    </xf>
    <xf numFmtId="170" fontId="7" fillId="0" borderId="26"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30" xfId="0" applyNumberFormat="1" applyFont="1" applyBorder="1" applyAlignment="1" applyProtection="1">
      <alignment horizontal="center" vertical="center"/>
      <protection locked="0"/>
    </xf>
    <xf numFmtId="167" fontId="7" fillId="0" borderId="28" xfId="0" applyNumberFormat="1" applyFont="1" applyBorder="1" applyAlignment="1" applyProtection="1">
      <alignment horizontal="center" vertical="center"/>
      <protection locked="0"/>
    </xf>
    <xf numFmtId="0" fontId="7" fillId="2" borderId="31" xfId="0" applyFont="1" applyFill="1" applyBorder="1" applyAlignment="1">
      <alignment horizontal="center" vertical="center"/>
    </xf>
    <xf numFmtId="166" fontId="7" fillId="2" borderId="26" xfId="2" applyNumberFormat="1" applyFont="1" applyFill="1" applyBorder="1" applyAlignment="1">
      <alignment horizontal="center" vertical="center"/>
    </xf>
    <xf numFmtId="1" fontId="7" fillId="2" borderId="26" xfId="0" applyNumberFormat="1" applyFont="1" applyFill="1" applyBorder="1" applyAlignment="1">
      <alignment horizontal="center" vertical="center"/>
    </xf>
    <xf numFmtId="170" fontId="7" fillId="0" borderId="25" xfId="0" applyNumberFormat="1" applyFont="1" applyBorder="1" applyAlignment="1" applyProtection="1">
      <alignment vertical="center"/>
      <protection locked="0"/>
    </xf>
    <xf numFmtId="170" fontId="7" fillId="2" borderId="26" xfId="0" applyNumberFormat="1" applyFont="1" applyFill="1" applyBorder="1" applyAlignment="1">
      <alignment vertical="center"/>
    </xf>
    <xf numFmtId="0" fontId="7" fillId="2" borderId="424" xfId="0" applyFont="1" applyFill="1" applyBorder="1" applyAlignment="1">
      <alignment horizontal="center" vertical="center"/>
    </xf>
    <xf numFmtId="0" fontId="7" fillId="4" borderId="53" xfId="0" applyFont="1" applyFill="1" applyBorder="1" applyAlignment="1" applyProtection="1">
      <alignment horizontal="center" vertical="center"/>
      <protection locked="0"/>
    </xf>
    <xf numFmtId="0" fontId="7" fillId="4" borderId="425" xfId="0" applyFont="1" applyFill="1" applyBorder="1" applyAlignment="1" applyProtection="1">
      <alignment horizontal="center" vertical="center"/>
      <protection locked="0"/>
    </xf>
    <xf numFmtId="170" fontId="7" fillId="0" borderId="424" xfId="0" applyNumberFormat="1" applyFont="1" applyBorder="1" applyAlignment="1" applyProtection="1">
      <alignment vertical="center"/>
      <protection locked="0"/>
    </xf>
    <xf numFmtId="170" fontId="7" fillId="2" borderId="53" xfId="0" applyNumberFormat="1" applyFont="1" applyFill="1" applyBorder="1" applyAlignment="1">
      <alignment vertical="center"/>
    </xf>
    <xf numFmtId="170" fontId="7" fillId="0" borderId="53" xfId="0" applyNumberFormat="1" applyFont="1" applyBorder="1" applyAlignment="1" applyProtection="1">
      <alignment vertical="center"/>
      <protection locked="0"/>
    </xf>
    <xf numFmtId="167" fontId="7" fillId="0" borderId="117" xfId="0" applyNumberFormat="1" applyFont="1" applyBorder="1" applyAlignment="1" applyProtection="1">
      <alignment horizontal="center" vertical="center"/>
      <protection locked="0"/>
    </xf>
    <xf numFmtId="167" fontId="7" fillId="0" borderId="425" xfId="0" applyNumberFormat="1" applyFont="1" applyBorder="1" applyAlignment="1" applyProtection="1">
      <alignment horizontal="center" vertical="center"/>
      <protection locked="0"/>
    </xf>
    <xf numFmtId="167" fontId="7" fillId="0" borderId="424" xfId="0" applyNumberFormat="1"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167" fontId="7" fillId="0" borderId="53" xfId="0" applyNumberFormat="1" applyFont="1" applyBorder="1" applyAlignment="1" applyProtection="1">
      <alignment horizontal="center" vertical="center"/>
      <protection locked="0"/>
    </xf>
    <xf numFmtId="0" fontId="7" fillId="2" borderId="426" xfId="0" applyFont="1" applyFill="1" applyBorder="1" applyAlignment="1">
      <alignment horizontal="center" vertical="center"/>
    </xf>
    <xf numFmtId="167" fontId="7" fillId="0" borderId="52" xfId="0" applyNumberFormat="1" applyFont="1" applyBorder="1" applyAlignment="1" applyProtection="1">
      <alignment horizontal="center" vertical="center"/>
      <protection locked="0"/>
    </xf>
    <xf numFmtId="167" fontId="7" fillId="0" borderId="51" xfId="0" applyNumberFormat="1" applyFont="1" applyBorder="1" applyAlignment="1" applyProtection="1">
      <alignment horizontal="center" vertical="center"/>
      <protection locked="0"/>
    </xf>
    <xf numFmtId="0" fontId="7" fillId="2" borderId="427" xfId="0" applyFont="1" applyFill="1" applyBorder="1" applyAlignment="1">
      <alignment horizontal="center" vertical="center"/>
    </xf>
    <xf numFmtId="166" fontId="7" fillId="2" borderId="53" xfId="2" applyNumberFormat="1" applyFont="1" applyFill="1" applyBorder="1" applyAlignment="1">
      <alignment horizontal="center" vertical="center"/>
    </xf>
    <xf numFmtId="1" fontId="7" fillId="2" borderId="53"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vertical="center"/>
    </xf>
    <xf numFmtId="0" fontId="6" fillId="20" borderId="34" xfId="0" applyFont="1" applyFill="1" applyBorder="1" applyAlignment="1">
      <alignment horizontal="right" vertical="center"/>
    </xf>
    <xf numFmtId="170" fontId="7" fillId="20" borderId="32" xfId="0" applyNumberFormat="1" applyFont="1" applyFill="1" applyBorder="1" applyAlignment="1" applyProtection="1">
      <alignment vertical="center"/>
      <protection locked="0"/>
    </xf>
    <xf numFmtId="170" fontId="7" fillId="20" borderId="33" xfId="0" applyNumberFormat="1" applyFont="1" applyFill="1" applyBorder="1" applyAlignment="1">
      <alignment vertical="center"/>
    </xf>
    <xf numFmtId="170" fontId="7" fillId="20" borderId="33" xfId="0" applyNumberFormat="1" applyFont="1" applyFill="1" applyBorder="1" applyAlignment="1" applyProtection="1">
      <alignment vertical="center"/>
      <protection locked="0"/>
    </xf>
    <xf numFmtId="170" fontId="7" fillId="20" borderId="35" xfId="0" applyNumberFormat="1" applyFont="1" applyFill="1" applyBorder="1" applyAlignment="1">
      <alignment vertical="center"/>
    </xf>
    <xf numFmtId="167" fontId="7" fillId="20" borderId="36" xfId="0" applyNumberFormat="1" applyFont="1" applyFill="1" applyBorder="1" applyAlignment="1">
      <alignment horizontal="center" vertical="center"/>
    </xf>
    <xf numFmtId="167" fontId="7" fillId="20" borderId="34" xfId="0" applyNumberFormat="1" applyFont="1" applyFill="1" applyBorder="1" applyAlignment="1">
      <alignment horizontal="center" vertical="center"/>
    </xf>
    <xf numFmtId="167" fontId="7" fillId="20" borderId="32" xfId="0" applyNumberFormat="1" applyFont="1" applyFill="1" applyBorder="1" applyAlignment="1">
      <alignment horizontal="center" vertical="center"/>
    </xf>
    <xf numFmtId="0" fontId="7" fillId="20" borderId="33" xfId="0" applyFont="1" applyFill="1" applyBorder="1" applyAlignment="1">
      <alignment horizontal="center" vertical="center"/>
    </xf>
    <xf numFmtId="0" fontId="7" fillId="20" borderId="38" xfId="0" applyFont="1" applyFill="1" applyBorder="1" applyAlignment="1">
      <alignment horizontal="center" vertical="center"/>
    </xf>
    <xf numFmtId="0" fontId="7" fillId="20" borderId="34" xfId="0" applyFont="1" applyFill="1" applyBorder="1" applyAlignment="1">
      <alignment vertical="center"/>
    </xf>
    <xf numFmtId="167" fontId="7" fillId="20" borderId="37" xfId="0" applyNumberFormat="1" applyFont="1" applyFill="1" applyBorder="1" applyAlignment="1">
      <alignment horizontal="center" vertical="center"/>
    </xf>
    <xf numFmtId="0" fontId="7" fillId="20" borderId="35" xfId="0" applyFont="1" applyFill="1" applyBorder="1" applyAlignment="1">
      <alignment vertical="center"/>
    </xf>
    <xf numFmtId="166" fontId="7" fillId="20" borderId="33" xfId="2" applyNumberFormat="1" applyFont="1" applyFill="1" applyBorder="1" applyAlignment="1">
      <alignment horizontal="center" vertical="center"/>
    </xf>
    <xf numFmtId="1" fontId="7" fillId="20" borderId="33" xfId="0" applyNumberFormat="1" applyFont="1" applyFill="1" applyBorder="1" applyAlignment="1">
      <alignment horizontal="center" vertical="center"/>
    </xf>
    <xf numFmtId="167" fontId="0" fillId="0" borderId="33" xfId="0" applyNumberForma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4" fontId="2"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165" fontId="32" fillId="16" borderId="57" xfId="27" applyNumberFormat="1" applyFont="1" applyFill="1" applyBorder="1"/>
    <xf numFmtId="165" fontId="0" fillId="4" borderId="0" xfId="16" applyNumberFormat="1" applyFont="1" applyFill="1"/>
    <xf numFmtId="0" fontId="32" fillId="16" borderId="65" xfId="0" applyFont="1" applyFill="1" applyBorder="1" applyAlignment="1">
      <alignment horizontal="centerContinuous"/>
    </xf>
    <xf numFmtId="0" fontId="21" fillId="16" borderId="66" xfId="0" applyFont="1" applyFill="1" applyBorder="1" applyAlignment="1">
      <alignment horizontal="center" vertical="center" wrapText="1"/>
    </xf>
    <xf numFmtId="165" fontId="0" fillId="0" borderId="0" xfId="0" applyNumberFormat="1"/>
    <xf numFmtId="0" fontId="0" fillId="0" borderId="67" xfId="0" applyBorder="1"/>
    <xf numFmtId="171" fontId="0" fillId="0" borderId="100" xfId="0" applyNumberFormat="1" applyBorder="1" applyAlignment="1">
      <alignment horizontal="center" vertical="center"/>
    </xf>
    <xf numFmtId="0" fontId="36" fillId="16" borderId="68" xfId="0" applyFont="1" applyFill="1" applyBorder="1" applyAlignment="1">
      <alignment horizontal="center" vertical="center" wrapText="1"/>
    </xf>
    <xf numFmtId="9" fontId="0" fillId="2" borderId="0" xfId="2" applyFont="1" applyFill="1" applyAlignment="1">
      <alignment vertical="center"/>
    </xf>
    <xf numFmtId="0" fontId="2" fillId="0" borderId="471" xfId="0" applyFont="1" applyBorder="1" applyAlignment="1">
      <alignment horizontal="center" vertical="center"/>
    </xf>
    <xf numFmtId="15" fontId="35" fillId="0" borderId="472" xfId="0" applyNumberFormat="1" applyFont="1" applyBorder="1" applyAlignment="1">
      <alignment horizontal="center" vertical="center"/>
    </xf>
    <xf numFmtId="0" fontId="2" fillId="0" borderId="472" xfId="0" applyFont="1" applyBorder="1"/>
    <xf numFmtId="0" fontId="2" fillId="0" borderId="474" xfId="0" applyFont="1" applyBorder="1" applyAlignment="1">
      <alignment horizontal="center" vertical="center"/>
    </xf>
    <xf numFmtId="0" fontId="2" fillId="0" borderId="475" xfId="0" applyFont="1" applyBorder="1"/>
    <xf numFmtId="0" fontId="0" fillId="0" borderId="472" xfId="0" applyBorder="1" applyAlignment="1">
      <alignment horizontal="center"/>
    </xf>
    <xf numFmtId="0" fontId="0" fillId="0" borderId="473" xfId="0" applyBorder="1" applyAlignment="1">
      <alignment horizontal="center"/>
    </xf>
    <xf numFmtId="0" fontId="0" fillId="0" borderId="475" xfId="0" applyBorder="1" applyAlignment="1">
      <alignment horizontal="center"/>
    </xf>
    <xf numFmtId="0" fontId="0" fillId="0" borderId="476" xfId="0" applyBorder="1" applyAlignment="1">
      <alignment horizontal="center"/>
    </xf>
    <xf numFmtId="15" fontId="35" fillId="0" borderId="472" xfId="0" applyNumberFormat="1" applyFont="1" applyBorder="1" applyAlignment="1">
      <alignment horizontal="center"/>
    </xf>
    <xf numFmtId="0" fontId="20" fillId="14" borderId="479" xfId="0" applyFont="1" applyFill="1" applyBorder="1" applyAlignment="1">
      <alignment horizontal="center" vertical="center" wrapText="1"/>
    </xf>
    <xf numFmtId="0" fontId="20" fillId="14" borderId="219" xfId="0" applyFont="1" applyFill="1" applyBorder="1" applyAlignment="1">
      <alignment horizontal="center" vertical="center" wrapText="1"/>
    </xf>
    <xf numFmtId="0" fontId="20" fillId="14" borderId="480" xfId="0" applyFont="1" applyFill="1" applyBorder="1" applyAlignment="1">
      <alignment horizontal="center" vertical="center" wrapText="1"/>
    </xf>
    <xf numFmtId="40" fontId="0" fillId="0" borderId="0" xfId="0" applyNumberFormat="1"/>
    <xf numFmtId="172" fontId="7" fillId="4" borderId="0" xfId="0" applyNumberFormat="1" applyFont="1" applyFill="1"/>
    <xf numFmtId="15" fontId="0" fillId="0" borderId="218" xfId="0" applyNumberFormat="1" applyBorder="1" applyAlignment="1">
      <alignment horizontal="center"/>
    </xf>
    <xf numFmtId="15" fontId="0" fillId="0" borderId="351" xfId="0" applyNumberFormat="1" applyBorder="1" applyAlignment="1">
      <alignment horizontal="center"/>
    </xf>
    <xf numFmtId="0" fontId="47" fillId="0" borderId="115" xfId="0" applyFont="1" applyBorder="1" applyAlignment="1">
      <alignment horizontal="center"/>
    </xf>
    <xf numFmtId="0" fontId="47" fillId="0" borderId="118" xfId="0" applyFont="1" applyBorder="1" applyAlignment="1">
      <alignment horizontal="center"/>
    </xf>
    <xf numFmtId="15" fontId="0" fillId="0" borderId="60" xfId="0" applyNumberFormat="1" applyBorder="1" applyAlignment="1">
      <alignment horizontal="center"/>
    </xf>
    <xf numFmtId="0" fontId="0" fillId="0" borderId="218" xfId="0" applyBorder="1" applyAlignment="1">
      <alignment horizontal="center"/>
    </xf>
    <xf numFmtId="15" fontId="0" fillId="0" borderId="349" xfId="0" applyNumberFormat="1" applyBorder="1" applyAlignment="1">
      <alignment horizontal="center"/>
    </xf>
    <xf numFmtId="165" fontId="0" fillId="0" borderId="263" xfId="1" applyNumberFormat="1" applyFont="1" applyFill="1" applyBorder="1" applyAlignment="1" applyProtection="1">
      <alignment vertical="center"/>
    </xf>
    <xf numFmtId="165" fontId="0" fillId="0" borderId="463" xfId="1" applyNumberFormat="1" applyFont="1" applyFill="1" applyBorder="1" applyAlignment="1" applyProtection="1">
      <alignment vertical="center"/>
    </xf>
    <xf numFmtId="0" fontId="160" fillId="0" borderId="0" xfId="0" applyFont="1"/>
    <xf numFmtId="10" fontId="160" fillId="0" borderId="0" xfId="2" applyNumberFormat="1" applyFont="1"/>
    <xf numFmtId="165" fontId="160" fillId="0" borderId="0" xfId="0" applyNumberFormat="1" applyFont="1"/>
    <xf numFmtId="43" fontId="160" fillId="0" borderId="0" xfId="1" applyFont="1"/>
    <xf numFmtId="43" fontId="160" fillId="0" borderId="0" xfId="0" applyNumberFormat="1" applyFont="1"/>
    <xf numFmtId="10" fontId="160" fillId="0" borderId="0" xfId="0" applyNumberFormat="1" applyFont="1"/>
    <xf numFmtId="165" fontId="160" fillId="0" borderId="0" xfId="2" applyNumberFormat="1" applyFont="1"/>
    <xf numFmtId="10" fontId="160" fillId="0" borderId="0" xfId="1" applyNumberFormat="1" applyFont="1"/>
    <xf numFmtId="0" fontId="155" fillId="0" borderId="0" xfId="0" applyFont="1" applyAlignment="1">
      <alignment horizontal="center" vertical="center" wrapText="1"/>
    </xf>
    <xf numFmtId="0" fontId="155" fillId="0" borderId="483" xfId="0" applyFont="1" applyBorder="1" applyAlignment="1">
      <alignment horizontal="left" vertical="center" wrapText="1"/>
    </xf>
    <xf numFmtId="0" fontId="155" fillId="0" borderId="481" xfId="0" applyFont="1" applyBorder="1" applyAlignment="1">
      <alignment horizontal="left" vertical="center" wrapText="1"/>
    </xf>
    <xf numFmtId="0" fontId="155" fillId="0" borderId="481" xfId="0" applyFont="1" applyBorder="1" applyAlignment="1">
      <alignment horizontal="center" vertical="center"/>
    </xf>
    <xf numFmtId="0" fontId="155" fillId="0" borderId="481" xfId="0" applyFont="1" applyBorder="1" applyAlignment="1">
      <alignment horizontal="center" vertical="center" wrapText="1"/>
    </xf>
    <xf numFmtId="43" fontId="155" fillId="0" borderId="481" xfId="1" applyFont="1" applyFill="1" applyBorder="1" applyAlignment="1">
      <alignment horizontal="center" vertical="center" wrapText="1"/>
    </xf>
    <xf numFmtId="43" fontId="155" fillId="0" borderId="482" xfId="1" applyFont="1" applyFill="1" applyBorder="1" applyAlignment="1">
      <alignment horizontal="center" vertical="center" wrapText="1"/>
    </xf>
    <xf numFmtId="0" fontId="155" fillId="20" borderId="80" xfId="0" applyFont="1" applyFill="1" applyBorder="1" applyAlignment="1">
      <alignment horizontal="center" vertical="center" wrapText="1"/>
    </xf>
    <xf numFmtId="0" fontId="155" fillId="20" borderId="80" xfId="0" applyFont="1" applyFill="1" applyBorder="1" applyAlignment="1">
      <alignment horizontal="center" vertical="center"/>
    </xf>
    <xf numFmtId="0" fontId="161" fillId="42" borderId="486" xfId="0" applyFont="1" applyFill="1" applyBorder="1" applyAlignment="1">
      <alignment horizontal="center" vertical="center"/>
    </xf>
    <xf numFmtId="0" fontId="161" fillId="42" borderId="486" xfId="0" applyFont="1" applyFill="1" applyBorder="1" applyAlignment="1">
      <alignment horizontal="center" vertical="center" wrapText="1"/>
    </xf>
    <xf numFmtId="43" fontId="161" fillId="42" borderId="31" xfId="0" applyNumberFormat="1" applyFont="1" applyFill="1" applyBorder="1" applyAlignment="1">
      <alignment horizontal="center" vertical="center" wrapText="1"/>
    </xf>
    <xf numFmtId="0" fontId="162" fillId="0" borderId="0" xfId="0" applyFont="1" applyAlignment="1">
      <alignment horizontal="center" vertical="center" wrapText="1"/>
    </xf>
    <xf numFmtId="0" fontId="95" fillId="0" borderId="451" xfId="43" applyFont="1" applyBorder="1" applyAlignment="1">
      <alignment horizontal="left" vertical="top" wrapText="1"/>
    </xf>
    <xf numFmtId="4" fontId="95" fillId="0" borderId="451" xfId="44" applyNumberFormat="1" applyFont="1" applyFill="1" applyBorder="1" applyAlignment="1">
      <alignment horizontal="center" vertical="center"/>
    </xf>
    <xf numFmtId="4" fontId="95" fillId="0" borderId="451" xfId="44" applyNumberFormat="1" applyFont="1" applyFill="1" applyBorder="1" applyAlignment="1">
      <alignment horizontal="left" vertical="center"/>
    </xf>
    <xf numFmtId="0" fontId="95" fillId="0" borderId="451" xfId="43" applyFont="1" applyBorder="1" applyAlignment="1">
      <alignment horizontal="center" vertical="center" wrapText="1"/>
    </xf>
    <xf numFmtId="43" fontId="95" fillId="9" borderId="451" xfId="1" applyFont="1" applyFill="1" applyBorder="1" applyAlignment="1">
      <alignment horizontal="center" vertical="center" wrapText="1"/>
    </xf>
    <xf numFmtId="43" fontId="162" fillId="9" borderId="31" xfId="1" applyFont="1" applyFill="1" applyBorder="1" applyAlignment="1">
      <alignment horizontal="center" vertical="center" wrapText="1"/>
    </xf>
    <xf numFmtId="0" fontId="162" fillId="11" borderId="451" xfId="0" applyFont="1" applyFill="1" applyBorder="1" applyAlignment="1">
      <alignment horizontal="center" vertical="center"/>
    </xf>
    <xf numFmtId="0" fontId="95" fillId="11" borderId="451" xfId="0" applyFont="1" applyFill="1" applyBorder="1" applyAlignment="1">
      <alignment horizontal="left" vertical="center" wrapText="1"/>
    </xf>
    <xf numFmtId="0" fontId="95" fillId="11" borderId="451" xfId="43" applyFont="1" applyFill="1" applyBorder="1" applyAlignment="1">
      <alignment horizontal="center" vertical="center" wrapText="1"/>
    </xf>
    <xf numFmtId="0" fontId="162" fillId="0" borderId="0" xfId="0" applyFont="1" applyAlignment="1">
      <alignment horizontal="left" vertical="center" wrapText="1"/>
    </xf>
    <xf numFmtId="0" fontId="162" fillId="0" borderId="0" xfId="0" applyFont="1" applyAlignment="1">
      <alignment horizontal="center" vertical="center"/>
    </xf>
    <xf numFmtId="43" fontId="162"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57" xfId="1" applyNumberFormat="1" applyFont="1" applyFill="1" applyBorder="1" applyAlignment="1">
      <alignment horizontal="center" vertical="center"/>
    </xf>
    <xf numFmtId="165" fontId="0" fillId="11" borderId="94" xfId="1" applyNumberFormat="1" applyFont="1" applyFill="1" applyBorder="1" applyAlignment="1">
      <alignment horizontal="center" vertical="center"/>
    </xf>
    <xf numFmtId="165" fontId="0" fillId="11" borderId="58"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7" fillId="4" borderId="20" xfId="0" applyFont="1" applyFill="1" applyBorder="1" applyAlignment="1" applyProtection="1">
      <alignment horizontal="center"/>
      <protection locked="0"/>
    </xf>
    <xf numFmtId="191" fontId="7" fillId="4" borderId="21" xfId="0" applyNumberFormat="1" applyFont="1" applyFill="1" applyBorder="1" applyAlignment="1" applyProtection="1">
      <alignment horizontal="center"/>
      <protection locked="0"/>
    </xf>
    <xf numFmtId="170" fontId="7" fillId="0" borderId="19" xfId="0" applyNumberFormat="1" applyFont="1" applyBorder="1" applyProtection="1">
      <protection locked="0"/>
    </xf>
    <xf numFmtId="170" fontId="7" fillId="2" borderId="20" xfId="0" applyNumberFormat="1" applyFont="1" applyFill="1" applyBorder="1"/>
    <xf numFmtId="170" fontId="7" fillId="0" borderId="20" xfId="0" applyNumberFormat="1" applyFont="1" applyBorder="1" applyProtection="1">
      <protection locked="0"/>
    </xf>
    <xf numFmtId="170" fontId="7" fillId="2" borderId="28" xfId="0" applyNumberFormat="1" applyFont="1" applyFill="1" applyBorder="1"/>
    <xf numFmtId="167" fontId="7" fillId="0" borderId="23" xfId="0" applyNumberFormat="1" applyFont="1" applyBorder="1" applyAlignment="1" applyProtection="1">
      <alignment horizontal="center"/>
      <protection locked="0"/>
    </xf>
    <xf numFmtId="167" fontId="7" fillId="0" borderId="21" xfId="0" applyNumberFormat="1" applyFont="1" applyBorder="1" applyAlignment="1" applyProtection="1">
      <alignment horizontal="center"/>
      <protection locked="0"/>
    </xf>
    <xf numFmtId="167" fontId="7" fillId="0" borderId="19" xfId="0" applyNumberFormat="1" applyFont="1" applyBorder="1" applyAlignment="1" applyProtection="1">
      <alignment horizontal="center"/>
      <protection locked="0"/>
    </xf>
    <xf numFmtId="0" fontId="7" fillId="0" borderId="20" xfId="0" applyFont="1" applyBorder="1" applyAlignment="1" applyProtection="1">
      <alignment horizontal="center"/>
      <protection locked="0"/>
    </xf>
    <xf numFmtId="167" fontId="7" fillId="0" borderId="20" xfId="0" applyNumberFormat="1" applyFont="1" applyBorder="1" applyAlignment="1" applyProtection="1">
      <alignment horizontal="center"/>
      <protection locked="0"/>
    </xf>
    <xf numFmtId="0" fontId="7" fillId="2" borderId="8" xfId="0" applyFont="1" applyFill="1" applyBorder="1" applyAlignment="1">
      <alignment horizontal="center"/>
    </xf>
    <xf numFmtId="0" fontId="7" fillId="0" borderId="22" xfId="0" applyFont="1" applyBorder="1" applyAlignment="1" applyProtection="1">
      <alignment horizontal="center"/>
      <protection locked="0"/>
    </xf>
    <xf numFmtId="167" fontId="7" fillId="0" borderId="24" xfId="0" applyNumberFormat="1" applyFont="1" applyBorder="1" applyAlignment="1" applyProtection="1">
      <alignment horizontal="center"/>
      <protection locked="0"/>
    </xf>
    <xf numFmtId="0" fontId="7" fillId="2" borderId="488" xfId="0" applyFont="1" applyFill="1" applyBorder="1" applyAlignment="1">
      <alignment horizontal="center"/>
    </xf>
    <xf numFmtId="166" fontId="7" fillId="2" borderId="26" xfId="2" applyNumberFormat="1" applyFont="1" applyFill="1" applyBorder="1" applyAlignment="1">
      <alignment horizontal="center"/>
    </xf>
    <xf numFmtId="1" fontId="7" fillId="2" borderId="20" xfId="0" applyNumberFormat="1" applyFont="1" applyFill="1" applyBorder="1" applyAlignment="1">
      <alignment horizontal="center"/>
    </xf>
    <xf numFmtId="170" fontId="7" fillId="2" borderId="22" xfId="0" applyNumberFormat="1" applyFont="1" applyFill="1" applyBorder="1"/>
    <xf numFmtId="0" fontId="7" fillId="4" borderId="26" xfId="0" applyFont="1" applyFill="1" applyBorder="1" applyAlignment="1" applyProtection="1">
      <alignment horizontal="center"/>
      <protection locked="0"/>
    </xf>
    <xf numFmtId="167" fontId="7" fillId="0" borderId="29" xfId="0" applyNumberFormat="1" applyFont="1" applyBorder="1" applyAlignment="1" applyProtection="1">
      <alignment horizontal="center"/>
      <protection locked="0"/>
    </xf>
    <xf numFmtId="167" fontId="7" fillId="0" borderId="27" xfId="0" applyNumberFormat="1" applyFont="1" applyBorder="1" applyAlignment="1" applyProtection="1">
      <alignment horizontal="center"/>
      <protection locked="0"/>
    </xf>
    <xf numFmtId="167" fontId="7" fillId="0" borderId="25" xfId="0" applyNumberFormat="1" applyFont="1" applyBorder="1" applyAlignment="1" applyProtection="1">
      <alignment horizontal="center"/>
      <protection locked="0"/>
    </xf>
    <xf numFmtId="0" fontId="0" fillId="0" borderId="484" xfId="0" applyBorder="1" applyAlignment="1">
      <alignment horizontal="center" vertical="center"/>
    </xf>
    <xf numFmtId="170" fontId="7" fillId="0" borderId="26" xfId="0" applyNumberFormat="1" applyFont="1" applyBorder="1" applyProtection="1">
      <protection locked="0"/>
    </xf>
    <xf numFmtId="0" fontId="20" fillId="14" borderId="0" xfId="0" applyFont="1" applyFill="1" applyAlignment="1">
      <alignment horizontal="center" vertical="center" wrapText="1"/>
    </xf>
    <xf numFmtId="1" fontId="7" fillId="0" borderId="0" xfId="0" applyNumberFormat="1" applyFont="1"/>
    <xf numFmtId="9" fontId="0" fillId="0" borderId="26" xfId="2" applyFont="1" applyBorder="1" applyAlignment="1">
      <alignment horizontal="center" vertical="center"/>
    </xf>
    <xf numFmtId="192" fontId="0" fillId="0" borderId="0" xfId="0" applyNumberFormat="1"/>
    <xf numFmtId="38" fontId="0" fillId="0" borderId="0" xfId="0" applyNumberFormat="1"/>
    <xf numFmtId="0" fontId="144" fillId="0" borderId="490" xfId="0" applyFont="1" applyBorder="1" applyAlignment="1">
      <alignment horizontal="center" vertical="center" wrapText="1"/>
    </xf>
    <xf numFmtId="43" fontId="0" fillId="0" borderId="490" xfId="1" applyFont="1" applyBorder="1" applyAlignment="1">
      <alignment vertical="center"/>
    </xf>
    <xf numFmtId="0" fontId="147" fillId="14" borderId="403" xfId="0" quotePrefix="1" applyFont="1" applyFill="1" applyBorder="1" applyAlignment="1">
      <alignment horizontal="center" vertical="center" wrapText="1"/>
    </xf>
    <xf numFmtId="172" fontId="0" fillId="0" borderId="0" xfId="0" applyNumberFormat="1"/>
    <xf numFmtId="0" fontId="144" fillId="0" borderId="11" xfId="0" applyFont="1" applyBorder="1" applyAlignment="1">
      <alignment horizontal="center" vertical="center" wrapText="1"/>
    </xf>
    <xf numFmtId="0" fontId="147" fillId="14" borderId="343" xfId="0" quotePrefix="1" applyFont="1" applyFill="1" applyBorder="1" applyAlignment="1">
      <alignment horizontal="center" vertical="center" wrapText="1"/>
    </xf>
    <xf numFmtId="0" fontId="147" fillId="14" borderId="385" xfId="0" quotePrefix="1" applyFont="1" applyFill="1" applyBorder="1" applyAlignment="1">
      <alignment horizontal="center" vertical="center" wrapText="1"/>
    </xf>
    <xf numFmtId="0" fontId="147" fillId="14" borderId="386" xfId="0" quotePrefix="1" applyFont="1" applyFill="1" applyBorder="1" applyAlignment="1">
      <alignment horizontal="center" vertical="center" wrapText="1"/>
    </xf>
    <xf numFmtId="167" fontId="7" fillId="11" borderId="22" xfId="0" applyNumberFormat="1" applyFont="1" applyFill="1" applyBorder="1" applyAlignment="1" applyProtection="1">
      <alignment horizontal="center"/>
      <protection locked="0"/>
    </xf>
    <xf numFmtId="193" fontId="0" fillId="0" borderId="0" xfId="0" applyNumberFormat="1"/>
    <xf numFmtId="43" fontId="162" fillId="20" borderId="404" xfId="1" applyFont="1" applyFill="1" applyBorder="1" applyAlignment="1">
      <alignment horizontal="center" vertical="center" wrapText="1"/>
    </xf>
    <xf numFmtId="1" fontId="0" fillId="0" borderId="0" xfId="0" applyNumberFormat="1" applyAlignment="1">
      <alignment vertical="center"/>
    </xf>
    <xf numFmtId="1" fontId="76" fillId="0" borderId="0" xfId="0" applyNumberFormat="1" applyFont="1" applyAlignment="1">
      <alignment vertical="center"/>
    </xf>
    <xf numFmtId="3" fontId="0" fillId="0" borderId="485" xfId="0" quotePrefix="1" applyNumberFormat="1" applyBorder="1" applyAlignment="1">
      <alignment horizontal="center" vertical="center"/>
    </xf>
    <xf numFmtId="194" fontId="0" fillId="0" borderId="0" xfId="0" applyNumberFormat="1"/>
    <xf numFmtId="0" fontId="72" fillId="14" borderId="0" xfId="0" applyFont="1" applyFill="1" applyAlignment="1">
      <alignment horizontal="center" vertical="center" wrapText="1"/>
    </xf>
    <xf numFmtId="0" fontId="72" fillId="14" borderId="496" xfId="0" applyFont="1" applyFill="1" applyBorder="1" applyAlignment="1">
      <alignment horizontal="center" vertical="center" wrapText="1"/>
    </xf>
    <xf numFmtId="0" fontId="2" fillId="40" borderId="0" xfId="0" applyFont="1" applyFill="1"/>
    <xf numFmtId="0" fontId="38" fillId="32" borderId="497" xfId="0" applyFont="1" applyFill="1" applyBorder="1" applyAlignment="1">
      <alignment horizontal="center" vertical="center"/>
    </xf>
    <xf numFmtId="165" fontId="38" fillId="32" borderId="498" xfId="0" applyNumberFormat="1" applyFont="1" applyFill="1" applyBorder="1" applyAlignment="1">
      <alignment vertical="center"/>
    </xf>
    <xf numFmtId="9" fontId="38" fillId="32" borderId="498" xfId="2" applyFont="1" applyFill="1" applyBorder="1" applyAlignment="1">
      <alignment horizontal="center" vertical="center"/>
    </xf>
    <xf numFmtId="170" fontId="7" fillId="20" borderId="400" xfId="0" applyNumberFormat="1" applyFont="1" applyFill="1" applyBorder="1" applyAlignment="1" applyProtection="1">
      <alignment vertical="center"/>
      <protection locked="0"/>
    </xf>
    <xf numFmtId="9" fontId="0" fillId="0" borderId="0" xfId="2" applyFont="1"/>
    <xf numFmtId="10" fontId="0" fillId="0" borderId="472" xfId="2" applyNumberFormat="1" applyFont="1" applyBorder="1" applyAlignment="1">
      <alignment horizontal="center"/>
    </xf>
    <xf numFmtId="10" fontId="0" fillId="0" borderId="100" xfId="0" applyNumberFormat="1" applyBorder="1" applyAlignment="1">
      <alignment horizontal="center" vertical="center"/>
    </xf>
    <xf numFmtId="10" fontId="0" fillId="0" borderId="101" xfId="0" applyNumberFormat="1" applyBorder="1" applyAlignment="1">
      <alignment horizontal="center" vertical="center" wrapText="1"/>
    </xf>
    <xf numFmtId="15" fontId="35" fillId="0" borderId="475" xfId="0" applyNumberFormat="1" applyFont="1" applyBorder="1" applyAlignment="1">
      <alignment horizontal="center" vertical="center"/>
    </xf>
    <xf numFmtId="0" fontId="155" fillId="20" borderId="80" xfId="0" applyFont="1" applyFill="1" applyBorder="1" applyAlignment="1">
      <alignment horizontal="left" vertical="center" wrapText="1"/>
    </xf>
    <xf numFmtId="165" fontId="2" fillId="40" borderId="499" xfId="1" applyNumberFormat="1" applyFont="1" applyFill="1" applyBorder="1" applyAlignment="1" applyProtection="1">
      <alignment vertical="center"/>
    </xf>
    <xf numFmtId="165" fontId="0" fillId="0" borderId="499" xfId="1" applyNumberFormat="1" applyFont="1" applyFill="1" applyBorder="1" applyAlignment="1" applyProtection="1">
      <alignment vertical="center"/>
    </xf>
    <xf numFmtId="165" fontId="38" fillId="32" borderId="500" xfId="0" applyNumberFormat="1" applyFont="1" applyFill="1" applyBorder="1" applyAlignment="1">
      <alignment vertical="center"/>
    </xf>
    <xf numFmtId="0" fontId="38" fillId="3" borderId="501" xfId="0" applyFont="1" applyFill="1" applyBorder="1" applyAlignment="1">
      <alignment horizontal="center" wrapText="1"/>
    </xf>
    <xf numFmtId="4" fontId="38" fillId="3" borderId="501" xfId="0" applyNumberFormat="1" applyFont="1" applyFill="1" applyBorder="1" applyAlignment="1">
      <alignment vertical="center"/>
    </xf>
    <xf numFmtId="43" fontId="162" fillId="0" borderId="0" xfId="1" applyFont="1" applyAlignment="1">
      <alignment horizontal="center" vertical="center" wrapText="1"/>
    </xf>
    <xf numFmtId="0" fontId="5" fillId="45" borderId="370"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5" fillId="45" borderId="2" xfId="0" applyFont="1" applyFill="1" applyBorder="1" applyAlignment="1">
      <alignment horizontal="center" vertical="center" wrapText="1"/>
    </xf>
    <xf numFmtId="0" fontId="0" fillId="0" borderId="54" xfId="0" applyBorder="1" applyAlignment="1">
      <alignment horizontal="center" vertical="center" wrapText="1"/>
    </xf>
    <xf numFmtId="0" fontId="163" fillId="46" borderId="502" xfId="0" applyFont="1" applyFill="1" applyBorder="1"/>
    <xf numFmtId="4" fontId="163" fillId="46" borderId="503" xfId="0" applyNumberFormat="1" applyFont="1" applyFill="1" applyBorder="1"/>
    <xf numFmtId="10" fontId="163" fillId="46" borderId="503" xfId="0" applyNumberFormat="1" applyFont="1" applyFill="1" applyBorder="1"/>
    <xf numFmtId="4" fontId="163" fillId="46" borderId="504" xfId="0" applyNumberFormat="1" applyFont="1" applyFill="1" applyBorder="1" applyAlignment="1">
      <alignment horizontal="center" vertical="center"/>
    </xf>
    <xf numFmtId="4" fontId="163" fillId="3" borderId="504" xfId="0" applyNumberFormat="1" applyFont="1" applyFill="1" applyBorder="1" applyAlignment="1">
      <alignment horizontal="center" vertical="center"/>
    </xf>
    <xf numFmtId="4" fontId="163" fillId="3" borderId="505" xfId="0" applyNumberFormat="1" applyFont="1" applyFill="1" applyBorder="1" applyAlignment="1">
      <alignment horizontal="center" vertical="center"/>
    </xf>
    <xf numFmtId="0" fontId="163" fillId="46" borderId="506" xfId="0" applyFont="1" applyFill="1" applyBorder="1"/>
    <xf numFmtId="9" fontId="163" fillId="46" borderId="507" xfId="0" applyNumberFormat="1" applyFont="1" applyFill="1" applyBorder="1"/>
    <xf numFmtId="9" fontId="163" fillId="46" borderId="508" xfId="0" applyNumberFormat="1" applyFont="1" applyFill="1" applyBorder="1"/>
    <xf numFmtId="4" fontId="163" fillId="46" borderId="505" xfId="0" applyNumberFormat="1" applyFont="1" applyFill="1" applyBorder="1" applyAlignment="1">
      <alignment horizontal="center" vertical="center"/>
    </xf>
    <xf numFmtId="0" fontId="163" fillId="46" borderId="504" xfId="0" applyFont="1" applyFill="1" applyBorder="1" applyAlignment="1">
      <alignment horizontal="center" vertical="center"/>
    </xf>
    <xf numFmtId="0" fontId="163" fillId="46" borderId="505" xfId="0" applyFont="1" applyFill="1" applyBorder="1" applyAlignment="1">
      <alignment horizontal="center" vertical="center"/>
    </xf>
    <xf numFmtId="4" fontId="163" fillId="46" borderId="507" xfId="0" applyNumberFormat="1" applyFont="1" applyFill="1" applyBorder="1"/>
    <xf numFmtId="4" fontId="163" fillId="17" borderId="504" xfId="0" applyNumberFormat="1" applyFont="1" applyFill="1" applyBorder="1" applyAlignment="1">
      <alignment horizontal="center" vertical="center"/>
    </xf>
    <xf numFmtId="4" fontId="163" fillId="17" borderId="505" xfId="0" applyNumberFormat="1" applyFont="1" applyFill="1" applyBorder="1" applyAlignment="1">
      <alignment horizontal="center" vertical="center"/>
    </xf>
    <xf numFmtId="0" fontId="163" fillId="17" borderId="505" xfId="0" applyFont="1" applyFill="1" applyBorder="1" applyAlignment="1">
      <alignment horizontal="center" vertical="center"/>
    </xf>
    <xf numFmtId="10" fontId="163" fillId="46" borderId="507" xfId="0" applyNumberFormat="1" applyFont="1" applyFill="1" applyBorder="1"/>
    <xf numFmtId="4" fontId="163" fillId="47" borderId="504" xfId="0" applyNumberFormat="1" applyFont="1" applyFill="1" applyBorder="1" applyAlignment="1">
      <alignment horizontal="center" vertical="center"/>
    </xf>
    <xf numFmtId="4" fontId="163" fillId="47" borderId="505" xfId="0" applyNumberFormat="1" applyFont="1" applyFill="1" applyBorder="1" applyAlignment="1">
      <alignment horizontal="center" vertical="center"/>
    </xf>
    <xf numFmtId="0" fontId="163" fillId="47" borderId="504" xfId="0" applyFont="1" applyFill="1" applyBorder="1" applyAlignment="1">
      <alignment horizontal="center" vertical="center"/>
    </xf>
    <xf numFmtId="0" fontId="163" fillId="47" borderId="505" xfId="0" applyFont="1" applyFill="1" applyBorder="1" applyAlignment="1">
      <alignment horizontal="center" vertical="center"/>
    </xf>
    <xf numFmtId="4" fontId="163" fillId="48" borderId="504" xfId="0" applyNumberFormat="1" applyFont="1" applyFill="1" applyBorder="1" applyAlignment="1">
      <alignment horizontal="center" vertical="center"/>
    </xf>
    <xf numFmtId="4" fontId="163" fillId="48" borderId="505" xfId="0" applyNumberFormat="1" applyFont="1" applyFill="1" applyBorder="1" applyAlignment="1">
      <alignment horizontal="center" vertical="center"/>
    </xf>
    <xf numFmtId="0" fontId="163" fillId="48" borderId="504" xfId="0" applyFont="1" applyFill="1" applyBorder="1" applyAlignment="1">
      <alignment horizontal="center" vertical="center"/>
    </xf>
    <xf numFmtId="0" fontId="163" fillId="48" borderId="505" xfId="0" applyFont="1" applyFill="1" applyBorder="1" applyAlignment="1">
      <alignment horizontal="center" vertical="center"/>
    </xf>
    <xf numFmtId="4" fontId="163" fillId="49" borderId="504" xfId="0" applyNumberFormat="1" applyFont="1" applyFill="1" applyBorder="1" applyAlignment="1">
      <alignment horizontal="center" vertical="center"/>
    </xf>
    <xf numFmtId="4" fontId="163" fillId="49" borderId="505" xfId="0" applyNumberFormat="1" applyFont="1" applyFill="1" applyBorder="1" applyAlignment="1">
      <alignment horizontal="center" vertical="center"/>
    </xf>
    <xf numFmtId="0" fontId="163" fillId="49" borderId="504" xfId="0" applyFont="1" applyFill="1" applyBorder="1" applyAlignment="1">
      <alignment horizontal="center" vertical="center"/>
    </xf>
    <xf numFmtId="0" fontId="163" fillId="49" borderId="505" xfId="0" applyFont="1" applyFill="1" applyBorder="1" applyAlignment="1">
      <alignment horizontal="center" vertical="center"/>
    </xf>
    <xf numFmtId="4" fontId="163" fillId="50" borderId="504" xfId="0" applyNumberFormat="1" applyFont="1" applyFill="1" applyBorder="1" applyAlignment="1">
      <alignment horizontal="center" vertical="center"/>
    </xf>
    <xf numFmtId="4" fontId="163" fillId="50" borderId="505" xfId="0" applyNumberFormat="1" applyFont="1" applyFill="1" applyBorder="1" applyAlignment="1">
      <alignment horizontal="center" vertical="center"/>
    </xf>
    <xf numFmtId="0" fontId="163" fillId="50" borderId="504" xfId="0" applyFont="1" applyFill="1" applyBorder="1" applyAlignment="1">
      <alignment horizontal="center" vertical="center"/>
    </xf>
    <xf numFmtId="0" fontId="163" fillId="50" borderId="505" xfId="0" applyFont="1" applyFill="1" applyBorder="1" applyAlignment="1">
      <alignment horizontal="center" vertical="center"/>
    </xf>
    <xf numFmtId="4" fontId="163" fillId="51" borderId="504" xfId="0" applyNumberFormat="1" applyFont="1" applyFill="1" applyBorder="1" applyAlignment="1">
      <alignment horizontal="center" vertical="center"/>
    </xf>
    <xf numFmtId="4" fontId="163" fillId="51" borderId="505" xfId="0" applyNumberFormat="1" applyFont="1" applyFill="1" applyBorder="1" applyAlignment="1">
      <alignment horizontal="center" vertical="center"/>
    </xf>
    <xf numFmtId="0" fontId="0" fillId="51" borderId="0" xfId="0" applyFill="1"/>
    <xf numFmtId="0" fontId="163" fillId="51" borderId="504" xfId="0" applyFont="1" applyFill="1" applyBorder="1" applyAlignment="1">
      <alignment horizontal="center" vertical="center"/>
    </xf>
    <xf numFmtId="0" fontId="163" fillId="51" borderId="505" xfId="0" applyFont="1" applyFill="1" applyBorder="1" applyAlignment="1">
      <alignment horizontal="center" vertical="center"/>
    </xf>
    <xf numFmtId="4" fontId="163" fillId="52" borderId="504" xfId="0" applyNumberFormat="1" applyFont="1" applyFill="1" applyBorder="1" applyAlignment="1">
      <alignment horizontal="center" vertical="center"/>
    </xf>
    <xf numFmtId="4" fontId="163" fillId="52" borderId="505" xfId="0" applyNumberFormat="1" applyFont="1" applyFill="1" applyBorder="1" applyAlignment="1">
      <alignment horizontal="center" vertical="center"/>
    </xf>
    <xf numFmtId="0" fontId="0" fillId="52" borderId="0" xfId="0" applyFill="1"/>
    <xf numFmtId="0" fontId="163" fillId="52" borderId="504" xfId="0" applyFont="1" applyFill="1" applyBorder="1" applyAlignment="1">
      <alignment horizontal="center" vertical="center"/>
    </xf>
    <xf numFmtId="0" fontId="163" fillId="52" borderId="505" xfId="0" applyFont="1" applyFill="1" applyBorder="1" applyAlignment="1">
      <alignment horizontal="center" vertical="center"/>
    </xf>
    <xf numFmtId="4" fontId="163" fillId="53" borderId="504" xfId="0" applyNumberFormat="1" applyFont="1" applyFill="1" applyBorder="1" applyAlignment="1">
      <alignment horizontal="center" vertical="center"/>
    </xf>
    <xf numFmtId="4" fontId="163" fillId="53" borderId="505" xfId="0" applyNumberFormat="1" applyFont="1" applyFill="1" applyBorder="1" applyAlignment="1">
      <alignment horizontal="center" vertical="center"/>
    </xf>
    <xf numFmtId="0" fontId="0" fillId="53" borderId="0" xfId="0" applyFill="1"/>
    <xf numFmtId="0" fontId="163" fillId="53" borderId="504" xfId="0" applyFont="1" applyFill="1" applyBorder="1" applyAlignment="1">
      <alignment horizontal="center" vertical="center"/>
    </xf>
    <xf numFmtId="0" fontId="163" fillId="53" borderId="505" xfId="0" applyFont="1" applyFill="1" applyBorder="1" applyAlignment="1">
      <alignment horizontal="center" vertical="center"/>
    </xf>
    <xf numFmtId="0" fontId="163" fillId="46" borderId="509" xfId="0" applyFont="1" applyFill="1" applyBorder="1"/>
    <xf numFmtId="0" fontId="163" fillId="46" borderId="510" xfId="0" applyFont="1" applyFill="1" applyBorder="1"/>
    <xf numFmtId="9" fontId="163" fillId="46" borderId="510" xfId="0" applyNumberFormat="1" applyFont="1" applyFill="1" applyBorder="1"/>
    <xf numFmtId="9" fontId="163" fillId="46" borderId="511" xfId="0" applyNumberFormat="1" applyFont="1" applyFill="1" applyBorder="1"/>
    <xf numFmtId="4" fontId="163" fillId="46" borderId="377" xfId="0" applyNumberFormat="1" applyFont="1" applyFill="1" applyBorder="1" applyAlignment="1">
      <alignment horizontal="center" vertical="center"/>
    </xf>
    <xf numFmtId="4" fontId="163" fillId="54" borderId="377" xfId="0" applyNumberFormat="1" applyFont="1" applyFill="1" applyBorder="1" applyAlignment="1">
      <alignment horizontal="center" vertical="center"/>
    </xf>
    <xf numFmtId="4" fontId="163" fillId="54" borderId="4" xfId="0" applyNumberFormat="1" applyFont="1" applyFill="1" applyBorder="1" applyAlignment="1">
      <alignment horizontal="center" vertical="center"/>
    </xf>
    <xf numFmtId="0" fontId="0" fillId="54" borderId="344" xfId="0" applyFill="1" applyBorder="1"/>
    <xf numFmtId="0" fontId="163" fillId="54" borderId="512" xfId="0" applyFont="1" applyFill="1" applyBorder="1" applyAlignment="1">
      <alignment horizontal="center" vertical="center"/>
    </xf>
    <xf numFmtId="0" fontId="163" fillId="54" borderId="513" xfId="0" applyFont="1" applyFill="1" applyBorder="1" applyAlignment="1">
      <alignment horizontal="center" vertical="center"/>
    </xf>
    <xf numFmtId="0" fontId="7" fillId="4" borderId="20" xfId="0" applyFont="1" applyFill="1" applyBorder="1" applyAlignment="1" applyProtection="1">
      <alignment horizontal="left"/>
      <protection locked="0"/>
    </xf>
    <xf numFmtId="196" fontId="7" fillId="4" borderId="21" xfId="0" applyNumberFormat="1" applyFont="1" applyFill="1" applyBorder="1" applyAlignment="1" applyProtection="1">
      <alignment horizontal="center"/>
      <protection locked="0"/>
    </xf>
    <xf numFmtId="10" fontId="74" fillId="2" borderId="253" xfId="2" applyNumberFormat="1" applyFont="1" applyFill="1" applyBorder="1" applyAlignment="1">
      <alignment horizontal="center" vertical="center"/>
    </xf>
    <xf numFmtId="9" fontId="0" fillId="0" borderId="472" xfId="2" applyFont="1" applyBorder="1" applyAlignment="1">
      <alignment horizontal="center"/>
    </xf>
    <xf numFmtId="197" fontId="68" fillId="2" borderId="239" xfId="0" applyNumberFormat="1" applyFont="1" applyFill="1" applyBorder="1" applyAlignment="1">
      <alignment horizontal="center" vertical="center"/>
    </xf>
    <xf numFmtId="3" fontId="0" fillId="0" borderId="490" xfId="0" quotePrefix="1" applyNumberFormat="1" applyBorder="1" applyAlignment="1">
      <alignment horizontal="center" vertical="center"/>
    </xf>
    <xf numFmtId="43" fontId="164" fillId="0" borderId="0" xfId="1" applyFont="1"/>
    <xf numFmtId="43" fontId="162" fillId="0" borderId="0" xfId="0" applyNumberFormat="1" applyFont="1" applyAlignment="1">
      <alignment horizontal="center" vertical="center" wrapText="1"/>
    </xf>
    <xf numFmtId="0" fontId="17" fillId="42" borderId="483" xfId="0" applyFont="1" applyFill="1" applyBorder="1" applyAlignment="1">
      <alignment horizontal="left" vertical="center" wrapText="1"/>
    </xf>
    <xf numFmtId="0" fontId="161" fillId="42" borderId="486" xfId="0" applyFont="1" applyFill="1" applyBorder="1" applyAlignment="1">
      <alignment horizontal="left" vertical="center" wrapText="1"/>
    </xf>
    <xf numFmtId="167" fontId="0" fillId="0" borderId="26"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167" fontId="0" fillId="0" borderId="53" xfId="0" applyNumberFormat="1" applyBorder="1" applyAlignment="1">
      <alignment horizontal="center" vertical="center"/>
    </xf>
    <xf numFmtId="40" fontId="0" fillId="0" borderId="0" xfId="0" applyNumberFormat="1" applyAlignment="1">
      <alignment vertical="center"/>
    </xf>
    <xf numFmtId="4" fontId="162" fillId="0" borderId="0" xfId="0" applyNumberFormat="1" applyFont="1" applyAlignment="1">
      <alignment horizontal="center" vertical="center" wrapText="1"/>
    </xf>
    <xf numFmtId="9" fontId="0" fillId="0" borderId="475" xfId="2" applyFont="1" applyBorder="1" applyAlignment="1">
      <alignment horizontal="center"/>
    </xf>
    <xf numFmtId="4" fontId="0" fillId="0" borderId="0" xfId="0" applyNumberFormat="1" applyAlignment="1">
      <alignment horizontal="center" vertical="center"/>
    </xf>
    <xf numFmtId="0" fontId="115" fillId="2" borderId="514" xfId="11" applyFont="1" applyFill="1" applyBorder="1" applyAlignment="1">
      <alignment horizontal="center" vertical="center"/>
    </xf>
    <xf numFmtId="0" fontId="116" fillId="2" borderId="118" xfId="11" applyFont="1" applyFill="1" applyBorder="1" applyAlignment="1">
      <alignment horizontal="left" vertical="center" wrapText="1"/>
    </xf>
    <xf numFmtId="0" fontId="116" fillId="2" borderId="0" xfId="11" applyFont="1" applyFill="1" applyAlignment="1">
      <alignment horizontal="left" vertical="center" wrapText="1"/>
    </xf>
    <xf numFmtId="0" fontId="116" fillId="2" borderId="10" xfId="11" applyFont="1" applyFill="1" applyBorder="1" applyAlignment="1">
      <alignment horizontal="left" vertical="center" wrapText="1"/>
    </xf>
    <xf numFmtId="9" fontId="117" fillId="0" borderId="115" xfId="11" applyNumberFormat="1" applyFont="1" applyBorder="1" applyAlignment="1" applyProtection="1">
      <alignment horizontal="center" vertical="center"/>
      <protection locked="0"/>
    </xf>
    <xf numFmtId="9" fontId="117" fillId="0" borderId="118" xfId="11" applyNumberFormat="1" applyFont="1" applyBorder="1" applyAlignment="1" applyProtection="1">
      <alignment horizontal="center" vertical="center"/>
      <protection locked="0"/>
    </xf>
    <xf numFmtId="9" fontId="117" fillId="0" borderId="515" xfId="11" applyNumberFormat="1" applyFont="1" applyBorder="1" applyAlignment="1" applyProtection="1">
      <alignment horizontal="center" vertical="center"/>
      <protection locked="0"/>
    </xf>
    <xf numFmtId="0" fontId="119" fillId="2" borderId="514" xfId="11" applyFont="1" applyFill="1" applyBorder="1" applyAlignment="1">
      <alignment horizontal="center" vertical="center"/>
    </xf>
    <xf numFmtId="0" fontId="120" fillId="2" borderId="118" xfId="11" applyFont="1" applyFill="1" applyBorder="1" applyAlignment="1">
      <alignment horizontal="left" vertical="center" wrapText="1"/>
    </xf>
    <xf numFmtId="0" fontId="120" fillId="2" borderId="0" xfId="11" applyFont="1" applyFill="1" applyAlignment="1">
      <alignment horizontal="left" vertical="center" wrapText="1"/>
    </xf>
    <xf numFmtId="0" fontId="120" fillId="2" borderId="10" xfId="11" applyFont="1" applyFill="1" applyBorder="1" applyAlignment="1">
      <alignment horizontal="left" vertical="center" wrapText="1"/>
    </xf>
    <xf numFmtId="0" fontId="115" fillId="2" borderId="5" xfId="11" applyFont="1" applyFill="1" applyBorder="1" applyAlignment="1">
      <alignment horizontal="center" vertical="center"/>
    </xf>
    <xf numFmtId="0" fontId="47" fillId="16" borderId="490" xfId="0" applyFont="1" applyFill="1" applyBorder="1" applyAlignment="1">
      <alignment wrapText="1"/>
    </xf>
    <xf numFmtId="0" fontId="47" fillId="16" borderId="483" xfId="0" applyFont="1" applyFill="1" applyBorder="1" applyAlignment="1">
      <alignment wrapText="1"/>
    </xf>
    <xf numFmtId="0" fontId="47" fillId="16" borderId="484" xfId="0" applyFont="1" applyFill="1" applyBorder="1" applyAlignment="1">
      <alignment wrapText="1"/>
    </xf>
    <xf numFmtId="0" fontId="47" fillId="16" borderId="485" xfId="0" applyFont="1" applyFill="1" applyBorder="1" applyAlignment="1">
      <alignment wrapText="1"/>
    </xf>
    <xf numFmtId="0" fontId="47" fillId="16" borderId="481" xfId="0" applyFont="1" applyFill="1" applyBorder="1" applyAlignment="1">
      <alignment wrapText="1"/>
    </xf>
    <xf numFmtId="43" fontId="83" fillId="0" borderId="483" xfId="1" applyFont="1" applyBorder="1" applyAlignment="1">
      <alignment horizontal="center" vertical="center" wrapText="1"/>
    </xf>
    <xf numFmtId="0" fontId="93" fillId="0" borderId="490" xfId="4" applyFont="1" applyBorder="1" applyAlignment="1">
      <alignment horizontal="center" vertical="center"/>
    </xf>
    <xf numFmtId="0" fontId="93" fillId="0" borderId="483" xfId="4" applyFont="1" applyBorder="1" applyAlignment="1">
      <alignment horizontal="center" vertical="center"/>
    </xf>
    <xf numFmtId="0" fontId="97" fillId="0" borderId="490" xfId="4" applyFont="1" applyBorder="1" applyAlignment="1">
      <alignment horizontal="center" vertical="center"/>
    </xf>
    <xf numFmtId="0" fontId="93" fillId="0" borderId="484" xfId="11" applyFont="1" applyBorder="1" applyAlignment="1">
      <alignment horizontal="center" vertical="center" wrapText="1"/>
    </xf>
    <xf numFmtId="9" fontId="98" fillId="0" borderId="490" xfId="5" applyFont="1" applyBorder="1" applyAlignment="1" applyProtection="1">
      <alignment horizontal="center" vertical="center" wrapText="1"/>
    </xf>
    <xf numFmtId="0" fontId="95" fillId="0" borderId="490" xfId="11" applyFont="1" applyBorder="1" applyAlignment="1">
      <alignment horizontal="center" vertical="center" wrapText="1"/>
    </xf>
    <xf numFmtId="9" fontId="98" fillId="0" borderId="490" xfId="5" applyFont="1" applyFill="1" applyBorder="1" applyAlignment="1" applyProtection="1">
      <alignment horizontal="center" wrapText="1"/>
    </xf>
    <xf numFmtId="2" fontId="93" fillId="0" borderId="490" xfId="5" applyNumberFormat="1" applyFont="1" applyBorder="1" applyAlignment="1" applyProtection="1">
      <alignment horizontal="center" vertical="center"/>
    </xf>
    <xf numFmtId="0" fontId="37" fillId="16" borderId="490" xfId="0" applyFont="1" applyFill="1" applyBorder="1" applyAlignment="1">
      <alignment horizontal="center" vertical="center" wrapText="1"/>
    </xf>
    <xf numFmtId="10" fontId="0" fillId="2" borderId="490" xfId="2" quotePrefix="1" applyNumberFormat="1" applyFont="1" applyFill="1" applyBorder="1" applyAlignment="1">
      <alignment horizontal="center" vertical="center"/>
    </xf>
    <xf numFmtId="0" fontId="77" fillId="0" borderId="490" xfId="0" applyFont="1" applyBorder="1" applyAlignment="1">
      <alignment horizontal="center" vertical="center"/>
    </xf>
    <xf numFmtId="0" fontId="156" fillId="0" borderId="490" xfId="0" applyFont="1" applyBorder="1" applyAlignment="1">
      <alignment horizontal="center" vertical="center" wrapText="1"/>
    </xf>
    <xf numFmtId="0" fontId="138" fillId="0" borderId="490" xfId="0" applyFont="1" applyBorder="1" applyAlignment="1">
      <alignment horizontal="center" vertical="center" wrapText="1"/>
    </xf>
    <xf numFmtId="191" fontId="144" fillId="0" borderId="490" xfId="0" applyNumberFormat="1" applyFont="1" applyBorder="1" applyAlignment="1">
      <alignment horizontal="center" vertical="center" wrapText="1"/>
    </xf>
    <xf numFmtId="168" fontId="138" fillId="0" borderId="490" xfId="0" applyNumberFormat="1" applyFont="1" applyBorder="1" applyAlignment="1">
      <alignment horizontal="center" vertical="center" wrapText="1"/>
    </xf>
    <xf numFmtId="0" fontId="56" fillId="23" borderId="518" xfId="9" applyFont="1" applyFill="1" applyBorder="1" applyAlignment="1">
      <alignment horizontal="center" vertical="center" wrapText="1"/>
    </xf>
    <xf numFmtId="0" fontId="56" fillId="23" borderId="518" xfId="9" applyFont="1" applyFill="1" applyBorder="1" applyAlignment="1">
      <alignment horizontal="center" vertical="center"/>
    </xf>
    <xf numFmtId="0" fontId="56" fillId="23" borderId="519" xfId="9" applyFont="1" applyFill="1" applyBorder="1" applyAlignment="1">
      <alignment horizontal="center" vertical="center" wrapText="1"/>
    </xf>
    <xf numFmtId="0" fontId="6" fillId="0" borderId="139" xfId="0" applyFont="1" applyBorder="1" applyAlignment="1">
      <alignment horizontal="center"/>
    </xf>
    <xf numFmtId="0" fontId="2" fillId="0" borderId="118" xfId="0" applyFont="1" applyBorder="1" applyAlignment="1">
      <alignment horizontal="center"/>
    </xf>
    <xf numFmtId="17" fontId="6" fillId="0" borderId="490" xfId="0" applyNumberFormat="1" applyFont="1" applyBorder="1" applyAlignment="1">
      <alignment horizontal="center"/>
    </xf>
    <xf numFmtId="0" fontId="44" fillId="14" borderId="490" xfId="0" quotePrefix="1" applyFont="1" applyFill="1" applyBorder="1" applyAlignment="1">
      <alignment horizontal="center" vertical="center" wrapText="1"/>
    </xf>
    <xf numFmtId="0" fontId="44" fillId="14" borderId="490" xfId="0" applyFont="1" applyFill="1" applyBorder="1" applyAlignment="1">
      <alignment horizontal="center" vertical="center" wrapText="1"/>
    </xf>
    <xf numFmtId="0" fontId="46" fillId="20" borderId="490" xfId="0" applyFont="1" applyFill="1" applyBorder="1" applyAlignment="1">
      <alignment horizontal="center" vertical="center" wrapText="1"/>
    </xf>
    <xf numFmtId="168" fontId="46" fillId="0" borderId="490" xfId="0" applyNumberFormat="1" applyFont="1" applyBorder="1" applyAlignment="1">
      <alignment horizontal="center" vertical="center" wrapText="1"/>
    </xf>
    <xf numFmtId="0" fontId="46" fillId="0" borderId="490" xfId="0" applyFont="1" applyBorder="1" applyAlignment="1">
      <alignment horizontal="left" vertical="center" wrapText="1"/>
    </xf>
    <xf numFmtId="1" fontId="39" fillId="0" borderId="520" xfId="0" applyNumberFormat="1" applyFont="1" applyBorder="1" applyAlignment="1">
      <alignment horizontal="center" vertical="center"/>
    </xf>
    <xf numFmtId="0" fontId="0" fillId="0" borderId="516" xfId="0" quotePrefix="1" applyBorder="1" applyAlignment="1">
      <alignment horizontal="center" vertical="center"/>
    </xf>
    <xf numFmtId="0" fontId="0" fillId="0" borderId="490" xfId="0" applyBorder="1"/>
    <xf numFmtId="0" fontId="2" fillId="5" borderId="490" xfId="0" applyFont="1" applyFill="1" applyBorder="1" applyAlignment="1">
      <alignment horizontal="center" vertical="center"/>
    </xf>
    <xf numFmtId="0" fontId="2" fillId="5" borderId="490" xfId="0" applyFont="1" applyFill="1" applyBorder="1" applyAlignment="1">
      <alignment horizontal="center"/>
    </xf>
    <xf numFmtId="0" fontId="2" fillId="5" borderId="118" xfId="0" applyFont="1" applyFill="1" applyBorder="1" applyAlignment="1">
      <alignment horizontal="center"/>
    </xf>
    <xf numFmtId="9" fontId="10" fillId="0" borderId="490" xfId="0" applyNumberFormat="1" applyFont="1" applyBorder="1" applyAlignment="1">
      <alignment horizontal="center" vertical="center"/>
    </xf>
    <xf numFmtId="2" fontId="10" fillId="0" borderId="490" xfId="1" applyNumberFormat="1" applyFont="1" applyBorder="1" applyAlignment="1">
      <alignment horizontal="center"/>
    </xf>
    <xf numFmtId="0" fontId="0" fillId="10" borderId="483" xfId="0" applyFill="1" applyBorder="1"/>
    <xf numFmtId="0" fontId="0" fillId="10" borderId="481" xfId="0" applyFill="1" applyBorder="1"/>
    <xf numFmtId="0" fontId="0" fillId="10" borderId="482" xfId="0" applyFill="1" applyBorder="1"/>
    <xf numFmtId="2" fontId="10" fillId="0" borderId="490" xfId="0" applyNumberFormat="1" applyFont="1" applyBorder="1" applyAlignment="1">
      <alignment horizontal="center" vertical="center"/>
    </xf>
    <xf numFmtId="0" fontId="115" fillId="2" borderId="525" xfId="11" applyFont="1" applyFill="1" applyBorder="1" applyAlignment="1">
      <alignment horizontal="center" vertical="center"/>
    </xf>
    <xf numFmtId="0" fontId="166" fillId="0" borderId="371" xfId="11" applyFont="1" applyBorder="1" applyAlignment="1" applyProtection="1">
      <alignment horizontal="center" vertical="center"/>
      <protection locked="0"/>
    </xf>
    <xf numFmtId="0" fontId="166" fillId="17" borderId="371" xfId="11" applyFont="1" applyFill="1" applyBorder="1" applyAlignment="1" applyProtection="1">
      <alignment horizontal="center" vertical="center"/>
      <protection locked="0"/>
    </xf>
    <xf numFmtId="0" fontId="166" fillId="0" borderId="372" xfId="11" applyFont="1" applyBorder="1" applyAlignment="1" applyProtection="1">
      <alignment horizontal="center" vertical="center"/>
      <protection locked="0"/>
    </xf>
    <xf numFmtId="0" fontId="166" fillId="0" borderId="526" xfId="11" applyFont="1" applyBorder="1" applyAlignment="1" applyProtection="1">
      <alignment horizontal="center" vertical="center"/>
      <protection locked="0"/>
    </xf>
    <xf numFmtId="0" fontId="166" fillId="17" borderId="526" xfId="11" applyFont="1" applyFill="1" applyBorder="1" applyAlignment="1" applyProtection="1">
      <alignment horizontal="center" vertical="center"/>
      <protection locked="0"/>
    </xf>
    <xf numFmtId="0" fontId="166" fillId="0" borderId="527" xfId="11" applyFont="1" applyBorder="1" applyAlignment="1" applyProtection="1">
      <alignment horizontal="center" vertical="center"/>
      <protection locked="0"/>
    </xf>
    <xf numFmtId="0" fontId="166" fillId="17" borderId="527" xfId="11" applyFont="1" applyFill="1" applyBorder="1" applyAlignment="1" applyProtection="1">
      <alignment horizontal="center" vertical="center"/>
      <protection locked="0"/>
    </xf>
    <xf numFmtId="0" fontId="166" fillId="0" borderId="3" xfId="11" applyFont="1" applyBorder="1" applyAlignment="1" applyProtection="1">
      <alignment horizontal="center" vertical="center"/>
      <protection locked="0"/>
    </xf>
    <xf numFmtId="0" fontId="166" fillId="17" borderId="3" xfId="11" applyFont="1" applyFill="1" applyBorder="1" applyAlignment="1" applyProtection="1">
      <alignment horizontal="center" vertical="center"/>
      <protection locked="0"/>
    </xf>
    <xf numFmtId="0" fontId="166" fillId="0" borderId="4" xfId="11" applyFont="1" applyBorder="1" applyAlignment="1" applyProtection="1">
      <alignment horizontal="center" vertical="center"/>
      <protection locked="0"/>
    </xf>
    <xf numFmtId="0" fontId="162" fillId="20" borderId="351" xfId="0" applyFont="1" applyFill="1" applyBorder="1" applyAlignment="1">
      <alignment horizontal="center" vertical="center" wrapText="1"/>
    </xf>
    <xf numFmtId="0" fontId="162" fillId="20" borderId="349" xfId="0" applyFont="1" applyFill="1" applyBorder="1" applyAlignment="1">
      <alignment horizontal="center" vertical="center" wrapText="1"/>
    </xf>
    <xf numFmtId="0" fontId="162" fillId="20" borderId="352" xfId="0" applyFont="1" applyFill="1" applyBorder="1" applyAlignment="1">
      <alignment horizontal="center" vertical="center" wrapText="1"/>
    </xf>
    <xf numFmtId="0" fontId="167" fillId="42" borderId="528" xfId="0" applyFont="1" applyFill="1" applyBorder="1" applyAlignment="1">
      <alignment horizontal="center" vertical="center" wrapText="1"/>
    </xf>
    <xf numFmtId="0" fontId="168" fillId="0" borderId="487" xfId="41" applyFont="1" applyBorder="1" applyAlignment="1">
      <alignment horizontal="center" vertical="center"/>
    </xf>
    <xf numFmtId="0" fontId="168" fillId="0" borderId="451" xfId="41" applyFont="1" applyBorder="1" applyAlignment="1">
      <alignment horizontal="left" vertical="center" wrapText="1"/>
    </xf>
    <xf numFmtId="4" fontId="168" fillId="0" borderId="451" xfId="41" applyNumberFormat="1" applyFont="1" applyBorder="1" applyAlignment="1">
      <alignment horizontal="left" vertical="center"/>
    </xf>
    <xf numFmtId="3" fontId="0" fillId="0" borderId="0" xfId="0" applyNumberFormat="1"/>
    <xf numFmtId="174" fontId="157" fillId="11" borderId="526" xfId="4" applyNumberFormat="1" applyFont="1" applyFill="1" applyBorder="1" applyAlignment="1">
      <alignment horizontal="center" vertical="center" wrapText="1"/>
    </xf>
    <xf numFmtId="175" fontId="157" fillId="11" borderId="526" xfId="4" applyNumberFormat="1" applyFont="1" applyFill="1" applyBorder="1" applyAlignment="1">
      <alignment horizontal="center" vertical="center" wrapText="1"/>
    </xf>
    <xf numFmtId="191" fontId="157" fillId="11" borderId="526" xfId="4" applyNumberFormat="1" applyFont="1" applyFill="1" applyBorder="1" applyAlignment="1">
      <alignment horizontal="center" vertical="center" wrapText="1"/>
    </xf>
    <xf numFmtId="49" fontId="157" fillId="11" borderId="526" xfId="4" applyNumberFormat="1" applyFont="1" applyFill="1" applyBorder="1" applyAlignment="1">
      <alignment horizontal="center" vertical="center" wrapText="1"/>
    </xf>
    <xf numFmtId="174" fontId="157" fillId="11" borderId="526" xfId="4" applyNumberFormat="1" applyFont="1" applyFill="1" applyBorder="1" applyAlignment="1">
      <alignment horizontal="left" vertical="center" wrapText="1"/>
    </xf>
    <xf numFmtId="174" fontId="75" fillId="16" borderId="80" xfId="4" applyNumberFormat="1" applyFont="1" applyFill="1" applyBorder="1" applyAlignment="1">
      <alignment horizontal="center" vertical="center" wrapText="1"/>
    </xf>
    <xf numFmtId="0" fontId="75" fillId="16" borderId="80" xfId="4" applyFont="1" applyFill="1" applyBorder="1" applyAlignment="1">
      <alignment horizontal="center" vertical="center" wrapText="1"/>
    </xf>
    <xf numFmtId="175" fontId="75" fillId="16" borderId="80" xfId="4" applyNumberFormat="1" applyFont="1" applyFill="1" applyBorder="1" applyAlignment="1">
      <alignment horizontal="center" vertical="center" wrapText="1"/>
    </xf>
    <xf numFmtId="14" fontId="75" fillId="16" borderId="80" xfId="4" applyNumberFormat="1" applyFont="1" applyFill="1" applyBorder="1" applyAlignment="1">
      <alignment horizontal="center" vertical="center" wrapText="1"/>
    </xf>
    <xf numFmtId="176" fontId="75" fillId="16" borderId="80" xfId="4" applyNumberFormat="1" applyFont="1" applyFill="1" applyBorder="1" applyAlignment="1">
      <alignment horizontal="center" vertical="center" wrapText="1"/>
    </xf>
    <xf numFmtId="49" fontId="75" fillId="16" borderId="80" xfId="4" applyNumberFormat="1" applyFont="1" applyFill="1" applyBorder="1" applyAlignment="1">
      <alignment horizontal="center" vertical="center" wrapText="1"/>
    </xf>
    <xf numFmtId="1" fontId="75" fillId="16" borderId="80" xfId="4" applyNumberFormat="1" applyFont="1" applyFill="1" applyBorder="1" applyAlignment="1">
      <alignment horizontal="center" vertical="center" wrapText="1"/>
    </xf>
    <xf numFmtId="0" fontId="0" fillId="0" borderId="345" xfId="0" applyBorder="1" applyAlignment="1">
      <alignment horizontal="center" vertical="center"/>
    </xf>
    <xf numFmtId="0" fontId="0" fillId="0" borderId="344" xfId="0" applyBorder="1" applyAlignment="1">
      <alignment horizontal="center" vertical="center"/>
    </xf>
    <xf numFmtId="0" fontId="0" fillId="0" borderId="343" xfId="0" applyBorder="1" applyAlignment="1">
      <alignment horizontal="center" vertical="center"/>
    </xf>
    <xf numFmtId="0" fontId="169" fillId="55" borderId="526" xfId="0" applyFont="1" applyFill="1" applyBorder="1" applyAlignment="1">
      <alignment horizontal="center" vertical="center" wrapText="1" readingOrder="2"/>
    </xf>
    <xf numFmtId="15" fontId="170" fillId="0" borderId="526" xfId="0" applyNumberFormat="1" applyFont="1" applyBorder="1" applyAlignment="1">
      <alignment horizontal="center" vertical="center" wrapText="1" readingOrder="1"/>
    </xf>
    <xf numFmtId="0" fontId="0" fillId="0" borderId="59" xfId="0" applyBorder="1" applyAlignment="1">
      <alignment horizontal="center" vertical="center"/>
    </xf>
    <xf numFmtId="0" fontId="0" fillId="0" borderId="60" xfId="0" applyBorder="1" applyAlignment="1">
      <alignment horizontal="center" vertical="center"/>
    </xf>
    <xf numFmtId="0" fontId="169" fillId="0" borderId="526" xfId="0" applyFont="1" applyBorder="1" applyAlignment="1">
      <alignment horizontal="center" vertical="center" wrapText="1" readingOrder="2"/>
    </xf>
    <xf numFmtId="15" fontId="170" fillId="55" borderId="526" xfId="0" applyNumberFormat="1" applyFont="1" applyFill="1" applyBorder="1" applyAlignment="1">
      <alignment horizontal="center" vertical="center" wrapText="1" readingOrder="1"/>
    </xf>
    <xf numFmtId="9" fontId="169" fillId="0" borderId="526" xfId="2" applyFont="1" applyBorder="1" applyAlignment="1">
      <alignment horizontal="center" vertical="center" wrapText="1" readingOrder="2"/>
    </xf>
    <xf numFmtId="165" fontId="169" fillId="0" borderId="526" xfId="1" applyNumberFormat="1" applyFont="1" applyBorder="1" applyAlignment="1">
      <alignment horizontal="center" vertical="center" wrapText="1" readingOrder="2"/>
    </xf>
    <xf numFmtId="165" fontId="170" fillId="0" borderId="526" xfId="1" applyNumberFormat="1" applyFont="1" applyBorder="1" applyAlignment="1">
      <alignment horizontal="center" vertical="center" wrapText="1" readingOrder="2"/>
    </xf>
    <xf numFmtId="0" fontId="171" fillId="57" borderId="11" xfId="0"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0" fillId="0" borderId="218" xfId="0" applyBorder="1" applyAlignment="1">
      <alignment horizontal="center" vertical="center"/>
    </xf>
    <xf numFmtId="9" fontId="169" fillId="55" borderId="526" xfId="2" applyFont="1" applyFill="1" applyBorder="1" applyAlignment="1">
      <alignment horizontal="center" vertical="center" wrapText="1" readingOrder="2"/>
    </xf>
    <xf numFmtId="165" fontId="169" fillId="55" borderId="526" xfId="1" applyNumberFormat="1" applyFont="1" applyFill="1" applyBorder="1" applyAlignment="1">
      <alignment horizontal="center" vertical="center" wrapText="1" readingOrder="2"/>
    </xf>
    <xf numFmtId="165" fontId="170" fillId="55" borderId="526" xfId="1" applyNumberFormat="1" applyFont="1" applyFill="1" applyBorder="1" applyAlignment="1">
      <alignment horizontal="center" vertical="center" wrapText="1" readingOrder="2"/>
    </xf>
    <xf numFmtId="165" fontId="170" fillId="55" borderId="526" xfId="1" applyNumberFormat="1" applyFont="1" applyFill="1" applyBorder="1" applyAlignment="1">
      <alignment vertical="center" wrapText="1" readingOrder="2"/>
    </xf>
    <xf numFmtId="165" fontId="0" fillId="0" borderId="0" xfId="0" applyNumberFormat="1" applyAlignment="1">
      <alignment horizontal="center" vertical="center"/>
    </xf>
    <xf numFmtId="0" fontId="169" fillId="55" borderId="526" xfId="0" applyFont="1" applyFill="1" applyBorder="1" applyAlignment="1">
      <alignment vertical="center" wrapText="1" readingOrder="2"/>
    </xf>
    <xf numFmtId="9" fontId="0" fillId="0" borderId="0" xfId="0" applyNumberFormat="1" applyAlignment="1">
      <alignment horizontal="center" vertical="center"/>
    </xf>
    <xf numFmtId="3" fontId="0" fillId="0" borderId="0" xfId="0" applyNumberFormat="1" applyAlignment="1">
      <alignment horizontal="center" vertical="center"/>
    </xf>
    <xf numFmtId="0" fontId="47" fillId="0" borderId="0" xfId="0" applyFont="1" applyAlignment="1">
      <alignment horizontal="center" vertical="center"/>
    </xf>
    <xf numFmtId="165" fontId="47" fillId="0" borderId="0" xfId="0" applyNumberFormat="1" applyFont="1" applyAlignment="1">
      <alignment horizontal="center" vertical="center"/>
    </xf>
    <xf numFmtId="0" fontId="47" fillId="0" borderId="59" xfId="0" applyFont="1" applyBorder="1" applyAlignment="1">
      <alignment horizontal="center" vertical="center"/>
    </xf>
    <xf numFmtId="0" fontId="47" fillId="0" borderId="60" xfId="0" applyFont="1" applyBorder="1" applyAlignment="1">
      <alignment horizontal="center" vertical="center"/>
    </xf>
    <xf numFmtId="3" fontId="170" fillId="55" borderId="526" xfId="1" applyNumberFormat="1" applyFont="1" applyFill="1" applyBorder="1" applyAlignment="1">
      <alignment horizontal="center" vertical="center" wrapText="1" readingOrder="2"/>
    </xf>
    <xf numFmtId="0" fontId="169" fillId="0" borderId="526" xfId="0" applyFont="1" applyBorder="1" applyAlignment="1">
      <alignment vertical="center" wrapText="1" readingOrder="2"/>
    </xf>
    <xf numFmtId="3" fontId="170" fillId="0" borderId="526" xfId="1" applyNumberFormat="1" applyFont="1" applyBorder="1" applyAlignment="1">
      <alignment horizontal="center" vertical="center" wrapText="1" readingOrder="2"/>
    </xf>
    <xf numFmtId="0" fontId="64" fillId="56" borderId="0" xfId="0" applyFont="1" applyFill="1" applyAlignment="1">
      <alignment horizontal="center" vertical="center"/>
    </xf>
    <xf numFmtId="10" fontId="173" fillId="58" borderId="526" xfId="0" applyNumberFormat="1" applyFont="1" applyFill="1" applyBorder="1" applyAlignment="1">
      <alignment horizontal="center" vertical="center" wrapText="1" readingOrder="2"/>
    </xf>
    <xf numFmtId="0" fontId="174" fillId="57" borderId="526" xfId="0" applyFont="1" applyFill="1" applyBorder="1" applyAlignment="1">
      <alignment horizontal="center" vertical="center" wrapText="1" readingOrder="2"/>
    </xf>
    <xf numFmtId="10" fontId="175" fillId="58" borderId="526" xfId="0" applyNumberFormat="1" applyFont="1" applyFill="1" applyBorder="1" applyAlignment="1">
      <alignment horizontal="center" vertical="center" wrapText="1" readingOrder="2"/>
    </xf>
    <xf numFmtId="0" fontId="176" fillId="55" borderId="526" xfId="0" applyFont="1" applyFill="1" applyBorder="1" applyAlignment="1">
      <alignment horizontal="center" vertical="center" wrapText="1" readingOrder="2"/>
    </xf>
    <xf numFmtId="0" fontId="178" fillId="55" borderId="526" xfId="0" applyFont="1" applyFill="1" applyBorder="1" applyAlignment="1">
      <alignment horizontal="center" vertical="center" wrapText="1" readingOrder="2"/>
    </xf>
    <xf numFmtId="0" fontId="176" fillId="58" borderId="526" xfId="0" applyFont="1" applyFill="1" applyBorder="1" applyAlignment="1">
      <alignment horizontal="center" vertical="center" wrapText="1" readingOrder="2"/>
    </xf>
    <xf numFmtId="0" fontId="47" fillId="0" borderId="55" xfId="0" applyFont="1" applyBorder="1" applyAlignment="1">
      <alignment horizontal="center" vertical="center"/>
    </xf>
    <xf numFmtId="0" fontId="47" fillId="0" borderId="54" xfId="0" applyFont="1" applyBorder="1" applyAlignment="1">
      <alignment horizontal="center" vertical="center"/>
    </xf>
    <xf numFmtId="0" fontId="47" fillId="0" borderId="218" xfId="0" applyFont="1" applyBorder="1" applyAlignment="1">
      <alignment horizontal="center" vertical="center"/>
    </xf>
    <xf numFmtId="0" fontId="171" fillId="57" borderId="11" xfId="0" applyFont="1" applyFill="1" applyBorder="1" applyAlignment="1">
      <alignment vertical="center" wrapText="1" readingOrder="1"/>
    </xf>
    <xf numFmtId="0" fontId="178" fillId="55" borderId="11" xfId="0" applyFont="1" applyFill="1" applyBorder="1" applyAlignment="1">
      <alignment horizontal="center" vertical="center" wrapText="1" readingOrder="2"/>
    </xf>
    <xf numFmtId="0" fontId="174" fillId="57" borderId="11" xfId="0" applyFont="1" applyFill="1" applyBorder="1" applyAlignment="1">
      <alignment horizontal="center" vertical="center" wrapText="1" readingOrder="2"/>
    </xf>
    <xf numFmtId="0" fontId="179" fillId="55" borderId="11" xfId="0" applyFont="1" applyFill="1" applyBorder="1" applyAlignment="1">
      <alignment horizontal="center" vertical="center" wrapText="1" readingOrder="2"/>
    </xf>
    <xf numFmtId="0" fontId="180" fillId="0" borderId="0" xfId="0" applyFont="1" applyAlignment="1">
      <alignment horizontal="center" vertical="center"/>
    </xf>
    <xf numFmtId="0" fontId="181" fillId="0" borderId="0" xfId="0" applyFont="1"/>
    <xf numFmtId="0" fontId="0" fillId="0" borderId="0" xfId="0" applyAlignment="1">
      <alignment horizontal="center" readingOrder="2"/>
    </xf>
    <xf numFmtId="0" fontId="181" fillId="20" borderId="0" xfId="0" applyFont="1" applyFill="1" applyAlignment="1">
      <alignment horizontal="center" vertical="center" wrapText="1" readingOrder="2"/>
    </xf>
    <xf numFmtId="9" fontId="183" fillId="11" borderId="347" xfId="0" applyNumberFormat="1" applyFont="1" applyFill="1" applyBorder="1" applyAlignment="1">
      <alignment horizontal="center" vertical="center" wrapText="1" readingOrder="2"/>
    </xf>
    <xf numFmtId="37" fontId="183" fillId="0" borderId="347" xfId="1" applyNumberFormat="1" applyFont="1" applyFill="1" applyBorder="1" applyAlignment="1">
      <alignment horizontal="center" vertical="center" readingOrder="2"/>
    </xf>
    <xf numFmtId="14" fontId="182" fillId="0" borderId="347" xfId="0" applyNumberFormat="1" applyFont="1" applyBorder="1" applyAlignment="1">
      <alignment horizontal="center" vertical="center" readingOrder="2"/>
    </xf>
    <xf numFmtId="1" fontId="183" fillId="0" borderId="347" xfId="1" applyNumberFormat="1" applyFont="1" applyFill="1" applyBorder="1" applyAlignment="1">
      <alignment horizontal="center" vertical="center" wrapText="1" readingOrder="2"/>
    </xf>
    <xf numFmtId="0" fontId="183" fillId="0" borderId="347" xfId="0" applyFont="1" applyBorder="1" applyAlignment="1">
      <alignment horizontal="center" vertical="center" wrapText="1"/>
    </xf>
    <xf numFmtId="0" fontId="184" fillId="20" borderId="347" xfId="0" applyFont="1" applyFill="1" applyBorder="1" applyAlignment="1">
      <alignment horizontal="center" vertical="center" wrapText="1"/>
    </xf>
    <xf numFmtId="0" fontId="183" fillId="0" borderId="346" xfId="0" applyFont="1" applyBorder="1" applyAlignment="1">
      <alignment horizontal="center" vertical="center" readingOrder="2"/>
    </xf>
    <xf numFmtId="4" fontId="185" fillId="59" borderId="60" xfId="0" applyNumberFormat="1" applyFont="1" applyFill="1" applyBorder="1" applyAlignment="1">
      <alignment horizontal="center" vertical="center" wrapText="1" readingOrder="2"/>
    </xf>
    <xf numFmtId="4" fontId="185" fillId="59" borderId="515" xfId="0" applyNumberFormat="1" applyFont="1" applyFill="1" applyBorder="1" applyAlignment="1">
      <alignment horizontal="center" vertical="center" wrapText="1" readingOrder="2"/>
    </xf>
    <xf numFmtId="4" fontId="185" fillId="59" borderId="118" xfId="0" applyNumberFormat="1" applyFont="1" applyFill="1" applyBorder="1" applyAlignment="1">
      <alignment horizontal="center" vertical="center" wrapText="1" readingOrder="2"/>
    </xf>
    <xf numFmtId="4" fontId="186" fillId="60" borderId="115" xfId="0" applyNumberFormat="1" applyFont="1" applyFill="1" applyBorder="1" applyAlignment="1">
      <alignment horizontal="center" vertical="center" wrapText="1" readingOrder="2"/>
    </xf>
    <xf numFmtId="4" fontId="186" fillId="60" borderId="10" xfId="0" applyNumberFormat="1" applyFont="1" applyFill="1" applyBorder="1" applyAlignment="1">
      <alignment horizontal="center" vertical="center" wrapText="1" readingOrder="2"/>
    </xf>
    <xf numFmtId="4" fontId="186" fillId="60" borderId="514" xfId="0" applyNumberFormat="1" applyFont="1" applyFill="1" applyBorder="1" applyAlignment="1">
      <alignment horizontal="center" vertical="center" wrapText="1" readingOrder="2"/>
    </xf>
    <xf numFmtId="3" fontId="187" fillId="61" borderId="515" xfId="0" applyNumberFormat="1" applyFont="1" applyFill="1" applyBorder="1" applyAlignment="1">
      <alignment horizontal="center" vertical="center" wrapText="1" readingOrder="2"/>
    </xf>
    <xf numFmtId="4" fontId="187" fillId="61" borderId="115" xfId="0" applyNumberFormat="1" applyFont="1" applyFill="1" applyBorder="1" applyAlignment="1">
      <alignment horizontal="center" vertical="center" wrapText="1" readingOrder="2"/>
    </xf>
    <xf numFmtId="3" fontId="187" fillId="61" borderId="115" xfId="0" applyNumberFormat="1" applyFont="1" applyFill="1" applyBorder="1" applyAlignment="1">
      <alignment horizontal="center" vertical="center" wrapText="1" readingOrder="2"/>
    </xf>
    <xf numFmtId="4" fontId="187" fillId="61" borderId="514" xfId="0" applyNumberFormat="1" applyFont="1" applyFill="1" applyBorder="1" applyAlignment="1">
      <alignment horizontal="center" vertical="center" wrapText="1" readingOrder="2"/>
    </xf>
    <xf numFmtId="185" fontId="182" fillId="3" borderId="347" xfId="0" applyNumberFormat="1" applyFont="1" applyFill="1" applyBorder="1" applyAlignment="1">
      <alignment horizontal="center" vertical="center" wrapText="1"/>
    </xf>
    <xf numFmtId="195" fontId="157" fillId="11" borderId="526" xfId="4" applyNumberFormat="1" applyFont="1" applyFill="1" applyBorder="1" applyAlignment="1">
      <alignment horizontal="center" vertical="center" wrapText="1"/>
    </xf>
    <xf numFmtId="0" fontId="157" fillId="11" borderId="526" xfId="4" applyFont="1" applyFill="1" applyBorder="1" applyAlignment="1">
      <alignment horizontal="center" vertical="center" wrapText="1"/>
    </xf>
    <xf numFmtId="9" fontId="183" fillId="11" borderId="347" xfId="0" applyNumberFormat="1" applyFont="1" applyFill="1" applyBorder="1" applyAlignment="1">
      <alignment horizontal="right" vertical="center" wrapText="1" readingOrder="2"/>
    </xf>
    <xf numFmtId="37" fontId="182" fillId="11" borderId="347" xfId="1" applyNumberFormat="1" applyFont="1" applyFill="1" applyBorder="1" applyAlignment="1">
      <alignment horizontal="center" vertical="center" wrapText="1"/>
    </xf>
    <xf numFmtId="14" fontId="182" fillId="11" borderId="404" xfId="0" applyNumberFormat="1" applyFont="1" applyFill="1" applyBorder="1" applyAlignment="1">
      <alignment horizontal="center" vertical="center" readingOrder="2"/>
    </xf>
    <xf numFmtId="3" fontId="0" fillId="0" borderId="490" xfId="0" quotePrefix="1" applyNumberFormat="1" applyBorder="1" applyAlignment="1">
      <alignment vertical="center"/>
    </xf>
    <xf numFmtId="3" fontId="0" fillId="0" borderId="526" xfId="0" quotePrefix="1" applyNumberFormat="1" applyBorder="1" applyAlignment="1">
      <alignment horizontal="center" vertical="center"/>
    </xf>
    <xf numFmtId="3" fontId="0" fillId="0" borderId="526" xfId="0" quotePrefix="1" applyNumberFormat="1" applyBorder="1" applyAlignment="1">
      <alignment vertical="center"/>
    </xf>
    <xf numFmtId="3" fontId="0" fillId="0" borderId="527" xfId="0" quotePrefix="1" applyNumberFormat="1" applyBorder="1" applyAlignment="1">
      <alignment horizontal="center" vertical="center"/>
    </xf>
    <xf numFmtId="10" fontId="0" fillId="2" borderId="526" xfId="2" quotePrefix="1" applyNumberFormat="1" applyFont="1" applyFill="1" applyBorder="1" applyAlignment="1">
      <alignment horizontal="center" vertical="center"/>
    </xf>
    <xf numFmtId="43" fontId="0" fillId="0" borderId="526" xfId="1" applyFont="1" applyBorder="1" applyAlignment="1">
      <alignment vertical="center"/>
    </xf>
    <xf numFmtId="9" fontId="0" fillId="0" borderId="0" xfId="2" applyFont="1" applyAlignment="1">
      <alignment vertical="center"/>
    </xf>
    <xf numFmtId="0" fontId="86" fillId="16" borderId="354" xfId="0" applyFont="1" applyFill="1" applyBorder="1" applyAlignment="1">
      <alignment horizontal="center" vertical="center"/>
    </xf>
    <xf numFmtId="167" fontId="0" fillId="2" borderId="26" xfId="0" applyNumberFormat="1" applyFill="1" applyBorder="1" applyAlignment="1">
      <alignment horizontal="center" vertical="center"/>
    </xf>
    <xf numFmtId="3" fontId="169" fillId="0" borderId="526" xfId="0" applyNumberFormat="1" applyFont="1" applyBorder="1" applyAlignment="1">
      <alignment horizontal="center" vertical="center" wrapText="1" readingOrder="2"/>
    </xf>
    <xf numFmtId="0" fontId="189" fillId="0" borderId="0" xfId="0" applyFont="1"/>
    <xf numFmtId="9" fontId="190" fillId="11" borderId="526" xfId="2" applyFont="1" applyFill="1" applyBorder="1" applyAlignment="1" applyProtection="1">
      <alignment horizontal="center" vertical="center"/>
    </xf>
    <xf numFmtId="15" fontId="0" fillId="0" borderId="0" xfId="1" applyNumberFormat="1" applyFont="1"/>
    <xf numFmtId="167" fontId="95" fillId="11" borderId="451" xfId="0" applyNumberFormat="1" applyFont="1" applyFill="1" applyBorder="1" applyAlignment="1">
      <alignment horizontal="center" vertical="center" shrinkToFit="1"/>
    </xf>
    <xf numFmtId="167" fontId="95" fillId="0" borderId="451" xfId="44" applyNumberFormat="1" applyFont="1" applyFill="1" applyBorder="1" applyAlignment="1">
      <alignment horizontal="center" vertical="center"/>
    </xf>
    <xf numFmtId="0" fontId="20" fillId="12" borderId="66" xfId="0" applyFont="1" applyFill="1" applyBorder="1" applyAlignment="1">
      <alignment horizontal="center" vertical="center" wrapText="1"/>
    </xf>
    <xf numFmtId="0" fontId="21" fillId="16" borderId="116" xfId="0" applyFont="1" applyFill="1" applyBorder="1" applyAlignment="1">
      <alignment horizontal="center" vertical="center" wrapText="1"/>
    </xf>
    <xf numFmtId="165" fontId="65" fillId="11" borderId="533" xfId="1" applyNumberFormat="1" applyFont="1" applyFill="1" applyBorder="1" applyAlignment="1">
      <alignment horizontal="center" vertical="center"/>
    </xf>
    <xf numFmtId="165" fontId="65" fillId="0" borderId="533" xfId="1" applyNumberFormat="1" applyFont="1" applyFill="1" applyBorder="1" applyAlignment="1">
      <alignment horizontal="center" vertical="center"/>
    </xf>
    <xf numFmtId="165" fontId="65" fillId="0" borderId="534" xfId="0" applyNumberFormat="1" applyFont="1" applyBorder="1" applyAlignment="1">
      <alignment horizontal="center" vertical="center"/>
    </xf>
    <xf numFmtId="165" fontId="65" fillId="11" borderId="114" xfId="1" applyNumberFormat="1" applyFont="1" applyFill="1" applyBorder="1" applyAlignment="1">
      <alignment horizontal="center" vertical="center"/>
    </xf>
    <xf numFmtId="165" fontId="65" fillId="0" borderId="114" xfId="1" applyNumberFormat="1" applyFont="1" applyFill="1" applyBorder="1" applyAlignment="1">
      <alignment horizontal="center" vertical="center"/>
    </xf>
    <xf numFmtId="165" fontId="65" fillId="0" borderId="536" xfId="0" applyNumberFormat="1" applyFont="1" applyBorder="1" applyAlignment="1">
      <alignment horizontal="center" vertical="center"/>
    </xf>
    <xf numFmtId="165" fontId="65" fillId="11" borderId="538" xfId="1" applyNumberFormat="1" applyFont="1" applyFill="1" applyBorder="1" applyAlignment="1">
      <alignment horizontal="center" vertical="center"/>
    </xf>
    <xf numFmtId="165" fontId="65" fillId="0" borderId="538" xfId="1" applyNumberFormat="1" applyFont="1" applyFill="1" applyBorder="1" applyAlignment="1">
      <alignment horizontal="center" vertical="center"/>
    </xf>
    <xf numFmtId="165" fontId="65" fillId="0" borderId="539" xfId="0" applyNumberFormat="1" applyFont="1" applyBorder="1" applyAlignment="1">
      <alignment horizontal="center" vertical="center"/>
    </xf>
    <xf numFmtId="165" fontId="72" fillId="16" borderId="94" xfId="27" applyNumberFormat="1" applyFont="1" applyFill="1" applyBorder="1" applyAlignment="1">
      <alignment horizontal="center" vertical="center"/>
    </xf>
    <xf numFmtId="165" fontId="65" fillId="11" borderId="533" xfId="1" applyNumberFormat="1" applyFont="1" applyFill="1" applyBorder="1"/>
    <xf numFmtId="165" fontId="65" fillId="0" borderId="533" xfId="1" applyNumberFormat="1" applyFont="1" applyFill="1" applyBorder="1"/>
    <xf numFmtId="165" fontId="65" fillId="11" borderId="114" xfId="1" applyNumberFormat="1" applyFont="1" applyFill="1" applyBorder="1"/>
    <xf numFmtId="165" fontId="65" fillId="0" borderId="114" xfId="1" applyNumberFormat="1" applyFont="1" applyFill="1" applyBorder="1"/>
    <xf numFmtId="165" fontId="65" fillId="11" borderId="538" xfId="1" applyNumberFormat="1" applyFont="1" applyFill="1" applyBorder="1"/>
    <xf numFmtId="165" fontId="65" fillId="0" borderId="538" xfId="1" applyNumberFormat="1" applyFont="1" applyFill="1" applyBorder="1"/>
    <xf numFmtId="165" fontId="72" fillId="16" borderId="94" xfId="27" applyNumberFormat="1" applyFont="1" applyFill="1" applyBorder="1"/>
    <xf numFmtId="165" fontId="72" fillId="16" borderId="543" xfId="27" applyNumberFormat="1" applyFont="1" applyFill="1" applyBorder="1"/>
    <xf numFmtId="0" fontId="7" fillId="0" borderId="0" xfId="2" applyNumberFormat="1" applyFont="1" applyAlignment="1">
      <alignment horizontal="center"/>
    </xf>
    <xf numFmtId="4" fontId="163" fillId="46" borderId="510" xfId="0" applyNumberFormat="1" applyFont="1" applyFill="1" applyBorder="1"/>
    <xf numFmtId="15" fontId="164" fillId="0" borderId="0" xfId="0" applyNumberFormat="1" applyFont="1"/>
    <xf numFmtId="10" fontId="0" fillId="0" borderId="0" xfId="1" applyNumberFormat="1" applyFont="1"/>
    <xf numFmtId="198" fontId="0" fillId="0" borderId="0" xfId="0" applyNumberFormat="1"/>
    <xf numFmtId="40" fontId="7" fillId="0" borderId="0" xfId="0" applyNumberFormat="1" applyFont="1"/>
    <xf numFmtId="10" fontId="7" fillId="0" borderId="0" xfId="2" applyNumberFormat="1" applyFont="1"/>
    <xf numFmtId="0" fontId="0" fillId="0" borderId="0" xfId="1" applyNumberFormat="1" applyFont="1"/>
    <xf numFmtId="40" fontId="7" fillId="0" borderId="0" xfId="2" applyNumberFormat="1" applyFont="1" applyAlignment="1">
      <alignment horizontal="center"/>
    </xf>
    <xf numFmtId="167" fontId="155" fillId="0" borderId="481" xfId="0" applyNumberFormat="1" applyFont="1" applyBorder="1" applyAlignment="1">
      <alignment horizontal="center" vertical="center" wrapText="1"/>
    </xf>
    <xf numFmtId="167" fontId="155" fillId="20" borderId="80" xfId="0" applyNumberFormat="1" applyFont="1" applyFill="1" applyBorder="1" applyAlignment="1">
      <alignment horizontal="center" vertical="center" wrapText="1"/>
    </xf>
    <xf numFmtId="167" fontId="161" fillId="42" borderId="486" xfId="0" applyNumberFormat="1" applyFont="1" applyFill="1" applyBorder="1" applyAlignment="1">
      <alignment horizontal="center" vertical="center" wrapText="1"/>
    </xf>
    <xf numFmtId="167" fontId="95" fillId="11" borderId="451" xfId="0" applyNumberFormat="1" applyFont="1" applyFill="1" applyBorder="1" applyAlignment="1">
      <alignment horizontal="left" shrinkToFit="1"/>
    </xf>
    <xf numFmtId="167" fontId="95" fillId="0" borderId="451" xfId="0" applyNumberFormat="1" applyFont="1" applyBorder="1" applyAlignment="1">
      <alignment horizontal="center" vertical="center" shrinkToFit="1"/>
    </xf>
    <xf numFmtId="167" fontId="162" fillId="0" borderId="0" xfId="0" applyNumberFormat="1" applyFont="1" applyAlignment="1">
      <alignment horizontal="center" vertical="center" wrapText="1"/>
    </xf>
    <xf numFmtId="167" fontId="162" fillId="20" borderId="349" xfId="0" applyNumberFormat="1" applyFont="1" applyFill="1" applyBorder="1" applyAlignment="1">
      <alignment horizontal="center" vertical="center" wrapText="1"/>
    </xf>
    <xf numFmtId="0" fontId="162" fillId="0" borderId="0" xfId="0" applyFont="1"/>
    <xf numFmtId="15" fontId="162" fillId="0" borderId="0" xfId="0" applyNumberFormat="1" applyFont="1"/>
    <xf numFmtId="4" fontId="162" fillId="0" borderId="0" xfId="0" applyNumberFormat="1" applyFont="1" applyAlignment="1">
      <alignment wrapText="1"/>
    </xf>
    <xf numFmtId="9" fontId="162" fillId="0" borderId="0" xfId="0" applyNumberFormat="1" applyFont="1" applyAlignment="1">
      <alignment wrapText="1"/>
    </xf>
    <xf numFmtId="10" fontId="162" fillId="0" borderId="0" xfId="0" applyNumberFormat="1" applyFont="1" applyAlignment="1">
      <alignment wrapText="1"/>
    </xf>
    <xf numFmtId="10" fontId="7" fillId="0" borderId="0" xfId="2" applyNumberFormat="1" applyFont="1" applyAlignment="1">
      <alignment horizontal="center"/>
    </xf>
    <xf numFmtId="199" fontId="7" fillId="0" borderId="0" xfId="0" applyNumberFormat="1" applyFont="1" applyAlignment="1">
      <alignment horizontal="center"/>
    </xf>
    <xf numFmtId="198" fontId="7" fillId="0" borderId="0" xfId="2" applyNumberFormat="1" applyFont="1" applyAlignment="1">
      <alignment horizontal="center"/>
    </xf>
    <xf numFmtId="0" fontId="168" fillId="0" borderId="451" xfId="18" applyFont="1" applyBorder="1" applyAlignment="1">
      <alignment horizontal="center" vertical="center"/>
    </xf>
    <xf numFmtId="0" fontId="168" fillId="0" borderId="451" xfId="18" applyFont="1" applyBorder="1" applyAlignment="1">
      <alignment horizontal="left" vertical="center" wrapText="1"/>
    </xf>
    <xf numFmtId="0" fontId="168" fillId="0" borderId="451" xfId="4" applyFont="1" applyBorder="1" applyAlignment="1">
      <alignment horizontal="center" vertical="center" wrapText="1"/>
    </xf>
    <xf numFmtId="0" fontId="168" fillId="11" borderId="545" xfId="45" applyFont="1" applyFill="1" applyBorder="1" applyAlignment="1">
      <alignment horizontal="center" vertical="center" wrapText="1"/>
    </xf>
    <xf numFmtId="191" fontId="157" fillId="11" borderId="72" xfId="4" applyNumberFormat="1" applyFont="1" applyFill="1" applyBorder="1" applyAlignment="1">
      <alignment horizontal="center" vertical="center" wrapText="1"/>
    </xf>
    <xf numFmtId="0" fontId="169" fillId="55" borderId="526" xfId="0" applyFont="1" applyFill="1" applyBorder="1" applyAlignment="1">
      <alignment horizontal="right" vertical="center" wrapText="1" readingOrder="2"/>
    </xf>
    <xf numFmtId="167" fontId="0" fillId="2" borderId="33" xfId="0" applyNumberFormat="1" applyFill="1" applyBorder="1" applyAlignment="1">
      <alignment horizontal="center" vertical="center"/>
    </xf>
    <xf numFmtId="9" fontId="0" fillId="0" borderId="33" xfId="2" applyFont="1" applyBorder="1" applyAlignment="1">
      <alignment horizontal="center" vertical="center"/>
    </xf>
    <xf numFmtId="0" fontId="67" fillId="32" borderId="284" xfId="2" applyNumberFormat="1" applyFont="1" applyFill="1" applyBorder="1" applyAlignment="1" applyProtection="1">
      <alignment horizontal="center" vertical="center"/>
    </xf>
    <xf numFmtId="10" fontId="182" fillId="11" borderId="347" xfId="2" applyNumberFormat="1" applyFont="1" applyFill="1" applyBorder="1" applyAlignment="1">
      <alignment horizontal="center" vertical="center" wrapText="1"/>
    </xf>
    <xf numFmtId="0" fontId="23" fillId="13" borderId="546" xfId="0" quotePrefix="1" applyFont="1" applyFill="1" applyBorder="1" applyAlignment="1">
      <alignment horizontal="center" vertical="center" wrapText="1"/>
    </xf>
    <xf numFmtId="0" fontId="0" fillId="0" borderId="547" xfId="0" applyBorder="1"/>
    <xf numFmtId="167" fontId="25" fillId="13" borderId="548" xfId="0" applyNumberFormat="1" applyFont="1" applyFill="1" applyBorder="1" applyAlignment="1">
      <alignment horizontal="center" vertical="center" wrapText="1"/>
    </xf>
    <xf numFmtId="177" fontId="23" fillId="13" borderId="549" xfId="0" applyNumberFormat="1" applyFont="1" applyFill="1" applyBorder="1" applyAlignment="1">
      <alignment horizontal="center" vertical="center" wrapText="1"/>
    </xf>
    <xf numFmtId="15" fontId="0" fillId="11" borderId="218" xfId="0" applyNumberFormat="1" applyFill="1" applyBorder="1" applyAlignment="1">
      <alignment horizontal="center"/>
    </xf>
    <xf numFmtId="0" fontId="183" fillId="11" borderId="347" xfId="0" applyFont="1" applyFill="1" applyBorder="1" applyAlignment="1">
      <alignment horizontal="center" vertical="center" wrapText="1"/>
    </xf>
    <xf numFmtId="0" fontId="0" fillId="0" borderId="374" xfId="0" applyBorder="1"/>
    <xf numFmtId="1" fontId="50" fillId="0" borderId="26" xfId="0" applyNumberFormat="1" applyFont="1" applyBorder="1" applyAlignment="1">
      <alignment horizontal="center" vertical="center"/>
    </xf>
    <xf numFmtId="9" fontId="0" fillId="0" borderId="550" xfId="0" applyNumberFormat="1" applyBorder="1"/>
    <xf numFmtId="9" fontId="163" fillId="46" borderId="551" xfId="0" applyNumberFormat="1" applyFont="1" applyFill="1" applyBorder="1"/>
    <xf numFmtId="10" fontId="163" fillId="46" borderId="551" xfId="0" applyNumberFormat="1" applyFont="1" applyFill="1" applyBorder="1"/>
    <xf numFmtId="9" fontId="0" fillId="0" borderId="552" xfId="0" applyNumberFormat="1" applyBorder="1"/>
    <xf numFmtId="9" fontId="163" fillId="46" borderId="553" xfId="0" applyNumberFormat="1" applyFont="1" applyFill="1" applyBorder="1"/>
    <xf numFmtId="167" fontId="198" fillId="13" borderId="548" xfId="0" applyNumberFormat="1" applyFont="1" applyFill="1" applyBorder="1" applyAlignment="1">
      <alignment horizontal="center" vertical="center" wrapText="1"/>
    </xf>
    <xf numFmtId="0" fontId="0" fillId="65" borderId="0" xfId="0" applyFill="1"/>
    <xf numFmtId="4" fontId="0" fillId="65" borderId="0" xfId="0" applyNumberFormat="1" applyFill="1"/>
    <xf numFmtId="9" fontId="0" fillId="65" borderId="0" xfId="0" applyNumberFormat="1" applyFill="1"/>
    <xf numFmtId="10" fontId="0" fillId="65" borderId="0" xfId="0" applyNumberFormat="1" applyFill="1"/>
    <xf numFmtId="0" fontId="0" fillId="44" borderId="0" xfId="0" applyFill="1"/>
    <xf numFmtId="15" fontId="0" fillId="44" borderId="0" xfId="0" applyNumberFormat="1" applyFill="1"/>
    <xf numFmtId="9" fontId="0" fillId="44" borderId="0" xfId="0" applyNumberFormat="1" applyFill="1"/>
    <xf numFmtId="0" fontId="0" fillId="9" borderId="0" xfId="0" applyFill="1"/>
    <xf numFmtId="15" fontId="0" fillId="9" borderId="0" xfId="0" applyNumberFormat="1" applyFill="1"/>
    <xf numFmtId="4" fontId="0" fillId="9" borderId="0" xfId="0" applyNumberFormat="1" applyFill="1"/>
    <xf numFmtId="9" fontId="0" fillId="9" borderId="0" xfId="0" applyNumberFormat="1" applyFill="1"/>
    <xf numFmtId="10" fontId="0" fillId="9" borderId="0" xfId="0" applyNumberFormat="1" applyFill="1"/>
    <xf numFmtId="4" fontId="0" fillId="44" borderId="0" xfId="0" applyNumberFormat="1" applyFill="1"/>
    <xf numFmtId="0" fontId="0" fillId="50" borderId="0" xfId="0" applyFill="1"/>
    <xf numFmtId="15" fontId="0" fillId="50" borderId="0" xfId="0" applyNumberFormat="1" applyFill="1"/>
    <xf numFmtId="4" fontId="0" fillId="50" borderId="0" xfId="0" applyNumberFormat="1" applyFill="1"/>
    <xf numFmtId="9" fontId="0" fillId="50" borderId="0" xfId="0" applyNumberFormat="1" applyFill="1"/>
    <xf numFmtId="15" fontId="0" fillId="65" borderId="0" xfId="0" applyNumberFormat="1" applyFill="1"/>
    <xf numFmtId="0" fontId="0" fillId="66" borderId="0" xfId="0" applyFill="1"/>
    <xf numFmtId="15" fontId="0" fillId="66" borderId="0" xfId="0" applyNumberFormat="1" applyFill="1"/>
    <xf numFmtId="4" fontId="0" fillId="66" borderId="0" xfId="0" applyNumberFormat="1" applyFill="1"/>
    <xf numFmtId="9" fontId="0" fillId="66" borderId="0" xfId="0" applyNumberFormat="1" applyFill="1"/>
    <xf numFmtId="0" fontId="0" fillId="67" borderId="0" xfId="0" applyFill="1"/>
    <xf numFmtId="15" fontId="0" fillId="67" borderId="0" xfId="0" applyNumberFormat="1" applyFill="1"/>
    <xf numFmtId="4" fontId="0" fillId="67" borderId="0" xfId="0" applyNumberFormat="1" applyFill="1"/>
    <xf numFmtId="9" fontId="0" fillId="67" borderId="0" xfId="0" applyNumberFormat="1" applyFill="1"/>
    <xf numFmtId="10" fontId="0" fillId="67" borderId="0" xfId="0" applyNumberFormat="1" applyFill="1"/>
    <xf numFmtId="0" fontId="0" fillId="68" borderId="0" xfId="0" applyFill="1"/>
    <xf numFmtId="9" fontId="0" fillId="68" borderId="0" xfId="0" applyNumberFormat="1" applyFill="1"/>
    <xf numFmtId="4" fontId="0" fillId="0" borderId="503" xfId="0" applyNumberFormat="1" applyBorder="1"/>
    <xf numFmtId="0" fontId="0" fillId="0" borderId="503" xfId="0" applyBorder="1"/>
    <xf numFmtId="9" fontId="0" fillId="0" borderId="579" xfId="0" applyNumberFormat="1" applyBorder="1"/>
    <xf numFmtId="0" fontId="0" fillId="0" borderId="507" xfId="0" applyBorder="1"/>
    <xf numFmtId="165" fontId="2" fillId="40" borderId="263" xfId="1" applyNumberFormat="1" applyFont="1" applyFill="1" applyBorder="1" applyAlignment="1" applyProtection="1">
      <alignment horizontal="right" vertical="center"/>
    </xf>
    <xf numFmtId="0" fontId="168" fillId="0" borderId="9" xfId="18" applyFont="1" applyBorder="1" applyAlignment="1">
      <alignment horizontal="center" vertical="center"/>
    </xf>
    <xf numFmtId="0" fontId="114" fillId="39" borderId="526" xfId="0" applyFont="1" applyFill="1" applyBorder="1" applyAlignment="1">
      <alignment horizontal="center" vertical="center" wrapText="1"/>
    </xf>
    <xf numFmtId="0" fontId="102" fillId="0" borderId="526" xfId="0" applyFont="1" applyBorder="1" applyAlignment="1">
      <alignment horizontal="center" vertical="center"/>
    </xf>
    <xf numFmtId="10" fontId="102" fillId="0" borderId="526" xfId="0" applyNumberFormat="1" applyFont="1" applyBorder="1" applyAlignment="1">
      <alignment horizontal="center" vertical="center"/>
    </xf>
    <xf numFmtId="1" fontId="50" fillId="0" borderId="53" xfId="0" applyNumberFormat="1" applyFont="1" applyBorder="1" applyAlignment="1">
      <alignment horizontal="center" vertical="center"/>
    </xf>
    <xf numFmtId="165" fontId="38" fillId="0" borderId="534" xfId="0" applyNumberFormat="1" applyFont="1" applyBorder="1" applyAlignment="1">
      <alignment horizontal="right" vertical="center"/>
    </xf>
    <xf numFmtId="15" fontId="0" fillId="0" borderId="400" xfId="0" applyNumberFormat="1" applyBorder="1" applyAlignment="1">
      <alignment horizontal="center"/>
    </xf>
    <xf numFmtId="40" fontId="7" fillId="0" borderId="0" xfId="0" applyNumberFormat="1" applyFont="1" applyAlignment="1">
      <alignment horizontal="center"/>
    </xf>
    <xf numFmtId="3" fontId="0" fillId="0" borderId="0" xfId="0" applyNumberFormat="1" applyAlignment="1">
      <alignment vertical="center"/>
    </xf>
    <xf numFmtId="165" fontId="38" fillId="0" borderId="536" xfId="0" applyNumberFormat="1" applyFont="1" applyBorder="1" applyAlignment="1">
      <alignment horizontal="center" vertical="center"/>
    </xf>
    <xf numFmtId="165" fontId="38" fillId="0" borderId="536" xfId="0" applyNumberFormat="1" applyFont="1" applyBorder="1" applyAlignment="1">
      <alignment horizontal="right" vertical="center"/>
    </xf>
    <xf numFmtId="165" fontId="38" fillId="0" borderId="539" xfId="0" applyNumberFormat="1" applyFont="1" applyBorder="1" applyAlignment="1">
      <alignment horizontal="center" vertical="center"/>
    </xf>
    <xf numFmtId="165" fontId="65" fillId="11" borderId="533" xfId="1" applyNumberFormat="1" applyFont="1" applyFill="1" applyBorder="1" applyAlignment="1">
      <alignment horizontal="left" vertical="center"/>
    </xf>
    <xf numFmtId="165" fontId="65" fillId="11" borderId="114" xfId="1" applyNumberFormat="1" applyFont="1" applyFill="1" applyBorder="1" applyAlignment="1">
      <alignment horizontal="left" vertical="center"/>
    </xf>
    <xf numFmtId="165" fontId="65" fillId="11" borderId="538" xfId="1" applyNumberFormat="1" applyFont="1" applyFill="1" applyBorder="1" applyAlignment="1">
      <alignment horizontal="left" vertical="center"/>
    </xf>
    <xf numFmtId="165" fontId="72" fillId="16" borderId="94" xfId="27" applyNumberFormat="1" applyFont="1" applyFill="1" applyBorder="1" applyAlignment="1">
      <alignment horizontal="left" vertical="center"/>
    </xf>
    <xf numFmtId="165" fontId="65" fillId="11" borderId="584" xfId="1" applyNumberFormat="1" applyFont="1" applyFill="1" applyBorder="1" applyAlignment="1">
      <alignment horizontal="center" vertical="center"/>
    </xf>
    <xf numFmtId="165" fontId="65" fillId="11" borderId="583" xfId="1" applyNumberFormat="1" applyFont="1" applyFill="1" applyBorder="1" applyAlignment="1">
      <alignment horizontal="center" vertical="center"/>
    </xf>
    <xf numFmtId="0" fontId="165" fillId="0" borderId="350" xfId="4" applyFont="1" applyBorder="1" applyAlignment="1" applyProtection="1">
      <alignment vertical="center" wrapText="1"/>
      <protection locked="0"/>
    </xf>
    <xf numFmtId="0" fontId="165" fillId="0" borderId="0" xfId="4" applyFont="1" applyAlignment="1" applyProtection="1">
      <alignment vertical="center" wrapText="1"/>
      <protection locked="0"/>
    </xf>
    <xf numFmtId="4" fontId="95" fillId="0" borderId="451" xfId="41" applyNumberFormat="1" applyFont="1" applyBorder="1" applyAlignment="1">
      <alignment horizontal="left" vertical="center"/>
    </xf>
    <xf numFmtId="43" fontId="170" fillId="55" borderId="526" xfId="1" applyFont="1" applyFill="1" applyBorder="1" applyAlignment="1">
      <alignment horizontal="center" vertical="center" wrapText="1" readingOrder="2"/>
    </xf>
    <xf numFmtId="43" fontId="169" fillId="55" borderId="526" xfId="1" applyFont="1" applyFill="1" applyBorder="1" applyAlignment="1">
      <alignment horizontal="center" vertical="center" wrapText="1" readingOrder="2"/>
    </xf>
    <xf numFmtId="192" fontId="7" fillId="0" borderId="0" xfId="0" applyNumberFormat="1" applyFont="1" applyAlignment="1">
      <alignment horizontal="center"/>
    </xf>
    <xf numFmtId="9" fontId="183" fillId="11" borderId="347" xfId="0" applyNumberFormat="1" applyFont="1" applyFill="1" applyBorder="1" applyAlignment="1">
      <alignment horizontal="right" vertical="top" wrapText="1" readingOrder="2"/>
    </xf>
    <xf numFmtId="0" fontId="80" fillId="11" borderId="296" xfId="0" applyFont="1" applyFill="1" applyBorder="1" applyAlignment="1">
      <alignment horizontal="right" vertical="center"/>
    </xf>
    <xf numFmtId="0" fontId="80" fillId="11" borderId="290" xfId="0" applyFont="1" applyFill="1" applyBorder="1" applyAlignment="1">
      <alignment horizontal="right" vertical="center"/>
    </xf>
    <xf numFmtId="0" fontId="80" fillId="11" borderId="293" xfId="0" applyFont="1" applyFill="1" applyBorder="1" applyAlignment="1">
      <alignment horizontal="right" vertical="center"/>
    </xf>
    <xf numFmtId="0" fontId="60" fillId="27" borderId="428" xfId="0" applyFont="1" applyFill="1" applyBorder="1" applyAlignment="1">
      <alignment horizontal="center"/>
    </xf>
    <xf numFmtId="0" fontId="0" fillId="0" borderId="493" xfId="0" applyBorder="1" applyAlignment="1">
      <alignment horizontal="left" vertical="center"/>
    </xf>
    <xf numFmtId="0" fontId="0" fillId="0" borderId="272" xfId="0" applyBorder="1" applyAlignment="1">
      <alignment horizontal="left" vertical="center"/>
    </xf>
    <xf numFmtId="0" fontId="80" fillId="11" borderId="293" xfId="0" applyFont="1" applyFill="1" applyBorder="1" applyAlignment="1">
      <alignment horizontal="right"/>
    </xf>
    <xf numFmtId="0" fontId="80" fillId="11" borderId="295" xfId="0" applyFont="1" applyFill="1" applyBorder="1" applyAlignment="1">
      <alignment horizontal="right"/>
    </xf>
    <xf numFmtId="0" fontId="80" fillId="11" borderId="290" xfId="0" applyFont="1" applyFill="1" applyBorder="1" applyAlignment="1">
      <alignment horizontal="right"/>
    </xf>
    <xf numFmtId="1" fontId="108" fillId="0" borderId="0" xfId="1" applyNumberFormat="1" applyFont="1" applyBorder="1" applyAlignment="1" applyProtection="1">
      <alignment vertical="center" wrapText="1"/>
      <protection locked="0"/>
    </xf>
    <xf numFmtId="197" fontId="61" fillId="2" borderId="237" xfId="0" applyNumberFormat="1" applyFont="1" applyFill="1" applyBorder="1" applyAlignment="1">
      <alignment horizontal="center" vertical="center"/>
    </xf>
    <xf numFmtId="0" fontId="2" fillId="44" borderId="586" xfId="0" applyFont="1" applyFill="1" applyBorder="1" applyAlignment="1">
      <alignment horizontal="center" vertical="center"/>
    </xf>
    <xf numFmtId="0" fontId="0" fillId="44" borderId="587" xfId="0" applyFill="1" applyBorder="1" applyAlignment="1">
      <alignment horizontal="center"/>
    </xf>
    <xf numFmtId="0" fontId="35" fillId="11" borderId="79" xfId="0" applyFont="1" applyFill="1" applyBorder="1" applyAlignment="1">
      <alignment horizontal="center" vertical="center"/>
    </xf>
    <xf numFmtId="10" fontId="35" fillId="11" borderId="79" xfId="2" applyNumberFormat="1" applyFont="1" applyFill="1" applyBorder="1" applyAlignment="1">
      <alignment horizontal="center" vertical="center"/>
    </xf>
    <xf numFmtId="0" fontId="35" fillId="44" borderId="79" xfId="0" applyFont="1" applyFill="1" applyBorder="1" applyAlignment="1">
      <alignment horizontal="center" vertical="center"/>
    </xf>
    <xf numFmtId="10" fontId="35" fillId="44" borderId="79" xfId="2" applyNumberFormat="1" applyFont="1" applyFill="1" applyBorder="1" applyAlignment="1">
      <alignment horizontal="center" vertical="center"/>
    </xf>
    <xf numFmtId="182" fontId="2" fillId="44" borderId="79" xfId="0" applyNumberFormat="1" applyFont="1" applyFill="1" applyBorder="1"/>
    <xf numFmtId="182" fontId="2" fillId="44" borderId="79" xfId="0" applyNumberFormat="1" applyFont="1" applyFill="1" applyBorder="1" applyAlignment="1">
      <alignment horizontal="center"/>
    </xf>
    <xf numFmtId="0" fontId="2" fillId="11" borderId="586" xfId="0" applyFont="1" applyFill="1" applyBorder="1" applyAlignment="1">
      <alignment horizontal="center" vertical="center"/>
    </xf>
    <xf numFmtId="0" fontId="0" fillId="11" borderId="587" xfId="0" applyFill="1" applyBorder="1" applyAlignment="1">
      <alignment horizontal="center"/>
    </xf>
    <xf numFmtId="0" fontId="159" fillId="43" borderId="469" xfId="0" applyFont="1" applyFill="1" applyBorder="1" applyAlignment="1">
      <alignment horizontal="left" vertical="center"/>
    </xf>
    <xf numFmtId="165" fontId="1" fillId="36" borderId="464" xfId="1" applyNumberFormat="1" applyFont="1" applyFill="1" applyBorder="1" applyAlignment="1" applyProtection="1">
      <alignment horizontal="left" vertical="center"/>
    </xf>
    <xf numFmtId="165" fontId="2" fillId="40" borderId="464" xfId="1" applyNumberFormat="1" applyFont="1" applyFill="1" applyBorder="1" applyAlignment="1" applyProtection="1">
      <alignment horizontal="left" vertical="center"/>
    </xf>
    <xf numFmtId="0" fontId="159" fillId="43" borderId="468" xfId="0" applyFont="1" applyFill="1" applyBorder="1" applyAlignment="1">
      <alignment horizontal="left" vertical="center"/>
    </xf>
    <xf numFmtId="165" fontId="1" fillId="36" borderId="464" xfId="1" applyNumberFormat="1" applyFont="1" applyFill="1" applyBorder="1" applyAlignment="1" applyProtection="1">
      <alignment vertical="center"/>
    </xf>
    <xf numFmtId="0" fontId="95" fillId="0" borderId="0" xfId="0" applyFont="1" applyAlignment="1">
      <alignment horizontal="center" vertical="center" wrapText="1"/>
    </xf>
    <xf numFmtId="0" fontId="47" fillId="0" borderId="344" xfId="0" applyFont="1" applyBorder="1"/>
    <xf numFmtId="10" fontId="161" fillId="0" borderId="0" xfId="0" applyNumberFormat="1" applyFont="1" applyAlignment="1">
      <alignment horizontal="center" vertical="center" wrapText="1"/>
    </xf>
    <xf numFmtId="0" fontId="162" fillId="11" borderId="0" xfId="0" applyFont="1" applyFill="1" applyAlignment="1">
      <alignment horizontal="center" vertical="center" wrapText="1"/>
    </xf>
    <xf numFmtId="0" fontId="95" fillId="11" borderId="0" xfId="0" applyFont="1" applyFill="1" applyAlignment="1">
      <alignment horizontal="center" vertical="center" wrapText="1"/>
    </xf>
    <xf numFmtId="1" fontId="22" fillId="18" borderId="0" xfId="0" applyNumberFormat="1" applyFont="1" applyFill="1" applyAlignment="1">
      <alignment horizontal="center" vertical="center"/>
    </xf>
    <xf numFmtId="1" fontId="86" fillId="16" borderId="354" xfId="0" applyNumberFormat="1" applyFont="1" applyFill="1" applyBorder="1" applyAlignment="1">
      <alignment horizontal="center" vertical="center"/>
    </xf>
    <xf numFmtId="0" fontId="2" fillId="0" borderId="586" xfId="0" applyFont="1" applyBorder="1" applyAlignment="1">
      <alignment horizontal="center" vertical="center"/>
    </xf>
    <xf numFmtId="0" fontId="35" fillId="0" borderId="79" xfId="0" applyFont="1" applyBorder="1" applyAlignment="1">
      <alignment horizontal="center" vertical="center"/>
    </xf>
    <xf numFmtId="10" fontId="35" fillId="0" borderId="79" xfId="2" applyNumberFormat="1" applyFont="1" applyFill="1" applyBorder="1" applyAlignment="1">
      <alignment horizontal="center" vertical="center"/>
    </xf>
    <xf numFmtId="182" fontId="2" fillId="44" borderId="79" xfId="0" applyNumberFormat="1" applyFont="1" applyFill="1" applyBorder="1" applyAlignment="1">
      <alignment horizontal="left"/>
    </xf>
    <xf numFmtId="0" fontId="203" fillId="0" borderId="0" xfId="0" applyFont="1" applyAlignment="1">
      <alignment horizontal="center"/>
    </xf>
    <xf numFmtId="0" fontId="204" fillId="0" borderId="0" xfId="0" applyFont="1" applyAlignment="1">
      <alignment horizontal="center"/>
    </xf>
    <xf numFmtId="165" fontId="203" fillId="0" borderId="0" xfId="0" applyNumberFormat="1" applyFont="1" applyAlignment="1">
      <alignment horizontal="center"/>
    </xf>
    <xf numFmtId="0" fontId="205" fillId="62" borderId="501" xfId="0" applyFont="1" applyFill="1" applyBorder="1" applyAlignment="1">
      <alignment horizontal="center" vertical="center"/>
    </xf>
    <xf numFmtId="0" fontId="205" fillId="63" borderId="559" xfId="0" applyFont="1" applyFill="1" applyBorder="1" applyAlignment="1">
      <alignment horizontal="center" vertical="center"/>
    </xf>
    <xf numFmtId="165" fontId="193" fillId="0" borderId="562" xfId="0" applyNumberFormat="1" applyFont="1" applyBorder="1" applyAlignment="1">
      <alignment horizontal="center" vertical="center"/>
    </xf>
    <xf numFmtId="165" fontId="193" fillId="0" borderId="563" xfId="0" applyNumberFormat="1" applyFont="1" applyBorder="1" applyAlignment="1">
      <alignment horizontal="center" vertical="center"/>
    </xf>
    <xf numFmtId="165" fontId="193" fillId="0" borderId="564" xfId="0" applyNumberFormat="1" applyFont="1" applyBorder="1" applyAlignment="1">
      <alignment horizontal="center" vertical="center"/>
    </xf>
    <xf numFmtId="165" fontId="203" fillId="0" borderId="0" xfId="0" applyNumberFormat="1" applyFont="1"/>
    <xf numFmtId="0" fontId="205" fillId="63" borderId="565" xfId="0" applyFont="1" applyFill="1" applyBorder="1" applyAlignment="1">
      <alignment horizontal="center" vertical="center"/>
    </xf>
    <xf numFmtId="165" fontId="193" fillId="0" borderId="568" xfId="0" applyNumberFormat="1" applyFont="1" applyBorder="1" applyAlignment="1">
      <alignment vertical="center"/>
    </xf>
    <xf numFmtId="165" fontId="193" fillId="0" borderId="569" xfId="0" applyNumberFormat="1" applyFont="1" applyBorder="1" applyAlignment="1">
      <alignment horizontal="center" vertical="center"/>
    </xf>
    <xf numFmtId="165" fontId="193" fillId="0" borderId="570" xfId="0" applyNumberFormat="1" applyFont="1" applyBorder="1" applyAlignment="1">
      <alignment horizontal="center" vertical="center"/>
    </xf>
    <xf numFmtId="0" fontId="203" fillId="0" borderId="0" xfId="0" applyFont="1"/>
    <xf numFmtId="37" fontId="193" fillId="64" borderId="568" xfId="0" applyNumberFormat="1" applyFont="1" applyFill="1" applyBorder="1" applyAlignment="1">
      <alignment horizontal="center" vertical="center"/>
    </xf>
    <xf numFmtId="37" fontId="193" fillId="64" borderId="569" xfId="0" applyNumberFormat="1" applyFont="1" applyFill="1" applyBorder="1" applyAlignment="1">
      <alignment horizontal="center" vertical="center"/>
    </xf>
    <xf numFmtId="37" fontId="193" fillId="64" borderId="570" xfId="0" applyNumberFormat="1" applyFont="1" applyFill="1" applyBorder="1" applyAlignment="1">
      <alignment horizontal="center" vertical="center"/>
    </xf>
    <xf numFmtId="37" fontId="193" fillId="0" borderId="568" xfId="0" applyNumberFormat="1" applyFont="1" applyBorder="1" applyAlignment="1">
      <alignment horizontal="center" vertical="center"/>
    </xf>
    <xf numFmtId="37" fontId="193" fillId="0" borderId="569" xfId="0" applyNumberFormat="1" applyFont="1" applyBorder="1" applyAlignment="1">
      <alignment horizontal="center" vertical="center"/>
    </xf>
    <xf numFmtId="37" fontId="193" fillId="0" borderId="570" xfId="0" applyNumberFormat="1" applyFont="1" applyBorder="1" applyAlignment="1">
      <alignment horizontal="center" vertical="center"/>
    </xf>
    <xf numFmtId="37" fontId="193" fillId="0" borderId="572" xfId="0" applyNumberFormat="1" applyFont="1" applyBorder="1" applyAlignment="1">
      <alignment horizontal="center" vertical="center"/>
    </xf>
    <xf numFmtId="37" fontId="193" fillId="0" borderId="573" xfId="0" applyNumberFormat="1" applyFont="1" applyBorder="1" applyAlignment="1">
      <alignment horizontal="center" vertical="center"/>
    </xf>
    <xf numFmtId="37" fontId="193" fillId="0" borderId="576" xfId="0" applyNumberFormat="1" applyFont="1" applyBorder="1" applyAlignment="1">
      <alignment horizontal="center" vertical="center"/>
    </xf>
    <xf numFmtId="37" fontId="193" fillId="0" borderId="577" xfId="0" applyNumberFormat="1" applyFont="1" applyBorder="1" applyAlignment="1">
      <alignment horizontal="center" vertical="center"/>
    </xf>
    <xf numFmtId="37" fontId="193" fillId="0" borderId="578" xfId="0" applyNumberFormat="1" applyFont="1" applyBorder="1" applyAlignment="1">
      <alignment horizontal="center" vertical="center"/>
    </xf>
    <xf numFmtId="0" fontId="206" fillId="16" borderId="490" xfId="0" applyFont="1" applyFill="1" applyBorder="1" applyAlignment="1">
      <alignment horizontal="center" vertical="center"/>
    </xf>
    <xf numFmtId="0" fontId="208" fillId="16" borderId="68" xfId="0" applyFont="1" applyFill="1" applyBorder="1" applyAlignment="1">
      <alignment horizontal="center" vertical="center" wrapText="1"/>
    </xf>
    <xf numFmtId="10" fontId="203" fillId="0" borderId="100" xfId="0" applyNumberFormat="1" applyFont="1" applyBorder="1" applyAlignment="1">
      <alignment horizontal="center" vertical="center"/>
    </xf>
    <xf numFmtId="0" fontId="208" fillId="16" borderId="66" xfId="0" applyFont="1" applyFill="1" applyBorder="1" applyAlignment="1">
      <alignment horizontal="center" vertical="center" wrapText="1"/>
    </xf>
    <xf numFmtId="10" fontId="203" fillId="0" borderId="101" xfId="0" applyNumberFormat="1" applyFont="1" applyBorder="1" applyAlignment="1">
      <alignment horizontal="center" vertical="center" wrapText="1"/>
    </xf>
    <xf numFmtId="0" fontId="209" fillId="44" borderId="586" xfId="0" applyFont="1" applyFill="1" applyBorder="1" applyAlignment="1">
      <alignment horizontal="center" vertical="center"/>
    </xf>
    <xf numFmtId="182" fontId="209" fillId="44" borderId="79" xfId="0" applyNumberFormat="1" applyFont="1" applyFill="1" applyBorder="1" applyAlignment="1">
      <alignment horizontal="left"/>
    </xf>
    <xf numFmtId="0" fontId="202" fillId="44" borderId="79" xfId="0" applyFont="1" applyFill="1" applyBorder="1" applyAlignment="1">
      <alignment horizontal="center" vertical="center"/>
    </xf>
    <xf numFmtId="182" fontId="209" fillId="44" borderId="79" xfId="0" applyNumberFormat="1" applyFont="1" applyFill="1" applyBorder="1" applyAlignment="1">
      <alignment horizontal="center"/>
    </xf>
    <xf numFmtId="0" fontId="203" fillId="44" borderId="587" xfId="0" applyFont="1" applyFill="1" applyBorder="1" applyAlignment="1">
      <alignment horizontal="center"/>
    </xf>
    <xf numFmtId="0" fontId="209" fillId="11" borderId="586" xfId="0" applyFont="1" applyFill="1" applyBorder="1" applyAlignment="1">
      <alignment horizontal="center" vertical="center"/>
    </xf>
    <xf numFmtId="0" fontId="202" fillId="11" borderId="79" xfId="0" applyFont="1" applyFill="1" applyBorder="1" applyAlignment="1">
      <alignment horizontal="center" vertical="center"/>
    </xf>
    <xf numFmtId="10" fontId="202" fillId="11" borderId="585" xfId="2" applyNumberFormat="1" applyFont="1" applyFill="1" applyBorder="1" applyAlignment="1">
      <alignment horizontal="center"/>
    </xf>
    <xf numFmtId="0" fontId="203" fillId="11" borderId="587" xfId="0" applyFont="1" applyFill="1" applyBorder="1" applyAlignment="1">
      <alignment horizontal="center"/>
    </xf>
    <xf numFmtId="10" fontId="202" fillId="11" borderId="26" xfId="2" applyNumberFormat="1" applyFont="1" applyFill="1" applyBorder="1" applyAlignment="1">
      <alignment horizontal="center"/>
    </xf>
    <xf numFmtId="10" fontId="203" fillId="11" borderId="26" xfId="2" applyNumberFormat="1" applyFont="1" applyFill="1" applyBorder="1" applyAlignment="1">
      <alignment horizontal="center"/>
    </xf>
    <xf numFmtId="0" fontId="209" fillId="0" borderId="586" xfId="0" applyFont="1" applyBorder="1" applyAlignment="1">
      <alignment horizontal="center" vertical="center"/>
    </xf>
    <xf numFmtId="0" fontId="202" fillId="0" borderId="79" xfId="0" applyFont="1" applyBorder="1" applyAlignment="1">
      <alignment horizontal="center" vertical="center"/>
    </xf>
    <xf numFmtId="10" fontId="203" fillId="0" borderId="472" xfId="2" applyNumberFormat="1" applyFont="1" applyFill="1" applyBorder="1" applyAlignment="1">
      <alignment horizontal="center"/>
    </xf>
    <xf numFmtId="15" fontId="202" fillId="0" borderId="472" xfId="0" applyNumberFormat="1" applyFont="1" applyBorder="1" applyAlignment="1">
      <alignment horizontal="center"/>
    </xf>
    <xf numFmtId="0" fontId="203" fillId="0" borderId="472" xfId="0" applyFont="1" applyBorder="1" applyAlignment="1">
      <alignment horizontal="center"/>
    </xf>
    <xf numFmtId="10" fontId="203" fillId="0" borderId="472" xfId="2" applyNumberFormat="1" applyFont="1" applyBorder="1" applyAlignment="1">
      <alignment horizontal="center"/>
    </xf>
    <xf numFmtId="0" fontId="203" fillId="0" borderId="473" xfId="0" applyFont="1" applyBorder="1" applyAlignment="1">
      <alignment horizontal="center"/>
    </xf>
    <xf numFmtId="15" fontId="202" fillId="0" borderId="475" xfId="0" applyNumberFormat="1" applyFont="1" applyBorder="1" applyAlignment="1">
      <alignment horizontal="center"/>
    </xf>
    <xf numFmtId="0" fontId="203" fillId="0" borderId="475" xfId="0" applyFont="1" applyBorder="1" applyAlignment="1">
      <alignment horizontal="center"/>
    </xf>
    <xf numFmtId="10" fontId="203" fillId="0" borderId="475" xfId="2" applyNumberFormat="1" applyFont="1" applyBorder="1" applyAlignment="1">
      <alignment horizontal="center"/>
    </xf>
    <xf numFmtId="0" fontId="203" fillId="0" borderId="476" xfId="0" applyFont="1" applyBorder="1" applyAlignment="1">
      <alignment horizontal="center"/>
    </xf>
    <xf numFmtId="10" fontId="102" fillId="0" borderId="0" xfId="2" applyNumberFormat="1" applyFont="1" applyProtection="1"/>
    <xf numFmtId="0" fontId="117" fillId="0" borderId="371" xfId="11" applyFont="1" applyBorder="1" applyAlignment="1" applyProtection="1">
      <alignment horizontal="center" vertical="center"/>
      <protection locked="0"/>
    </xf>
    <xf numFmtId="0" fontId="117" fillId="0" borderId="526" xfId="11" applyFont="1" applyBorder="1" applyAlignment="1" applyProtection="1">
      <alignment horizontal="center" vertical="center"/>
      <protection locked="0"/>
    </xf>
    <xf numFmtId="0" fontId="117" fillId="17" borderId="526" xfId="11" applyFont="1" applyFill="1" applyBorder="1" applyAlignment="1" applyProtection="1">
      <alignment horizontal="center" vertical="center"/>
      <protection locked="0"/>
    </xf>
    <xf numFmtId="0" fontId="117" fillId="0" borderId="3" xfId="11" applyFont="1" applyBorder="1" applyAlignment="1" applyProtection="1">
      <alignment horizontal="center" vertical="center"/>
      <protection locked="0"/>
    </xf>
    <xf numFmtId="201" fontId="209" fillId="11" borderId="79" xfId="0" applyNumberFormat="1" applyFont="1" applyFill="1" applyBorder="1" applyAlignment="1">
      <alignment horizontal="left"/>
    </xf>
    <xf numFmtId="201" fontId="209" fillId="44" borderId="79" xfId="0" applyNumberFormat="1" applyFont="1" applyFill="1" applyBorder="1" applyAlignment="1">
      <alignment horizontal="left"/>
    </xf>
    <xf numFmtId="201" fontId="209" fillId="0" borderId="79" xfId="0" applyNumberFormat="1" applyFont="1" applyBorder="1" applyAlignment="1">
      <alignment horizontal="left"/>
    </xf>
    <xf numFmtId="0" fontId="210" fillId="46" borderId="588" xfId="0" applyFont="1" applyFill="1" applyBorder="1" applyAlignment="1">
      <alignment vertical="top" wrapText="1"/>
    </xf>
    <xf numFmtId="0" fontId="79" fillId="34" borderId="200" xfId="0" applyFont="1" applyFill="1" applyBorder="1" applyAlignment="1">
      <alignment horizontal="right" vertical="center"/>
    </xf>
    <xf numFmtId="0" fontId="79" fillId="34" borderId="0" xfId="0" applyFont="1" applyFill="1" applyAlignment="1">
      <alignment horizontal="right" vertical="center"/>
    </xf>
    <xf numFmtId="0" fontId="79" fillId="0" borderId="310" xfId="0" applyFont="1" applyBorder="1" applyAlignment="1">
      <alignment vertical="center" wrapText="1"/>
    </xf>
    <xf numFmtId="0" fontId="79" fillId="0" borderId="311" xfId="0" applyFont="1" applyBorder="1" applyAlignment="1">
      <alignment vertical="center" wrapText="1"/>
    </xf>
    <xf numFmtId="0" fontId="79" fillId="0" borderId="312" xfId="0" applyFont="1" applyBorder="1" applyAlignment="1">
      <alignment vertical="center" wrapText="1"/>
    </xf>
    <xf numFmtId="0" fontId="79" fillId="0" borderId="257" xfId="0" applyFont="1" applyBorder="1" applyAlignment="1">
      <alignment vertical="center" wrapText="1"/>
    </xf>
    <xf numFmtId="181" fontId="79" fillId="34" borderId="176" xfId="0" applyNumberFormat="1" applyFont="1" applyFill="1" applyBorder="1" applyAlignment="1">
      <alignment horizontal="left" vertical="center" wrapText="1" indent="2"/>
    </xf>
    <xf numFmtId="181" fontId="79" fillId="34" borderId="182" xfId="0" applyNumberFormat="1" applyFont="1" applyFill="1" applyBorder="1" applyAlignment="1">
      <alignment horizontal="left" vertical="center" wrapText="1" indent="2"/>
    </xf>
    <xf numFmtId="0" fontId="60" fillId="28" borderId="0" xfId="0" applyFont="1" applyFill="1" applyAlignment="1">
      <alignment horizontal="center" vertical="center" wrapText="1"/>
    </xf>
    <xf numFmtId="0" fontId="60" fillId="28" borderId="170" xfId="0" applyFont="1" applyFill="1" applyBorder="1" applyAlignment="1">
      <alignment horizontal="center" vertical="center" wrapText="1"/>
    </xf>
    <xf numFmtId="181" fontId="79" fillId="34" borderId="200" xfId="0" applyNumberFormat="1" applyFont="1" applyFill="1" applyBorder="1" applyAlignment="1">
      <alignment horizontal="left" vertical="center" wrapText="1" indent="2"/>
    </xf>
    <xf numFmtId="181" fontId="79" fillId="34" borderId="0" xfId="0" applyNumberFormat="1" applyFont="1" applyFill="1" applyAlignment="1">
      <alignment horizontal="left" vertical="center" wrapText="1" indent="2"/>
    </xf>
    <xf numFmtId="0" fontId="60" fillId="28" borderId="116" xfId="0" applyFont="1" applyFill="1" applyBorder="1" applyAlignment="1">
      <alignment horizontal="center" vertical="center"/>
    </xf>
    <xf numFmtId="0" fontId="60" fillId="28" borderId="197" xfId="0" applyFont="1" applyFill="1" applyBorder="1" applyAlignment="1">
      <alignment horizontal="center" vertical="center"/>
    </xf>
    <xf numFmtId="0" fontId="60" fillId="28" borderId="109" xfId="0" applyFont="1" applyFill="1" applyBorder="1" applyAlignment="1">
      <alignment horizontal="center" vertical="center" wrapText="1"/>
    </xf>
    <xf numFmtId="0" fontId="60" fillId="28" borderId="191" xfId="0" applyFont="1" applyFill="1" applyBorder="1" applyAlignment="1">
      <alignment horizontal="center" vertical="center" wrapText="1"/>
    </xf>
    <xf numFmtId="167" fontId="73" fillId="36" borderId="390" xfId="0" applyNumberFormat="1" applyFont="1" applyFill="1" applyBorder="1" applyAlignment="1">
      <alignment horizontal="left" vertical="center" wrapText="1"/>
    </xf>
    <xf numFmtId="167" fontId="73" fillId="36" borderId="392" xfId="0" applyNumberFormat="1" applyFont="1" applyFill="1" applyBorder="1" applyAlignment="1">
      <alignment horizontal="left" vertical="center" wrapText="1"/>
    </xf>
    <xf numFmtId="0" fontId="80" fillId="35" borderId="413" xfId="0" applyFont="1" applyFill="1" applyBorder="1" applyAlignment="1">
      <alignment horizontal="center" vertical="center"/>
    </xf>
    <xf numFmtId="0" fontId="80" fillId="35" borderId="169" xfId="0" applyFont="1" applyFill="1" applyBorder="1" applyAlignment="1">
      <alignment horizontal="center" vertical="center"/>
    </xf>
    <xf numFmtId="0" fontId="80" fillId="35" borderId="414" xfId="0" applyFont="1" applyFill="1" applyBorder="1" applyAlignment="1">
      <alignment horizontal="center" vertical="center"/>
    </xf>
    <xf numFmtId="167" fontId="80" fillId="0" borderId="0" xfId="0" applyNumberFormat="1" applyFont="1" applyAlignment="1">
      <alignment horizontal="center" vertical="center"/>
    </xf>
    <xf numFmtId="167" fontId="80" fillId="0" borderId="169" xfId="0" applyNumberFormat="1" applyFont="1" applyBorder="1" applyAlignment="1">
      <alignment horizontal="center" vertical="center"/>
    </xf>
    <xf numFmtId="0" fontId="80" fillId="0" borderId="0" xfId="0" applyFont="1" applyAlignment="1">
      <alignment horizontal="center" vertical="center"/>
    </xf>
    <xf numFmtId="0" fontId="132" fillId="34" borderId="200" xfId="0" applyFont="1" applyFill="1" applyBorder="1" applyAlignment="1">
      <alignment horizontal="left" vertical="center" indent="1"/>
    </xf>
    <xf numFmtId="0" fontId="132" fillId="34" borderId="169" xfId="0" applyFont="1" applyFill="1" applyBorder="1" applyAlignment="1">
      <alignment horizontal="left" vertical="center" indent="1"/>
    </xf>
    <xf numFmtId="0" fontId="80" fillId="27" borderId="158" xfId="0" applyFont="1" applyFill="1" applyBorder="1" applyAlignment="1">
      <alignment horizontal="center" vertical="center"/>
    </xf>
    <xf numFmtId="0" fontId="80" fillId="27" borderId="221" xfId="0" applyFont="1" applyFill="1" applyBorder="1" applyAlignment="1">
      <alignment horizontal="center" vertical="center"/>
    </xf>
    <xf numFmtId="0" fontId="133" fillId="0" borderId="219" xfId="0" applyFont="1" applyBorder="1" applyAlignment="1">
      <alignment horizontal="left" vertical="center" wrapText="1"/>
    </xf>
    <xf numFmtId="0" fontId="133" fillId="0" borderId="357" xfId="0" applyFont="1" applyBorder="1" applyAlignment="1">
      <alignment horizontal="left" vertical="center" wrapText="1"/>
    </xf>
    <xf numFmtId="0" fontId="133" fillId="0" borderId="0" xfId="0" applyFont="1" applyAlignment="1">
      <alignment horizontal="left" vertical="center" wrapText="1"/>
    </xf>
    <xf numFmtId="0" fontId="133" fillId="0" borderId="358" xfId="0" applyFont="1" applyBorder="1" applyAlignment="1">
      <alignment horizontal="left" vertical="center" wrapText="1"/>
    </xf>
    <xf numFmtId="0" fontId="133" fillId="0" borderId="190" xfId="0" applyFont="1" applyBorder="1" applyAlignment="1">
      <alignment horizontal="left" vertical="center" wrapText="1"/>
    </xf>
    <xf numFmtId="0" fontId="133" fillId="0" borderId="359" xfId="0" applyFont="1" applyBorder="1" applyAlignment="1">
      <alignment horizontal="left" vertical="center" wrapText="1"/>
    </xf>
    <xf numFmtId="0" fontId="132" fillId="34" borderId="174" xfId="0" applyFont="1" applyFill="1" applyBorder="1" applyAlignment="1">
      <alignment horizontal="left" vertical="center" indent="1"/>
    </xf>
    <xf numFmtId="0" fontId="132" fillId="34" borderId="170" xfId="0" applyFont="1" applyFill="1" applyBorder="1" applyAlignment="1">
      <alignment horizontal="left" vertical="center" indent="1"/>
    </xf>
    <xf numFmtId="0" fontId="132" fillId="34" borderId="176" xfId="0" applyFont="1" applyFill="1" applyBorder="1" applyAlignment="1">
      <alignment horizontal="left" vertical="center" indent="1"/>
    </xf>
    <xf numFmtId="0" fontId="132" fillId="34" borderId="168" xfId="0" applyFont="1" applyFill="1" applyBorder="1" applyAlignment="1">
      <alignment horizontal="left" vertical="center" indent="1"/>
    </xf>
    <xf numFmtId="0" fontId="87" fillId="34" borderId="200" xfId="0" applyFont="1" applyFill="1" applyBorder="1" applyAlignment="1">
      <alignment horizontal="left" vertical="center" wrapText="1" indent="1"/>
    </xf>
    <xf numFmtId="0" fontId="87" fillId="34" borderId="169" xfId="0" applyFont="1" applyFill="1" applyBorder="1" applyAlignment="1">
      <alignment horizontal="left" vertical="center" wrapText="1" indent="1"/>
    </xf>
    <xf numFmtId="0" fontId="88" fillId="33" borderId="303" xfId="0" applyFont="1" applyFill="1" applyBorder="1" applyAlignment="1">
      <alignment horizontal="center" vertical="center"/>
    </xf>
    <xf numFmtId="0" fontId="88" fillId="33" borderId="197" xfId="0" applyFont="1" applyFill="1" applyBorder="1" applyAlignment="1">
      <alignment horizontal="center" vertical="center"/>
    </xf>
    <xf numFmtId="0" fontId="88" fillId="33" borderId="308" xfId="0" applyFont="1" applyFill="1" applyBorder="1" applyAlignment="1">
      <alignment horizontal="center" vertical="center"/>
    </xf>
    <xf numFmtId="0" fontId="88" fillId="33" borderId="412" xfId="0" applyFont="1" applyFill="1" applyBorder="1" applyAlignment="1">
      <alignment horizontal="center" vertical="center"/>
    </xf>
    <xf numFmtId="174" fontId="60" fillId="0" borderId="316" xfId="0" applyNumberFormat="1" applyFont="1" applyBorder="1" applyAlignment="1">
      <alignment horizontal="center" vertical="center"/>
    </xf>
    <xf numFmtId="174" fontId="60" fillId="0" borderId="293" xfId="0" applyNumberFormat="1" applyFont="1" applyBorder="1" applyAlignment="1">
      <alignment horizontal="center" vertical="center"/>
    </xf>
    <xf numFmtId="0" fontId="60" fillId="29" borderId="157" xfId="0" applyFont="1" applyFill="1" applyBorder="1" applyAlignment="1">
      <alignment horizontal="center" vertical="center" wrapText="1"/>
    </xf>
    <xf numFmtId="0" fontId="60" fillId="29" borderId="238" xfId="0" applyFont="1" applyFill="1" applyBorder="1" applyAlignment="1">
      <alignment horizontal="center" vertical="center" wrapText="1"/>
    </xf>
    <xf numFmtId="174" fontId="60" fillId="0" borderId="315" xfId="0" applyNumberFormat="1" applyFont="1" applyBorder="1" applyAlignment="1">
      <alignment horizontal="center" vertical="center"/>
    </xf>
    <xf numFmtId="174" fontId="60" fillId="0" borderId="290" xfId="0" applyNumberFormat="1" applyFont="1" applyBorder="1" applyAlignment="1">
      <alignment horizontal="center" vertical="center"/>
    </xf>
    <xf numFmtId="0" fontId="81" fillId="0" borderId="387" xfId="0" applyFont="1" applyBorder="1" applyAlignment="1">
      <alignment horizontal="left" vertical="center"/>
    </xf>
    <xf numFmtId="0" fontId="81" fillId="0" borderId="388" xfId="0" applyFont="1" applyBorder="1" applyAlignment="1">
      <alignment horizontal="left" vertical="center"/>
    </xf>
    <xf numFmtId="0" fontId="81" fillId="0" borderId="389" xfId="0" applyFont="1" applyBorder="1" applyAlignment="1">
      <alignment horizontal="left" vertical="center"/>
    </xf>
    <xf numFmtId="0" fontId="60" fillId="33" borderId="304" xfId="0" applyFont="1" applyFill="1" applyBorder="1" applyAlignment="1">
      <alignment horizontal="center" vertical="center"/>
    </xf>
    <xf numFmtId="0" fontId="60" fillId="33" borderId="305" xfId="0" applyFont="1" applyFill="1" applyBorder="1" applyAlignment="1">
      <alignment horizontal="center" vertical="center"/>
    </xf>
    <xf numFmtId="0" fontId="60" fillId="33" borderId="74" xfId="0" applyFont="1" applyFill="1" applyBorder="1" applyAlignment="1">
      <alignment horizontal="center" vertical="center" wrapText="1"/>
    </xf>
    <xf numFmtId="0" fontId="60" fillId="33" borderId="177" xfId="0" applyFont="1" applyFill="1" applyBorder="1" applyAlignment="1">
      <alignment horizontal="center" vertical="center" wrapText="1"/>
    </xf>
    <xf numFmtId="0" fontId="60" fillId="33" borderId="66" xfId="0" applyFont="1" applyFill="1" applyBorder="1" applyAlignment="1">
      <alignment horizontal="center" vertical="center" wrapText="1"/>
    </xf>
    <xf numFmtId="0" fontId="60" fillId="33" borderId="116" xfId="0" applyFont="1" applyFill="1" applyBorder="1" applyAlignment="1">
      <alignment horizontal="center" vertical="center" wrapText="1"/>
    </xf>
    <xf numFmtId="181" fontId="79" fillId="34" borderId="162" xfId="0" applyNumberFormat="1" applyFont="1" applyFill="1" applyBorder="1" applyAlignment="1">
      <alignment horizontal="left" vertical="center" wrapText="1" indent="2"/>
    </xf>
    <xf numFmtId="0" fontId="75" fillId="26" borderId="175" xfId="0" applyFont="1" applyFill="1" applyBorder="1" applyAlignment="1">
      <alignment horizontal="center" vertical="center" wrapText="1"/>
    </xf>
    <xf numFmtId="0" fontId="75" fillId="26" borderId="178" xfId="0" applyFont="1" applyFill="1" applyBorder="1" applyAlignment="1">
      <alignment horizontal="center" vertical="center" wrapText="1"/>
    </xf>
    <xf numFmtId="0" fontId="75" fillId="26" borderId="318" xfId="0" applyFont="1" applyFill="1" applyBorder="1" applyAlignment="1">
      <alignment horizontal="center" vertical="center" wrapText="1"/>
    </xf>
    <xf numFmtId="0" fontId="79" fillId="34" borderId="162" xfId="0" applyFont="1" applyFill="1" applyBorder="1" applyAlignment="1">
      <alignment horizontal="left" vertical="center" indent="2"/>
    </xf>
    <xf numFmtId="0" fontId="79" fillId="34" borderId="0" xfId="0" applyFont="1" applyFill="1" applyAlignment="1">
      <alignment horizontal="left" vertical="center" indent="2"/>
    </xf>
    <xf numFmtId="0" fontId="81" fillId="0" borderId="390" xfId="0" applyFont="1" applyBorder="1" applyAlignment="1">
      <alignment horizontal="left" vertical="center"/>
    </xf>
    <xf numFmtId="0" fontId="81" fillId="0" borderId="391" xfId="0" applyFont="1" applyBorder="1" applyAlignment="1">
      <alignment horizontal="left" vertical="center"/>
    </xf>
    <xf numFmtId="0" fontId="81" fillId="0" borderId="392" xfId="0" applyFont="1" applyBorder="1" applyAlignment="1">
      <alignment horizontal="left" vertical="center"/>
    </xf>
    <xf numFmtId="0" fontId="88" fillId="33" borderId="307" xfId="0" applyFont="1" applyFill="1" applyBorder="1" applyAlignment="1">
      <alignment horizontal="center" vertical="center"/>
    </xf>
    <xf numFmtId="0" fontId="88" fillId="33" borderId="302" xfId="0" applyFont="1" applyFill="1" applyBorder="1" applyAlignment="1">
      <alignment horizontal="center" vertical="center"/>
    </xf>
    <xf numFmtId="0" fontId="88" fillId="33" borderId="111" xfId="0" applyFont="1" applyFill="1" applyBorder="1" applyAlignment="1">
      <alignment horizontal="center" vertical="center"/>
    </xf>
    <xf numFmtId="0" fontId="88" fillId="33" borderId="103" xfId="0" applyFont="1" applyFill="1" applyBorder="1" applyAlignment="1">
      <alignment horizontal="center" vertical="center"/>
    </xf>
    <xf numFmtId="181" fontId="60" fillId="28" borderId="110" xfId="0" applyNumberFormat="1" applyFont="1" applyFill="1" applyBorder="1" applyAlignment="1">
      <alignment horizontal="center" vertical="center"/>
    </xf>
    <xf numFmtId="181" fontId="60" fillId="28" borderId="192" xfId="0" applyNumberFormat="1" applyFont="1" applyFill="1" applyBorder="1" applyAlignment="1">
      <alignment horizontal="center" vertical="center"/>
    </xf>
    <xf numFmtId="167" fontId="80" fillId="0" borderId="0" xfId="1" applyNumberFormat="1" applyFont="1" applyFill="1" applyBorder="1" applyAlignment="1" applyProtection="1">
      <alignment horizontal="center" vertical="center"/>
    </xf>
    <xf numFmtId="167" fontId="80" fillId="0" borderId="161" xfId="1" applyNumberFormat="1" applyFont="1" applyFill="1" applyBorder="1" applyAlignment="1" applyProtection="1">
      <alignment horizontal="center" vertical="center"/>
    </xf>
    <xf numFmtId="0" fontId="60" fillId="2" borderId="290" xfId="0" applyFont="1" applyFill="1" applyBorder="1" applyAlignment="1">
      <alignment horizontal="center" vertical="center"/>
    </xf>
    <xf numFmtId="0" fontId="60" fillId="2" borderId="291" xfId="0" applyFont="1" applyFill="1" applyBorder="1" applyAlignment="1">
      <alignment horizontal="center" vertical="center"/>
    </xf>
    <xf numFmtId="0" fontId="60" fillId="2" borderId="315" xfId="0" applyFont="1" applyFill="1" applyBorder="1" applyAlignment="1">
      <alignment horizontal="center" vertical="center"/>
    </xf>
    <xf numFmtId="0" fontId="60" fillId="2" borderId="296" xfId="0" applyFont="1" applyFill="1" applyBorder="1" applyAlignment="1">
      <alignment horizontal="center" vertical="center"/>
    </xf>
    <xf numFmtId="0" fontId="60" fillId="2" borderId="297" xfId="0" applyFont="1" applyFill="1" applyBorder="1" applyAlignment="1">
      <alignment horizontal="center" vertical="center"/>
    </xf>
    <xf numFmtId="0" fontId="60" fillId="27" borderId="175" xfId="0" applyFont="1" applyFill="1" applyBorder="1" applyAlignment="1">
      <alignment horizontal="center" vertical="center"/>
    </xf>
    <xf numFmtId="0" fontId="60" fillId="27" borderId="178" xfId="0" applyFont="1" applyFill="1" applyBorder="1" applyAlignment="1">
      <alignment horizontal="center" vertical="center"/>
    </xf>
    <xf numFmtId="167" fontId="61" fillId="27" borderId="258" xfId="1" applyNumberFormat="1" applyFont="1" applyFill="1" applyBorder="1" applyAlignment="1" applyProtection="1">
      <alignment horizontal="center"/>
    </xf>
    <xf numFmtId="167" fontId="61" fillId="27" borderId="178" xfId="1" applyNumberFormat="1" applyFont="1" applyFill="1" applyBorder="1" applyAlignment="1" applyProtection="1">
      <alignment horizontal="center"/>
    </xf>
    <xf numFmtId="167" fontId="61" fillId="27" borderId="318" xfId="1" applyNumberFormat="1" applyFont="1" applyFill="1" applyBorder="1" applyAlignment="1" applyProtection="1">
      <alignment horizontal="center"/>
    </xf>
    <xf numFmtId="0" fontId="60" fillId="28" borderId="328" xfId="0" applyFont="1" applyFill="1" applyBorder="1" applyAlignment="1">
      <alignment horizontal="center" vertical="center" wrapText="1"/>
    </xf>
    <xf numFmtId="0" fontId="60" fillId="28" borderId="173" xfId="0" applyFont="1" applyFill="1" applyBorder="1" applyAlignment="1">
      <alignment horizontal="center" vertical="center" wrapText="1"/>
    </xf>
    <xf numFmtId="167" fontId="80" fillId="11" borderId="290" xfId="1" applyNumberFormat="1" applyFont="1" applyFill="1" applyBorder="1" applyAlignment="1" applyProtection="1">
      <alignment horizontal="center"/>
    </xf>
    <xf numFmtId="167" fontId="80" fillId="11" borderId="291" xfId="1" applyNumberFormat="1" applyFont="1" applyFill="1" applyBorder="1" applyAlignment="1" applyProtection="1">
      <alignment horizontal="center"/>
    </xf>
    <xf numFmtId="0" fontId="60" fillId="28" borderId="116" xfId="0" applyFont="1" applyFill="1" applyBorder="1" applyAlignment="1">
      <alignment horizontal="center" vertical="center" wrapText="1"/>
    </xf>
    <xf numFmtId="0" fontId="60" fillId="28" borderId="197" xfId="0" applyFont="1" applyFill="1" applyBorder="1" applyAlignment="1">
      <alignment horizontal="center" vertical="center" wrapText="1"/>
    </xf>
    <xf numFmtId="37" fontId="80" fillId="0" borderId="210" xfId="1" applyNumberFormat="1" applyFont="1" applyFill="1" applyBorder="1" applyAlignment="1" applyProtection="1">
      <alignment horizontal="center" vertical="center"/>
    </xf>
    <xf numFmtId="37" fontId="80" fillId="0" borderId="227" xfId="1" applyNumberFormat="1" applyFont="1" applyFill="1" applyBorder="1" applyAlignment="1" applyProtection="1">
      <alignment horizontal="center" vertical="center"/>
    </xf>
    <xf numFmtId="38" fontId="30" fillId="0" borderId="452" xfId="0" applyNumberFormat="1" applyFont="1" applyBorder="1" applyAlignment="1" applyProtection="1">
      <alignment horizontal="center" vertical="center"/>
      <protection locked="0"/>
    </xf>
    <xf numFmtId="38" fontId="30" fillId="0" borderId="453" xfId="0" applyNumberFormat="1" applyFont="1" applyBorder="1" applyAlignment="1" applyProtection="1">
      <alignment horizontal="center" vertical="center"/>
      <protection locked="0"/>
    </xf>
    <xf numFmtId="0" fontId="60" fillId="29" borderId="251" xfId="0" applyFont="1" applyFill="1" applyBorder="1" applyAlignment="1">
      <alignment horizontal="center" vertical="center" wrapText="1"/>
    </xf>
    <xf numFmtId="0" fontId="60" fillId="29" borderId="248" xfId="0" applyFont="1" applyFill="1" applyBorder="1" applyAlignment="1">
      <alignment horizontal="center" vertical="center" wrapText="1"/>
    </xf>
    <xf numFmtId="0" fontId="60" fillId="29" borderId="226" xfId="0" applyFont="1" applyFill="1" applyBorder="1" applyAlignment="1">
      <alignment horizontal="center" vertical="center" wrapText="1"/>
    </xf>
    <xf numFmtId="0" fontId="60" fillId="29" borderId="213" xfId="0" applyFont="1" applyFill="1" applyBorder="1" applyAlignment="1">
      <alignment horizontal="center" vertical="center" wrapText="1"/>
    </xf>
    <xf numFmtId="0" fontId="60" fillId="29" borderId="228" xfId="0" applyFont="1" applyFill="1" applyBorder="1" applyAlignment="1">
      <alignment horizontal="center" vertical="center" wrapText="1"/>
    </xf>
    <xf numFmtId="0" fontId="60" fillId="29" borderId="212" xfId="0" applyFont="1" applyFill="1" applyBorder="1" applyAlignment="1">
      <alignment horizontal="center" vertical="center" wrapText="1"/>
    </xf>
    <xf numFmtId="0" fontId="60" fillId="2" borderId="222" xfId="0" applyFont="1" applyFill="1" applyBorder="1" applyAlignment="1">
      <alignment horizontal="center" vertical="center" wrapText="1"/>
    </xf>
    <xf numFmtId="0" fontId="60" fillId="2" borderId="464" xfId="0" applyFont="1" applyFill="1" applyBorder="1" applyAlignment="1">
      <alignment horizontal="center" vertical="center" wrapText="1"/>
    </xf>
    <xf numFmtId="0" fontId="72" fillId="14" borderId="152" xfId="0" applyFont="1" applyFill="1" applyBorder="1" applyAlignment="1">
      <alignment horizontal="center" vertical="center" wrapText="1"/>
    </xf>
    <xf numFmtId="0" fontId="72" fillId="14" borderId="157" xfId="0" applyFont="1" applyFill="1" applyBorder="1" applyAlignment="1">
      <alignment horizontal="center" vertical="center" wrapText="1"/>
    </xf>
    <xf numFmtId="0" fontId="89" fillId="2" borderId="465" xfId="0" applyFont="1" applyFill="1" applyBorder="1" applyAlignment="1">
      <alignment horizontal="center" vertical="center" wrapText="1"/>
    </xf>
    <xf numFmtId="0" fontId="89" fillId="2" borderId="223" xfId="0" applyFont="1" applyFill="1" applyBorder="1" applyAlignment="1">
      <alignment horizontal="center" vertical="center" wrapText="1"/>
    </xf>
    <xf numFmtId="0" fontId="60" fillId="2" borderId="466" xfId="0" applyFont="1" applyFill="1" applyBorder="1" applyAlignment="1">
      <alignment horizontal="center" vertical="center" wrapText="1"/>
    </xf>
    <xf numFmtId="0" fontId="60" fillId="2" borderId="243" xfId="0" applyFont="1" applyFill="1" applyBorder="1" applyAlignment="1">
      <alignment horizontal="center" vertical="center" wrapText="1"/>
    </xf>
    <xf numFmtId="0" fontId="60" fillId="2" borderId="241" xfId="0" applyFont="1" applyFill="1" applyBorder="1" applyAlignment="1">
      <alignment horizontal="center" vertical="center" wrapText="1"/>
    </xf>
    <xf numFmtId="0" fontId="60" fillId="2" borderId="467" xfId="0" applyFont="1" applyFill="1" applyBorder="1" applyAlignment="1">
      <alignment horizontal="center" vertical="center" wrapText="1"/>
    </xf>
    <xf numFmtId="0" fontId="60" fillId="29" borderId="247" xfId="0" applyFont="1" applyFill="1" applyBorder="1" applyAlignment="1">
      <alignment horizontal="center" vertical="center" wrapText="1"/>
    </xf>
    <xf numFmtId="37" fontId="80" fillId="0" borderId="211" xfId="1" applyNumberFormat="1" applyFont="1" applyFill="1" applyBorder="1" applyAlignment="1" applyProtection="1">
      <alignment horizontal="center" vertical="center"/>
    </xf>
    <xf numFmtId="38" fontId="80" fillId="0" borderId="249" xfId="0" applyNumberFormat="1" applyFont="1" applyBorder="1" applyAlignment="1">
      <alignment horizontal="center" vertical="center"/>
    </xf>
    <xf numFmtId="38" fontId="80" fillId="0" borderId="250" xfId="0" applyNumberFormat="1" applyFont="1" applyBorder="1" applyAlignment="1">
      <alignment horizontal="center" vertical="center"/>
    </xf>
    <xf numFmtId="0" fontId="60" fillId="29" borderId="208" xfId="0" applyFont="1" applyFill="1" applyBorder="1" applyAlignment="1">
      <alignment horizontal="center" vertical="center" wrapText="1"/>
    </xf>
    <xf numFmtId="0" fontId="60" fillId="29" borderId="150" xfId="0" applyFont="1" applyFill="1" applyBorder="1" applyAlignment="1">
      <alignment horizontal="center" vertical="center" wrapText="1"/>
    </xf>
    <xf numFmtId="0" fontId="82" fillId="16" borderId="353" xfId="0" applyFont="1" applyFill="1" applyBorder="1" applyAlignment="1" applyProtection="1">
      <alignment horizontal="left" vertical="center"/>
      <protection locked="0"/>
    </xf>
    <xf numFmtId="0" fontId="80" fillId="27" borderId="75" xfId="0" applyFont="1" applyFill="1" applyBorder="1" applyAlignment="1">
      <alignment horizontal="center" vertical="center"/>
    </xf>
    <xf numFmtId="0" fontId="80" fillId="27" borderId="299" xfId="0" applyFont="1" applyFill="1" applyBorder="1" applyAlignment="1">
      <alignment horizontal="center" vertical="center"/>
    </xf>
    <xf numFmtId="0" fontId="88" fillId="33" borderId="191" xfId="0" applyFont="1" applyFill="1" applyBorder="1" applyAlignment="1">
      <alignment horizontal="center" vertical="center"/>
    </xf>
    <xf numFmtId="0" fontId="88" fillId="33" borderId="192" xfId="0" applyFont="1" applyFill="1" applyBorder="1" applyAlignment="1">
      <alignment horizontal="center" vertical="center"/>
    </xf>
    <xf numFmtId="0" fontId="88" fillId="33" borderId="306" xfId="0" applyFont="1" applyFill="1" applyBorder="1" applyAlignment="1">
      <alignment horizontal="center" vertical="center"/>
    </xf>
    <xf numFmtId="0" fontId="88" fillId="33" borderId="309" xfId="0" applyFont="1" applyFill="1" applyBorder="1" applyAlignment="1">
      <alignment horizontal="center" vertical="center"/>
    </xf>
    <xf numFmtId="0" fontId="60" fillId="28" borderId="205" xfId="0" applyFont="1" applyFill="1" applyBorder="1" applyAlignment="1">
      <alignment horizontal="center" vertical="center"/>
    </xf>
    <xf numFmtId="0" fontId="60" fillId="28" borderId="193" xfId="0" applyFont="1" applyFill="1" applyBorder="1" applyAlignment="1">
      <alignment horizontal="center" vertical="center"/>
    </xf>
    <xf numFmtId="0" fontId="75" fillId="26" borderId="151" xfId="0" applyFont="1" applyFill="1" applyBorder="1" applyAlignment="1">
      <alignment horizontal="center" vertical="center"/>
    </xf>
    <xf numFmtId="0" fontId="75" fillId="26" borderId="158" xfId="0" applyFont="1" applyFill="1" applyBorder="1" applyAlignment="1">
      <alignment horizontal="center" vertical="center"/>
    </xf>
    <xf numFmtId="0" fontId="80" fillId="0" borderId="430" xfId="0" applyFont="1" applyBorder="1" applyAlignment="1">
      <alignment horizontal="center" vertical="center" wrapText="1"/>
    </xf>
    <xf numFmtId="0" fontId="80" fillId="0" borderId="431" xfId="0" applyFont="1" applyBorder="1" applyAlignment="1">
      <alignment horizontal="center" vertical="center" wrapText="1"/>
    </xf>
    <xf numFmtId="0" fontId="60" fillId="28" borderId="206" xfId="0" applyFont="1" applyFill="1" applyBorder="1" applyAlignment="1">
      <alignment horizontal="center" vertical="center" wrapText="1"/>
    </xf>
    <xf numFmtId="0" fontId="60" fillId="28" borderId="196" xfId="0" applyFont="1" applyFill="1" applyBorder="1" applyAlignment="1">
      <alignment horizontal="center" vertical="center" wrapText="1"/>
    </xf>
    <xf numFmtId="0" fontId="60" fillId="28" borderId="183" xfId="0" applyFont="1" applyFill="1" applyBorder="1" applyAlignment="1">
      <alignment horizontal="center" vertical="center" wrapText="1"/>
    </xf>
    <xf numFmtId="0" fontId="60" fillId="28" borderId="195" xfId="0" applyFont="1" applyFill="1" applyBorder="1" applyAlignment="1">
      <alignment horizontal="center" vertical="center" wrapText="1"/>
    </xf>
    <xf numFmtId="0" fontId="60" fillId="33" borderId="302" xfId="0" applyFont="1" applyFill="1" applyBorder="1" applyAlignment="1">
      <alignment horizontal="center" vertical="center"/>
    </xf>
    <xf numFmtId="0" fontId="60" fillId="33" borderId="110" xfId="0" applyFont="1" applyFill="1" applyBorder="1" applyAlignment="1">
      <alignment horizontal="center" vertical="center"/>
    </xf>
    <xf numFmtId="0" fontId="60" fillId="33" borderId="300" xfId="0" applyFont="1" applyFill="1" applyBorder="1" applyAlignment="1">
      <alignment horizontal="center" vertical="center"/>
    </xf>
    <xf numFmtId="0" fontId="60" fillId="33" borderId="301" xfId="0" applyFont="1" applyFill="1" applyBorder="1" applyAlignment="1">
      <alignment horizontal="center" vertical="center"/>
    </xf>
    <xf numFmtId="0" fontId="60" fillId="33" borderId="287" xfId="0" applyFont="1" applyFill="1" applyBorder="1" applyAlignment="1">
      <alignment horizontal="center" vertical="center"/>
    </xf>
    <xf numFmtId="0" fontId="60" fillId="33" borderId="65" xfId="0" applyFont="1" applyFill="1" applyBorder="1" applyAlignment="1">
      <alignment horizontal="center" vertical="center"/>
    </xf>
    <xf numFmtId="0" fontId="60" fillId="33" borderId="303" xfId="0" applyFont="1" applyFill="1" applyBorder="1" applyAlignment="1">
      <alignment horizontal="center" vertical="center" wrapText="1"/>
    </xf>
    <xf numFmtId="0" fontId="60" fillId="33" borderId="303" xfId="0" applyFont="1" applyFill="1" applyBorder="1" applyAlignment="1">
      <alignment horizontal="center" vertical="center"/>
    </xf>
    <xf numFmtId="0" fontId="60" fillId="33" borderId="116" xfId="0" applyFont="1" applyFill="1" applyBorder="1" applyAlignment="1">
      <alignment horizontal="center" vertical="center"/>
    </xf>
    <xf numFmtId="0" fontId="60" fillId="29" borderId="152" xfId="0" applyFont="1" applyFill="1" applyBorder="1" applyAlignment="1">
      <alignment horizontal="center" vertical="center" wrapText="1"/>
    </xf>
    <xf numFmtId="0" fontId="60" fillId="29" borderId="255" xfId="0" applyFont="1" applyFill="1" applyBorder="1" applyAlignment="1">
      <alignment horizontal="center" vertical="center" wrapText="1"/>
    </xf>
    <xf numFmtId="0" fontId="72" fillId="14" borderId="437" xfId="0" applyFont="1" applyFill="1" applyBorder="1" applyAlignment="1">
      <alignment horizontal="center" vertical="center" wrapText="1"/>
    </xf>
    <xf numFmtId="0" fontId="72" fillId="14" borderId="438" xfId="0" applyFont="1" applyFill="1" applyBorder="1" applyAlignment="1">
      <alignment horizontal="center" vertical="center" wrapText="1"/>
    </xf>
    <xf numFmtId="0" fontId="60" fillId="28" borderId="183" xfId="0" applyFont="1" applyFill="1" applyBorder="1" applyAlignment="1">
      <alignment horizontal="center" vertical="center"/>
    </xf>
    <xf numFmtId="0" fontId="60" fillId="28" borderId="195" xfId="0" applyFont="1" applyFill="1" applyBorder="1" applyAlignment="1">
      <alignment horizontal="center" vertical="center"/>
    </xf>
    <xf numFmtId="0" fontId="72" fillId="14" borderId="139" xfId="0" applyFont="1" applyFill="1" applyBorder="1" applyAlignment="1">
      <alignment horizontal="center" vertical="center" wrapText="1"/>
    </xf>
    <xf numFmtId="0" fontId="72" fillId="14" borderId="72" xfId="0" applyFont="1" applyFill="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4" xfId="0" applyFont="1" applyBorder="1" applyAlignment="1">
      <alignment horizontal="center" vertical="center" wrapText="1"/>
    </xf>
    <xf numFmtId="0" fontId="72" fillId="14" borderId="166" xfId="0" applyFont="1" applyFill="1" applyBorder="1" applyAlignment="1">
      <alignment horizontal="center" vertical="center" wrapText="1"/>
    </xf>
    <xf numFmtId="0" fontId="72" fillId="14" borderId="148" xfId="0" applyFont="1" applyFill="1" applyBorder="1" applyAlignment="1">
      <alignment horizontal="center" vertical="center" wrapText="1"/>
    </xf>
    <xf numFmtId="0" fontId="75" fillId="37" borderId="0" xfId="0" applyFont="1" applyFill="1" applyAlignment="1">
      <alignment horizontal="center" vertical="center" wrapText="1"/>
    </xf>
    <xf numFmtId="0" fontId="60" fillId="27" borderId="358" xfId="0" applyFont="1" applyFill="1" applyBorder="1" applyAlignment="1">
      <alignment horizontal="center" vertical="center" wrapText="1"/>
    </xf>
    <xf numFmtId="0" fontId="60" fillId="27" borderId="359" xfId="0" applyFont="1" applyFill="1" applyBorder="1" applyAlignment="1">
      <alignment horizontal="center" vertical="center" wrapText="1"/>
    </xf>
    <xf numFmtId="0" fontId="74" fillId="0" borderId="290" xfId="0" applyFont="1" applyBorder="1" applyAlignment="1">
      <alignment horizontal="left" vertical="center" wrapText="1" indent="1"/>
    </xf>
    <xf numFmtId="0" fontId="74" fillId="0" borderId="293" xfId="0" applyFont="1" applyBorder="1" applyAlignment="1">
      <alignment horizontal="left" vertical="center" wrapText="1" indent="1"/>
    </xf>
    <xf numFmtId="0" fontId="74" fillId="0" borderId="296" xfId="0" applyFont="1" applyBorder="1" applyAlignment="1">
      <alignment horizontal="left" vertical="center" wrapText="1" indent="1"/>
    </xf>
    <xf numFmtId="0" fontId="74" fillId="0" borderId="293" xfId="0" applyFont="1" applyBorder="1" applyAlignment="1">
      <alignment horizontal="center" vertical="center"/>
    </xf>
    <xf numFmtId="0" fontId="74" fillId="0" borderId="296" xfId="0" applyFont="1" applyBorder="1" applyAlignment="1">
      <alignment horizontal="center" vertical="center"/>
    </xf>
    <xf numFmtId="3" fontId="74" fillId="0" borderId="293" xfId="0" applyNumberFormat="1" applyFont="1" applyBorder="1" applyAlignment="1">
      <alignment horizontal="center" vertical="center"/>
    </xf>
    <xf numFmtId="3" fontId="74" fillId="0" borderId="296" xfId="0" applyNumberFormat="1" applyFont="1" applyBorder="1" applyAlignment="1">
      <alignment horizontal="center" vertical="center"/>
    </xf>
    <xf numFmtId="3" fontId="74" fillId="0" borderId="290" xfId="0" applyNumberFormat="1" applyFont="1" applyBorder="1" applyAlignment="1">
      <alignment horizontal="center" vertical="center"/>
    </xf>
    <xf numFmtId="0" fontId="74" fillId="0" borderId="290" xfId="0" applyFont="1" applyBorder="1" applyAlignment="1">
      <alignment horizontal="center" vertical="center"/>
    </xf>
    <xf numFmtId="15" fontId="74" fillId="0" borderId="290" xfId="0" applyNumberFormat="1" applyFont="1" applyBorder="1" applyAlignment="1">
      <alignment horizontal="center" vertical="center"/>
    </xf>
    <xf numFmtId="15" fontId="74" fillId="0" borderId="293" xfId="0" applyNumberFormat="1" applyFont="1" applyBorder="1" applyAlignment="1">
      <alignment horizontal="center" vertical="center"/>
    </xf>
    <xf numFmtId="0" fontId="74" fillId="0" borderId="442" xfId="0" applyFont="1" applyBorder="1" applyAlignment="1">
      <alignment horizontal="center" vertical="center"/>
    </xf>
    <xf numFmtId="0" fontId="74" fillId="0" borderId="367" xfId="0" applyFont="1" applyBorder="1" applyAlignment="1">
      <alignment horizontal="center" vertical="center"/>
    </xf>
    <xf numFmtId="15" fontId="74" fillId="0" borderId="296" xfId="0" applyNumberFormat="1" applyFont="1" applyBorder="1" applyAlignment="1">
      <alignment horizontal="center" vertical="center"/>
    </xf>
    <xf numFmtId="0" fontId="74" fillId="0" borderId="316" xfId="0" applyFont="1" applyBorder="1" applyAlignment="1">
      <alignment horizontal="center" vertical="center"/>
    </xf>
    <xf numFmtId="0" fontId="75" fillId="37" borderId="176" xfId="0" applyFont="1" applyFill="1" applyBorder="1" applyAlignment="1">
      <alignment horizontal="center" vertical="center"/>
    </xf>
    <xf numFmtId="0" fontId="75" fillId="37" borderId="182" xfId="0" applyFont="1" applyFill="1" applyBorder="1" applyAlignment="1">
      <alignment horizontal="center" vertical="center"/>
    </xf>
    <xf numFmtId="0" fontId="75" fillId="37" borderId="364" xfId="0" applyFont="1" applyFill="1" applyBorder="1" applyAlignment="1">
      <alignment horizontal="center" vertical="center"/>
    </xf>
    <xf numFmtId="0" fontId="75" fillId="37" borderId="174" xfId="0" applyFont="1" applyFill="1" applyBorder="1" applyAlignment="1">
      <alignment horizontal="center" vertical="center"/>
    </xf>
    <xf numFmtId="0" fontId="75" fillId="37" borderId="190" xfId="0" applyFont="1" applyFill="1" applyBorder="1" applyAlignment="1">
      <alignment horizontal="center" vertical="center"/>
    </xf>
    <xf numFmtId="0" fontId="75" fillId="37" borderId="359" xfId="0" applyFont="1" applyFill="1" applyBorder="1" applyAlignment="1">
      <alignment horizontal="center" vertical="center"/>
    </xf>
    <xf numFmtId="0" fontId="60" fillId="27" borderId="200" xfId="0" applyFont="1" applyFill="1" applyBorder="1" applyAlignment="1">
      <alignment horizontal="center" vertical="center" wrapText="1"/>
    </xf>
    <xf numFmtId="0" fontId="60" fillId="27" borderId="174" xfId="0" applyFont="1" applyFill="1" applyBorder="1" applyAlignment="1">
      <alignment horizontal="center" vertical="center" wrapText="1"/>
    </xf>
    <xf numFmtId="0" fontId="74" fillId="0" borderId="315" xfId="0" applyFont="1" applyBorder="1" applyAlignment="1">
      <alignment horizontal="center" vertical="center"/>
    </xf>
    <xf numFmtId="0" fontId="74" fillId="0" borderId="443" xfId="0" applyFont="1" applyBorder="1" applyAlignment="1">
      <alignment horizontal="center" vertical="center"/>
    </xf>
    <xf numFmtId="0" fontId="60" fillId="27" borderId="0" xfId="0" applyFont="1" applyFill="1" applyAlignment="1">
      <alignment horizontal="center" vertical="center" wrapText="1"/>
    </xf>
    <xf numFmtId="0" fontId="60" fillId="27" borderId="190" xfId="0" applyFont="1" applyFill="1" applyBorder="1" applyAlignment="1">
      <alignment horizontal="center" vertical="center" wrapText="1"/>
    </xf>
    <xf numFmtId="0" fontId="72" fillId="26" borderId="445" xfId="0" applyFont="1" applyFill="1" applyBorder="1" applyAlignment="1">
      <alignment horizontal="center" vertical="center"/>
    </xf>
    <xf numFmtId="0" fontId="72" fillId="26" borderId="446" xfId="0" applyFont="1" applyFill="1" applyBorder="1" applyAlignment="1">
      <alignment horizontal="center" vertical="center"/>
    </xf>
    <xf numFmtId="0" fontId="60" fillId="27" borderId="340" xfId="0" quotePrefix="1" applyFont="1" applyFill="1" applyBorder="1" applyAlignment="1">
      <alignment horizontal="center" vertical="center" wrapText="1"/>
    </xf>
    <xf numFmtId="0" fontId="80" fillId="36" borderId="315" xfId="0" applyFont="1" applyFill="1" applyBorder="1" applyAlignment="1">
      <alignment horizontal="center" vertical="center"/>
    </xf>
    <xf numFmtId="0" fontId="80" fillId="36" borderId="290" xfId="0" applyFont="1" applyFill="1" applyBorder="1" applyAlignment="1">
      <alignment horizontal="center" vertical="center"/>
    </xf>
    <xf numFmtId="0" fontId="80" fillId="36" borderId="291" xfId="0" applyFont="1" applyFill="1" applyBorder="1" applyAlignment="1">
      <alignment horizontal="center" vertical="center"/>
    </xf>
    <xf numFmtId="0" fontId="60" fillId="36" borderId="316" xfId="0" applyFont="1" applyFill="1" applyBorder="1" applyAlignment="1">
      <alignment horizontal="center" vertical="center" wrapText="1"/>
    </xf>
    <xf numFmtId="0" fontId="60" fillId="36" borderId="293" xfId="0" applyFont="1" applyFill="1" applyBorder="1" applyAlignment="1">
      <alignment horizontal="center" vertical="center" wrapText="1"/>
    </xf>
    <xf numFmtId="0" fontId="74" fillId="0" borderId="317" xfId="0" applyFont="1" applyBorder="1" applyAlignment="1">
      <alignment horizontal="center" vertical="center"/>
    </xf>
    <xf numFmtId="167" fontId="74" fillId="0" borderId="293" xfId="0" applyNumberFormat="1" applyFont="1" applyBorder="1" applyAlignment="1">
      <alignment horizontal="center" vertical="center"/>
    </xf>
    <xf numFmtId="167" fontId="74" fillId="0" borderId="296" xfId="0" applyNumberFormat="1" applyFont="1" applyBorder="1" applyAlignment="1">
      <alignment horizontal="center" vertical="center"/>
    </xf>
    <xf numFmtId="0" fontId="60" fillId="36" borderId="294" xfId="0" applyFont="1" applyFill="1" applyBorder="1" applyAlignment="1">
      <alignment horizontal="center" vertical="center" wrapText="1"/>
    </xf>
    <xf numFmtId="0" fontId="75" fillId="37" borderId="393" xfId="0" applyFont="1" applyFill="1" applyBorder="1" applyAlignment="1">
      <alignment horizontal="center" vertical="center"/>
    </xf>
    <xf numFmtId="0" fontId="75" fillId="37" borderId="394" xfId="0" applyFont="1" applyFill="1" applyBorder="1" applyAlignment="1">
      <alignment horizontal="center" vertical="center"/>
    </xf>
    <xf numFmtId="0" fontId="80" fillId="27" borderId="395" xfId="0" applyFont="1" applyFill="1" applyBorder="1" applyAlignment="1">
      <alignment horizontal="center" vertical="center"/>
    </xf>
    <xf numFmtId="0" fontId="80" fillId="27" borderId="396" xfId="0" applyFont="1" applyFill="1" applyBorder="1" applyAlignment="1">
      <alignment horizontal="center" vertical="center"/>
    </xf>
    <xf numFmtId="0" fontId="80" fillId="36" borderId="293" xfId="0" applyFont="1" applyFill="1" applyBorder="1" applyAlignment="1">
      <alignment horizontal="center" vertical="center"/>
    </xf>
    <xf numFmtId="0" fontId="80" fillId="36" borderId="294" xfId="0" applyFont="1" applyFill="1" applyBorder="1" applyAlignment="1">
      <alignment horizontal="center" vertical="center"/>
    </xf>
    <xf numFmtId="0" fontId="60" fillId="28" borderId="329" xfId="0" applyFont="1" applyFill="1" applyBorder="1" applyAlignment="1">
      <alignment horizontal="center" vertical="center" wrapText="1"/>
    </xf>
    <xf numFmtId="0" fontId="60" fillId="28" borderId="330" xfId="0" applyFont="1" applyFill="1" applyBorder="1" applyAlignment="1">
      <alignment horizontal="center" vertical="center" wrapText="1"/>
    </xf>
    <xf numFmtId="0" fontId="79" fillId="0" borderId="310" xfId="0" applyFont="1" applyBorder="1" applyAlignment="1">
      <alignment vertical="center"/>
    </xf>
    <xf numFmtId="0" fontId="79" fillId="0" borderId="311" xfId="0" applyFont="1" applyBorder="1" applyAlignment="1">
      <alignment vertical="center"/>
    </xf>
    <xf numFmtId="0" fontId="60" fillId="28" borderId="328" xfId="0" applyFont="1" applyFill="1" applyBorder="1" applyAlignment="1">
      <alignment horizontal="center" vertical="center"/>
    </xf>
    <xf numFmtId="0" fontId="60" fillId="28" borderId="173" xfId="0" applyFont="1" applyFill="1" applyBorder="1" applyAlignment="1">
      <alignment horizontal="center" vertical="center"/>
    </xf>
    <xf numFmtId="174" fontId="60" fillId="0" borderId="317" xfId="0" applyNumberFormat="1" applyFont="1" applyBorder="1" applyAlignment="1">
      <alignment horizontal="center" vertical="center"/>
    </xf>
    <xf numFmtId="174" fontId="60" fillId="0" borderId="296" xfId="0" applyNumberFormat="1" applyFont="1" applyBorder="1" applyAlignment="1">
      <alignment horizontal="center" vertical="center"/>
    </xf>
    <xf numFmtId="167" fontId="74" fillId="0" borderId="290" xfId="0" applyNumberFormat="1" applyFont="1" applyBorder="1" applyAlignment="1">
      <alignment horizontal="center" vertical="center"/>
    </xf>
    <xf numFmtId="0" fontId="80" fillId="35" borderId="170" xfId="0" applyFont="1" applyFill="1" applyBorder="1" applyAlignment="1">
      <alignment horizontal="center" vertical="center"/>
    </xf>
    <xf numFmtId="0" fontId="60" fillId="28" borderId="200" xfId="0" applyFont="1" applyFill="1" applyBorder="1" applyAlignment="1">
      <alignment horizontal="center" vertical="center"/>
    </xf>
    <xf numFmtId="0" fontId="60" fillId="28" borderId="0" xfId="0" applyFont="1" applyFill="1" applyAlignment="1">
      <alignment horizontal="center" vertical="center"/>
    </xf>
    <xf numFmtId="0" fontId="80" fillId="36" borderId="316" xfId="0" applyFont="1" applyFill="1" applyBorder="1" applyAlignment="1">
      <alignment horizontal="center" vertical="center"/>
    </xf>
    <xf numFmtId="0" fontId="81" fillId="0" borderId="293" xfId="0" applyFont="1" applyBorder="1" applyAlignment="1">
      <alignment horizontal="left" vertical="center" wrapText="1"/>
    </xf>
    <xf numFmtId="0" fontId="60" fillId="38" borderId="440" xfId="0" applyFont="1" applyFill="1" applyBorder="1" applyAlignment="1">
      <alignment horizontal="center" vertical="center" wrapText="1"/>
    </xf>
    <xf numFmtId="0" fontId="60" fillId="38" borderId="441" xfId="0" applyFont="1" applyFill="1" applyBorder="1" applyAlignment="1">
      <alignment horizontal="center" vertical="center" wrapText="1"/>
    </xf>
    <xf numFmtId="167" fontId="73" fillId="36" borderId="459" xfId="0" applyNumberFormat="1" applyFont="1" applyFill="1" applyBorder="1" applyAlignment="1">
      <alignment horizontal="left" vertical="center" wrapText="1"/>
    </xf>
    <xf numFmtId="167" fontId="73" fillId="36" borderId="458" xfId="0" applyNumberFormat="1" applyFont="1" applyFill="1" applyBorder="1" applyAlignment="1">
      <alignment horizontal="left" vertical="center" wrapText="1"/>
    </xf>
    <xf numFmtId="0" fontId="74" fillId="0" borderId="290" xfId="0" applyFont="1" applyBorder="1" applyAlignment="1">
      <alignment horizontal="left" vertical="center" indent="1"/>
    </xf>
    <xf numFmtId="0" fontId="74" fillId="0" borderId="390" xfId="0" applyFont="1" applyBorder="1" applyAlignment="1">
      <alignment horizontal="left" vertical="center" indent="1"/>
    </xf>
    <xf numFmtId="0" fontId="74" fillId="0" borderId="391" xfId="0" applyFont="1" applyBorder="1" applyAlignment="1">
      <alignment horizontal="left" vertical="center" indent="1"/>
    </xf>
    <xf numFmtId="0" fontId="74" fillId="0" borderId="392" xfId="0" applyFont="1" applyBorder="1" applyAlignment="1">
      <alignment horizontal="left" vertical="center" indent="1"/>
    </xf>
    <xf numFmtId="0" fontId="60" fillId="27" borderId="182" xfId="0" applyFont="1" applyFill="1" applyBorder="1" applyAlignment="1">
      <alignment horizontal="center" vertical="center" wrapText="1"/>
    </xf>
    <xf numFmtId="0" fontId="81" fillId="0" borderId="390" xfId="0" applyFont="1" applyBorder="1" applyAlignment="1">
      <alignment horizontal="left" vertical="center" wrapText="1"/>
    </xf>
    <xf numFmtId="0" fontId="81" fillId="0" borderId="391" xfId="0" applyFont="1" applyBorder="1" applyAlignment="1">
      <alignment horizontal="left" vertical="center" wrapText="1"/>
    </xf>
    <xf numFmtId="0" fontId="81" fillId="0" borderId="392" xfId="0" applyFont="1" applyBorder="1" applyAlignment="1">
      <alignment horizontal="left" vertical="center" wrapText="1"/>
    </xf>
    <xf numFmtId="0" fontId="60" fillId="27" borderId="49" xfId="0" applyFont="1" applyFill="1" applyBorder="1" applyAlignment="1">
      <alignment horizontal="center"/>
    </xf>
    <xf numFmtId="0" fontId="60" fillId="27" borderId="0" xfId="0" applyFont="1" applyFill="1" applyAlignment="1">
      <alignment horizontal="center"/>
    </xf>
    <xf numFmtId="0" fontId="60" fillId="27" borderId="358" xfId="0" applyFont="1" applyFill="1" applyBorder="1" applyAlignment="1">
      <alignment horizontal="center"/>
    </xf>
    <xf numFmtId="0" fontId="83" fillId="0" borderId="483" xfId="0" applyFont="1" applyBorder="1" applyAlignment="1">
      <alignment horizontal="center" vertical="center" wrapText="1"/>
    </xf>
    <xf numFmtId="0" fontId="83" fillId="0" borderId="481" xfId="0" applyFont="1" applyBorder="1" applyAlignment="1">
      <alignment horizontal="center" vertical="center" wrapText="1"/>
    </xf>
    <xf numFmtId="0" fontId="75" fillId="42" borderId="483" xfId="0" applyFont="1" applyFill="1" applyBorder="1" applyAlignment="1">
      <alignment horizontal="center" vertical="center" wrapText="1"/>
    </xf>
    <xf numFmtId="0" fontId="75" fillId="42" borderId="481" xfId="0" applyFont="1" applyFill="1" applyBorder="1" applyAlignment="1">
      <alignment horizontal="center" vertical="center" wrapText="1"/>
    </xf>
    <xf numFmtId="0" fontId="75" fillId="42" borderId="482" xfId="0" applyFont="1" applyFill="1" applyBorder="1" applyAlignment="1">
      <alignment horizontal="center" vertical="center" wrapText="1"/>
    </xf>
    <xf numFmtId="0" fontId="17" fillId="42" borderId="483" xfId="0" applyFont="1" applyFill="1" applyBorder="1" applyAlignment="1">
      <alignment horizontal="center" vertical="center" wrapText="1"/>
    </xf>
    <xf numFmtId="0" fontId="17" fillId="42" borderId="481" xfId="0" applyFont="1" applyFill="1" applyBorder="1" applyAlignment="1">
      <alignment horizontal="center" vertical="center" wrapText="1"/>
    </xf>
    <xf numFmtId="0" fontId="155" fillId="0" borderId="483" xfId="0" applyFont="1" applyBorder="1" applyAlignment="1">
      <alignment horizontal="center" vertical="center" wrapText="1"/>
    </xf>
    <xf numFmtId="0" fontId="155" fillId="0" borderId="482" xfId="0" applyFont="1" applyBorder="1" applyAlignment="1">
      <alignment horizontal="center" vertical="center" wrapText="1"/>
    </xf>
    <xf numFmtId="0" fontId="167" fillId="42" borderId="528" xfId="0" applyFont="1" applyFill="1" applyBorder="1" applyAlignment="1">
      <alignment horizontal="center" vertical="center" wrapText="1"/>
    </xf>
    <xf numFmtId="0" fontId="167" fillId="42" borderId="529" xfId="0" applyFont="1" applyFill="1" applyBorder="1" applyAlignment="1">
      <alignment horizontal="center" vertical="center" wrapText="1"/>
    </xf>
    <xf numFmtId="4" fontId="155" fillId="0" borderId="481" xfId="0" applyNumberFormat="1" applyFont="1" applyBorder="1" applyAlignment="1">
      <alignment horizontal="center" vertical="center" wrapText="1"/>
    </xf>
    <xf numFmtId="4" fontId="155" fillId="0" borderId="482" xfId="0" applyNumberFormat="1" applyFont="1" applyBorder="1" applyAlignment="1">
      <alignment horizontal="center" vertical="center" wrapText="1"/>
    </xf>
    <xf numFmtId="183" fontId="155" fillId="0" borderId="483" xfId="0" applyNumberFormat="1" applyFont="1" applyBorder="1" applyAlignment="1">
      <alignment horizontal="center" vertical="center" wrapText="1"/>
    </xf>
    <xf numFmtId="183" fontId="155" fillId="0" borderId="482" xfId="0" applyNumberFormat="1" applyFont="1" applyBorder="1" applyAlignment="1">
      <alignment horizontal="center" vertical="center" wrapText="1"/>
    </xf>
    <xf numFmtId="183" fontId="155" fillId="0" borderId="481" xfId="0" applyNumberFormat="1" applyFont="1" applyBorder="1" applyAlignment="1">
      <alignment horizontal="center" vertical="center" wrapText="1"/>
    </xf>
    <xf numFmtId="0" fontId="30" fillId="0" borderId="77" xfId="0" applyFont="1" applyBorder="1" applyAlignment="1" applyProtection="1">
      <alignment horizontal="center" vertical="center"/>
      <protection locked="0"/>
    </xf>
    <xf numFmtId="0" fontId="30" fillId="0" borderId="72" xfId="0" applyFont="1" applyBorder="1" applyAlignment="1" applyProtection="1">
      <alignment horizontal="center" vertical="center"/>
      <protection locked="0"/>
    </xf>
    <xf numFmtId="0" fontId="30" fillId="0" borderId="73" xfId="0" applyFont="1" applyBorder="1" applyAlignment="1" applyProtection="1">
      <alignment horizontal="center" vertical="center"/>
      <protection locked="0"/>
    </xf>
    <xf numFmtId="0" fontId="29" fillId="16" borderId="83" xfId="0" applyFont="1" applyFill="1" applyBorder="1" applyAlignment="1">
      <alignment horizontal="center" vertical="center" wrapText="1"/>
    </xf>
    <xf numFmtId="0" fontId="29" fillId="16" borderId="84" xfId="0" applyFont="1" applyFill="1" applyBorder="1" applyAlignment="1">
      <alignment horizontal="center" vertical="center" wrapText="1"/>
    </xf>
    <xf numFmtId="0" fontId="29" fillId="16" borderId="82" xfId="0" applyFont="1" applyFill="1" applyBorder="1" applyAlignment="1">
      <alignment horizontal="center" vertical="center" wrapText="1"/>
    </xf>
    <xf numFmtId="0" fontId="29" fillId="16" borderId="70" xfId="0" applyFont="1" applyFill="1" applyBorder="1" applyAlignment="1">
      <alignment horizontal="center" vertical="center" wrapText="1"/>
    </xf>
    <xf numFmtId="167" fontId="30" fillId="2" borderId="109"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0" xfId="0" applyNumberFormat="1" applyFont="1" applyFill="1" applyBorder="1" applyAlignment="1" applyProtection="1">
      <alignment horizontal="center" vertical="center"/>
      <protection locked="0"/>
    </xf>
    <xf numFmtId="0" fontId="29" fillId="16" borderId="87" xfId="0" applyFont="1" applyFill="1" applyBorder="1" applyAlignment="1">
      <alignment horizontal="center" vertical="center" wrapText="1"/>
    </xf>
    <xf numFmtId="0" fontId="29" fillId="16" borderId="78" xfId="0" applyFont="1" applyFill="1" applyBorder="1" applyAlignment="1">
      <alignment horizontal="center" vertical="center" wrapText="1"/>
    </xf>
    <xf numFmtId="167" fontId="30" fillId="2" borderId="109"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0" xfId="0" applyNumberFormat="1" applyFont="1" applyFill="1" applyBorder="1" applyAlignment="1">
      <alignment horizontal="center" vertical="center"/>
    </xf>
    <xf numFmtId="0" fontId="28" fillId="16" borderId="139" xfId="0" applyFont="1" applyFill="1" applyBorder="1" applyAlignment="1">
      <alignment horizontal="center" vertical="center"/>
    </xf>
    <xf numFmtId="0" fontId="30" fillId="11" borderId="544" xfId="0" applyFont="1" applyFill="1" applyBorder="1" applyAlignment="1" applyProtection="1">
      <alignment horizontal="center" vertical="center"/>
      <protection locked="0"/>
    </xf>
    <xf numFmtId="0" fontId="30" fillId="11" borderId="528" xfId="0" applyFont="1" applyFill="1" applyBorder="1" applyAlignment="1" applyProtection="1">
      <alignment horizontal="center" vertical="center"/>
      <protection locked="0"/>
    </xf>
    <xf numFmtId="0" fontId="30" fillId="11" borderId="529" xfId="0" applyFont="1" applyFill="1" applyBorder="1" applyAlignment="1" applyProtection="1">
      <alignment horizontal="center" vertical="center"/>
      <protection locked="0"/>
    </xf>
    <xf numFmtId="0" fontId="30" fillId="0" borderId="77" xfId="0" applyFont="1" applyBorder="1" applyAlignment="1" applyProtection="1">
      <alignment horizontal="center" vertical="center" wrapText="1"/>
      <protection locked="0"/>
    </xf>
    <xf numFmtId="0" fontId="30" fillId="0" borderId="72" xfId="0" applyFont="1" applyBorder="1" applyAlignment="1" applyProtection="1">
      <alignment horizontal="center" vertical="center" wrapText="1"/>
      <protection locked="0"/>
    </xf>
    <xf numFmtId="0" fontId="30" fillId="0" borderId="73" xfId="0" applyFont="1" applyBorder="1" applyAlignment="1" applyProtection="1">
      <alignment horizontal="center" vertical="center" wrapText="1"/>
      <protection locked="0"/>
    </xf>
    <xf numFmtId="0" fontId="34" fillId="14" borderId="218" xfId="0" applyFont="1" applyFill="1" applyBorder="1" applyAlignment="1">
      <alignment horizontal="center" vertical="center" wrapText="1"/>
    </xf>
    <xf numFmtId="0" fontId="34" fillId="14" borderId="55" xfId="0" applyFont="1" applyFill="1" applyBorder="1" applyAlignment="1">
      <alignment horizontal="center" vertical="center" wrapText="1"/>
    </xf>
    <xf numFmtId="0" fontId="0" fillId="0" borderId="373" xfId="0" applyBorder="1" applyAlignment="1">
      <alignment horizontal="center" vertical="center"/>
    </xf>
    <xf numFmtId="0" fontId="0" fillId="0" borderId="374" xfId="0" applyBorder="1" applyAlignment="1">
      <alignment horizontal="center" vertical="center"/>
    </xf>
    <xf numFmtId="0" fontId="0" fillId="0" borderId="380" xfId="0" applyBorder="1" applyAlignment="1">
      <alignment horizontal="center" vertical="center"/>
    </xf>
    <xf numFmtId="0" fontId="47" fillId="16" borderId="5" xfId="0" applyFont="1" applyFill="1" applyBorder="1" applyAlignment="1">
      <alignment horizontal="center"/>
    </xf>
    <xf numFmtId="0" fontId="47" fillId="16" borderId="6" xfId="0" applyFont="1" applyFill="1" applyBorder="1" applyAlignment="1">
      <alignment horizontal="center"/>
    </xf>
    <xf numFmtId="0" fontId="47" fillId="16" borderId="484" xfId="0" applyFont="1" applyFill="1" applyBorder="1" applyAlignment="1">
      <alignment horizontal="center"/>
    </xf>
    <xf numFmtId="0" fontId="47" fillId="16" borderId="483" xfId="0" applyFont="1" applyFill="1" applyBorder="1" applyAlignment="1">
      <alignment horizontal="center"/>
    </xf>
    <xf numFmtId="0" fontId="47" fillId="16" borderId="377" xfId="0" applyFont="1" applyFill="1" applyBorder="1" applyAlignment="1">
      <alignment horizontal="center"/>
    </xf>
    <xf numFmtId="0" fontId="47" fillId="16" borderId="386" xfId="0" applyFont="1" applyFill="1" applyBorder="1" applyAlignment="1">
      <alignment horizontal="center"/>
    </xf>
    <xf numFmtId="0" fontId="47" fillId="16" borderId="401" xfId="0" applyFont="1" applyFill="1" applyBorder="1" applyAlignment="1">
      <alignment horizontal="center"/>
    </xf>
    <xf numFmtId="0" fontId="47" fillId="16" borderId="402" xfId="0" applyFont="1" applyFill="1" applyBorder="1" applyAlignment="1">
      <alignment horizontal="center"/>
    </xf>
    <xf numFmtId="0" fontId="47" fillId="16" borderId="485" xfId="0" applyFont="1" applyFill="1" applyBorder="1" applyAlignment="1">
      <alignment horizontal="center"/>
    </xf>
    <xf numFmtId="0" fontId="47" fillId="16" borderId="384" xfId="0" applyFont="1" applyFill="1" applyBorder="1" applyAlignment="1">
      <alignment horizontal="center"/>
    </xf>
    <xf numFmtId="0" fontId="47" fillId="16" borderId="403" xfId="0" applyFont="1" applyFill="1" applyBorder="1" applyAlignment="1">
      <alignment horizontal="center"/>
    </xf>
    <xf numFmtId="0" fontId="47" fillId="16" borderId="346" xfId="0" applyFont="1" applyFill="1" applyBorder="1" applyAlignment="1">
      <alignment horizontal="center"/>
    </xf>
    <xf numFmtId="0" fontId="47" fillId="16" borderId="404" xfId="0" applyFont="1" applyFill="1" applyBorder="1" applyAlignment="1">
      <alignment horizontal="center"/>
    </xf>
    <xf numFmtId="0" fontId="47" fillId="16" borderId="4" xfId="0" applyFont="1" applyFill="1" applyBorder="1" applyAlignment="1">
      <alignment horizontal="center"/>
    </xf>
    <xf numFmtId="169" fontId="30" fillId="2" borderId="489" xfId="0" applyNumberFormat="1" applyFont="1" applyFill="1" applyBorder="1" applyAlignment="1">
      <alignment horizontal="center" vertical="center"/>
    </xf>
    <xf numFmtId="169" fontId="30" fillId="2" borderId="139" xfId="0" applyNumberFormat="1" applyFont="1" applyFill="1" applyBorder="1" applyAlignment="1">
      <alignment horizontal="center" vertical="center"/>
    </xf>
    <xf numFmtId="169" fontId="30" fillId="2" borderId="64" xfId="0" applyNumberFormat="1" applyFont="1" applyFill="1" applyBorder="1" applyAlignment="1">
      <alignment horizontal="center" vertical="center"/>
    </xf>
    <xf numFmtId="0" fontId="0" fillId="0" borderId="218"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60" xfId="0" applyBorder="1" applyAlignment="1">
      <alignment horizontal="left" vertical="center" wrapText="1"/>
    </xf>
    <xf numFmtId="0" fontId="0" fillId="0" borderId="0" xfId="0" applyAlignment="1">
      <alignment horizontal="left" vertical="center" wrapText="1"/>
    </xf>
    <xf numFmtId="0" fontId="0" fillId="0" borderId="59" xfId="0" applyBorder="1" applyAlignment="1">
      <alignment horizontal="left" vertical="center" wrapText="1"/>
    </xf>
    <xf numFmtId="0" fontId="72" fillId="14" borderId="167" xfId="0" applyFont="1" applyFill="1" applyBorder="1" applyAlignment="1">
      <alignment horizontal="center" vertical="center" wrapText="1"/>
    </xf>
    <xf numFmtId="0" fontId="72" fillId="14" borderId="165" xfId="0" applyFont="1" applyFill="1" applyBorder="1" applyAlignment="1">
      <alignment horizontal="center" vertical="center" wrapText="1"/>
    </xf>
    <xf numFmtId="0" fontId="61" fillId="0" borderId="202" xfId="0" applyFont="1" applyBorder="1" applyAlignment="1">
      <alignment horizontal="center" vertical="center" wrapText="1"/>
    </xf>
    <xf numFmtId="0" fontId="61" fillId="0" borderId="203" xfId="0" applyFont="1" applyBorder="1" applyAlignment="1">
      <alignment horizontal="center" vertical="center" wrapText="1"/>
    </xf>
    <xf numFmtId="0" fontId="61" fillId="0" borderId="495" xfId="0" applyFont="1" applyBorder="1" applyAlignment="1">
      <alignment horizontal="center" vertical="center" wrapText="1"/>
    </xf>
    <xf numFmtId="0" fontId="75" fillId="26" borderId="494" xfId="0" applyFont="1" applyFill="1" applyBorder="1" applyAlignment="1">
      <alignment horizontal="center" vertical="center"/>
    </xf>
    <xf numFmtId="0" fontId="75" fillId="26" borderId="54" xfId="0" applyFont="1" applyFill="1" applyBorder="1" applyAlignment="1">
      <alignment horizontal="center" vertical="center"/>
    </xf>
    <xf numFmtId="0" fontId="75" fillId="26" borderId="55" xfId="0" applyFont="1" applyFill="1" applyBorder="1" applyAlignment="1">
      <alignment horizontal="center" vertical="center"/>
    </xf>
    <xf numFmtId="0" fontId="80" fillId="0" borderId="462" xfId="0" applyFont="1" applyBorder="1" applyAlignment="1">
      <alignment horizontal="center" vertical="center" wrapText="1"/>
    </xf>
    <xf numFmtId="0" fontId="80" fillId="0" borderId="429" xfId="0" applyFont="1" applyBorder="1" applyAlignment="1">
      <alignment horizontal="center" vertical="center" wrapText="1"/>
    </xf>
    <xf numFmtId="0" fontId="90" fillId="26" borderId="54" xfId="0" applyFont="1" applyFill="1" applyBorder="1" applyAlignment="1">
      <alignment horizontal="center" vertical="center" wrapText="1"/>
    </xf>
    <xf numFmtId="0" fontId="0" fillId="0" borderId="60" xfId="0" applyBorder="1" applyAlignment="1">
      <alignment horizontal="center"/>
    </xf>
    <xf numFmtId="0" fontId="0" fillId="0" borderId="0" xfId="0" applyAlignment="1">
      <alignment horizontal="center"/>
    </xf>
    <xf numFmtId="0" fontId="0" fillId="0" borderId="21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64" fillId="26" borderId="450" xfId="0" applyFont="1" applyFill="1" applyBorder="1" applyAlignment="1">
      <alignment horizontal="center" vertical="center" wrapText="1"/>
    </xf>
    <xf numFmtId="0" fontId="64" fillId="26" borderId="344" xfId="0" applyFont="1" applyFill="1" applyBorder="1" applyAlignment="1">
      <alignment horizontal="center" vertical="center" wrapText="1"/>
    </xf>
    <xf numFmtId="15" fontId="28" fillId="18" borderId="0" xfId="0" applyNumberFormat="1" applyFont="1" applyFill="1" applyAlignment="1">
      <alignment horizontal="center" vertical="center"/>
    </xf>
    <xf numFmtId="0" fontId="104" fillId="16" borderId="218" xfId="0" applyFont="1" applyFill="1" applyBorder="1" applyAlignment="1">
      <alignment horizontal="center" vertical="center" wrapText="1"/>
    </xf>
    <xf numFmtId="0" fontId="104" fillId="16" borderId="54" xfId="0" applyFont="1" applyFill="1" applyBorder="1" applyAlignment="1">
      <alignment horizontal="center" vertical="center" wrapText="1"/>
    </xf>
    <xf numFmtId="0" fontId="105" fillId="16" borderId="54" xfId="0" applyFont="1" applyFill="1" applyBorder="1" applyAlignment="1">
      <alignment horizontal="center" vertical="center" wrapText="1"/>
    </xf>
    <xf numFmtId="0" fontId="105" fillId="16" borderId="54" xfId="0" applyFont="1" applyFill="1" applyBorder="1" applyAlignment="1">
      <alignment horizontal="center" vertical="center"/>
    </xf>
    <xf numFmtId="0" fontId="105" fillId="16" borderId="55" xfId="0" applyFont="1" applyFill="1" applyBorder="1" applyAlignment="1">
      <alignment horizontal="center" vertical="center"/>
    </xf>
    <xf numFmtId="0" fontId="105" fillId="16" borderId="60" xfId="0" applyFont="1" applyFill="1" applyBorder="1" applyAlignment="1">
      <alignment horizontal="center" vertical="center" wrapText="1"/>
    </xf>
    <xf numFmtId="0" fontId="105" fillId="16" borderId="0" xfId="0" applyFont="1" applyFill="1" applyAlignment="1">
      <alignment horizontal="center" vertical="center" wrapText="1"/>
    </xf>
    <xf numFmtId="0" fontId="105" fillId="16" borderId="0" xfId="0" applyFont="1" applyFill="1" applyAlignment="1">
      <alignment horizontal="center" vertical="center"/>
    </xf>
    <xf numFmtId="0" fontId="105" fillId="16" borderId="59" xfId="0" applyFont="1" applyFill="1" applyBorder="1" applyAlignment="1">
      <alignment horizontal="center" vertical="center"/>
    </xf>
    <xf numFmtId="0" fontId="105" fillId="16" borderId="343" xfId="0" applyFont="1" applyFill="1" applyBorder="1" applyAlignment="1">
      <alignment horizontal="center" vertical="center" wrapText="1"/>
    </xf>
    <xf numFmtId="0" fontId="105" fillId="16" borderId="344" xfId="0" applyFont="1" applyFill="1" applyBorder="1" applyAlignment="1">
      <alignment horizontal="center" vertical="center" wrapText="1"/>
    </xf>
    <xf numFmtId="0" fontId="105" fillId="16" borderId="344" xfId="0" applyFont="1" applyFill="1" applyBorder="1" applyAlignment="1">
      <alignment horizontal="center" vertical="center"/>
    </xf>
    <xf numFmtId="0" fontId="105" fillId="16" borderId="345" xfId="0" applyFont="1" applyFill="1" applyBorder="1" applyAlignment="1">
      <alignment horizontal="center" vertical="center"/>
    </xf>
    <xf numFmtId="0" fontId="106" fillId="2" borderId="54" xfId="0" applyFont="1" applyFill="1" applyBorder="1" applyAlignment="1">
      <alignment vertical="center"/>
    </xf>
    <xf numFmtId="0" fontId="107" fillId="16" borderId="351" xfId="0" applyFont="1" applyFill="1" applyBorder="1" applyAlignment="1">
      <alignment horizontal="center" vertical="center" wrapText="1"/>
    </xf>
    <xf numFmtId="0" fontId="107" fillId="16" borderId="349" xfId="0" applyFont="1" applyFill="1" applyBorder="1" applyAlignment="1">
      <alignment horizontal="center" vertical="center" wrapText="1"/>
    </xf>
    <xf numFmtId="0" fontId="107" fillId="16" borderId="350" xfId="0" applyFont="1" applyFill="1" applyBorder="1" applyAlignment="1">
      <alignment horizontal="center" vertical="center" wrapText="1"/>
    </xf>
    <xf numFmtId="0" fontId="108" fillId="0" borderId="351" xfId="0" applyFont="1" applyBorder="1" applyAlignment="1" applyProtection="1">
      <alignment horizontal="center" vertical="center"/>
      <protection locked="0"/>
    </xf>
    <xf numFmtId="0" fontId="108" fillId="0" borderId="349" xfId="0" applyFont="1" applyBorder="1" applyAlignment="1" applyProtection="1">
      <alignment horizontal="center" vertical="center"/>
      <protection locked="0"/>
    </xf>
    <xf numFmtId="0" fontId="108" fillId="0" borderId="350" xfId="0" applyFont="1" applyBorder="1" applyAlignment="1" applyProtection="1">
      <alignment horizontal="center" vertical="center"/>
      <protection locked="0"/>
    </xf>
    <xf numFmtId="1" fontId="108" fillId="0" borderId="351" xfId="1" applyNumberFormat="1" applyFont="1" applyBorder="1" applyAlignment="1" applyProtection="1">
      <alignment horizontal="center" vertical="center" wrapText="1"/>
      <protection locked="0"/>
    </xf>
    <xf numFmtId="1" fontId="108" fillId="0" borderId="349" xfId="1" applyNumberFormat="1" applyFont="1" applyBorder="1" applyAlignment="1" applyProtection="1">
      <alignment horizontal="center" vertical="center" wrapText="1"/>
      <protection locked="0"/>
    </xf>
    <xf numFmtId="1" fontId="108" fillId="0" borderId="350" xfId="1" applyNumberFormat="1" applyFont="1" applyBorder="1" applyAlignment="1" applyProtection="1">
      <alignment horizontal="center" vertical="center" wrapText="1"/>
      <protection locked="0"/>
    </xf>
    <xf numFmtId="183" fontId="108" fillId="0" borderId="351" xfId="0" applyNumberFormat="1" applyFont="1" applyBorder="1" applyAlignment="1" applyProtection="1">
      <alignment horizontal="center" vertical="center"/>
      <protection locked="0"/>
    </xf>
    <xf numFmtId="183" fontId="108" fillId="0" borderId="349" xfId="0" applyNumberFormat="1" applyFont="1" applyBorder="1" applyAlignment="1" applyProtection="1">
      <alignment horizontal="center" vertical="center"/>
      <protection locked="0"/>
    </xf>
    <xf numFmtId="183" fontId="108" fillId="0" borderId="350" xfId="0" applyNumberFormat="1" applyFont="1" applyBorder="1" applyAlignment="1" applyProtection="1">
      <alignment horizontal="center" vertical="center"/>
      <protection locked="0"/>
    </xf>
    <xf numFmtId="0" fontId="107" fillId="16" borderId="370" xfId="0" applyFont="1" applyFill="1" applyBorder="1" applyAlignment="1">
      <alignment horizontal="center" vertical="center"/>
    </xf>
    <xf numFmtId="0" fontId="107" fillId="16" borderId="1" xfId="0" applyFont="1" applyFill="1" applyBorder="1" applyAlignment="1">
      <alignment horizontal="center" vertical="center"/>
    </xf>
    <xf numFmtId="0" fontId="109" fillId="0" borderId="5" xfId="0" applyFont="1" applyBorder="1" applyAlignment="1">
      <alignment horizontal="center" vertical="center" wrapText="1"/>
    </xf>
    <xf numFmtId="0" fontId="109" fillId="0" borderId="371" xfId="0" applyFont="1" applyBorder="1" applyAlignment="1">
      <alignment horizontal="center" vertical="center" wrapText="1"/>
    </xf>
    <xf numFmtId="0" fontId="109" fillId="0" borderId="372" xfId="0" applyFont="1" applyBorder="1" applyAlignment="1">
      <alignment horizontal="center" vertical="center" wrapText="1"/>
    </xf>
    <xf numFmtId="0" fontId="109" fillId="0" borderId="7" xfId="0" applyFont="1" applyBorder="1" applyAlignment="1">
      <alignment horizontal="left" vertical="center" wrapText="1"/>
    </xf>
    <xf numFmtId="0" fontId="109" fillId="0" borderId="371" xfId="0" applyFont="1" applyBorder="1" applyAlignment="1">
      <alignment horizontal="left" vertical="center" wrapText="1"/>
    </xf>
    <xf numFmtId="0" fontId="109" fillId="0" borderId="372" xfId="0" applyFont="1" applyBorder="1" applyAlignment="1">
      <alignment horizontal="left" vertical="center" wrapText="1"/>
    </xf>
    <xf numFmtId="0" fontId="110" fillId="0" borderId="2" xfId="0" applyFont="1" applyBorder="1" applyAlignment="1">
      <alignment horizontal="center" vertical="center"/>
    </xf>
    <xf numFmtId="0" fontId="110" fillId="0" borderId="46" xfId="0" applyFont="1" applyBorder="1" applyAlignment="1">
      <alignment horizontal="center" vertical="center"/>
    </xf>
    <xf numFmtId="0" fontId="107" fillId="16" borderId="580" xfId="0" applyFont="1" applyFill="1" applyBorder="1" applyAlignment="1">
      <alignment horizontal="center" vertical="center"/>
    </xf>
    <xf numFmtId="0" fontId="107" fillId="16" borderId="528" xfId="0" applyFont="1" applyFill="1" applyBorder="1" applyAlignment="1">
      <alignment horizontal="center" vertical="center"/>
    </xf>
    <xf numFmtId="0" fontId="109" fillId="0" borderId="525" xfId="0" applyFont="1" applyBorder="1" applyAlignment="1">
      <alignment horizontal="center" vertical="center" wrapText="1"/>
    </xf>
    <xf numFmtId="0" fontId="109" fillId="0" borderId="526" xfId="0" applyFont="1" applyBorder="1" applyAlignment="1">
      <alignment horizontal="center" vertical="center" wrapText="1"/>
    </xf>
    <xf numFmtId="0" fontId="109" fillId="0" borderId="527" xfId="0" applyFont="1" applyBorder="1" applyAlignment="1">
      <alignment horizontal="center" vertical="center" wrapText="1"/>
    </xf>
    <xf numFmtId="0" fontId="109" fillId="0" borderId="529" xfId="0" applyFont="1" applyBorder="1" applyAlignment="1">
      <alignment horizontal="left" vertical="center" wrapText="1"/>
    </xf>
    <xf numFmtId="0" fontId="109" fillId="0" borderId="526" xfId="0" applyFont="1" applyBorder="1" applyAlignment="1">
      <alignment horizontal="left" vertical="center" wrapText="1"/>
    </xf>
    <xf numFmtId="0" fontId="109" fillId="0" borderId="527" xfId="0" applyFont="1" applyBorder="1" applyAlignment="1">
      <alignment horizontal="left" vertical="center" wrapText="1"/>
    </xf>
    <xf numFmtId="0" fontId="110" fillId="0" borderId="581" xfId="0" applyFont="1" applyBorder="1" applyAlignment="1">
      <alignment horizontal="center" vertical="center"/>
    </xf>
    <xf numFmtId="0" fontId="110" fillId="0" borderId="582" xfId="0" applyFont="1" applyBorder="1" applyAlignment="1">
      <alignment horizontal="center" vertical="center"/>
    </xf>
    <xf numFmtId="0" fontId="108" fillId="2" borderId="0" xfId="0" applyFont="1" applyFill="1" applyAlignment="1">
      <alignment horizontal="center" vertical="top"/>
    </xf>
    <xf numFmtId="0" fontId="107" fillId="16" borderId="351" xfId="0" applyFont="1" applyFill="1" applyBorder="1" applyAlignment="1">
      <alignment horizontal="center" vertical="center"/>
    </xf>
    <xf numFmtId="0" fontId="107" fillId="16" borderId="349" xfId="0" applyFont="1" applyFill="1" applyBorder="1" applyAlignment="1">
      <alignment horizontal="center" vertical="center"/>
    </xf>
    <xf numFmtId="0" fontId="107" fillId="16" borderId="350" xfId="0" applyFont="1" applyFill="1" applyBorder="1" applyAlignment="1">
      <alignment horizontal="center" vertical="center"/>
    </xf>
    <xf numFmtId="0" fontId="108" fillId="0" borderId="351" xfId="0" applyFont="1" applyBorder="1" applyAlignment="1" applyProtection="1">
      <alignment horizontal="center" vertical="center" wrapText="1"/>
      <protection locked="0"/>
    </xf>
    <xf numFmtId="0" fontId="108" fillId="0" borderId="349" xfId="0" applyFont="1" applyBorder="1" applyAlignment="1" applyProtection="1">
      <alignment horizontal="center" vertical="center" wrapText="1"/>
      <protection locked="0"/>
    </xf>
    <xf numFmtId="0" fontId="108" fillId="0" borderId="350" xfId="0" applyFont="1" applyBorder="1" applyAlignment="1" applyProtection="1">
      <alignment horizontal="center" vertical="center" wrapText="1"/>
      <protection locked="0"/>
    </xf>
    <xf numFmtId="0" fontId="106" fillId="2" borderId="349" xfId="0" applyFont="1" applyFill="1" applyBorder="1" applyAlignment="1">
      <alignment horizontal="center"/>
    </xf>
    <xf numFmtId="0" fontId="106" fillId="2" borderId="54" xfId="0" applyFont="1" applyFill="1" applyBorder="1" applyAlignment="1">
      <alignment horizontal="center"/>
    </xf>
    <xf numFmtId="0" fontId="116" fillId="2" borderId="371" xfId="11" applyFont="1" applyFill="1" applyBorder="1" applyAlignment="1">
      <alignment horizontal="left" vertical="center" wrapText="1"/>
    </xf>
    <xf numFmtId="0" fontId="114" fillId="39" borderId="80" xfId="0" applyFont="1" applyFill="1" applyBorder="1" applyAlignment="1">
      <alignment horizontal="center" vertical="center" wrapText="1"/>
    </xf>
    <xf numFmtId="0" fontId="114" fillId="39" borderId="11" xfId="0" applyFont="1" applyFill="1" applyBorder="1" applyAlignment="1">
      <alignment horizontal="center" vertical="center" wrapText="1"/>
    </xf>
    <xf numFmtId="0" fontId="114" fillId="39" borderId="530" xfId="0" applyFont="1" applyFill="1" applyBorder="1" applyAlignment="1">
      <alignment horizontal="center" vertical="center" wrapText="1"/>
    </xf>
    <xf numFmtId="0" fontId="114" fillId="39" borderId="529" xfId="0" applyFont="1" applyFill="1" applyBorder="1" applyAlignment="1">
      <alignment horizontal="center" vertical="center" wrapText="1"/>
    </xf>
    <xf numFmtId="0" fontId="116" fillId="2" borderId="526" xfId="11" applyFont="1" applyFill="1" applyBorder="1" applyAlignment="1">
      <alignment vertical="center" wrapText="1"/>
    </xf>
    <xf numFmtId="0" fontId="116" fillId="2" borderId="526" xfId="11" applyFont="1" applyFill="1" applyBorder="1" applyAlignment="1">
      <alignment horizontal="left" vertical="center" wrapText="1"/>
    </xf>
    <xf numFmtId="0" fontId="107" fillId="16" borderId="375" xfId="0" applyFont="1" applyFill="1" applyBorder="1" applyAlignment="1">
      <alignment horizontal="center" vertical="center"/>
    </xf>
    <xf numFmtId="0" fontId="107" fillId="16" borderId="376" xfId="0" applyFont="1" applyFill="1" applyBorder="1" applyAlignment="1">
      <alignment horizontal="center" vertical="center"/>
    </xf>
    <xf numFmtId="0" fontId="109" fillId="0" borderId="377" xfId="0" applyFont="1" applyBorder="1" applyAlignment="1">
      <alignment horizontal="center" vertical="center" wrapText="1"/>
    </xf>
    <xf numFmtId="0" fontId="109" fillId="0" borderId="3" xfId="0" applyFont="1" applyBorder="1" applyAlignment="1">
      <alignment horizontal="center" vertical="center" wrapText="1"/>
    </xf>
    <xf numFmtId="0" fontId="109" fillId="0" borderId="4" xfId="0" applyFont="1" applyBorder="1" applyAlignment="1">
      <alignment horizontal="center" vertical="center" wrapText="1"/>
    </xf>
    <xf numFmtId="0" fontId="109" fillId="0" borderId="12" xfId="0" applyFont="1" applyBorder="1" applyAlignment="1">
      <alignment horizontal="left" vertical="center" wrapText="1"/>
    </xf>
    <xf numFmtId="0" fontId="109" fillId="0" borderId="3" xfId="0" applyFont="1" applyBorder="1" applyAlignment="1">
      <alignment horizontal="left" vertical="center" wrapText="1"/>
    </xf>
    <xf numFmtId="0" fontId="109" fillId="0" borderId="4" xfId="0" applyFont="1" applyBorder="1" applyAlignment="1">
      <alignment horizontal="left" vertical="center" wrapText="1"/>
    </xf>
    <xf numFmtId="0" fontId="110" fillId="0" borderId="378" xfId="0" applyFont="1" applyBorder="1" applyAlignment="1">
      <alignment horizontal="center" vertical="center"/>
    </xf>
    <xf numFmtId="0" fontId="110" fillId="0" borderId="379" xfId="0" applyFont="1" applyBorder="1" applyAlignment="1">
      <alignment horizontal="center" vertical="center"/>
    </xf>
    <xf numFmtId="0" fontId="106" fillId="2" borderId="344" xfId="0" applyFont="1" applyFill="1" applyBorder="1" applyAlignment="1">
      <alignment horizontal="center"/>
    </xf>
    <xf numFmtId="0" fontId="110" fillId="25" borderId="371" xfId="0" applyFont="1" applyFill="1" applyBorder="1" applyAlignment="1">
      <alignment horizontal="center" vertical="center"/>
    </xf>
    <xf numFmtId="0" fontId="110" fillId="25" borderId="6" xfId="0" applyFont="1" applyFill="1" applyBorder="1" applyAlignment="1">
      <alignment horizontal="center" vertical="center"/>
    </xf>
    <xf numFmtId="0" fontId="110" fillId="25" borderId="1" xfId="0" applyFont="1" applyFill="1" applyBorder="1" applyAlignment="1">
      <alignment horizontal="center" vertical="center"/>
    </xf>
    <xf numFmtId="0" fontId="110" fillId="25" borderId="7" xfId="0" applyFont="1" applyFill="1" applyBorder="1" applyAlignment="1">
      <alignment horizontal="center" vertical="center"/>
    </xf>
    <xf numFmtId="0" fontId="111" fillId="16" borderId="373" xfId="0" applyFont="1" applyFill="1" applyBorder="1" applyAlignment="1">
      <alignment horizontal="center" vertical="center" textRotation="90"/>
    </xf>
    <xf numFmtId="0" fontId="111" fillId="16" borderId="374" xfId="0" applyFont="1" applyFill="1" applyBorder="1" applyAlignment="1">
      <alignment horizontal="center" vertical="center" textRotation="90"/>
    </xf>
    <xf numFmtId="0" fontId="111" fillId="16" borderId="380" xfId="0" applyFont="1" applyFill="1" applyBorder="1" applyAlignment="1">
      <alignment horizontal="center" vertical="center" textRotation="90"/>
    </xf>
    <xf numFmtId="10" fontId="110" fillId="0" borderId="218" xfId="0" applyNumberFormat="1" applyFont="1" applyBorder="1" applyAlignment="1">
      <alignment horizontal="center" vertical="center"/>
    </xf>
    <xf numFmtId="10" fontId="110" fillId="0" borderId="55" xfId="0" applyNumberFormat="1" applyFont="1" applyBorder="1" applyAlignment="1">
      <alignment horizontal="center" vertical="center"/>
    </xf>
    <xf numFmtId="10" fontId="110" fillId="0" borderId="60" xfId="0" applyNumberFormat="1" applyFont="1" applyBorder="1" applyAlignment="1">
      <alignment horizontal="center" vertical="center"/>
    </xf>
    <xf numFmtId="10" fontId="110" fillId="0" borderId="59" xfId="0" applyNumberFormat="1" applyFont="1" applyBorder="1" applyAlignment="1">
      <alignment horizontal="center" vertical="center"/>
    </xf>
    <xf numFmtId="10" fontId="110" fillId="0" borderId="343" xfId="0" applyNumberFormat="1" applyFont="1" applyBorder="1" applyAlignment="1">
      <alignment horizontal="center" vertical="center"/>
    </xf>
    <xf numFmtId="10" fontId="110" fillId="0" borderId="345" xfId="0" applyNumberFormat="1" applyFont="1" applyBorder="1" applyAlignment="1">
      <alignment horizontal="center" vertical="center"/>
    </xf>
    <xf numFmtId="2" fontId="110" fillId="0" borderId="581" xfId="0" applyNumberFormat="1" applyFont="1" applyBorder="1" applyAlignment="1">
      <alignment horizontal="center" vertical="center"/>
    </xf>
    <xf numFmtId="2" fontId="110" fillId="0" borderId="582" xfId="0" applyNumberFormat="1" applyFont="1" applyBorder="1" applyAlignment="1">
      <alignment horizontal="center" vertical="center"/>
    </xf>
    <xf numFmtId="0" fontId="114" fillId="39" borderId="526" xfId="0" applyFont="1" applyFill="1" applyBorder="1" applyAlignment="1">
      <alignment horizontal="center" vertical="center"/>
    </xf>
    <xf numFmtId="0" fontId="116" fillId="2" borderId="526" xfId="11" applyFont="1" applyFill="1" applyBorder="1" applyAlignment="1">
      <alignment horizontal="left" vertical="top" wrapText="1"/>
    </xf>
    <xf numFmtId="0" fontId="114" fillId="39" borderId="80" xfId="0" applyFont="1" applyFill="1" applyBorder="1" applyAlignment="1">
      <alignment horizontal="center" vertical="center"/>
    </xf>
    <xf numFmtId="0" fontId="114" fillId="39" borderId="381" xfId="0" applyFont="1" applyFill="1" applyBorder="1" applyAlignment="1">
      <alignment horizontal="center" vertical="center"/>
    </xf>
    <xf numFmtId="2" fontId="102" fillId="2" borderId="60" xfId="0" applyNumberFormat="1" applyFont="1" applyFill="1" applyBorder="1" applyAlignment="1">
      <alignment horizontal="right" vertical="center"/>
    </xf>
    <xf numFmtId="2" fontId="102" fillId="2" borderId="0" xfId="0" applyNumberFormat="1" applyFont="1" applyFill="1" applyAlignment="1">
      <alignment horizontal="right" vertical="center"/>
    </xf>
    <xf numFmtId="2" fontId="102" fillId="2" borderId="343" xfId="0" applyNumberFormat="1" applyFont="1" applyFill="1" applyBorder="1" applyAlignment="1">
      <alignment horizontal="right" vertical="center"/>
    </xf>
    <xf numFmtId="2" fontId="102" fillId="2" borderId="344" xfId="0" applyNumberFormat="1" applyFont="1" applyFill="1" applyBorder="1" applyAlignment="1">
      <alignment horizontal="right" vertical="center"/>
    </xf>
    <xf numFmtId="2" fontId="102" fillId="2" borderId="382" xfId="0" applyNumberFormat="1" applyFont="1" applyFill="1" applyBorder="1" applyAlignment="1">
      <alignment horizontal="left" vertical="center"/>
    </xf>
    <xf numFmtId="2" fontId="102" fillId="2" borderId="10" xfId="0" applyNumberFormat="1" applyFont="1" applyFill="1" applyBorder="1" applyAlignment="1">
      <alignment horizontal="left" vertical="center"/>
    </xf>
    <xf numFmtId="2" fontId="102" fillId="2" borderId="383" xfId="0" applyNumberFormat="1" applyFont="1" applyFill="1" applyBorder="1" applyAlignment="1">
      <alignment horizontal="left" vertical="center"/>
    </xf>
    <xf numFmtId="0" fontId="106" fillId="2" borderId="526" xfId="0" applyFont="1" applyFill="1" applyBorder="1" applyAlignment="1">
      <alignment horizontal="left" vertical="center" wrapText="1"/>
    </xf>
    <xf numFmtId="0" fontId="114" fillId="39" borderId="218" xfId="0" applyFont="1" applyFill="1" applyBorder="1" applyAlignment="1">
      <alignment horizontal="center" vertical="center"/>
    </xf>
    <xf numFmtId="0" fontId="114" fillId="39" borderId="54" xfId="0" applyFont="1" applyFill="1" applyBorder="1" applyAlignment="1">
      <alignment horizontal="center" vertical="center"/>
    </xf>
    <xf numFmtId="0" fontId="114" fillId="39" borderId="55" xfId="0" applyFont="1" applyFill="1" applyBorder="1" applyAlignment="1">
      <alignment vertical="center"/>
    </xf>
    <xf numFmtId="0" fontId="114" fillId="39" borderId="351" xfId="0" applyFont="1" applyFill="1" applyBorder="1" applyAlignment="1">
      <alignment horizontal="center" vertical="center"/>
    </xf>
    <xf numFmtId="0" fontId="114" fillId="39" borderId="349" xfId="0" applyFont="1" applyFill="1" applyBorder="1" applyAlignment="1">
      <alignment horizontal="center" vertical="center"/>
    </xf>
    <xf numFmtId="0" fontId="114" fillId="39" borderId="352" xfId="0" applyFont="1" applyFill="1" applyBorder="1" applyAlignment="1">
      <alignment horizontal="center" vertical="center"/>
    </xf>
    <xf numFmtId="0" fontId="102" fillId="13" borderId="343" xfId="0" applyFont="1" applyFill="1" applyBorder="1" applyAlignment="1">
      <alignment horizontal="center" vertical="center"/>
    </xf>
    <xf numFmtId="0" fontId="102" fillId="0" borderId="344" xfId="0" applyFont="1" applyBorder="1" applyAlignment="1">
      <alignment horizontal="center" vertical="center"/>
    </xf>
    <xf numFmtId="0" fontId="102" fillId="0" borderId="345" xfId="0" applyFont="1" applyBorder="1" applyAlignment="1">
      <alignment vertical="center"/>
    </xf>
    <xf numFmtId="0" fontId="116" fillId="2" borderId="3" xfId="11" applyFont="1" applyFill="1" applyBorder="1" applyAlignment="1">
      <alignment horizontal="left" vertical="center" wrapText="1"/>
    </xf>
    <xf numFmtId="0" fontId="116" fillId="2" borderId="3" xfId="11" applyFont="1" applyFill="1" applyBorder="1" applyAlignment="1">
      <alignment vertical="center" wrapText="1"/>
    </xf>
    <xf numFmtId="0" fontId="116" fillId="2" borderId="0" xfId="11" applyFont="1" applyFill="1" applyAlignment="1">
      <alignment horizontal="center" vertical="top"/>
    </xf>
    <xf numFmtId="0" fontId="123" fillId="2" borderId="0" xfId="11" applyFont="1" applyFill="1" applyAlignment="1">
      <alignment horizontal="center"/>
    </xf>
    <xf numFmtId="0" fontId="125" fillId="25" borderId="351" xfId="0" applyFont="1" applyFill="1" applyBorder="1" applyAlignment="1">
      <alignment horizontal="center" vertical="center" wrapText="1"/>
    </xf>
    <xf numFmtId="0" fontId="125" fillId="25" borderId="349" xfId="0" applyFont="1" applyFill="1" applyBorder="1" applyAlignment="1">
      <alignment horizontal="center" vertical="center" wrapText="1"/>
    </xf>
    <xf numFmtId="0" fontId="125" fillId="25" borderId="350" xfId="0" applyFont="1" applyFill="1" applyBorder="1" applyAlignment="1">
      <alignment horizontal="center" vertical="center" wrapText="1"/>
    </xf>
    <xf numFmtId="166" fontId="125" fillId="25" borderId="351" xfId="2" applyNumberFormat="1" applyFont="1" applyFill="1" applyBorder="1" applyAlignment="1" applyProtection="1">
      <alignment horizontal="center" vertical="distributed" wrapText="1"/>
    </xf>
    <xf numFmtId="166" fontId="126" fillId="25" borderId="349" xfId="0" applyNumberFormat="1" applyFont="1" applyFill="1" applyBorder="1" applyAlignment="1">
      <alignment horizontal="center" vertical="distributed" wrapText="1"/>
    </xf>
    <xf numFmtId="166" fontId="126" fillId="25" borderId="350" xfId="0" applyNumberFormat="1" applyFont="1" applyFill="1" applyBorder="1" applyAlignment="1">
      <alignment horizontal="center" vertical="distributed" wrapText="1"/>
    </xf>
    <xf numFmtId="0" fontId="103" fillId="2" borderId="0" xfId="11" applyFont="1" applyFill="1" applyAlignment="1">
      <alignment vertical="center" wrapText="1"/>
    </xf>
    <xf numFmtId="0" fontId="103" fillId="2" borderId="0" xfId="11" applyFont="1" applyFill="1" applyAlignment="1">
      <alignment horizontal="left" vertical="center" wrapText="1"/>
    </xf>
    <xf numFmtId="0" fontId="102" fillId="2" borderId="0" xfId="0" applyFont="1" applyFill="1" applyAlignment="1">
      <alignment horizontal="left" vertical="center" wrapText="1"/>
    </xf>
    <xf numFmtId="0" fontId="124" fillId="25" borderId="351" xfId="0" applyFont="1" applyFill="1" applyBorder="1" applyAlignment="1">
      <alignment horizontal="right" vertical="center" wrapText="1"/>
    </xf>
    <xf numFmtId="0" fontId="124" fillId="25" borderId="349" xfId="0" applyFont="1" applyFill="1" applyBorder="1" applyAlignment="1">
      <alignment horizontal="right" vertical="center" wrapText="1"/>
    </xf>
    <xf numFmtId="0" fontId="112" fillId="11" borderId="349" xfId="0" applyFont="1" applyFill="1" applyBorder="1" applyAlignment="1" applyProtection="1">
      <alignment horizontal="left" vertical="center" wrapText="1"/>
      <protection locked="0"/>
    </xf>
    <xf numFmtId="0" fontId="112" fillId="11" borderId="350" xfId="0" applyFont="1" applyFill="1" applyBorder="1" applyAlignment="1" applyProtection="1">
      <alignment horizontal="left" vertical="center" wrapText="1"/>
      <protection locked="0"/>
    </xf>
    <xf numFmtId="182" fontId="165" fillId="0" borderId="348" xfId="4" applyNumberFormat="1" applyFont="1" applyBorder="1" applyAlignment="1" applyProtection="1">
      <alignment horizontal="center" vertical="center" wrapText="1"/>
      <protection locked="0"/>
    </xf>
    <xf numFmtId="182" fontId="165" fillId="0" borderId="349" xfId="4" applyNumberFormat="1" applyFont="1" applyBorder="1" applyAlignment="1" applyProtection="1">
      <alignment horizontal="center" vertical="center" wrapText="1"/>
      <protection locked="0"/>
    </xf>
    <xf numFmtId="182" fontId="165" fillId="0" borderId="350" xfId="4" applyNumberFormat="1" applyFont="1" applyBorder="1" applyAlignment="1" applyProtection="1">
      <alignment horizontal="center" vertical="center" wrapText="1"/>
      <protection locked="0"/>
    </xf>
    <xf numFmtId="0" fontId="103" fillId="2" borderId="0" xfId="11" applyFont="1" applyFill="1" applyAlignment="1">
      <alignment horizontal="left" vertical="top" wrapText="1"/>
    </xf>
    <xf numFmtId="0" fontId="115" fillId="2" borderId="526" xfId="0" applyFont="1" applyFill="1" applyBorder="1" applyAlignment="1">
      <alignment horizontal="left" vertical="center" wrapText="1"/>
    </xf>
    <xf numFmtId="0" fontId="115" fillId="2" borderId="526" xfId="0" applyFont="1" applyFill="1" applyBorder="1" applyAlignment="1">
      <alignment horizontal="left" vertical="center"/>
    </xf>
    <xf numFmtId="0" fontId="65" fillId="11" borderId="532" xfId="0" applyFont="1" applyFill="1" applyBorder="1" applyAlignment="1">
      <alignment horizontal="center"/>
    </xf>
    <xf numFmtId="0" fontId="65" fillId="11" borderId="533" xfId="0" applyFont="1" applyFill="1" applyBorder="1" applyAlignment="1">
      <alignment horizontal="center"/>
    </xf>
    <xf numFmtId="0" fontId="65" fillId="11" borderId="532" xfId="0" applyFont="1" applyFill="1" applyBorder="1" applyAlignment="1">
      <alignment horizontal="center" vertical="center"/>
    </xf>
    <xf numFmtId="0" fontId="65" fillId="11" borderId="533" xfId="0" applyFont="1" applyFill="1" applyBorder="1" applyAlignment="1">
      <alignment horizontal="center" vertical="center"/>
    </xf>
    <xf numFmtId="0" fontId="22" fillId="16" borderId="90" xfId="0" applyFont="1" applyFill="1" applyBorder="1" applyAlignment="1">
      <alignment horizontal="center" vertical="center"/>
    </xf>
    <xf numFmtId="0" fontId="22" fillId="16" borderId="78"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95" xfId="0" applyFont="1" applyFill="1" applyBorder="1" applyAlignment="1">
      <alignment horizontal="center" vertical="center"/>
    </xf>
    <xf numFmtId="0" fontId="22" fillId="16" borderId="92" xfId="0" applyFont="1" applyFill="1" applyBorder="1" applyAlignment="1">
      <alignment horizontal="center" vertical="center"/>
    </xf>
    <xf numFmtId="0" fontId="33" fillId="16" borderId="96" xfId="0" applyFont="1" applyFill="1" applyBorder="1" applyAlignment="1">
      <alignment horizontal="center" vertical="center"/>
    </xf>
    <xf numFmtId="0" fontId="33" fillId="16" borderId="70" xfId="0" applyFont="1" applyFill="1" applyBorder="1" applyAlignment="1">
      <alignment horizontal="center" vertical="center"/>
    </xf>
    <xf numFmtId="0" fontId="33" fillId="16" borderId="65" xfId="0" applyFont="1" applyFill="1" applyBorder="1" applyAlignment="1">
      <alignment horizontal="center" vertical="center"/>
    </xf>
    <xf numFmtId="0" fontId="33" fillId="16" borderId="125" xfId="0" applyFont="1" applyFill="1" applyBorder="1" applyAlignment="1">
      <alignment horizontal="center" vertical="center"/>
    </xf>
    <xf numFmtId="0" fontId="33" fillId="16" borderId="76" xfId="0" applyFont="1" applyFill="1" applyBorder="1" applyAlignment="1">
      <alignment horizontal="center" vertical="center"/>
    </xf>
    <xf numFmtId="0" fontId="33" fillId="16" borderId="66" xfId="0" applyFont="1" applyFill="1" applyBorder="1" applyAlignment="1">
      <alignment horizontal="center" vertical="center"/>
    </xf>
    <xf numFmtId="0" fontId="65" fillId="11" borderId="535" xfId="0" applyFont="1" applyFill="1" applyBorder="1" applyAlignment="1">
      <alignment horizontal="center" vertical="center"/>
    </xf>
    <xf numFmtId="0" fontId="65" fillId="11" borderId="114" xfId="0" applyFont="1" applyFill="1" applyBorder="1" applyAlignment="1">
      <alignment horizontal="center" vertical="center"/>
    </xf>
    <xf numFmtId="0" fontId="19" fillId="16" borderId="63" xfId="0" applyFont="1" applyFill="1" applyBorder="1" applyAlignment="1">
      <alignment horizontal="center" vertical="center"/>
    </xf>
    <xf numFmtId="0" fontId="19" fillId="16" borderId="139" xfId="0" applyFont="1" applyFill="1" applyBorder="1" applyAlignment="1">
      <alignment horizontal="center" vertical="center"/>
    </xf>
    <xf numFmtId="0" fontId="19" fillId="16" borderId="113" xfId="0" applyFont="1" applyFill="1" applyBorder="1" applyAlignment="1">
      <alignment horizontal="center" vertical="center"/>
    </xf>
    <xf numFmtId="0" fontId="20" fillId="16" borderId="65" xfId="0" applyFont="1" applyFill="1" applyBorder="1" applyAlignment="1">
      <alignment horizontal="center" vertical="center"/>
    </xf>
    <xf numFmtId="0" fontId="20" fillId="16" borderId="66" xfId="0" applyFont="1" applyFill="1" applyBorder="1" applyAlignment="1">
      <alignment horizontal="center" vertical="center"/>
    </xf>
    <xf numFmtId="0" fontId="20" fillId="16" borderId="68" xfId="0" applyFont="1" applyFill="1" applyBorder="1" applyAlignment="1">
      <alignment horizontal="center" vertical="center" wrapText="1"/>
    </xf>
    <xf numFmtId="0" fontId="20" fillId="16" borderId="74" xfId="0" applyFont="1" applyFill="1" applyBorder="1" applyAlignment="1">
      <alignment horizontal="center" vertical="center" wrapText="1"/>
    </xf>
    <xf numFmtId="0" fontId="20" fillId="16" borderId="93" xfId="0" applyFont="1" applyFill="1" applyBorder="1" applyAlignment="1">
      <alignment horizontal="center" vertical="center" wrapText="1"/>
    </xf>
    <xf numFmtId="0" fontId="20" fillId="16" borderId="140" xfId="0" applyFont="1" applyFill="1" applyBorder="1" applyAlignment="1">
      <alignment horizontal="center" vertical="center" wrapText="1"/>
    </xf>
    <xf numFmtId="0" fontId="65" fillId="11" borderId="540" xfId="0" applyFont="1" applyFill="1" applyBorder="1" applyAlignment="1">
      <alignment horizontal="center" vertical="center"/>
    </xf>
    <xf numFmtId="0" fontId="65" fillId="11" borderId="541" xfId="0" applyFont="1" applyFill="1" applyBorder="1" applyAlignment="1">
      <alignment horizontal="center" vertical="center"/>
    </xf>
    <xf numFmtId="0" fontId="65" fillId="11" borderId="542" xfId="0" applyFont="1" applyFill="1" applyBorder="1" applyAlignment="1">
      <alignment horizontal="center" vertical="center"/>
    </xf>
    <xf numFmtId="0" fontId="0" fillId="11" borderId="97" xfId="0" applyFill="1" applyBorder="1" applyAlignment="1">
      <alignment horizontal="center"/>
    </xf>
    <xf numFmtId="0" fontId="0" fillId="11" borderId="108" xfId="0" applyFill="1" applyBorder="1" applyAlignment="1">
      <alignment horizontal="center"/>
    </xf>
    <xf numFmtId="0" fontId="0" fillId="11" borderId="89" xfId="0" applyFill="1" applyBorder="1" applyAlignment="1">
      <alignment horizontal="center"/>
    </xf>
    <xf numFmtId="167" fontId="0" fillId="11" borderId="49"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0" fillId="16" borderId="98" xfId="0" applyFont="1" applyFill="1" applyBorder="1" applyAlignment="1">
      <alignment horizontal="center"/>
    </xf>
    <xf numFmtId="0" fontId="20" fillId="16" borderId="13" xfId="0" applyFont="1" applyFill="1" applyBorder="1" applyAlignment="1">
      <alignment horizontal="center"/>
    </xf>
    <xf numFmtId="0" fontId="20" fillId="16" borderId="99" xfId="0" applyFont="1" applyFill="1" applyBorder="1" applyAlignment="1">
      <alignment horizontal="center"/>
    </xf>
    <xf numFmtId="167" fontId="32" fillId="16" borderId="105" xfId="27" applyNumberFormat="1" applyFont="1" applyFill="1" applyBorder="1" applyAlignment="1">
      <alignment horizontal="center"/>
    </xf>
    <xf numFmtId="167" fontId="32" fillId="16" borderId="13" xfId="27" applyNumberFormat="1" applyFont="1" applyFill="1" applyBorder="1" applyAlignment="1">
      <alignment horizontal="center"/>
    </xf>
    <xf numFmtId="167" fontId="32" fillId="16" borderId="86" xfId="27" applyNumberFormat="1" applyFont="1" applyFill="1" applyBorder="1" applyAlignment="1">
      <alignment horizontal="center"/>
    </xf>
    <xf numFmtId="0" fontId="19" fillId="16" borderId="68" xfId="0" applyFont="1" applyFill="1" applyBorder="1" applyAlignment="1">
      <alignment horizontal="center" vertical="center"/>
    </xf>
    <xf numFmtId="0" fontId="19" fillId="16" borderId="69" xfId="0" applyFont="1" applyFill="1" applyBorder="1" applyAlignment="1">
      <alignment horizontal="center" vertical="center"/>
    </xf>
    <xf numFmtId="0" fontId="20" fillId="16" borderId="65" xfId="0" applyFont="1" applyFill="1" applyBorder="1" applyAlignment="1">
      <alignment horizontal="center" vertical="center" wrapText="1"/>
    </xf>
    <xf numFmtId="0" fontId="20" fillId="16" borderId="75"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20" fillId="16" borderId="104" xfId="0" applyFont="1" applyFill="1" applyBorder="1" applyAlignment="1">
      <alignment horizontal="center" vertical="center" wrapText="1"/>
    </xf>
    <xf numFmtId="0" fontId="20" fillId="16" borderId="141" xfId="0" applyFont="1" applyFill="1" applyBorder="1" applyAlignment="1">
      <alignment horizontal="center" vertical="center" wrapText="1"/>
    </xf>
    <xf numFmtId="0" fontId="65" fillId="11" borderId="535" xfId="0" applyFont="1" applyFill="1" applyBorder="1" applyAlignment="1">
      <alignment horizontal="center"/>
    </xf>
    <xf numFmtId="0" fontId="65" fillId="11" borderId="114" xfId="0" applyFont="1" applyFill="1" applyBorder="1" applyAlignment="1">
      <alignment horizontal="center"/>
    </xf>
    <xf numFmtId="0" fontId="65" fillId="11" borderId="537" xfId="0" applyFont="1" applyFill="1" applyBorder="1" applyAlignment="1">
      <alignment horizontal="center"/>
    </xf>
    <xf numFmtId="0" fontId="65" fillId="11" borderId="538" xfId="0" applyFont="1" applyFill="1" applyBorder="1" applyAlignment="1">
      <alignment horizontal="center"/>
    </xf>
    <xf numFmtId="0" fontId="19" fillId="16" borderId="63" xfId="0" applyFont="1" applyFill="1" applyBorder="1" applyAlignment="1">
      <alignment horizontal="center"/>
    </xf>
    <xf numFmtId="0" fontId="19" fillId="16" borderId="139" xfId="0" applyFont="1" applyFill="1" applyBorder="1" applyAlignment="1">
      <alignment horizontal="center"/>
    </xf>
    <xf numFmtId="0" fontId="19" fillId="16" borderId="113" xfId="0" applyFont="1" applyFill="1" applyBorder="1" applyAlignment="1">
      <alignment horizontal="center"/>
    </xf>
    <xf numFmtId="0" fontId="19" fillId="16" borderId="87" xfId="0" applyFont="1" applyFill="1" applyBorder="1" applyAlignment="1">
      <alignment horizontal="center" vertical="center"/>
    </xf>
    <xf numFmtId="0" fontId="19" fillId="16" borderId="138" xfId="0" applyFont="1" applyFill="1" applyBorder="1" applyAlignment="1">
      <alignment horizontal="center" vertical="center"/>
    </xf>
    <xf numFmtId="0" fontId="19" fillId="16" borderId="124" xfId="0" applyFont="1" applyFill="1" applyBorder="1" applyAlignment="1">
      <alignment horizontal="center" vertical="center"/>
    </xf>
    <xf numFmtId="0" fontId="20" fillId="16" borderId="107" xfId="0" applyFont="1" applyFill="1" applyBorder="1" applyAlignment="1">
      <alignment horizontal="center" vertical="center"/>
    </xf>
    <xf numFmtId="0" fontId="20" fillId="16" borderId="517" xfId="0" applyFont="1" applyFill="1" applyBorder="1" applyAlignment="1">
      <alignment horizontal="center" vertical="center"/>
    </xf>
    <xf numFmtId="0" fontId="20" fillId="16" borderId="91" xfId="0" applyFont="1" applyFill="1" applyBorder="1" applyAlignment="1">
      <alignment horizontal="center" vertical="center"/>
    </xf>
    <xf numFmtId="0" fontId="20" fillId="16" borderId="107" xfId="0" applyFont="1" applyFill="1" applyBorder="1" applyAlignment="1">
      <alignment horizontal="center" vertical="center" wrapText="1"/>
    </xf>
    <xf numFmtId="0" fontId="20" fillId="16" borderId="517" xfId="0" applyFont="1" applyFill="1" applyBorder="1" applyAlignment="1">
      <alignment horizontal="center" vertical="center" wrapText="1"/>
    </xf>
    <xf numFmtId="0" fontId="20" fillId="16" borderId="91" xfId="0" applyFont="1" applyFill="1" applyBorder="1" applyAlignment="1">
      <alignment horizontal="center" vertical="center" wrapText="1"/>
    </xf>
    <xf numFmtId="0" fontId="19" fillId="16" borderId="93" xfId="0" applyFont="1" applyFill="1" applyBorder="1" applyAlignment="1">
      <alignment horizontal="center" vertical="center"/>
    </xf>
    <xf numFmtId="0" fontId="21" fillId="16" borderId="65" xfId="0" applyFont="1" applyFill="1" applyBorder="1" applyAlignment="1">
      <alignment horizontal="center" vertical="center" wrapText="1"/>
    </xf>
    <xf numFmtId="0" fontId="32" fillId="16" borderId="68" xfId="0" applyFont="1" applyFill="1" applyBorder="1" applyAlignment="1">
      <alignment horizontal="center" vertical="center"/>
    </xf>
    <xf numFmtId="0" fontId="32" fillId="16" borderId="69" xfId="0" applyFont="1" applyFill="1" applyBorder="1" applyAlignment="1">
      <alignment horizontal="center" vertical="center"/>
    </xf>
    <xf numFmtId="0" fontId="32" fillId="16" borderId="70" xfId="0" applyFont="1" applyFill="1" applyBorder="1" applyAlignment="1">
      <alignment horizontal="center" vertical="center"/>
    </xf>
    <xf numFmtId="0" fontId="20" fillId="16" borderId="106" xfId="0" applyFont="1" applyFill="1" applyBorder="1" applyAlignment="1">
      <alignment horizontal="center" vertical="center"/>
    </xf>
    <xf numFmtId="0" fontId="20" fillId="16" borderId="75" xfId="0" applyFont="1" applyFill="1" applyBorder="1" applyAlignment="1">
      <alignment horizontal="center" vertical="center"/>
    </xf>
    <xf numFmtId="0" fontId="20" fillId="16" borderId="76" xfId="0" applyFont="1" applyFill="1" applyBorder="1" applyAlignment="1">
      <alignment horizontal="center" vertical="center"/>
    </xf>
    <xf numFmtId="0" fontId="20" fillId="16" borderId="118" xfId="0" applyFont="1" applyFill="1" applyBorder="1" applyAlignment="1">
      <alignment horizontal="center" vertical="center"/>
    </xf>
    <xf numFmtId="0" fontId="20" fillId="16" borderId="0" xfId="0" applyFont="1" applyFill="1" applyAlignment="1">
      <alignment horizontal="center" vertical="center"/>
    </xf>
    <xf numFmtId="0" fontId="20" fillId="16" borderId="110" xfId="0" applyFont="1" applyFill="1" applyBorder="1" applyAlignment="1">
      <alignment horizontal="center" vertical="center"/>
    </xf>
    <xf numFmtId="0" fontId="20" fillId="16" borderId="102" xfId="0" applyFont="1" applyFill="1" applyBorder="1" applyAlignment="1">
      <alignment horizontal="center" vertical="center"/>
    </xf>
    <xf numFmtId="0" fontId="20" fillId="16" borderId="104" xfId="0" applyFont="1" applyFill="1" applyBorder="1" applyAlignment="1">
      <alignment horizontal="center" vertical="center"/>
    </xf>
    <xf numFmtId="0" fontId="20" fillId="16" borderId="103" xfId="0" applyFont="1" applyFill="1" applyBorder="1" applyAlignment="1">
      <alignment horizontal="center" vertical="center"/>
    </xf>
    <xf numFmtId="0" fontId="21" fillId="16" borderId="470" xfId="0" applyFont="1" applyFill="1" applyBorder="1" applyAlignment="1">
      <alignment horizontal="center" vertical="center" wrapText="1"/>
    </xf>
    <xf numFmtId="0" fontId="34" fillId="16" borderId="106" xfId="0" applyFont="1" applyFill="1" applyBorder="1" applyAlignment="1">
      <alignment horizontal="center"/>
    </xf>
    <xf numFmtId="0" fontId="34" fillId="16" borderId="75" xfId="0" applyFont="1" applyFill="1" applyBorder="1" applyAlignment="1">
      <alignment horizontal="center"/>
    </xf>
    <xf numFmtId="0" fontId="34" fillId="16" borderId="112" xfId="0" applyFont="1" applyFill="1" applyBorder="1" applyAlignment="1">
      <alignment horizontal="center"/>
    </xf>
    <xf numFmtId="0" fontId="34" fillId="16" borderId="118" xfId="0" applyFont="1" applyFill="1" applyBorder="1" applyAlignment="1">
      <alignment horizontal="center"/>
    </xf>
    <xf numFmtId="0" fontId="34" fillId="16" borderId="0" xfId="0" applyFont="1" applyFill="1" applyAlignment="1">
      <alignment horizontal="center"/>
    </xf>
    <xf numFmtId="0" fontId="34" fillId="16" borderId="61" xfId="0" applyFont="1" applyFill="1" applyBorder="1" applyAlignment="1">
      <alignment horizontal="center"/>
    </xf>
    <xf numFmtId="0" fontId="34" fillId="16" borderId="63" xfId="0" applyFont="1" applyFill="1" applyBorder="1" applyAlignment="1">
      <alignment horizontal="center"/>
    </xf>
    <xf numFmtId="0" fontId="34" fillId="16" borderId="139" xfId="0" applyFont="1" applyFill="1" applyBorder="1" applyAlignment="1">
      <alignment horizontal="center"/>
    </xf>
    <xf numFmtId="0" fontId="34" fillId="16" borderId="113" xfId="0" applyFont="1" applyFill="1" applyBorder="1" applyAlignment="1">
      <alignment horizontal="center"/>
    </xf>
    <xf numFmtId="0" fontId="95" fillId="11" borderId="60" xfId="4" applyFont="1" applyFill="1" applyBorder="1" applyAlignment="1">
      <alignment horizontal="center" vertical="center"/>
    </xf>
    <xf numFmtId="0" fontId="14" fillId="0" borderId="0" xfId="4"/>
    <xf numFmtId="0" fontId="14" fillId="0" borderId="59" xfId="4" applyBorder="1"/>
    <xf numFmtId="0" fontId="93" fillId="0" borderId="386" xfId="4" applyFont="1" applyBorder="1" applyAlignment="1" applyProtection="1">
      <alignment horizontal="left" vertical="center" wrapText="1"/>
      <protection locked="0"/>
    </xf>
    <xf numFmtId="0" fontId="93" fillId="0" borderId="376" xfId="4" applyFont="1" applyBorder="1" applyAlignment="1" applyProtection="1">
      <alignment horizontal="left" vertical="center" wrapText="1"/>
      <protection locked="0"/>
    </xf>
    <xf numFmtId="0" fontId="93" fillId="0" borderId="12" xfId="4" applyFont="1" applyBorder="1" applyAlignment="1" applyProtection="1">
      <alignment horizontal="left" vertical="center" wrapText="1"/>
      <protection locked="0"/>
    </xf>
    <xf numFmtId="0" fontId="93" fillId="0" borderId="376" xfId="4" applyFont="1" applyBorder="1" applyAlignment="1" applyProtection="1">
      <alignment horizontal="center" vertical="center" wrapText="1"/>
      <protection locked="0"/>
    </xf>
    <xf numFmtId="0" fontId="93" fillId="0" borderId="12" xfId="4" applyFont="1" applyBorder="1" applyAlignment="1" applyProtection="1">
      <alignment horizontal="center" vertical="center" wrapText="1"/>
      <protection locked="0"/>
    </xf>
    <xf numFmtId="0" fontId="95" fillId="11" borderId="386" xfId="4" applyFont="1" applyFill="1" applyBorder="1" applyAlignment="1" applyProtection="1">
      <alignment horizontal="center" vertical="center" wrapText="1"/>
      <protection locked="0"/>
    </xf>
    <xf numFmtId="0" fontId="95" fillId="11" borderId="376" xfId="4" applyFont="1" applyFill="1" applyBorder="1" applyAlignment="1" applyProtection="1">
      <alignment horizontal="center" vertical="center" wrapText="1"/>
      <protection locked="0"/>
    </xf>
    <xf numFmtId="0" fontId="95" fillId="11" borderId="12" xfId="4" applyFont="1" applyFill="1" applyBorder="1" applyAlignment="1" applyProtection="1">
      <alignment horizontal="center" vertical="center" wrapText="1"/>
      <protection locked="0"/>
    </xf>
    <xf numFmtId="0" fontId="93" fillId="0" borderId="3" xfId="11" applyFont="1" applyBorder="1" applyAlignment="1" applyProtection="1">
      <alignment horizontal="center" vertical="center"/>
      <protection locked="0"/>
    </xf>
    <xf numFmtId="10" fontId="67" fillId="0" borderId="386" xfId="5" applyNumberFormat="1" applyFont="1" applyBorder="1" applyAlignment="1" applyProtection="1">
      <alignment horizontal="center" vertical="center"/>
    </xf>
    <xf numFmtId="10" fontId="67" fillId="0" borderId="376" xfId="5" applyNumberFormat="1" applyFont="1" applyBorder="1" applyAlignment="1" applyProtection="1">
      <alignment horizontal="center" vertical="center"/>
    </xf>
    <xf numFmtId="10" fontId="67" fillId="0" borderId="378" xfId="5" applyNumberFormat="1" applyFont="1" applyBorder="1" applyAlignment="1" applyProtection="1">
      <alignment horizontal="center" vertical="center"/>
    </xf>
    <xf numFmtId="0" fontId="10" fillId="11" borderId="490" xfId="4" applyFont="1" applyFill="1" applyBorder="1" applyAlignment="1">
      <alignment horizontal="center" vertical="center"/>
    </xf>
    <xf numFmtId="0" fontId="36" fillId="15" borderId="490" xfId="4" applyFont="1" applyFill="1" applyBorder="1" applyAlignment="1">
      <alignment horizontal="center" vertical="center" wrapText="1"/>
    </xf>
    <xf numFmtId="0" fontId="20" fillId="15" borderId="490" xfId="4" applyFont="1" applyFill="1" applyBorder="1" applyAlignment="1">
      <alignment horizontal="center" vertical="center" wrapText="1"/>
    </xf>
    <xf numFmtId="0" fontId="20" fillId="15" borderId="485" xfId="4" applyFont="1" applyFill="1" applyBorder="1" applyAlignment="1">
      <alignment horizontal="center" vertical="center" wrapText="1"/>
    </xf>
    <xf numFmtId="0" fontId="93" fillId="11" borderId="343" xfId="4" applyFont="1" applyFill="1" applyBorder="1"/>
    <xf numFmtId="0" fontId="93" fillId="0" borderId="344" xfId="4" applyFont="1" applyBorder="1"/>
    <xf numFmtId="0" fontId="93" fillId="0" borderId="345" xfId="4" applyFont="1" applyBorder="1"/>
    <xf numFmtId="0" fontId="17" fillId="16" borderId="218" xfId="4" applyFont="1" applyFill="1" applyBorder="1" applyAlignment="1">
      <alignment horizontal="center" vertical="center" wrapText="1"/>
    </xf>
    <xf numFmtId="0" fontId="17" fillId="16" borderId="54" xfId="4" applyFont="1" applyFill="1" applyBorder="1" applyAlignment="1">
      <alignment horizontal="center" vertical="center" wrapText="1"/>
    </xf>
    <xf numFmtId="0" fontId="17" fillId="16" borderId="55" xfId="4" applyFont="1" applyFill="1" applyBorder="1" applyAlignment="1">
      <alignment horizontal="center" vertical="center" wrapText="1"/>
    </xf>
    <xf numFmtId="0" fontId="93" fillId="0" borderId="341" xfId="4" applyFont="1" applyBorder="1" applyAlignment="1">
      <alignment horizontal="center" vertical="center"/>
    </xf>
    <xf numFmtId="0" fontId="93" fillId="0" borderId="482" xfId="4" applyFont="1" applyBorder="1" applyAlignment="1">
      <alignment horizontal="center" vertical="center"/>
    </xf>
    <xf numFmtId="0" fontId="97" fillId="2" borderId="483" xfId="4" applyFont="1" applyFill="1" applyBorder="1" applyAlignment="1">
      <alignment horizontal="center" vertical="center" wrapText="1"/>
    </xf>
    <xf numFmtId="0" fontId="97" fillId="2" borderId="481" xfId="4" applyFont="1" applyFill="1" applyBorder="1" applyAlignment="1">
      <alignment horizontal="center" vertical="center" wrapText="1"/>
    </xf>
    <xf numFmtId="0" fontId="97" fillId="2" borderId="482" xfId="4" applyFont="1" applyFill="1" applyBorder="1" applyAlignment="1">
      <alignment horizontal="center" vertical="center" wrapText="1"/>
    </xf>
    <xf numFmtId="0" fontId="97" fillId="2" borderId="342" xfId="4" applyFont="1" applyFill="1" applyBorder="1" applyAlignment="1">
      <alignment horizontal="center" vertical="center" wrapText="1"/>
    </xf>
    <xf numFmtId="0" fontId="93" fillId="11" borderId="60" xfId="4" applyFont="1" applyFill="1" applyBorder="1"/>
    <xf numFmtId="0" fontId="93" fillId="0" borderId="0" xfId="4" applyFont="1"/>
    <xf numFmtId="0" fontId="93" fillId="0" borderId="59" xfId="4" applyFont="1" applyBorder="1"/>
    <xf numFmtId="0" fontId="6" fillId="17" borderId="484" xfId="11" applyFont="1" applyFill="1" applyBorder="1" applyAlignment="1">
      <alignment horizontal="center" vertical="center"/>
    </xf>
    <xf numFmtId="0" fontId="72" fillId="14" borderId="490" xfId="4" applyFont="1" applyFill="1" applyBorder="1" applyAlignment="1">
      <alignment horizontal="center" vertical="center"/>
    </xf>
    <xf numFmtId="0" fontId="155" fillId="17" borderId="490" xfId="11" applyFont="1" applyFill="1" applyBorder="1" applyAlignment="1">
      <alignment horizontal="center" vertical="center"/>
    </xf>
    <xf numFmtId="0" fontId="94" fillId="14" borderId="218" xfId="4" applyFont="1" applyFill="1" applyBorder="1" applyAlignment="1">
      <alignment horizontal="center" vertical="center" wrapText="1"/>
    </xf>
    <xf numFmtId="0" fontId="94" fillId="14" borderId="54" xfId="4" applyFont="1" applyFill="1" applyBorder="1" applyAlignment="1">
      <alignment horizontal="center" vertical="center" wrapText="1"/>
    </xf>
    <xf numFmtId="0" fontId="94" fillId="14" borderId="55" xfId="4" applyFont="1" applyFill="1" applyBorder="1" applyAlignment="1">
      <alignment horizontal="center" vertical="center" wrapText="1"/>
    </xf>
    <xf numFmtId="0" fontId="95" fillId="11" borderId="370" xfId="4" applyFont="1" applyFill="1" applyBorder="1" applyAlignment="1">
      <alignment horizontal="center" vertical="center" wrapText="1"/>
    </xf>
    <xf numFmtId="0" fontId="95" fillId="11" borderId="1" xfId="4" applyFont="1" applyFill="1" applyBorder="1" applyAlignment="1">
      <alignment horizontal="center" vertical="center" wrapText="1"/>
    </xf>
    <xf numFmtId="0" fontId="95" fillId="11" borderId="7" xfId="4" applyFont="1" applyFill="1" applyBorder="1" applyAlignment="1">
      <alignment horizontal="center" vertical="center" wrapText="1"/>
    </xf>
    <xf numFmtId="15" fontId="95" fillId="11" borderId="6" xfId="4" applyNumberFormat="1" applyFont="1" applyFill="1" applyBorder="1" applyAlignment="1" applyProtection="1">
      <alignment horizontal="center" vertical="center" wrapText="1"/>
      <protection locked="0"/>
    </xf>
    <xf numFmtId="15" fontId="95" fillId="11" borderId="1" xfId="4" applyNumberFormat="1" applyFont="1" applyFill="1" applyBorder="1" applyAlignment="1" applyProtection="1">
      <alignment horizontal="center" vertical="center" wrapText="1"/>
      <protection locked="0"/>
    </xf>
    <xf numFmtId="15" fontId="95" fillId="11" borderId="7" xfId="4" applyNumberFormat="1" applyFont="1" applyFill="1" applyBorder="1" applyAlignment="1" applyProtection="1">
      <alignment horizontal="center" vertical="center" wrapText="1"/>
      <protection locked="0"/>
    </xf>
    <xf numFmtId="0" fontId="95" fillId="11" borderId="484" xfId="4" applyFont="1" applyFill="1" applyBorder="1" applyAlignment="1">
      <alignment horizontal="center" vertical="center" wrapText="1"/>
    </xf>
    <xf numFmtId="0" fontId="93" fillId="0" borderId="490" xfId="4" applyFont="1" applyBorder="1" applyAlignment="1">
      <alignment horizontal="center" wrapText="1"/>
    </xf>
    <xf numFmtId="0" fontId="93" fillId="0" borderId="483" xfId="4" applyFont="1" applyBorder="1" applyAlignment="1" applyProtection="1">
      <alignment horizontal="center" vertical="center"/>
      <protection locked="0"/>
    </xf>
    <xf numFmtId="0" fontId="93" fillId="0" borderId="481" xfId="4" applyFont="1" applyBorder="1" applyAlignment="1" applyProtection="1">
      <alignment horizontal="center" vertical="center"/>
      <protection locked="0"/>
    </xf>
    <xf numFmtId="0" fontId="93" fillId="0" borderId="482" xfId="4" applyFont="1" applyBorder="1" applyAlignment="1" applyProtection="1">
      <alignment horizontal="center" vertical="center"/>
      <protection locked="0"/>
    </xf>
    <xf numFmtId="0" fontId="95" fillId="11" borderId="490" xfId="4" applyFont="1" applyFill="1" applyBorder="1" applyAlignment="1">
      <alignment horizontal="center" vertical="center" wrapText="1"/>
    </xf>
    <xf numFmtId="0" fontId="95" fillId="11" borderId="482" xfId="4" applyFont="1" applyFill="1" applyBorder="1" applyAlignment="1">
      <alignment horizontal="center" vertical="center" wrapText="1"/>
    </xf>
    <xf numFmtId="1" fontId="93" fillId="0" borderId="483" xfId="4" applyNumberFormat="1" applyFont="1" applyBorder="1" applyAlignment="1">
      <alignment horizontal="center" vertical="center" wrapText="1"/>
    </xf>
    <xf numFmtId="0" fontId="93" fillId="0" borderId="481" xfId="4" applyFont="1" applyBorder="1" applyAlignment="1">
      <alignment horizontal="center" vertical="center" wrapText="1"/>
    </xf>
    <xf numFmtId="0" fontId="93" fillId="0" borderId="482" xfId="4" applyFont="1" applyBorder="1" applyAlignment="1">
      <alignment horizontal="center" vertical="center" wrapText="1"/>
    </xf>
    <xf numFmtId="0" fontId="95" fillId="11" borderId="483" xfId="4" applyFont="1" applyFill="1" applyBorder="1" applyAlignment="1">
      <alignment horizontal="center" vertical="center" wrapText="1"/>
    </xf>
    <xf numFmtId="182" fontId="93" fillId="0" borderId="483" xfId="4" applyNumberFormat="1" applyFont="1" applyBorder="1" applyAlignment="1" applyProtection="1">
      <alignment horizontal="center" vertical="center"/>
      <protection locked="0"/>
    </xf>
    <xf numFmtId="182" fontId="93" fillId="0" borderId="481" xfId="4" applyNumberFormat="1" applyFont="1" applyBorder="1" applyAlignment="1" applyProtection="1">
      <alignment horizontal="center" vertical="center"/>
      <protection locked="0"/>
    </xf>
    <xf numFmtId="182" fontId="93" fillId="0" borderId="342" xfId="4" applyNumberFormat="1" applyFont="1" applyBorder="1" applyAlignment="1" applyProtection="1">
      <alignment horizontal="center" vertical="center"/>
      <protection locked="0"/>
    </xf>
    <xf numFmtId="0" fontId="95" fillId="0" borderId="6" xfId="4" applyFont="1" applyBorder="1" applyAlignment="1" applyProtection="1">
      <alignment horizontal="center" vertical="center"/>
      <protection locked="0"/>
    </xf>
    <xf numFmtId="0" fontId="95" fillId="0" borderId="1" xfId="4" applyFont="1" applyBorder="1" applyAlignment="1" applyProtection="1">
      <alignment horizontal="center" vertical="center"/>
      <protection locked="0"/>
    </xf>
    <xf numFmtId="0" fontId="95" fillId="0" borderId="2" xfId="4" applyFont="1" applyBorder="1" applyAlignment="1" applyProtection="1">
      <alignment horizontal="center" vertical="center"/>
      <protection locked="0"/>
    </xf>
    <xf numFmtId="0" fontId="95" fillId="11" borderId="6" xfId="4" applyFont="1" applyFill="1" applyBorder="1" applyAlignment="1">
      <alignment horizontal="center" vertical="center"/>
    </xf>
    <xf numFmtId="0" fontId="95" fillId="11" borderId="1" xfId="4" applyFont="1" applyFill="1" applyBorder="1" applyAlignment="1">
      <alignment horizontal="center" vertical="center"/>
    </xf>
    <xf numFmtId="0" fontId="95" fillId="11" borderId="7" xfId="4" applyFont="1" applyFill="1" applyBorder="1" applyAlignment="1">
      <alignment horizontal="center" vertical="center"/>
    </xf>
    <xf numFmtId="0" fontId="93" fillId="0" borderId="483" xfId="4" applyFont="1" applyBorder="1" applyAlignment="1">
      <alignment horizontal="center" vertical="center"/>
    </xf>
    <xf numFmtId="0" fontId="93" fillId="0" borderId="72" xfId="4" applyFont="1" applyBorder="1" applyAlignment="1">
      <alignment horizontal="center" vertical="center"/>
    </xf>
    <xf numFmtId="0" fontId="97" fillId="0" borderId="490" xfId="11" applyFont="1" applyBorder="1" applyAlignment="1">
      <alignment horizontal="left" vertical="center" wrapText="1"/>
    </xf>
    <xf numFmtId="0" fontId="93" fillId="0" borderId="490" xfId="4" applyFont="1" applyBorder="1" applyAlignment="1">
      <alignment vertical="center" wrapText="1"/>
    </xf>
    <xf numFmtId="0" fontId="93" fillId="0" borderId="526" xfId="11" applyFont="1" applyBorder="1" applyAlignment="1" applyProtection="1">
      <alignment horizontal="center" vertical="center"/>
      <protection locked="0"/>
    </xf>
    <xf numFmtId="0" fontId="93" fillId="0" borderId="527" xfId="11" applyFont="1" applyBorder="1" applyAlignment="1" applyProtection="1">
      <alignment horizontal="center" vertical="center"/>
      <protection locked="0"/>
    </xf>
    <xf numFmtId="0" fontId="97" fillId="13" borderId="490" xfId="4" applyFont="1" applyFill="1" applyBorder="1" applyAlignment="1">
      <alignment horizontal="left" vertical="center" wrapText="1"/>
    </xf>
    <xf numFmtId="0" fontId="47" fillId="16" borderId="218" xfId="4" applyFont="1" applyFill="1" applyBorder="1" applyAlignment="1">
      <alignment horizontal="center" vertical="top" wrapText="1"/>
    </xf>
    <xf numFmtId="0" fontId="47" fillId="16" borderId="54" xfId="4" applyFont="1" applyFill="1" applyBorder="1" applyAlignment="1">
      <alignment horizontal="center" vertical="top" wrapText="1"/>
    </xf>
    <xf numFmtId="0" fontId="47" fillId="16" borderId="55" xfId="4" applyFont="1" applyFill="1" applyBorder="1" applyAlignment="1">
      <alignment horizontal="center" vertical="top" wrapText="1"/>
    </xf>
    <xf numFmtId="0" fontId="97" fillId="0" borderId="346" xfId="4" applyFont="1" applyBorder="1" applyAlignment="1">
      <alignment horizontal="center" vertical="center"/>
    </xf>
    <xf numFmtId="0" fontId="97" fillId="0" borderId="347" xfId="4" applyFont="1" applyBorder="1" applyAlignment="1">
      <alignment horizontal="center" vertical="center"/>
    </xf>
    <xf numFmtId="0" fontId="98" fillId="2" borderId="347" xfId="4" applyFont="1" applyFill="1" applyBorder="1" applyAlignment="1">
      <alignment horizontal="center" vertical="center"/>
    </xf>
    <xf numFmtId="0" fontId="98" fillId="0" borderId="347" xfId="4" applyFont="1" applyBorder="1" applyAlignment="1">
      <alignment horizontal="center" vertical="center"/>
    </xf>
    <xf numFmtId="2" fontId="98" fillId="2" borderId="347" xfId="4" applyNumberFormat="1" applyFont="1" applyFill="1" applyBorder="1" applyAlignment="1">
      <alignment horizontal="center" vertical="center"/>
    </xf>
    <xf numFmtId="0" fontId="98" fillId="2" borderId="348" xfId="4" applyFont="1" applyFill="1" applyBorder="1" applyAlignment="1">
      <alignment horizontal="center" vertical="center"/>
    </xf>
    <xf numFmtId="0" fontId="98" fillId="2" borderId="349" xfId="4" applyFont="1" applyFill="1" applyBorder="1" applyAlignment="1">
      <alignment horizontal="center" vertical="center"/>
    </xf>
    <xf numFmtId="0" fontId="98" fillId="2" borderId="350" xfId="4" applyFont="1" applyFill="1" applyBorder="1" applyAlignment="1">
      <alignment horizontal="center" vertical="center"/>
    </xf>
    <xf numFmtId="0" fontId="15" fillId="0" borderId="346" xfId="4" applyFont="1" applyBorder="1" applyAlignment="1">
      <alignment horizontal="center" vertical="center" wrapText="1"/>
    </xf>
    <xf numFmtId="0" fontId="93" fillId="0" borderId="347" xfId="4" applyFont="1" applyBorder="1" applyAlignment="1">
      <alignment horizontal="center" vertical="center"/>
    </xf>
    <xf numFmtId="0" fontId="165" fillId="13" borderId="348" xfId="4" applyFont="1" applyFill="1" applyBorder="1" applyAlignment="1" applyProtection="1">
      <alignment horizontal="center" vertical="center"/>
      <protection locked="0"/>
    </xf>
    <xf numFmtId="0" fontId="165" fillId="13" borderId="349" xfId="4" applyFont="1" applyFill="1" applyBorder="1" applyAlignment="1" applyProtection="1">
      <alignment horizontal="center" vertical="center"/>
      <protection locked="0"/>
    </xf>
    <xf numFmtId="0" fontId="165" fillId="13" borderId="350" xfId="4" applyFont="1" applyFill="1" applyBorder="1" applyAlignment="1" applyProtection="1">
      <alignment horizontal="center" vertical="center"/>
      <protection locked="0"/>
    </xf>
    <xf numFmtId="0" fontId="15" fillId="0" borderId="351" xfId="4" applyFont="1" applyBorder="1" applyAlignment="1">
      <alignment horizontal="center" vertical="center" wrapText="1"/>
    </xf>
    <xf numFmtId="0" fontId="15" fillId="0" borderId="349" xfId="4" applyFont="1" applyBorder="1" applyAlignment="1">
      <alignment horizontal="center" vertical="center" wrapText="1"/>
    </xf>
    <xf numFmtId="0" fontId="165" fillId="0" borderId="349" xfId="4" applyFont="1" applyBorder="1" applyAlignment="1" applyProtection="1">
      <alignment horizontal="center" vertical="center" wrapText="1"/>
      <protection locked="0"/>
    </xf>
    <xf numFmtId="0" fontId="165" fillId="0" borderId="350" xfId="4" applyFont="1" applyBorder="1" applyAlignment="1" applyProtection="1">
      <alignment horizontal="center" vertical="center" wrapText="1"/>
      <protection locked="0"/>
    </xf>
    <xf numFmtId="0" fontId="206" fillId="16" borderId="530" xfId="0" applyFont="1" applyFill="1" applyBorder="1" applyAlignment="1">
      <alignment horizontal="center" vertical="center"/>
    </xf>
    <xf numFmtId="0" fontId="206" fillId="16" borderId="529" xfId="0" applyFont="1" applyFill="1" applyBorder="1" applyAlignment="1">
      <alignment horizontal="center" vertical="center"/>
    </xf>
    <xf numFmtId="0" fontId="201" fillId="62" borderId="0" xfId="0" applyFont="1" applyFill="1" applyAlignment="1">
      <alignment horizontal="center" vertical="center"/>
    </xf>
    <xf numFmtId="0" fontId="202" fillId="0" borderId="0" xfId="0" applyFont="1"/>
    <xf numFmtId="0" fontId="202" fillId="0" borderId="554" xfId="0" applyFont="1" applyBorder="1"/>
    <xf numFmtId="0" fontId="202" fillId="0" borderId="555" xfId="0" applyFont="1" applyBorder="1"/>
    <xf numFmtId="0" fontId="202" fillId="0" borderId="556" xfId="0" applyFont="1" applyBorder="1"/>
    <xf numFmtId="0" fontId="193" fillId="0" borderId="574" xfId="0" applyFont="1" applyBorder="1" applyAlignment="1">
      <alignment horizontal="left" vertical="center"/>
    </xf>
    <xf numFmtId="0" fontId="202" fillId="0" borderId="575" xfId="0" applyFont="1" applyBorder="1"/>
    <xf numFmtId="0" fontId="193" fillId="0" borderId="566" xfId="0" applyFont="1" applyBorder="1" applyAlignment="1">
      <alignment horizontal="left" vertical="center"/>
    </xf>
    <xf numFmtId="0" fontId="202" fillId="0" borderId="567" xfId="0" applyFont="1" applyBorder="1"/>
    <xf numFmtId="0" fontId="205" fillId="62" borderId="557" xfId="0" applyFont="1" applyFill="1" applyBorder="1" applyAlignment="1">
      <alignment horizontal="center" vertical="center"/>
    </xf>
    <xf numFmtId="0" fontId="202" fillId="0" borderId="558" xfId="0" applyFont="1" applyBorder="1"/>
    <xf numFmtId="0" fontId="193" fillId="0" borderId="560" xfId="0" applyFont="1" applyBorder="1" applyAlignment="1">
      <alignment horizontal="left" vertical="center"/>
    </xf>
    <xf numFmtId="0" fontId="202" fillId="0" borderId="561" xfId="0" applyFont="1" applyBorder="1"/>
    <xf numFmtId="0" fontId="193" fillId="64" borderId="566" xfId="0" applyFont="1" applyFill="1" applyBorder="1" applyAlignment="1">
      <alignment horizontal="left" vertical="center"/>
    </xf>
    <xf numFmtId="0" fontId="205" fillId="63" borderId="565" xfId="0" applyFont="1" applyFill="1" applyBorder="1" applyAlignment="1">
      <alignment horizontal="center" vertical="center"/>
    </xf>
    <xf numFmtId="0" fontId="202" fillId="0" borderId="565" xfId="0" applyFont="1" applyBorder="1"/>
    <xf numFmtId="0" fontId="202" fillId="0" borderId="571" xfId="0" applyFont="1" applyBorder="1"/>
    <xf numFmtId="0" fontId="207" fillId="16" borderId="68" xfId="0" applyFont="1" applyFill="1" applyBorder="1" applyAlignment="1">
      <alignment horizontal="center" vertical="center"/>
    </xf>
    <xf numFmtId="0" fontId="207" fillId="16" borderId="69" xfId="0" applyFont="1" applyFill="1" applyBorder="1" applyAlignment="1">
      <alignment horizontal="center" vertical="center"/>
    </xf>
    <xf numFmtId="0" fontId="205" fillId="63" borderId="559" xfId="0" applyFont="1" applyFill="1" applyBorder="1" applyAlignment="1">
      <alignment horizontal="center" vertical="center"/>
    </xf>
    <xf numFmtId="0" fontId="147" fillId="15" borderId="401" xfId="0" quotePrefix="1" applyFont="1" applyFill="1" applyBorder="1" applyAlignment="1">
      <alignment horizontal="center" vertical="center"/>
    </xf>
    <xf numFmtId="0" fontId="147" fillId="15" borderId="492" xfId="0" quotePrefix="1" applyFont="1" applyFill="1" applyBorder="1" applyAlignment="1">
      <alignment horizontal="center" vertical="center"/>
    </xf>
    <xf numFmtId="0" fontId="147" fillId="15" borderId="402" xfId="0" quotePrefix="1" applyFont="1" applyFill="1" applyBorder="1" applyAlignment="1">
      <alignment horizontal="center" vertical="center"/>
    </xf>
    <xf numFmtId="0" fontId="147" fillId="14" borderId="373" xfId="0" quotePrefix="1" applyFont="1" applyFill="1" applyBorder="1" applyAlignment="1">
      <alignment horizontal="center" vertical="center" wrapText="1"/>
    </xf>
    <xf numFmtId="0" fontId="147" fillId="14" borderId="380" xfId="0" quotePrefix="1" applyFont="1" applyFill="1" applyBorder="1" applyAlignment="1">
      <alignment horizontal="center" vertical="center" wrapText="1"/>
    </xf>
    <xf numFmtId="0" fontId="147" fillId="14" borderId="491" xfId="0" quotePrefix="1" applyFont="1" applyFill="1" applyBorder="1" applyAlignment="1">
      <alignment horizontal="center" vertical="center" wrapText="1"/>
    </xf>
    <xf numFmtId="0" fontId="147" fillId="14" borderId="385" xfId="0" quotePrefix="1" applyFont="1" applyFill="1" applyBorder="1" applyAlignment="1">
      <alignment horizontal="center" vertical="center" wrapText="1"/>
    </xf>
    <xf numFmtId="0" fontId="147" fillId="19" borderId="5" xfId="0" applyFont="1" applyFill="1" applyBorder="1" applyAlignment="1">
      <alignment horizontal="center" vertical="center"/>
    </xf>
    <xf numFmtId="0" fontId="147" fillId="19" borderId="371" xfId="0" applyFont="1" applyFill="1" applyBorder="1" applyAlignment="1">
      <alignment horizontal="center" vertical="center"/>
    </xf>
    <xf numFmtId="0" fontId="147" fillId="19" borderId="372" xfId="0" applyFont="1" applyFill="1" applyBorder="1" applyAlignment="1">
      <alignment horizontal="center" vertical="center"/>
    </xf>
    <xf numFmtId="0" fontId="147" fillId="19" borderId="6" xfId="0" applyFont="1" applyFill="1" applyBorder="1" applyAlignment="1">
      <alignment horizontal="center" vertical="center"/>
    </xf>
    <xf numFmtId="168" fontId="150" fillId="0" borderId="0" xfId="0" applyNumberFormat="1" applyFont="1" applyAlignment="1">
      <alignment horizontal="left" vertical="top"/>
    </xf>
    <xf numFmtId="0" fontId="150" fillId="0" borderId="0" xfId="0" applyFont="1" applyAlignment="1">
      <alignment horizontal="left" vertical="top"/>
    </xf>
    <xf numFmtId="0" fontId="147" fillId="19" borderId="370" xfId="0" applyFont="1" applyFill="1" applyBorder="1" applyAlignment="1">
      <alignment horizontal="center" vertical="center"/>
    </xf>
    <xf numFmtId="0" fontId="147" fillId="19" borderId="1" xfId="0" applyFont="1" applyFill="1" applyBorder="1" applyAlignment="1">
      <alignment horizontal="center" vertical="center"/>
    </xf>
    <xf numFmtId="0" fontId="147" fillId="19" borderId="2" xfId="0" applyFont="1" applyFill="1" applyBorder="1" applyAlignment="1">
      <alignment horizontal="center" vertical="center"/>
    </xf>
    <xf numFmtId="0" fontId="147" fillId="19" borderId="5" xfId="0" quotePrefix="1" applyFont="1" applyFill="1" applyBorder="1" applyAlignment="1">
      <alignment horizontal="center" vertical="center"/>
    </xf>
    <xf numFmtId="0" fontId="147" fillId="19" borderId="371" xfId="0" quotePrefix="1" applyFont="1" applyFill="1" applyBorder="1" applyAlignment="1">
      <alignment horizontal="center" vertical="center"/>
    </xf>
    <xf numFmtId="0" fontId="147" fillId="19" borderId="372" xfId="0" quotePrefix="1" applyFont="1" applyFill="1" applyBorder="1" applyAlignment="1">
      <alignment horizontal="center" vertical="center"/>
    </xf>
    <xf numFmtId="0" fontId="147" fillId="14" borderId="401" xfId="0" quotePrefix="1" applyFont="1" applyFill="1" applyBorder="1" applyAlignment="1">
      <alignment horizontal="center" vertical="center" wrapText="1"/>
    </xf>
    <xf numFmtId="0" fontId="147" fillId="14" borderId="384" xfId="0" quotePrefix="1" applyFont="1" applyFill="1" applyBorder="1" applyAlignment="1">
      <alignment horizontal="center" vertical="center" wrapText="1"/>
    </xf>
    <xf numFmtId="0" fontId="137" fillId="0" borderId="481" xfId="0" applyFont="1" applyBorder="1" applyAlignment="1">
      <alignment horizontal="left" vertical="top"/>
    </xf>
    <xf numFmtId="0" fontId="150" fillId="0" borderId="481" xfId="0" applyFont="1" applyBorder="1" applyAlignment="1">
      <alignment horizontal="center" vertical="top"/>
    </xf>
    <xf numFmtId="0" fontId="150" fillId="0" borderId="139" xfId="0" applyFont="1" applyBorder="1" applyAlignment="1">
      <alignment horizontal="center" vertical="top"/>
    </xf>
    <xf numFmtId="39" fontId="31" fillId="0" borderId="81" xfId="1" applyNumberFormat="1" applyFont="1" applyFill="1" applyBorder="1" applyAlignment="1" applyProtection="1">
      <alignment horizontal="center" vertical="center"/>
      <protection locked="0"/>
    </xf>
    <xf numFmtId="39" fontId="31" fillId="0" borderId="30" xfId="1" applyNumberFormat="1" applyFont="1" applyFill="1" applyBorder="1" applyAlignment="1" applyProtection="1">
      <alignment horizontal="center" vertical="center"/>
      <protection locked="0"/>
    </xf>
    <xf numFmtId="39" fontId="30" fillId="0" borderId="127" xfId="0" applyNumberFormat="1" applyFont="1" applyBorder="1" applyAlignment="1">
      <alignment horizontal="center" vertical="center"/>
    </xf>
    <xf numFmtId="39" fontId="30" fillId="0" borderId="129" xfId="0" applyNumberFormat="1" applyFont="1" applyBorder="1" applyAlignment="1">
      <alignment horizontal="center" vertical="center"/>
    </xf>
    <xf numFmtId="39" fontId="31" fillId="2" borderId="88" xfId="1" applyNumberFormat="1" applyFont="1" applyFill="1" applyBorder="1" applyAlignment="1" applyProtection="1">
      <alignment horizontal="center" vertical="center"/>
    </xf>
    <xf numFmtId="39" fontId="31" fillId="2" borderId="56" xfId="1" applyNumberFormat="1" applyFont="1" applyFill="1" applyBorder="1" applyAlignment="1" applyProtection="1">
      <alignment horizontal="center" vertical="center"/>
    </xf>
    <xf numFmtId="39" fontId="48" fillId="2" borderId="81" xfId="1" applyNumberFormat="1" applyFont="1" applyFill="1" applyBorder="1" applyAlignment="1" applyProtection="1">
      <alignment horizontal="center" vertical="center"/>
    </xf>
    <xf numFmtId="39" fontId="48" fillId="2" borderId="9"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protection locked="0"/>
    </xf>
    <xf numFmtId="38" fontId="30" fillId="2" borderId="127" xfId="0" applyNumberFormat="1" applyFont="1" applyFill="1" applyBorder="1" applyAlignment="1">
      <alignment horizontal="center" vertical="center"/>
    </xf>
    <xf numFmtId="38" fontId="30" fillId="2" borderId="128" xfId="0" applyNumberFormat="1" applyFont="1" applyFill="1" applyBorder="1" applyAlignment="1">
      <alignment horizontal="center" vertical="center"/>
    </xf>
    <xf numFmtId="0" fontId="29" fillId="16" borderId="71" xfId="0" applyFont="1" applyFill="1" applyBorder="1" applyAlignment="1">
      <alignment horizontal="center" vertical="center" wrapText="1"/>
    </xf>
    <xf numFmtId="0" fontId="29" fillId="16" borderId="72" xfId="0" applyFont="1" applyFill="1" applyBorder="1" applyAlignment="1">
      <alignment horizontal="center" vertical="center" wrapText="1"/>
    </xf>
    <xf numFmtId="9" fontId="31" fillId="0" borderId="88" xfId="2" applyFont="1" applyFill="1" applyBorder="1" applyAlignment="1" applyProtection="1">
      <alignment horizontal="center" vertical="center"/>
      <protection locked="0"/>
    </xf>
    <xf numFmtId="9" fontId="31" fillId="0" borderId="62" xfId="2" applyFont="1" applyFill="1" applyBorder="1" applyAlignment="1" applyProtection="1">
      <alignment horizontal="center" vertical="center"/>
      <protection locked="0"/>
    </xf>
    <xf numFmtId="0" fontId="28" fillId="14" borderId="118" xfId="0" applyFont="1" applyFill="1" applyBorder="1" applyAlignment="1">
      <alignment horizontal="center" vertical="center"/>
    </xf>
    <xf numFmtId="0" fontId="28" fillId="14" borderId="0" xfId="0" applyFont="1" applyFill="1" applyAlignment="1">
      <alignment horizontal="center" vertical="center"/>
    </xf>
    <xf numFmtId="0" fontId="21" fillId="16" borderId="71" xfId="0" applyFont="1" applyFill="1" applyBorder="1" applyAlignment="1">
      <alignment horizontal="center" vertical="center" wrapText="1"/>
    </xf>
    <xf numFmtId="0" fontId="21" fillId="16" borderId="102" xfId="0" applyFont="1" applyFill="1" applyBorder="1" applyAlignment="1">
      <alignment horizontal="center" vertical="center" wrapText="1"/>
    </xf>
    <xf numFmtId="167" fontId="38" fillId="2" borderId="62" xfId="0" applyNumberFormat="1" applyFont="1" applyFill="1" applyBorder="1" applyAlignment="1">
      <alignment horizontal="center" vertical="center"/>
    </xf>
    <xf numFmtId="167" fontId="38" fillId="2" borderId="9" xfId="0" applyNumberFormat="1" applyFont="1" applyFill="1" applyBorder="1" applyAlignment="1">
      <alignment horizontal="center" vertical="center"/>
    </xf>
    <xf numFmtId="37" fontId="31" fillId="2" borderId="81" xfId="1" applyNumberFormat="1" applyFont="1" applyFill="1" applyBorder="1" applyAlignment="1" applyProtection="1">
      <alignment horizontal="center" vertical="center"/>
    </xf>
    <xf numFmtId="37" fontId="31" fillId="2" borderId="9" xfId="1" applyNumberFormat="1" applyFont="1" applyFill="1" applyBorder="1" applyAlignment="1" applyProtection="1">
      <alignment horizontal="center" vertical="center"/>
    </xf>
    <xf numFmtId="39" fontId="31" fillId="0" borderId="88" xfId="1" applyNumberFormat="1" applyFont="1" applyFill="1" applyBorder="1" applyAlignment="1" applyProtection="1">
      <alignment horizontal="center" vertical="center"/>
      <protection locked="0"/>
    </xf>
    <xf numFmtId="39" fontId="31" fillId="0" borderId="56" xfId="1" applyNumberFormat="1" applyFont="1" applyFill="1" applyBorder="1" applyAlignment="1" applyProtection="1">
      <alignment horizontal="center" vertical="center"/>
      <protection locked="0"/>
    </xf>
    <xf numFmtId="39" fontId="31" fillId="2" borderId="62" xfId="1" applyNumberFormat="1" applyFont="1" applyFill="1" applyBorder="1" applyAlignment="1" applyProtection="1">
      <alignment horizontal="center" vertical="center"/>
    </xf>
    <xf numFmtId="37" fontId="31" fillId="2" borderId="88" xfId="1" applyNumberFormat="1" applyFont="1" applyFill="1" applyBorder="1" applyAlignment="1" applyProtection="1">
      <alignment horizontal="center" vertical="center"/>
    </xf>
    <xf numFmtId="37" fontId="31" fillId="2" borderId="62" xfId="1" applyNumberFormat="1" applyFont="1" applyFill="1" applyBorder="1" applyAlignment="1" applyProtection="1">
      <alignment horizontal="center" vertical="center"/>
    </xf>
    <xf numFmtId="0" fontId="6" fillId="0" borderId="416" xfId="0" applyFont="1" applyBorder="1" applyAlignment="1">
      <alignment horizontal="center" vertical="center"/>
    </xf>
    <xf numFmtId="0" fontId="6" fillId="0" borderId="417" xfId="0" applyFont="1" applyBorder="1" applyAlignment="1">
      <alignment horizontal="center" vertical="center"/>
    </xf>
    <xf numFmtId="0" fontId="6" fillId="0" borderId="418" xfId="0" applyFont="1" applyBorder="1" applyAlignment="1">
      <alignment horizontal="center" vertical="center"/>
    </xf>
    <xf numFmtId="0" fontId="6" fillId="0" borderId="419" xfId="0" applyFont="1" applyBorder="1" applyAlignment="1">
      <alignment horizontal="center" vertical="center"/>
    </xf>
    <xf numFmtId="0" fontId="6" fillId="0" borderId="420" xfId="0" applyFont="1" applyBorder="1" applyAlignment="1">
      <alignment horizontal="center" vertical="center"/>
    </xf>
    <xf numFmtId="0" fontId="6" fillId="0" borderId="421" xfId="0" applyFont="1" applyBorder="1" applyAlignment="1">
      <alignment horizontal="center" vertical="center"/>
    </xf>
    <xf numFmtId="0" fontId="6" fillId="0" borderId="422" xfId="0" applyFont="1" applyBorder="1" applyAlignment="1">
      <alignment horizontal="center" vertical="center"/>
    </xf>
    <xf numFmtId="0" fontId="6" fillId="0" borderId="423" xfId="0" applyFont="1" applyBorder="1" applyAlignment="1">
      <alignment horizontal="center" vertical="center"/>
    </xf>
    <xf numFmtId="39" fontId="31" fillId="0" borderId="62" xfId="1" applyNumberFormat="1" applyFont="1" applyFill="1" applyBorder="1" applyAlignment="1" applyProtection="1">
      <alignment horizontal="center" vertical="center"/>
      <protection locked="0"/>
    </xf>
    <xf numFmtId="0" fontId="29" fillId="16" borderId="106" xfId="0" applyFont="1" applyFill="1" applyBorder="1" applyAlignment="1">
      <alignment horizontal="center" vertical="center" wrapText="1"/>
    </xf>
    <xf numFmtId="0" fontId="29" fillId="16" borderId="76" xfId="0" applyFont="1" applyFill="1" applyBorder="1" applyAlignment="1">
      <alignment horizontal="center" vertical="center" wrapText="1"/>
    </xf>
    <xf numFmtId="39" fontId="30" fillId="0" borderId="128" xfId="0" applyNumberFormat="1" applyFont="1" applyBorder="1" applyAlignment="1">
      <alignment horizontal="center" vertical="center"/>
    </xf>
    <xf numFmtId="39" fontId="31" fillId="0" borderId="81"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xf>
    <xf numFmtId="39" fontId="30" fillId="2" borderId="127" xfId="0" applyNumberFormat="1" applyFont="1" applyFill="1" applyBorder="1" applyAlignment="1">
      <alignment horizontal="center" vertical="center"/>
    </xf>
    <xf numFmtId="39" fontId="30" fillId="2" borderId="128" xfId="0" applyNumberFormat="1" applyFont="1" applyFill="1" applyBorder="1" applyAlignment="1">
      <alignment horizontal="center" vertical="center"/>
    </xf>
    <xf numFmtId="9" fontId="31" fillId="0" borderId="81" xfId="2" applyFont="1" applyFill="1" applyBorder="1" applyAlignment="1" applyProtection="1">
      <alignment horizontal="center" vertical="center"/>
      <protection locked="0"/>
    </xf>
    <xf numFmtId="9" fontId="31" fillId="0" borderId="9" xfId="2" applyFont="1" applyFill="1" applyBorder="1" applyAlignment="1" applyProtection="1">
      <alignment horizontal="center" vertical="center"/>
      <protection locked="0"/>
    </xf>
    <xf numFmtId="166" fontId="31" fillId="2" borderId="127" xfId="2" applyNumberFormat="1" applyFont="1" applyFill="1" applyBorder="1" applyAlignment="1" applyProtection="1">
      <alignment horizontal="center" vertical="center"/>
    </xf>
    <xf numFmtId="166" fontId="31" fillId="2" borderId="128" xfId="2" applyNumberFormat="1" applyFont="1" applyFill="1" applyBorder="1" applyAlignment="1" applyProtection="1">
      <alignment horizontal="center" vertical="center"/>
    </xf>
    <xf numFmtId="10" fontId="38" fillId="2" borderId="9" xfId="2" applyNumberFormat="1" applyFont="1" applyFill="1" applyBorder="1" applyAlignment="1">
      <alignment horizontal="center" vertical="center"/>
    </xf>
    <xf numFmtId="10" fontId="38" fillId="2" borderId="128" xfId="2" applyNumberFormat="1" applyFont="1" applyFill="1" applyBorder="1" applyAlignment="1">
      <alignment horizontal="center" vertical="center"/>
    </xf>
    <xf numFmtId="39" fontId="31" fillId="2" borderId="81" xfId="1" applyNumberFormat="1" applyFont="1" applyFill="1" applyBorder="1" applyAlignment="1" applyProtection="1">
      <alignment horizontal="center" vertical="center"/>
    </xf>
    <xf numFmtId="39" fontId="31" fillId="2" borderId="9" xfId="1" applyNumberFormat="1" applyFont="1" applyFill="1" applyBorder="1" applyAlignment="1" applyProtection="1">
      <alignment horizontal="center" vertical="center"/>
    </xf>
    <xf numFmtId="0" fontId="21" fillId="16" borderId="118" xfId="0" applyFont="1" applyFill="1" applyBorder="1" applyAlignment="1">
      <alignment horizontal="center" vertical="center" wrapText="1"/>
    </xf>
    <xf numFmtId="0" fontId="0" fillId="0" borderId="490" xfId="0" applyBorder="1" applyAlignment="1">
      <alignment vertical="center"/>
    </xf>
    <xf numFmtId="0" fontId="0" fillId="0" borderId="485" xfId="0" applyBorder="1" applyAlignment="1">
      <alignment vertical="center"/>
    </xf>
    <xf numFmtId="0" fontId="6" fillId="0" borderId="218"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343" xfId="0" applyFont="1" applyBorder="1" applyAlignment="1">
      <alignment horizontal="center" vertical="center" wrapText="1"/>
    </xf>
    <xf numFmtId="0" fontId="6" fillId="0" borderId="345" xfId="0" applyFont="1" applyBorder="1" applyAlignment="1">
      <alignment horizontal="center" vertical="center" wrapText="1"/>
    </xf>
    <xf numFmtId="0" fontId="0" fillId="0" borderId="371" xfId="0" applyBorder="1" applyAlignment="1">
      <alignment vertical="center"/>
    </xf>
    <xf numFmtId="0" fontId="0" fillId="0" borderId="372"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37" fillId="16" borderId="71" xfId="0" applyFont="1" applyFill="1" applyBorder="1" applyAlignment="1">
      <alignment horizontal="center" vertical="center" wrapText="1"/>
    </xf>
    <xf numFmtId="0" fontId="37" fillId="16" borderId="63" xfId="0" applyFont="1" applyFill="1" applyBorder="1" applyAlignment="1">
      <alignment horizontal="center" vertical="center" wrapText="1"/>
    </xf>
    <xf numFmtId="37" fontId="31" fillId="2" borderId="72" xfId="1" applyNumberFormat="1" applyFont="1" applyFill="1" applyBorder="1" applyAlignment="1" applyProtection="1">
      <alignment horizontal="center" vertical="center"/>
      <protection locked="0"/>
    </xf>
    <xf numFmtId="37" fontId="31" fillId="2" borderId="73" xfId="1" applyNumberFormat="1" applyFont="1" applyFill="1" applyBorder="1" applyAlignment="1" applyProtection="1">
      <alignment horizontal="center" vertical="center"/>
      <protection locked="0"/>
    </xf>
    <xf numFmtId="37" fontId="31" fillId="2" borderId="139" xfId="1" applyNumberFormat="1" applyFont="1" applyFill="1" applyBorder="1" applyAlignment="1" applyProtection="1">
      <alignment horizontal="center" vertical="center"/>
      <protection locked="0"/>
    </xf>
    <xf numFmtId="37" fontId="31" fillId="2" borderId="64" xfId="1" applyNumberFormat="1" applyFont="1" applyFill="1" applyBorder="1" applyAlignment="1" applyProtection="1">
      <alignment horizontal="center" vertical="center"/>
      <protection locked="0"/>
    </xf>
    <xf numFmtId="0" fontId="28" fillId="16" borderId="60" xfId="0" applyFont="1" applyFill="1" applyBorder="1" applyAlignment="1">
      <alignment horizontal="center" vertical="center"/>
    </xf>
    <xf numFmtId="0" fontId="28" fillId="16" borderId="0" xfId="0" applyFont="1" applyFill="1" applyAlignment="1">
      <alignment horizontal="center" vertical="center"/>
    </xf>
    <xf numFmtId="17" fontId="13" fillId="4" borderId="15" xfId="0" applyNumberFormat="1" applyFont="1" applyFill="1" applyBorder="1" applyAlignment="1">
      <alignment horizontal="center"/>
    </xf>
    <xf numFmtId="17" fontId="13" fillId="4" borderId="16" xfId="0" applyNumberFormat="1" applyFont="1" applyFill="1" applyBorder="1" applyAlignment="1">
      <alignment horizontal="center"/>
    </xf>
    <xf numFmtId="17" fontId="13" fillId="4" borderId="17" xfId="0" applyNumberFormat="1" applyFont="1" applyFill="1" applyBorder="1" applyAlignment="1">
      <alignment horizontal="center"/>
    </xf>
    <xf numFmtId="0" fontId="8" fillId="8" borderId="483" xfId="0" applyFont="1" applyFill="1" applyBorder="1" applyAlignment="1">
      <alignment horizontal="center"/>
    </xf>
    <xf numFmtId="0" fontId="8" fillId="8" borderId="481" xfId="0"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0" fontId="52" fillId="16" borderId="118" xfId="0" applyFont="1" applyFill="1" applyBorder="1" applyAlignment="1">
      <alignment horizontal="center" vertical="center"/>
    </xf>
    <xf numFmtId="0" fontId="52" fillId="16" borderId="0" xfId="0" applyFont="1" applyFill="1" applyAlignment="1">
      <alignment horizontal="center" vertical="center"/>
    </xf>
    <xf numFmtId="0" fontId="72" fillId="26" borderId="344" xfId="0" applyFont="1" applyFill="1" applyBorder="1" applyAlignment="1">
      <alignment horizontal="center" vertical="center"/>
    </xf>
    <xf numFmtId="0" fontId="37" fillId="26" borderId="151" xfId="0" applyFont="1" applyFill="1" applyBorder="1" applyAlignment="1">
      <alignment horizontal="center" vertical="center" wrapText="1"/>
    </xf>
    <xf numFmtId="0" fontId="37" fillId="26" borderId="158" xfId="0" applyFont="1" applyFill="1" applyBorder="1" applyAlignment="1">
      <alignment horizontal="center" vertical="center" wrapText="1"/>
    </xf>
    <xf numFmtId="0" fontId="37" fillId="26" borderId="152" xfId="0" applyFont="1" applyFill="1" applyBorder="1" applyAlignment="1">
      <alignment horizontal="center" vertical="center" wrapText="1"/>
    </xf>
    <xf numFmtId="0" fontId="46" fillId="0" borderId="483" xfId="0" applyFont="1" applyBorder="1" applyAlignment="1">
      <alignment horizontal="left" vertical="center" wrapText="1"/>
    </xf>
    <xf numFmtId="0" fontId="46" fillId="0" borderId="482" xfId="0" applyFont="1" applyBorder="1" applyAlignment="1">
      <alignment horizontal="left" vertical="center" wrapText="1"/>
    </xf>
    <xf numFmtId="0" fontId="44" fillId="19" borderId="118" xfId="0" applyFont="1" applyFill="1" applyBorder="1" applyAlignment="1">
      <alignment horizontal="center" vertical="center"/>
    </xf>
    <xf numFmtId="0" fontId="44" fillId="19" borderId="0" xfId="0" applyFont="1" applyFill="1" applyAlignment="1">
      <alignment horizontal="center" vertical="center"/>
    </xf>
    <xf numFmtId="0" fontId="44" fillId="14" borderId="483" xfId="0" quotePrefix="1" applyFont="1" applyFill="1" applyBorder="1" applyAlignment="1">
      <alignment horizontal="center" vertical="center" wrapText="1"/>
    </xf>
    <xf numFmtId="0" fontId="44" fillId="14" borderId="482" xfId="0" quotePrefix="1" applyFont="1" applyFill="1" applyBorder="1" applyAlignment="1">
      <alignment horizontal="center" vertical="center" wrapText="1"/>
    </xf>
    <xf numFmtId="38" fontId="93" fillId="0" borderId="296" xfId="0" applyNumberFormat="1" applyFont="1" applyBorder="1" applyAlignment="1">
      <alignment horizontal="center" vertical="center"/>
    </xf>
    <xf numFmtId="0" fontId="93" fillId="0" borderId="297" xfId="0" applyFont="1" applyBorder="1" applyAlignment="1">
      <alignment horizontal="center" vertical="center"/>
    </xf>
    <xf numFmtId="0" fontId="60" fillId="2" borderId="289" xfId="0" applyFont="1" applyFill="1" applyBorder="1" applyAlignment="1">
      <alignment horizontal="center" vertical="center"/>
    </xf>
    <xf numFmtId="0" fontId="80" fillId="36" borderId="289" xfId="0" applyFont="1" applyFill="1" applyBorder="1" applyAlignment="1">
      <alignment horizontal="center" vertical="center"/>
    </xf>
    <xf numFmtId="0" fontId="80" fillId="36" borderId="292" xfId="0" applyFont="1" applyFill="1" applyBorder="1" applyAlignment="1">
      <alignment horizontal="center" vertical="center"/>
    </xf>
    <xf numFmtId="0" fontId="152" fillId="0" borderId="521" xfId="0" applyFont="1" applyBorder="1" applyAlignment="1">
      <alignment horizontal="center" vertical="center"/>
    </xf>
    <xf numFmtId="0" fontId="151" fillId="16" borderId="66" xfId="0" applyFont="1" applyFill="1" applyBorder="1" applyAlignment="1">
      <alignment horizontal="center" vertical="center" wrapText="1"/>
    </xf>
    <xf numFmtId="1" fontId="39" fillId="0" borderId="521" xfId="0" applyNumberFormat="1" applyFont="1" applyBorder="1" applyAlignment="1">
      <alignment horizontal="center" vertical="center"/>
    </xf>
    <xf numFmtId="177" fontId="51" fillId="22" borderId="523" xfId="8" applyNumberFormat="1" applyFont="1" applyFill="1" applyBorder="1" applyAlignment="1">
      <alignment horizontal="center" vertical="center"/>
    </xf>
    <xf numFmtId="177" fontId="51" fillId="22" borderId="524" xfId="8" applyNumberFormat="1" applyFont="1" applyFill="1" applyBorder="1" applyAlignment="1">
      <alignment horizontal="center" vertical="center"/>
    </xf>
    <xf numFmtId="0" fontId="39" fillId="0" borderId="521" xfId="0" applyFont="1" applyBorder="1" applyAlignment="1">
      <alignment horizontal="center" vertical="center"/>
    </xf>
    <xf numFmtId="0" fontId="39" fillId="0" borderId="522" xfId="0" applyFont="1" applyBorder="1" applyAlignment="1">
      <alignment horizontal="center" vertical="center"/>
    </xf>
    <xf numFmtId="0" fontId="28" fillId="16" borderId="123" xfId="0" applyFont="1" applyFill="1" applyBorder="1" applyAlignment="1">
      <alignment horizontal="center" vertical="center"/>
    </xf>
    <xf numFmtId="0" fontId="28" fillId="16" borderId="120" xfId="0" applyFont="1" applyFill="1" applyBorder="1" applyAlignment="1">
      <alignment horizontal="center" vertical="center"/>
    </xf>
    <xf numFmtId="0" fontId="20" fillId="16" borderId="66" xfId="0" applyFont="1" applyFill="1" applyBorder="1" applyAlignment="1">
      <alignment horizontal="center" vertical="center" wrapText="1"/>
    </xf>
    <xf numFmtId="0" fontId="20" fillId="16" borderId="85" xfId="0" applyFont="1" applyFill="1" applyBorder="1" applyAlignment="1">
      <alignment horizontal="center" vertical="center" wrapText="1"/>
    </xf>
    <xf numFmtId="0" fontId="20" fillId="16" borderId="84" xfId="0" applyFont="1" applyFill="1" applyBorder="1" applyAlignment="1">
      <alignment horizontal="center" vertical="center" wrapText="1"/>
    </xf>
    <xf numFmtId="0" fontId="33" fillId="16" borderId="102" xfId="0" applyFont="1" applyFill="1" applyBorder="1" applyAlignment="1">
      <alignment horizontal="center" vertical="center"/>
    </xf>
    <xf numFmtId="0" fontId="33" fillId="16" borderId="104" xfId="0" applyFont="1" applyFill="1" applyBorder="1" applyAlignment="1">
      <alignment horizontal="center" vertical="center"/>
    </xf>
    <xf numFmtId="177" fontId="51" fillId="22" borderId="521" xfId="8" applyNumberFormat="1" applyFont="1" applyFill="1" applyBorder="1" applyAlignment="1">
      <alignment horizontal="center" vertical="center"/>
    </xf>
    <xf numFmtId="0" fontId="20" fillId="16" borderId="126" xfId="0" applyFont="1" applyFill="1" applyBorder="1" applyAlignment="1">
      <alignment horizontal="center" vertical="center" wrapText="1"/>
    </xf>
    <xf numFmtId="0" fontId="33" fillId="16" borderId="87" xfId="0" applyFont="1" applyFill="1" applyBorder="1" applyAlignment="1">
      <alignment horizontal="center" vertical="center"/>
    </xf>
    <xf numFmtId="0" fontId="33" fillId="16" borderId="138" xfId="0" applyFont="1" applyFill="1" applyBorder="1" applyAlignment="1">
      <alignment horizontal="center" vertical="center"/>
    </xf>
    <xf numFmtId="0" fontId="33" fillId="16" borderId="124" xfId="0" applyFont="1" applyFill="1" applyBorder="1" applyAlignment="1">
      <alignment horizontal="center" vertical="center"/>
    </xf>
    <xf numFmtId="17" fontId="22" fillId="12" borderId="0" xfId="0" applyNumberFormat="1" applyFont="1" applyFill="1" applyAlignment="1">
      <alignment horizontal="center" vertical="center"/>
    </xf>
    <xf numFmtId="17" fontId="22" fillId="17" borderId="0" xfId="0" applyNumberFormat="1" applyFont="1" applyFill="1" applyAlignment="1">
      <alignment horizontal="center" vertical="center"/>
    </xf>
    <xf numFmtId="0" fontId="22" fillId="17" borderId="109" xfId="0" applyFont="1" applyFill="1" applyBorder="1" applyAlignment="1">
      <alignment horizontal="center" vertical="center"/>
    </xf>
    <xf numFmtId="0" fontId="22" fillId="17" borderId="0" xfId="0" applyFont="1" applyFill="1" applyAlignment="1">
      <alignment horizontal="center" vertical="center"/>
    </xf>
    <xf numFmtId="0" fontId="28" fillId="16" borderId="50" xfId="0" applyFont="1" applyFill="1" applyBorder="1" applyAlignment="1">
      <alignment horizontal="center" vertical="center"/>
    </xf>
    <xf numFmtId="0" fontId="28" fillId="16" borderId="47" xfId="0" applyFont="1" applyFill="1" applyBorder="1" applyAlignment="1">
      <alignment horizontal="center" vertical="center"/>
    </xf>
    <xf numFmtId="0" fontId="28" fillId="16" borderId="460" xfId="0" applyFont="1" applyFill="1" applyBorder="1" applyAlignment="1">
      <alignment horizontal="center" vertical="center"/>
    </xf>
    <xf numFmtId="0" fontId="28" fillId="16" borderId="461" xfId="0" applyFont="1" applyFill="1" applyBorder="1" applyAlignment="1">
      <alignment horizontal="center" vertical="center"/>
    </xf>
    <xf numFmtId="0" fontId="35" fillId="0" borderId="477" xfId="0" applyFont="1" applyBorder="1" applyAlignment="1">
      <alignment horizontal="center" vertical="center"/>
    </xf>
    <xf numFmtId="0" fontId="154" fillId="0" borderId="478" xfId="0" applyFont="1" applyBorder="1"/>
    <xf numFmtId="0" fontId="26" fillId="16" borderId="83" xfId="0" applyFont="1" applyFill="1" applyBorder="1" applyAlignment="1">
      <alignment horizontal="center" vertical="center" wrapText="1"/>
    </xf>
    <xf numFmtId="0" fontId="26" fillId="16" borderId="325" xfId="0" applyFont="1" applyFill="1" applyBorder="1" applyAlignment="1">
      <alignment horizontal="center" vertical="center" wrapText="1"/>
    </xf>
    <xf numFmtId="0" fontId="39" fillId="0" borderId="523" xfId="0" applyFont="1" applyBorder="1" applyAlignment="1">
      <alignment horizontal="center" vertical="center"/>
    </xf>
    <xf numFmtId="0" fontId="39" fillId="0" borderId="482" xfId="0" applyFont="1" applyBorder="1" applyAlignment="1">
      <alignment horizontal="center" vertical="center"/>
    </xf>
    <xf numFmtId="0" fontId="58" fillId="0" borderId="63" xfId="0" applyFont="1" applyBorder="1" applyAlignment="1">
      <alignment horizontal="center" vertical="center"/>
    </xf>
    <xf numFmtId="0" fontId="58" fillId="0" borderId="139" xfId="0" applyFont="1" applyBorder="1" applyAlignment="1">
      <alignment horizontal="center" vertical="center"/>
    </xf>
    <xf numFmtId="0" fontId="20" fillId="16" borderId="125" xfId="0" applyFont="1" applyFill="1" applyBorder="1" applyAlignment="1">
      <alignment horizontal="center" vertical="center" wrapText="1"/>
    </xf>
    <xf numFmtId="0" fontId="58" fillId="0" borderId="483" xfId="0" applyFont="1" applyBorder="1" applyAlignment="1">
      <alignment horizontal="center" vertical="center"/>
    </xf>
    <xf numFmtId="0" fontId="58" fillId="0" borderId="481" xfId="0" applyFont="1" applyBorder="1" applyAlignment="1">
      <alignment horizontal="center" vertical="center"/>
    </xf>
    <xf numFmtId="0" fontId="169" fillId="55" borderId="526" xfId="0" applyFont="1" applyFill="1" applyBorder="1" applyAlignment="1">
      <alignment horizontal="center" vertical="center" wrapText="1" readingOrder="2"/>
    </xf>
    <xf numFmtId="0" fontId="169" fillId="55" borderId="526" xfId="0" applyFont="1" applyFill="1" applyBorder="1" applyAlignment="1">
      <alignment horizontal="right" vertical="center" wrapText="1" readingOrder="2"/>
    </xf>
    <xf numFmtId="0" fontId="64" fillId="56" borderId="351" xfId="0" applyFont="1" applyFill="1" applyBorder="1" applyAlignment="1">
      <alignment horizontal="center" vertical="center"/>
    </xf>
    <xf numFmtId="0" fontId="64" fillId="56" borderId="349" xfId="0" applyFont="1" applyFill="1" applyBorder="1" applyAlignment="1">
      <alignment horizontal="center" vertical="center"/>
    </xf>
    <xf numFmtId="0" fontId="169" fillId="0" borderId="526" xfId="0" applyFont="1" applyBorder="1" applyAlignment="1">
      <alignment horizontal="center" vertical="center" wrapText="1" readingOrder="2"/>
    </xf>
    <xf numFmtId="10" fontId="172" fillId="58" borderId="530" xfId="0" applyNumberFormat="1" applyFont="1" applyFill="1" applyBorder="1" applyAlignment="1">
      <alignment horizontal="center" vertical="center" wrapText="1" readingOrder="1"/>
    </xf>
    <xf numFmtId="10" fontId="172" fillId="58" borderId="529" xfId="0" applyNumberFormat="1" applyFont="1" applyFill="1" applyBorder="1" applyAlignment="1">
      <alignment horizontal="center" vertical="center" wrapText="1" readingOrder="1"/>
    </xf>
    <xf numFmtId="0" fontId="64" fillId="56" borderId="350" xfId="0" applyFont="1" applyFill="1" applyBorder="1" applyAlignment="1">
      <alignment horizontal="center" vertical="center"/>
    </xf>
    <xf numFmtId="0" fontId="0" fillId="0" borderId="376" xfId="0" applyBorder="1" applyAlignment="1">
      <alignment horizontal="center" vertical="center"/>
    </xf>
    <xf numFmtId="0" fontId="64" fillId="56" borderId="346" xfId="0" applyFont="1" applyFill="1" applyBorder="1" applyAlignment="1">
      <alignment horizontal="center" vertical="center"/>
    </xf>
    <xf numFmtId="0" fontId="64" fillId="56" borderId="347" xfId="0" applyFont="1" applyFill="1" applyBorder="1" applyAlignment="1">
      <alignment horizontal="center" vertical="center"/>
    </xf>
    <xf numFmtId="0" fontId="64" fillId="56" borderId="404" xfId="0" applyFont="1" applyFill="1" applyBorder="1" applyAlignment="1">
      <alignment horizontal="center" vertical="center"/>
    </xf>
    <xf numFmtId="0" fontId="171" fillId="57" borderId="11" xfId="0" applyFont="1" applyFill="1" applyBorder="1" applyAlignment="1">
      <alignment horizontal="center" vertical="center" wrapText="1" readingOrder="1"/>
    </xf>
    <xf numFmtId="0" fontId="64" fillId="56" borderId="384" xfId="0" applyFont="1" applyFill="1" applyBorder="1" applyAlignment="1">
      <alignment horizontal="center" vertical="center"/>
    </xf>
    <xf numFmtId="0" fontId="64" fillId="56" borderId="531" xfId="0" applyFont="1" applyFill="1" applyBorder="1" applyAlignment="1">
      <alignment horizontal="center" vertical="center"/>
    </xf>
    <xf numFmtId="0" fontId="64" fillId="56" borderId="403" xfId="0" applyFont="1" applyFill="1" applyBorder="1" applyAlignment="1">
      <alignment horizontal="center" vertical="center"/>
    </xf>
    <xf numFmtId="0" fontId="169" fillId="55" borderId="530" xfId="0" applyFont="1" applyFill="1" applyBorder="1" applyAlignment="1">
      <alignment horizontal="right" vertical="center" wrapText="1" readingOrder="2"/>
    </xf>
    <xf numFmtId="0" fontId="169" fillId="55" borderId="528" xfId="0" applyFont="1" applyFill="1" applyBorder="1" applyAlignment="1">
      <alignment horizontal="right" vertical="center" wrapText="1" readingOrder="2"/>
    </xf>
    <xf numFmtId="0" fontId="169" fillId="55" borderId="529" xfId="0" applyFont="1" applyFill="1" applyBorder="1" applyAlignment="1">
      <alignment horizontal="right" vertical="center" wrapText="1" readingOrder="2"/>
    </xf>
    <xf numFmtId="0" fontId="180" fillId="0" borderId="351" xfId="0" applyFont="1" applyBorder="1" applyAlignment="1">
      <alignment horizontal="center" vertical="center"/>
    </xf>
    <xf numFmtId="0" fontId="180" fillId="0" borderId="349" xfId="0" applyFont="1" applyBorder="1" applyAlignment="1">
      <alignment horizontal="center" vertical="center"/>
    </xf>
    <xf numFmtId="0" fontId="180" fillId="0" borderId="350" xfId="0" applyFont="1" applyBorder="1" applyAlignment="1">
      <alignment horizontal="center" vertical="center"/>
    </xf>
    <xf numFmtId="0" fontId="64" fillId="56" borderId="343" xfId="0" applyFont="1" applyFill="1" applyBorder="1" applyAlignment="1">
      <alignment horizontal="center" vertical="center"/>
    </xf>
    <xf numFmtId="0" fontId="64" fillId="56" borderId="344" xfId="0" applyFont="1" applyFill="1" applyBorder="1" applyAlignment="1">
      <alignment horizontal="center" vertical="center"/>
    </xf>
    <xf numFmtId="0" fontId="64" fillId="56" borderId="345" xfId="0" applyFont="1" applyFill="1" applyBorder="1" applyAlignment="1">
      <alignment horizontal="center" vertical="center"/>
    </xf>
    <xf numFmtId="4" fontId="188" fillId="30" borderId="351" xfId="0" applyNumberFormat="1" applyFont="1" applyFill="1" applyBorder="1" applyAlignment="1">
      <alignment horizontal="center" vertical="center" readingOrder="2"/>
    </xf>
    <xf numFmtId="4" fontId="188" fillId="30" borderId="349" xfId="0" applyNumberFormat="1" applyFont="1" applyFill="1" applyBorder="1" applyAlignment="1">
      <alignment horizontal="center" vertical="center" readingOrder="2"/>
    </xf>
    <xf numFmtId="4" fontId="188" fillId="30" borderId="350" xfId="0" applyNumberFormat="1" applyFont="1" applyFill="1" applyBorder="1" applyAlignment="1">
      <alignment horizontal="center" vertical="center" readingOrder="2"/>
    </xf>
    <xf numFmtId="0" fontId="0" fillId="0" borderId="490" xfId="0" applyBorder="1"/>
    <xf numFmtId="0" fontId="2" fillId="5" borderId="490" xfId="0" applyFont="1" applyFill="1" applyBorder="1" applyAlignment="1">
      <alignment horizontal="center"/>
    </xf>
    <xf numFmtId="0" fontId="3" fillId="9" borderId="483" xfId="0" applyFont="1" applyFill="1" applyBorder="1" applyAlignment="1">
      <alignment horizontal="center" vertical="center"/>
    </xf>
    <xf numFmtId="0" fontId="3" fillId="9" borderId="481" xfId="0" applyFont="1" applyFill="1" applyBorder="1" applyAlignment="1">
      <alignment horizontal="center" vertical="center"/>
    </xf>
    <xf numFmtId="0" fontId="3" fillId="9" borderId="482" xfId="0" applyFont="1" applyFill="1" applyBorder="1" applyAlignment="1">
      <alignment horizontal="center" vertical="center"/>
    </xf>
    <xf numFmtId="0" fontId="0" fillId="0" borderId="490" xfId="0" applyBorder="1" applyAlignment="1">
      <alignment horizontal="left" vertical="center"/>
    </xf>
    <xf numFmtId="0" fontId="17" fillId="0" borderId="0" xfId="0" applyFont="1" applyAlignment="1">
      <alignment horizontal="center" vertical="center" wrapText="1"/>
    </xf>
    <xf numFmtId="43" fontId="17" fillId="0" borderId="0" xfId="0" applyNumberFormat="1" applyFont="1" applyAlignment="1">
      <alignment horizontal="center" vertical="center" wrapText="1"/>
    </xf>
    <xf numFmtId="4" fontId="17" fillId="0" borderId="0" xfId="0" applyNumberFormat="1" applyFont="1" applyAlignment="1">
      <alignment horizontal="center" vertical="center" wrapText="1"/>
    </xf>
    <xf numFmtId="0" fontId="161" fillId="0" borderId="0" xfId="0" applyFont="1" applyAlignment="1">
      <alignment horizontal="center" vertical="center" wrapText="1"/>
    </xf>
    <xf numFmtId="10" fontId="161" fillId="11" borderId="0" xfId="1" applyNumberFormat="1" applyFont="1" applyFill="1" applyAlignment="1">
      <alignment horizontal="center" vertical="center" wrapText="1"/>
    </xf>
    <xf numFmtId="43" fontId="161" fillId="11" borderId="0" xfId="1" applyFont="1" applyFill="1" applyAlignment="1">
      <alignment horizontal="center" vertical="center" wrapText="1"/>
    </xf>
    <xf numFmtId="43" fontId="161" fillId="0" borderId="0" xfId="1" applyFont="1" applyAlignment="1">
      <alignment horizontal="center" vertical="center" wrapText="1"/>
    </xf>
    <xf numFmtId="0" fontId="161" fillId="11" borderId="0" xfId="0" applyFont="1" applyFill="1" applyAlignment="1">
      <alignment horizontal="center" vertical="center" wrapText="1"/>
    </xf>
    <xf numFmtId="10" fontId="161" fillId="0" borderId="0" xfId="1" applyNumberFormat="1" applyFont="1" applyAlignment="1">
      <alignment horizontal="center" vertical="center" wrapText="1"/>
    </xf>
    <xf numFmtId="4" fontId="161" fillId="0" borderId="0" xfId="0" applyNumberFormat="1" applyFont="1" applyAlignment="1">
      <alignment horizontal="center" vertical="center" wrapText="1"/>
    </xf>
    <xf numFmtId="43" fontId="161" fillId="0" borderId="0" xfId="0" applyNumberFormat="1" applyFont="1" applyAlignment="1">
      <alignment horizontal="center" vertical="center" wrapText="1"/>
    </xf>
  </cellXfs>
  <cellStyles count="95">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3 3" xfId="59" xr:uid="{8D0C2542-2A9D-44F4-8D8C-5F3B98EFB1C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3 2" xfId="73" xr:uid="{1A334FC4-E308-4515-847D-C458540B8E1A}"/>
    <cellStyle name="Comma 3 3" xfId="47" xr:uid="{7C310FF8-57FC-4B1C-9615-9FC1EFEE488B}"/>
    <cellStyle name="Comma 4" xfId="14" xr:uid="{680EB3DA-7B39-4E07-93E9-80E84467126D}"/>
    <cellStyle name="Comma 4 2" xfId="51" xr:uid="{86AFA57A-A3F2-4792-A93C-E68CFA635AEA}"/>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5 4" xfId="88" xr:uid="{FF5F4537-7B48-46BC-8211-7D18EBFD6BB0}"/>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6 4" xfId="57" xr:uid="{8D61C1B7-AC42-4CCF-9B8E-F543C898FE9C}"/>
    <cellStyle name="Currency 2" xfId="93" xr:uid="{9E30C3F1-26DF-43A0-8B57-B767A6797F30}"/>
    <cellStyle name="Hyperlink 2" xfId="54" xr:uid="{3E4A3D67-F216-464F-815F-57689C20CB85}"/>
    <cellStyle name="Normal" xfId="0" builtinId="0"/>
    <cellStyle name="Normal - Style1" xfId="82" xr:uid="{4F97D863-42A4-4719-A26B-9138E84717EE}"/>
    <cellStyle name="Normal 10" xfId="46" xr:uid="{CA5E5C11-AD50-44D2-96CC-C1EA2D0829C6}"/>
    <cellStyle name="Normal 10 2" xfId="71" xr:uid="{06A20536-DB4D-4FE0-9E97-DD200519213B}"/>
    <cellStyle name="Normal 10 2 2" xfId="69" xr:uid="{92E56B8C-83C3-41D2-B029-EE19B83F2F7B}"/>
    <cellStyle name="Normal 10 20" xfId="77" xr:uid="{1DD0E1C8-E498-4849-B303-E0D54D525D68}"/>
    <cellStyle name="Normal 11" xfId="43" xr:uid="{68ED555C-782D-4E30-B439-91D2D21E2619}"/>
    <cellStyle name="Normal 11 2" xfId="48" xr:uid="{33F1BD7D-9AD1-4A7F-9F19-603F6A4259E1}"/>
    <cellStyle name="Normal 12" xfId="70" xr:uid="{1E51F3FB-9D5A-47A8-835A-A8E952831F81}"/>
    <cellStyle name="Normal 13" xfId="94" xr:uid="{D048E928-091D-46E4-81AB-571B2BBEE983}"/>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2 2" xfId="92" xr:uid="{D66DD2C9-99CE-47A3-8998-B5ACDB761009}"/>
    <cellStyle name="Normal 2 2 2 3" xfId="89" xr:uid="{0358A63E-4607-46F0-ADFB-6C9A27C83783}"/>
    <cellStyle name="Normal 2 2 2 4" xfId="50" xr:uid="{57E3E5BF-F76F-4009-A4C2-B7E2CA0FCA9F}"/>
    <cellStyle name="Normal 2 3" xfId="74" xr:uid="{1BC694FC-735B-48E9-8ED2-74023CF77656}"/>
    <cellStyle name="Normal 2 4" xfId="86" xr:uid="{BE158EDF-75A6-4EB2-BBC8-37CCC879DECD}"/>
    <cellStyle name="Normal 2 5" xfId="58" xr:uid="{6D17CCAB-B6C4-4E4C-8C26-E92CFD0A2441}"/>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3 4" xfId="61" xr:uid="{AE727CF0-47E3-4981-BE73-4448E6CDA178}"/>
    <cellStyle name="Normal 3 5" xfId="56" xr:uid="{76221CD7-B9B5-4396-99D7-3B892A50540C}"/>
    <cellStyle name="Normal 4" xfId="20" xr:uid="{E67F7BF4-4827-456D-B237-D74404DE7646}"/>
    <cellStyle name="Normal 4 2" xfId="75" xr:uid="{8413EC9D-3C2D-4B52-8B32-C14E58C628BF}"/>
    <cellStyle name="Normal 4 2 2" xfId="79" xr:uid="{344C4CC2-950D-4C17-AC15-47AC1B3811C9}"/>
    <cellStyle name="Normal 4 3" xfId="68" xr:uid="{BFC6034A-E717-4E91-801E-895059F45FB1}"/>
    <cellStyle name="Normal 5" xfId="76" xr:uid="{8BC15B4F-03AE-43DF-9430-6E5073A4E02F}"/>
    <cellStyle name="Normal 5 3" xfId="78" xr:uid="{75D7A7D3-4CD7-4C71-9CC0-1D568163357D}"/>
    <cellStyle name="Normal 5 3 2" xfId="83" xr:uid="{79169ACD-EE4F-4FAF-8179-D5100613772E}"/>
    <cellStyle name="Normal 6" xfId="49" xr:uid="{B09E5700-CCC8-4302-8141-BAE5E95DF1D4}"/>
    <cellStyle name="Normal 60" xfId="62" xr:uid="{8EDF8E0D-D2CD-48BC-81BD-C2ED00EF38B3}"/>
    <cellStyle name="Normal 61" xfId="63" xr:uid="{ED4D34DA-885A-4EC7-976F-90D01EE54BD4}"/>
    <cellStyle name="Normal 63" xfId="64" xr:uid="{6DB6EAEA-965A-4C79-82C7-5AA1F61489D3}"/>
    <cellStyle name="Normal 64" xfId="65" xr:uid="{E59CEB61-BE40-49BA-8976-7C797F4BDA3E}"/>
    <cellStyle name="Normal 65" xfId="66" xr:uid="{9A0FA93F-6805-4FFE-94C5-90E24C14DB95}"/>
    <cellStyle name="Normal 66" xfId="67" xr:uid="{FBFB635F-5667-4F81-B188-B1D2BBF49044}"/>
    <cellStyle name="Normal 7" xfId="84" xr:uid="{FF50E4D7-1CD2-4024-A84E-CBEA8D42F4E9}"/>
    <cellStyle name="Normal 8" xfId="85" xr:uid="{09BD6C93-4AE1-48B0-9BF1-72EEDB02A29A}"/>
    <cellStyle name="Normal 88 2" xfId="91" xr:uid="{9D1A5A4D-9E18-4887-99D0-8845C3C3F1CB}"/>
    <cellStyle name="Normal 9" xfId="87" xr:uid="{6C03AB7F-B75A-4CF4-86F6-AC9F86C600DF}"/>
    <cellStyle name="Normal_P1 - General Items(Revised)" xfId="45" xr:uid="{AF356B3E-D400-4A8E-81C0-8CED97561DB4}"/>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80" xr:uid="{631F4E28-5D81-4AD2-9467-CD0E6BF687D6}"/>
    <cellStyle name="Percent 2 3" xfId="60" xr:uid="{B42FB007-3C37-4189-8ECE-9874E1847531}"/>
    <cellStyle name="Percent 3" xfId="81" xr:uid="{543DA00A-BB16-45E9-84CA-6B3F77EB66C6}"/>
    <cellStyle name="Percent 4" xfId="52" xr:uid="{CCBD06C4-D346-4913-B087-7B7DE5307835}"/>
    <cellStyle name="Percent 5" xfId="90" xr:uid="{BC996338-FC38-4E47-810A-506C0174FF29}"/>
    <cellStyle name="Percent 6" xfId="72" xr:uid="{D0F22A12-C66B-4128-BB3E-1DAF7702A80C}"/>
    <cellStyle name="عادي 2" xfId="53" xr:uid="{008B8057-980F-4C32-9DD0-F300F11EB6BB}"/>
    <cellStyle name="عادي 3" xfId="55" xr:uid="{8CCCA6BB-2ADB-481E-9F34-FB4242D0A2B0}"/>
  </cellStyles>
  <dxfs count="79">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lor rgb="FF006100"/>
      </font>
      <fill>
        <patternFill>
          <bgColor rgb="FFC6EFCE"/>
        </patternFill>
      </fill>
    </dxf>
    <dxf>
      <font>
        <color rgb="FF9C0006"/>
      </font>
      <fill>
        <patternFill>
          <bgColor rgb="FFFFC7CE"/>
        </patternFill>
      </fill>
    </dxf>
    <dxf>
      <font>
        <b/>
        <i val="0"/>
        <color rgb="FF00B050"/>
      </font>
      <numFmt numFmtId="202" formatCode="#,##0;[Red]#,##0"/>
    </dxf>
    <dxf>
      <font>
        <b/>
        <i val="0"/>
        <color rgb="FF00B050"/>
      </font>
      <numFmt numFmtId="202"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64DA5BF9-EBEF-4D19-9A05-E5C288FEDB86}"/>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1.6298002175806863</c:v>
                </c:pt>
                <c:pt idx="1">
                  <c:v>1.3952468227007124</c:v>
                </c:pt>
                <c:pt idx="2" formatCode="0%">
                  <c:v>0.84375</c:v>
                </c:pt>
                <c:pt idx="3" formatCode="0%">
                  <c:v>1.1333333333333333</c:v>
                </c:pt>
                <c:pt idx="4" formatCode="0%">
                  <c:v>1.28</c:v>
                </c:pt>
                <c:pt idx="5" formatCode="0%">
                  <c:v>0.91806764900849513</c:v>
                </c:pt>
                <c:pt idx="6" formatCode="0%">
                  <c:v>0.85137419354838728</c:v>
                </c:pt>
                <c:pt idx="7" formatCode="0%">
                  <c:v>0.84522903225806445</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Data'!$D$4:$D$25</c:f>
              <c:numCache>
                <c:formatCode>0.0%</c:formatCode>
                <c:ptCount val="22"/>
                <c:pt idx="0">
                  <c:v>1.4979746409221926E-2</c:v>
                </c:pt>
                <c:pt idx="1">
                  <c:v>6.1275986361027102E-2</c:v>
                </c:pt>
                <c:pt idx="2">
                  <c:v>0.14389075839910426</c:v>
                </c:pt>
                <c:pt idx="3">
                  <c:v>0.20301258217562307</c:v>
                </c:pt>
                <c:pt idx="4">
                  <c:v>0.25661309657828918</c:v>
                </c:pt>
                <c:pt idx="5">
                  <c:v>0.32577550867243138</c:v>
                </c:pt>
                <c:pt idx="6">
                  <c:v>0.40133752806800826</c:v>
                </c:pt>
                <c:pt idx="7">
                  <c:v>0.45728084641145317</c:v>
                </c:pt>
                <c:pt idx="8">
                  <c:v>0.51723431487690641</c:v>
                </c:pt>
                <c:pt idx="9">
                  <c:v>0.58693019661297485</c:v>
                </c:pt>
                <c:pt idx="10">
                  <c:v>0.66622650350203549</c:v>
                </c:pt>
                <c:pt idx="11">
                  <c:v>0.7505674453700717</c:v>
                </c:pt>
                <c:pt idx="12">
                  <c:v>0.79934036377355733</c:v>
                </c:pt>
                <c:pt idx="13">
                  <c:v>0.86784963052663389</c:v>
                </c:pt>
                <c:pt idx="14">
                  <c:v>0.92255562384507883</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Data'!$G$4:$G$25</c:f>
              <c:numCache>
                <c:formatCode>0.0%</c:formatCode>
                <c:ptCount val="22"/>
                <c:pt idx="0">
                  <c:v>1.4979746409221926E-2</c:v>
                </c:pt>
                <c:pt idx="1">
                  <c:v>6.1275986361027102E-2</c:v>
                </c:pt>
                <c:pt idx="2">
                  <c:v>0.14389075839910426</c:v>
                </c:pt>
                <c:pt idx="3">
                  <c:v>0.20301258217562307</c:v>
                </c:pt>
                <c:pt idx="4">
                  <c:v>0.25661309657828918</c:v>
                </c:pt>
                <c:pt idx="5">
                  <c:v>0.32577550867243138</c:v>
                </c:pt>
                <c:pt idx="6">
                  <c:v>0.40133752806800826</c:v>
                </c:pt>
                <c:pt idx="7">
                  <c:v>0.45728084641145317</c:v>
                </c:pt>
                <c:pt idx="8">
                  <c:v>0.51723431487690641</c:v>
                </c:pt>
                <c:pt idx="9">
                  <c:v>0.58693019661297485</c:v>
                </c:pt>
                <c:pt idx="10">
                  <c:v>0.66622650350203549</c:v>
                </c:pt>
                <c:pt idx="11">
                  <c:v>0.7505674453700717</c:v>
                </c:pt>
                <c:pt idx="12">
                  <c:v>0.79934036377355733</c:v>
                </c:pt>
                <c:pt idx="13">
                  <c:v>0.86784963052663389</c:v>
                </c:pt>
                <c:pt idx="14">
                  <c:v>0.92255562384507883</c:v>
                </c:pt>
                <c:pt idx="15">
                  <c:v>0.96220681989212964</c:v>
                </c:pt>
                <c:pt idx="16">
                  <c:v>0.9902109334907373</c:v>
                </c:pt>
                <c:pt idx="17">
                  <c:v>0.99707910158032775</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Data'!$J$4:$J$25</c:f>
              <c:numCache>
                <c:formatCode>0.0%</c:formatCode>
                <c:ptCount val="22"/>
                <c:pt idx="0">
                  <c:v>0</c:v>
                </c:pt>
                <c:pt idx="1">
                  <c:v>0.10272231789516814</c:v>
                </c:pt>
                <c:pt idx="2">
                  <c:v>0.18975292039131925</c:v>
                </c:pt>
                <c:pt idx="3">
                  <c:v>0.2906334495607496</c:v>
                </c:pt>
                <c:pt idx="4">
                  <c:v>0.43557492003026377</c:v>
                </c:pt>
                <c:pt idx="5">
                  <c:v>0.57745350396248263</c:v>
                </c:pt>
                <c:pt idx="6">
                  <c:v>0.69614542828687276</c:v>
                </c:pt>
                <c:pt idx="7">
                  <c:v>0.77068513323556442</c:v>
                </c:pt>
                <c:pt idx="8">
                  <c:v>0.79311925581999154</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'Physical-Chart Data'!$M$4:$M$25</c:f>
              <c:numCache>
                <c:formatCode>0.0%</c:formatCode>
                <c:ptCount val="22"/>
                <c:pt idx="8">
                  <c:v>0.79311925581999154</c:v>
                </c:pt>
                <c:pt idx="9">
                  <c:v>0.82605159621896529</c:v>
                </c:pt>
                <c:pt idx="10">
                  <c:v>0.86506995301959522</c:v>
                </c:pt>
                <c:pt idx="11">
                  <c:v>0.9091329447992007</c:v>
                </c:pt>
                <c:pt idx="12">
                  <c:v>0.91762791311425551</c:v>
                </c:pt>
                <c:pt idx="13">
                  <c:v>0.94446186064163817</c:v>
                </c:pt>
                <c:pt idx="14">
                  <c:v>0.95910453452691269</c:v>
                </c:pt>
                <c:pt idx="15">
                  <c:v>0.96220681989212942</c:v>
                </c:pt>
                <c:pt idx="16">
                  <c:v>0.99021093349073708</c:v>
                </c:pt>
                <c:pt idx="17">
                  <c:v>0.99707910158032753</c:v>
                </c:pt>
                <c:pt idx="18">
                  <c:v>0.99999999999999978</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2233198.61</c:v>
                </c:pt>
                <c:pt idx="1">
                  <c:v>5354472.43</c:v>
                </c:pt>
                <c:pt idx="2">
                  <c:v>3385248.29</c:v>
                </c:pt>
                <c:pt idx="3">
                  <c:v>8068537.9400000004</c:v>
                </c:pt>
                <c:pt idx="4">
                  <c:v>4265230.58</c:v>
                </c:pt>
                <c:pt idx="5">
                  <c:v>4047847.2</c:v>
                </c:pt>
                <c:pt idx="6">
                  <c:v>2443132.0499999998</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Report'!$S$66:$S$71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Report'!$T$66:$T$71</c:f>
              <c:numCache>
                <c:formatCode>_(* #,##0_);_(* \(#,##0\);_(* "-"??_);_(@_)</c:formatCode>
                <c:ptCount val="6"/>
                <c:pt idx="0" formatCode="#,##0_);\(#,##0\)">
                  <c:v>52025516.000000007</c:v>
                </c:pt>
                <c:pt idx="1">
                  <c:v>28740257.599999998</c:v>
                </c:pt>
                <c:pt idx="2">
                  <c:v>40099753.100000001</c:v>
                </c:pt>
                <c:pt idx="3" formatCode="#,##0_);\(#,##0\)">
                  <c:v>34267317.164999999</c:v>
                </c:pt>
                <c:pt idx="4" formatCode="#,##0_);\(#,##0\)">
                  <c:v>34269317.164999999</c:v>
                </c:pt>
                <c:pt idx="5" formatCode="#,##0_);\(#,##0\)">
                  <c:v>31459715.307500001</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Manpower!$B$11:$Z$11</c:f>
              <c:numCache>
                <c:formatCode>General</c:formatCode>
                <c:ptCount val="25"/>
                <c:pt idx="0">
                  <c:v>19</c:v>
                </c:pt>
                <c:pt idx="1">
                  <c:v>31</c:v>
                </c:pt>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Manpower!$B$13:$Z$13</c:f>
              <c:numCache>
                <c:formatCode>0</c:formatCode>
                <c:ptCount val="25"/>
                <c:pt idx="1">
                  <c:v>68.25</c:v>
                </c:pt>
                <c:pt idx="2">
                  <c:v>113.5</c:v>
                </c:pt>
                <c:pt idx="3">
                  <c:v>120.66666666666667</c:v>
                </c:pt>
                <c:pt idx="4">
                  <c:v>127.6</c:v>
                </c:pt>
                <c:pt idx="5">
                  <c:v>112.25</c:v>
                </c:pt>
                <c:pt idx="6">
                  <c:v>118.5</c:v>
                </c:pt>
                <c:pt idx="7">
                  <c:v>121.4</c:v>
                </c:pt>
                <c:pt idx="8">
                  <c:v>120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f>Manpower!$B$15:$Z$15</c:f>
              <c:numCache>
                <c:formatCode>General</c:formatCode>
                <c:ptCount val="25"/>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Report'!$AF$54:$AF$55</c:f>
              <c:strCache>
                <c:ptCount val="2"/>
                <c:pt idx="0">
                  <c:v>Proactive</c:v>
                </c:pt>
                <c:pt idx="1">
                  <c:v>Reactive</c:v>
                </c:pt>
              </c:strCache>
            </c:strRef>
          </c:cat>
          <c:val>
            <c:numRef>
              <c:f>'Weekly Progress Report'!$AG$54:$AG$55</c:f>
              <c:numCache>
                <c:formatCode>#,##0_ ;[Red]\-#,##0\ </c:formatCode>
                <c:ptCount val="2"/>
                <c:pt idx="0">
                  <c:v>102</c:v>
                </c:pt>
                <c:pt idx="1">
                  <c:v>1</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Report'!$X$54,'Weekly Progress Report'!$AC$54)</c15:sqref>
                  </c15:fullRef>
                </c:ext>
              </c:extLst>
              <c:f>'Weekly Progress Report'!$AC$54</c:f>
              <c:numCache>
                <c:formatCode>#,##0_ ;[Red]\-#,##0\ </c:formatCode>
                <c:ptCount val="1"/>
                <c:pt idx="0">
                  <c:v>192100</c:v>
                </c:pt>
              </c:numCache>
            </c:numRef>
          </c:val>
          <c:extLst>
            <c:ext xmlns:c16="http://schemas.microsoft.com/office/drawing/2014/chart" uri="{C3380CC4-5D6E-409C-BE32-E72D297353CC}">
              <c16:uniqueId val="{00000000-55A8-4857-BD2C-07C963126922}"/>
            </c:ext>
          </c:extLst>
        </c:ser>
        <c:ser>
          <c:idx val="1"/>
          <c:order val="1"/>
          <c:tx>
            <c:strRef>
              <c:f>'Weekly Progress Report'!$W$55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Report'!$X$55,'Weekly Progress Report'!$AC$55)</c15:sqref>
                  </c15:fullRef>
                </c:ext>
              </c:extLst>
              <c:f>'Weekly Progress Report'!$AC$55</c:f>
              <c:numCache>
                <c:formatCode>#,##0_ ;[Red]\-#,##0\ </c:formatCode>
                <c:ptCount val="1"/>
                <c:pt idx="0">
                  <c:v>192100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263553789067322E-2"/>
          <c:y val="1.5632039799326779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Data'!$D$4:$D$25</c:f>
              <c:numCache>
                <c:formatCode>0.00%</c:formatCode>
                <c:ptCount val="22"/>
                <c:pt idx="0">
                  <c:v>0</c:v>
                </c:pt>
                <c:pt idx="1">
                  <c:v>1.1706371158336998E-3</c:v>
                </c:pt>
                <c:pt idx="2">
                  <c:v>5.0236753250078287E-2</c:v>
                </c:pt>
                <c:pt idx="3">
                  <c:v>0.10796934950150229</c:v>
                </c:pt>
                <c:pt idx="4">
                  <c:v>0.22113030825105126</c:v>
                </c:pt>
                <c:pt idx="5">
                  <c:v>0.39017835959570296</c:v>
                </c:pt>
                <c:pt idx="6">
                  <c:v>0.48468754332008929</c:v>
                </c:pt>
                <c:pt idx="7">
                  <c:v>0.52814404224265643</c:v>
                </c:pt>
                <c:pt idx="8">
                  <c:v>0.56667448353611716</c:v>
                </c:pt>
                <c:pt idx="9">
                  <c:v>0.62886193305607963</c:v>
                </c:pt>
                <c:pt idx="10">
                  <c:v>0.69119653767585887</c:v>
                </c:pt>
                <c:pt idx="11">
                  <c:v>0.76228453572666155</c:v>
                </c:pt>
                <c:pt idx="12">
                  <c:v>0.80065168483864724</c:v>
                </c:pt>
                <c:pt idx="13">
                  <c:v>0.86220203736182066</c:v>
                </c:pt>
                <c:pt idx="14">
                  <c:v>0.88616758841949783</c:v>
                </c:pt>
                <c:pt idx="15">
                  <c:v>0.93525566608508015</c:v>
                </c:pt>
                <c:pt idx="16">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Data'!$G$4:$G$25</c:f>
              <c:numCache>
                <c:formatCode>0.0%</c:formatCode>
                <c:ptCount val="22"/>
                <c:pt idx="0">
                  <c:v>0</c:v>
                </c:pt>
                <c:pt idx="1">
                  <c:v>1.1706371158336998E-3</c:v>
                </c:pt>
                <c:pt idx="2">
                  <c:v>5.0236753250078287E-2</c:v>
                </c:pt>
                <c:pt idx="3">
                  <c:v>0.10796934950150229</c:v>
                </c:pt>
                <c:pt idx="4">
                  <c:v>0.22113030825105126</c:v>
                </c:pt>
                <c:pt idx="5">
                  <c:v>0.39017835959570296</c:v>
                </c:pt>
                <c:pt idx="6">
                  <c:v>0.48468754332008929</c:v>
                </c:pt>
                <c:pt idx="7">
                  <c:v>0.52814404224265643</c:v>
                </c:pt>
                <c:pt idx="8">
                  <c:v>0.56667448353611716</c:v>
                </c:pt>
                <c:pt idx="9">
                  <c:v>0.62886193305607963</c:v>
                </c:pt>
                <c:pt idx="10">
                  <c:v>0.69119653767585887</c:v>
                </c:pt>
                <c:pt idx="11">
                  <c:v>0.76228453572666155</c:v>
                </c:pt>
                <c:pt idx="12">
                  <c:v>0.80065168483864724</c:v>
                </c:pt>
                <c:pt idx="13">
                  <c:v>0.86220203736182066</c:v>
                </c:pt>
                <c:pt idx="14">
                  <c:v>0.88616758841949783</c:v>
                </c:pt>
                <c:pt idx="15">
                  <c:v>0.93525566608508015</c:v>
                </c:pt>
                <c:pt idx="16">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Data'!$J$4:$J$25</c:f>
              <c:numCache>
                <c:formatCode>0.00%</c:formatCode>
                <c:ptCount val="22"/>
                <c:pt idx="0" formatCode="0.0%">
                  <c:v>0</c:v>
                </c:pt>
                <c:pt idx="1">
                  <c:v>6.40784445078834E-2</c:v>
                </c:pt>
                <c:pt idx="2">
                  <c:v>0.14882198342828548</c:v>
                </c:pt>
                <c:pt idx="3">
                  <c:v>0.24080990047268344</c:v>
                </c:pt>
                <c:pt idx="4">
                  <c:v>0.43557013754558438</c:v>
                </c:pt>
                <c:pt idx="5">
                  <c:v>0.57678155157557687</c:v>
                </c:pt>
                <c:pt idx="6">
                  <c:v>0.66766833393829295</c:v>
                </c:pt>
                <c:pt idx="7">
                  <c:v>0.74394568888081769</c:v>
                </c:pt>
                <c:pt idx="8">
                  <c:v>0.77077088634738378</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Data'!$P$4:$P$25</c:f>
              <c:numCache>
                <c:formatCode>0.00%</c:formatCode>
                <c:ptCount val="22"/>
                <c:pt idx="8">
                  <c:v>0.77077088634738378</c:v>
                </c:pt>
                <c:pt idx="9">
                  <c:v>0.77736631488527663</c:v>
                </c:pt>
                <c:pt idx="10">
                  <c:v>0.78410889852298638</c:v>
                </c:pt>
                <c:pt idx="11">
                  <c:v>0.79832161663919565</c:v>
                </c:pt>
                <c:pt idx="12">
                  <c:v>0.81273874033977223</c:v>
                </c:pt>
                <c:pt idx="13">
                  <c:v>0.86220203736182066</c:v>
                </c:pt>
                <c:pt idx="14">
                  <c:v>0.88616758841949783</c:v>
                </c:pt>
                <c:pt idx="15">
                  <c:v>0.93525566608508015</c:v>
                </c:pt>
                <c:pt idx="16">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pt idx="19">
                  <c:v>46660</c:v>
                </c:pt>
                <c:pt idx="20">
                  <c:v>46691</c:v>
                </c:pt>
              </c:numCache>
            </c:numRef>
          </c:cat>
          <c:val>
            <c:numRef>
              <c:f>'EV-Chart Data'!$M$4:$M$24</c:f>
              <c:numCache>
                <c:formatCode>0.0%</c:formatCode>
                <c:ptCount val="21"/>
                <c:pt idx="0">
                  <c:v>0</c:v>
                </c:pt>
                <c:pt idx="1">
                  <c:v>4.292506411661539E-2</c:v>
                </c:pt>
                <c:pt idx="2">
                  <c:v>0.14584518565851418</c:v>
                </c:pt>
                <c:pt idx="3">
                  <c:v>0.21091418545469109</c:v>
                </c:pt>
                <c:pt idx="4">
                  <c:v>0.36600227607545499</c:v>
                </c:pt>
                <c:pt idx="5">
                  <c:v>0.44798571243387575</c:v>
                </c:pt>
                <c:pt idx="6">
                  <c:v>0.52579074948531024</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dLblPos val="t"/>
          <c:showLegendKey val="0"/>
          <c:showVal val="1"/>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Report'!$J$12:$J$20</c:f>
              <c:numCache>
                <c:formatCode>0.0%</c:formatCode>
                <c:ptCount val="9"/>
                <c:pt idx="0">
                  <c:v>0</c:v>
                </c:pt>
                <c:pt idx="1">
                  <c:v>1.0000000128142252</c:v>
                </c:pt>
                <c:pt idx="2">
                  <c:v>1</c:v>
                </c:pt>
                <c:pt idx="3">
                  <c:v>0.56029480733918124</c:v>
                </c:pt>
                <c:pt idx="4">
                  <c:v>0.12373884925878879</c:v>
                </c:pt>
                <c:pt idx="5">
                  <c:v>1</c:v>
                </c:pt>
                <c:pt idx="6">
                  <c:v>1</c:v>
                </c:pt>
                <c:pt idx="7">
                  <c:v>0.21507411089085821</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Report'!$K$11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Report'!$K$12:$K$20</c:f>
              <c:numCache>
                <c:formatCode>0.0%</c:formatCode>
                <c:ptCount val="9"/>
                <c:pt idx="0">
                  <c:v>0</c:v>
                </c:pt>
                <c:pt idx="1">
                  <c:v>1.0000000128142252</c:v>
                </c:pt>
                <c:pt idx="2">
                  <c:v>0.96691176979388349</c:v>
                </c:pt>
                <c:pt idx="3">
                  <c:v>0.72778046856974732</c:v>
                </c:pt>
                <c:pt idx="4">
                  <c:v>0.80127992913803858</c:v>
                </c:pt>
                <c:pt idx="5">
                  <c:v>0.82300884955752207</c:v>
                </c:pt>
                <c:pt idx="6">
                  <c:v>1</c:v>
                </c:pt>
                <c:pt idx="7">
                  <c:v>0.90665737426150494</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Report'!$L$11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Progress Report'!$A$12:$A$20</c:f>
              <c:numCache>
                <c:formatCode>General</c:formatCode>
                <c:ptCount val="9"/>
              </c:numCache>
            </c:numRef>
          </c:cat>
          <c:val>
            <c:numRef>
              <c:f>'Weekly Progress Report'!$L$12:$L$20</c:f>
              <c:numCache>
                <c:formatCode>0.0%</c:formatCode>
                <c:ptCount val="9"/>
                <c:pt idx="0">
                  <c:v>0</c:v>
                </c:pt>
                <c:pt idx="1">
                  <c:v>0</c:v>
                </c:pt>
                <c:pt idx="2">
                  <c:v>-3.3088230206116509E-2</c:v>
                </c:pt>
                <c:pt idx="3">
                  <c:v>0.16748566123056607</c:v>
                </c:pt>
                <c:pt idx="4">
                  <c:v>0.67754107987924983</c:v>
                </c:pt>
                <c:pt idx="5">
                  <c:v>-0.17699115044247793</c:v>
                </c:pt>
                <c:pt idx="6">
                  <c:v>0</c:v>
                </c:pt>
                <c:pt idx="7">
                  <c:v>0.69158326337064668</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5143049499102158E-2"/>
          <c:y val="2.1958393863257045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19</c:v>
                </c:pt>
                <c:pt idx="1">
                  <c:v>31</c:v>
                </c:pt>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Manpower!$B$13:$T$13</c15:sqref>
                  </c15:fullRef>
                </c:ext>
              </c:extLst>
              <c:f>Manpower!$B$13:$T$13</c:f>
              <c:numCache>
                <c:formatCode>0</c:formatCode>
                <c:ptCount val="19"/>
                <c:pt idx="1">
                  <c:v>68.25</c:v>
                </c:pt>
                <c:pt idx="2">
                  <c:v>113.5</c:v>
                </c:pt>
                <c:pt idx="3">
                  <c:v>120.66666666666667</c:v>
                </c:pt>
                <c:pt idx="4">
                  <c:v>127.6</c:v>
                </c:pt>
                <c:pt idx="5">
                  <c:v>112.25</c:v>
                </c:pt>
                <c:pt idx="6">
                  <c:v>118.5</c:v>
                </c:pt>
                <c:pt idx="7">
                  <c:v>121.4</c:v>
                </c:pt>
                <c:pt idx="8">
                  <c:v>120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46068</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pt idx="13">
                  <c:v>46477</c:v>
                </c:pt>
                <c:pt idx="14">
                  <c:v>46507</c:v>
                </c:pt>
                <c:pt idx="15">
                  <c:v>46538</c:v>
                </c:pt>
                <c:pt idx="16">
                  <c:v>46568</c:v>
                </c:pt>
                <c:pt idx="17">
                  <c:v>46599</c:v>
                </c:pt>
                <c:pt idx="18">
                  <c:v>46630</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2">
                  <c:v>46</c:v>
                </c:pt>
                <c:pt idx="3">
                  <c:v>51</c:v>
                </c:pt>
                <c:pt idx="4">
                  <c:v>55</c:v>
                </c:pt>
                <c:pt idx="5">
                  <c:v>105</c:v>
                </c:pt>
                <c:pt idx="6">
                  <c:v>139</c:v>
                </c:pt>
                <c:pt idx="7">
                  <c:v>112</c:v>
                </c:pt>
                <c:pt idx="8">
                  <c:v>116</c:v>
                </c:pt>
                <c:pt idx="9">
                  <c:v>137</c:v>
                </c:pt>
                <c:pt idx="10">
                  <c:v>150</c:v>
                </c:pt>
                <c:pt idx="11">
                  <c:v>161</c:v>
                </c:pt>
                <c:pt idx="12">
                  <c:v>96</c:v>
                </c:pt>
                <c:pt idx="13">
                  <c:v>118</c:v>
                </c:pt>
                <c:pt idx="14">
                  <c:v>104</c:v>
                </c:pt>
                <c:pt idx="15">
                  <c:v>56</c:v>
                </c:pt>
                <c:pt idx="16">
                  <c:v>17</c:v>
                </c:pt>
                <c:pt idx="17">
                  <c:v>6</c:v>
                </c:pt>
                <c:pt idx="18">
                  <c:v>6</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82266646856017189"/>
          <c:y val="8.7309855361590874E-2"/>
          <c:w val="0.10342550256186615"/>
          <c:h val="0.15646639823222583"/>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Manpower!$B$34:$T$34</c:f>
              <c:numCache>
                <c:formatCode>General</c:formatCode>
                <c:ptCount val="19"/>
                <c:pt idx="0">
                  <c:v>0</c:v>
                </c:pt>
                <c:pt idx="1">
                  <c:v>9</c:v>
                </c:pt>
                <c:pt idx="2">
                  <c:v>19</c:v>
                </c:pt>
                <c:pt idx="3">
                  <c:v>25</c:v>
                </c:pt>
                <c:pt idx="4">
                  <c:v>35</c:v>
                </c:pt>
                <c:pt idx="5">
                  <c:v>50</c:v>
                </c:pt>
                <c:pt idx="6">
                  <c:v>56</c:v>
                </c:pt>
                <c:pt idx="7">
                  <c:v>58</c:v>
                </c:pt>
                <c:pt idx="8">
                  <c:v>49</c:v>
                </c:pt>
                <c:pt idx="9">
                  <c:v>50</c:v>
                </c:pt>
                <c:pt idx="10">
                  <c:v>53</c:v>
                </c:pt>
                <c:pt idx="11">
                  <c:v>44</c:v>
                </c:pt>
                <c:pt idx="12">
                  <c:v>26</c:v>
                </c:pt>
                <c:pt idx="13">
                  <c:v>25</c:v>
                </c:pt>
                <c:pt idx="14">
                  <c:v>21</c:v>
                </c:pt>
                <c:pt idx="15">
                  <c:v>13</c:v>
                </c:pt>
                <c:pt idx="16">
                  <c:v>4</c:v>
                </c:pt>
                <c:pt idx="17">
                  <c:v>2</c:v>
                </c:pt>
                <c:pt idx="18">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Manpower!$B$36:$T$36</c:f>
              <c:numCache>
                <c:formatCode>0</c:formatCode>
                <c:ptCount val="19"/>
                <c:pt idx="1">
                  <c:v>60.25</c:v>
                </c:pt>
                <c:pt idx="2">
                  <c:v>66.5</c:v>
                </c:pt>
                <c:pt idx="3">
                  <c:v>66</c:v>
                </c:pt>
                <c:pt idx="4">
                  <c:v>70.2</c:v>
                </c:pt>
                <c:pt idx="5">
                  <c:v>64.25</c:v>
                </c:pt>
                <c:pt idx="6">
                  <c:v>66.5</c:v>
                </c:pt>
                <c:pt idx="7">
                  <c:v>67.8</c:v>
                </c:pt>
                <c:pt idx="8">
                  <c:v>64.5</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9"/>
                <c:pt idx="0">
                  <c:v>Feb-26</c:v>
                </c:pt>
                <c:pt idx="1">
                  <c:v>Mar-26</c:v>
                </c:pt>
                <c:pt idx="2">
                  <c:v>Apr-26</c:v>
                </c:pt>
                <c:pt idx="3">
                  <c:v>May-26</c:v>
                </c:pt>
                <c:pt idx="4">
                  <c:v>Jun-26</c:v>
                </c:pt>
                <c:pt idx="5">
                  <c:v>Jul-26</c:v>
                </c:pt>
                <c:pt idx="6">
                  <c:v>Aug-26</c:v>
                </c:pt>
                <c:pt idx="7">
                  <c:v>Sep-26</c:v>
                </c:pt>
                <c:pt idx="8">
                  <c:v>Oct-26</c:v>
                </c:pt>
                <c:pt idx="9">
                  <c:v>Nov-26</c:v>
                </c:pt>
                <c:pt idx="10">
                  <c:v>Dec-26</c:v>
                </c:pt>
                <c:pt idx="11">
                  <c:v>Jan-27</c:v>
                </c:pt>
                <c:pt idx="12">
                  <c:v>Feb-27</c:v>
                </c:pt>
                <c:pt idx="13">
                  <c:v>Mar-27</c:v>
                </c:pt>
                <c:pt idx="14">
                  <c:v>Apr-27</c:v>
                </c:pt>
                <c:pt idx="15">
                  <c:v>May-27</c:v>
                </c:pt>
                <c:pt idx="16">
                  <c:v>Jun-27</c:v>
                </c:pt>
                <c:pt idx="17">
                  <c:v>Jul-27</c:v>
                </c:pt>
                <c:pt idx="18">
                  <c:v>Aug-27</c:v>
                </c:pt>
              </c:strCache>
            </c:strRef>
          </c:cat>
          <c:val>
            <c:numRef>
              <c:f>Manpower!$B$38:$V$38</c:f>
              <c:numCache>
                <c:formatCode>General</c:formatCode>
                <c:ptCount val="21"/>
                <c:pt idx="3">
                  <c:v>25</c:v>
                </c:pt>
                <c:pt idx="4">
                  <c:v>35</c:v>
                </c:pt>
                <c:pt idx="5">
                  <c:v>50</c:v>
                </c:pt>
                <c:pt idx="6">
                  <c:v>56</c:v>
                </c:pt>
                <c:pt idx="7">
                  <c:v>58</c:v>
                </c:pt>
                <c:pt idx="8">
                  <c:v>49</c:v>
                </c:pt>
                <c:pt idx="9">
                  <c:v>50</c:v>
                </c:pt>
                <c:pt idx="10">
                  <c:v>53</c:v>
                </c:pt>
                <c:pt idx="11">
                  <c:v>44</c:v>
                </c:pt>
                <c:pt idx="12">
                  <c:v>26</c:v>
                </c:pt>
                <c:pt idx="13">
                  <c:v>25</c:v>
                </c:pt>
                <c:pt idx="14">
                  <c:v>21</c:v>
                </c:pt>
                <c:pt idx="15">
                  <c:v>13</c:v>
                </c:pt>
                <c:pt idx="16">
                  <c:v>4</c:v>
                </c:pt>
                <c:pt idx="17">
                  <c:v>2</c:v>
                </c:pt>
                <c:pt idx="18">
                  <c:v>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75003671590894605"/>
          <c:y val="8.3691948906301647E-2"/>
          <c:w val="0.10433803624146877"/>
          <c:h val="0.1154046437076735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jpe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33</xdr:row>
      <xdr:rowOff>0</xdr:rowOff>
    </xdr:from>
    <xdr:to>
      <xdr:col>29</xdr:col>
      <xdr:colOff>0</xdr:colOff>
      <xdr:row>48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25</xdr:col>
      <xdr:colOff>0</xdr:colOff>
      <xdr:row>48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33</xdr:row>
      <xdr:rowOff>32656</xdr:rowOff>
    </xdr:from>
    <xdr:to>
      <xdr:col>32</xdr:col>
      <xdr:colOff>840441</xdr:colOff>
      <xdr:row>47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35</xdr:row>
      <xdr:rowOff>60158</xdr:rowOff>
    </xdr:from>
    <xdr:to>
      <xdr:col>32</xdr:col>
      <xdr:colOff>685800</xdr:colOff>
      <xdr:row>36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4,256,810 </a:t>
          </a:fld>
          <a:endParaRPr lang="en-US" sz="1400" b="1">
            <a:solidFill>
              <a:srgbClr val="2C6682"/>
            </a:solidFill>
          </a:endParaRPr>
        </a:p>
      </xdr:txBody>
    </xdr:sp>
    <xdr:clientData/>
  </xdr:twoCellAnchor>
  <xdr:twoCellAnchor>
    <xdr:from>
      <xdr:col>17</xdr:col>
      <xdr:colOff>15389</xdr:colOff>
      <xdr:row>65</xdr:row>
      <xdr:rowOff>2062</xdr:rowOff>
    </xdr:from>
    <xdr:to>
      <xdr:col>20</xdr:col>
      <xdr:colOff>812423</xdr:colOff>
      <xdr:row>71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77</xdr:row>
      <xdr:rowOff>26276</xdr:rowOff>
    </xdr:from>
    <xdr:to>
      <xdr:col>16</xdr:col>
      <xdr:colOff>832069</xdr:colOff>
      <xdr:row>85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50</xdr:row>
      <xdr:rowOff>228600</xdr:rowOff>
    </xdr:from>
    <xdr:to>
      <xdr:col>32</xdr:col>
      <xdr:colOff>850724</xdr:colOff>
      <xdr:row>59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61</xdr:row>
      <xdr:rowOff>17516</xdr:rowOff>
    </xdr:from>
    <xdr:to>
      <xdr:col>32</xdr:col>
      <xdr:colOff>849585</xdr:colOff>
      <xdr:row>68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819196</xdr:colOff>
      <xdr:row>0</xdr:row>
      <xdr:rowOff>508993</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0</xdr:colOff>
      <xdr:row>21</xdr:row>
      <xdr:rowOff>0</xdr:rowOff>
    </xdr:from>
    <xdr:to>
      <xdr:col>13</xdr:col>
      <xdr:colOff>0</xdr:colOff>
      <xdr:row>48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9</xdr:row>
      <xdr:rowOff>0</xdr:rowOff>
    </xdr:from>
    <xdr:to>
      <xdr:col>33</xdr:col>
      <xdr:colOff>0</xdr:colOff>
      <xdr:row>20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0</xdr:colOff>
          <xdr:row>88</xdr:row>
          <xdr:rowOff>47624</xdr:rowOff>
        </xdr:from>
        <xdr:to>
          <xdr:col>4</xdr:col>
          <xdr:colOff>288519</xdr:colOff>
          <xdr:row>93</xdr:row>
          <xdr:rowOff>473656</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244559"/>
                </a:ext>
              </a:extLst>
            </xdr:cNvPicPr>
          </xdr:nvPicPr>
          <xdr:blipFill>
            <a:blip xmlns:r="http://schemas.openxmlformats.org/officeDocument/2006/relationships" r:embed="rId11"/>
            <a:srcRect/>
            <a:stretch>
              <a:fillRect/>
            </a:stretch>
          </xdr:blipFill>
          <xdr:spPr bwMode="auto">
            <a:xfrm>
              <a:off x="95250" y="23693437"/>
              <a:ext cx="5167311" cy="304540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242455</xdr:colOff>
          <xdr:row>88</xdr:row>
          <xdr:rowOff>0</xdr:rowOff>
        </xdr:from>
        <xdr:to>
          <xdr:col>8</xdr:col>
          <xdr:colOff>920287</xdr:colOff>
          <xdr:row>93</xdr:row>
          <xdr:rowOff>477619</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244560"/>
                </a:ext>
              </a:extLst>
            </xdr:cNvPicPr>
          </xdr:nvPicPr>
          <xdr:blipFill>
            <a:blip xmlns:r="http://schemas.openxmlformats.org/officeDocument/2006/relationships" r:embed="rId12"/>
            <a:srcRect/>
            <a:stretch>
              <a:fillRect/>
            </a:stretch>
          </xdr:blipFill>
          <xdr:spPr bwMode="auto">
            <a:xfrm>
              <a:off x="5230091" y="22461682"/>
              <a:ext cx="5729026" cy="30715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87</xdr:row>
          <xdr:rowOff>190499</xdr:rowOff>
        </xdr:from>
        <xdr:to>
          <xdr:col>13</xdr:col>
          <xdr:colOff>1124344</xdr:colOff>
          <xdr:row>93</xdr:row>
          <xdr:rowOff>346173</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244561"/>
                </a:ext>
              </a:extLst>
            </xdr:cNvPicPr>
          </xdr:nvPicPr>
          <xdr:blipFill>
            <a:blip xmlns:r="http://schemas.openxmlformats.org/officeDocument/2006/relationships" r:embed="rId13"/>
            <a:srcRect/>
            <a:stretch>
              <a:fillRect/>
            </a:stretch>
          </xdr:blipFill>
          <xdr:spPr bwMode="auto">
            <a:xfrm>
              <a:off x="12763500" y="22634863"/>
              <a:ext cx="4570662" cy="299585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8378967" y="4526859"/>
          <a:ext cx="1989796" cy="1235070"/>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V$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48.66%</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79.31%</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30.65%</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55.24%</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77.08%</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L$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21.83%</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40822</xdr:colOff>
      <xdr:row>4</xdr:row>
      <xdr:rowOff>76200</xdr:rowOff>
    </xdr:from>
    <xdr:to>
      <xdr:col>9</xdr:col>
      <xdr:colOff>637630</xdr:colOff>
      <xdr:row>20</xdr:row>
      <xdr:rowOff>134438</xdr:rowOff>
    </xdr:to>
    <xdr:pic>
      <xdr:nvPicPr>
        <xdr:cNvPr id="2" name="Picture 1">
          <a:extLst>
            <a:ext uri="{FF2B5EF4-FFF2-40B4-BE49-F238E27FC236}">
              <a16:creationId xmlns:a16="http://schemas.microsoft.com/office/drawing/2014/main" id="{E068ABF7-B3D0-F890-DEA2-351B7C7CA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17715" y="1436914"/>
          <a:ext cx="5713094" cy="2888524"/>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91440</xdr:colOff>
      <xdr:row>4</xdr:row>
      <xdr:rowOff>17417</xdr:rowOff>
    </xdr:from>
    <xdr:to>
      <xdr:col>19</xdr:col>
      <xdr:colOff>571500</xdr:colOff>
      <xdr:row>20</xdr:row>
      <xdr:rowOff>149679</xdr:rowOff>
    </xdr:to>
    <xdr:pic>
      <xdr:nvPicPr>
        <xdr:cNvPr id="3" name="Picture 2">
          <a:extLst>
            <a:ext uri="{FF2B5EF4-FFF2-40B4-BE49-F238E27FC236}">
              <a16:creationId xmlns:a16="http://schemas.microsoft.com/office/drawing/2014/main" id="{954962BA-85D3-D9A9-C69B-FD7DA08375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282690" y="1378131"/>
          <a:ext cx="5596346" cy="2962548"/>
        </a:xfrm>
        <a:prstGeom prst="rect">
          <a:avLst/>
        </a:prstGeom>
      </xdr:spPr>
    </xdr:pic>
    <xdr:clientData/>
  </xdr:twoCellAnchor>
  <xdr:twoCellAnchor editAs="oneCell">
    <xdr:from>
      <xdr:col>1</xdr:col>
      <xdr:colOff>54428</xdr:colOff>
      <xdr:row>23</xdr:row>
      <xdr:rowOff>40822</xdr:rowOff>
    </xdr:from>
    <xdr:to>
      <xdr:col>9</xdr:col>
      <xdr:colOff>670559</xdr:colOff>
      <xdr:row>39</xdr:row>
      <xdr:rowOff>136071</xdr:rowOff>
    </xdr:to>
    <xdr:pic>
      <xdr:nvPicPr>
        <xdr:cNvPr id="4" name="Picture 3">
          <a:extLst>
            <a:ext uri="{FF2B5EF4-FFF2-40B4-BE49-F238E27FC236}">
              <a16:creationId xmlns:a16="http://schemas.microsoft.com/office/drawing/2014/main" id="{36A56A0A-9182-4EAF-27A1-7FA0ECA7D2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231321" y="5034643"/>
          <a:ext cx="5732417" cy="2925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54430</xdr:colOff>
      <xdr:row>23</xdr:row>
      <xdr:rowOff>21500</xdr:rowOff>
    </xdr:from>
    <xdr:to>
      <xdr:col>19</xdr:col>
      <xdr:colOff>554084</xdr:colOff>
      <xdr:row>39</xdr:row>
      <xdr:rowOff>113756</xdr:rowOff>
    </xdr:to>
    <xdr:pic>
      <xdr:nvPicPr>
        <xdr:cNvPr id="5" name="Picture 4">
          <a:extLst>
            <a:ext uri="{FF2B5EF4-FFF2-40B4-BE49-F238E27FC236}">
              <a16:creationId xmlns:a16="http://schemas.microsoft.com/office/drawing/2014/main" id="{66FF1437-5280-484C-4AF0-14A7335694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6245680" y="5015321"/>
          <a:ext cx="5615940" cy="2922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212407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twoCellAnchor editAs="oneCell">
    <xdr:from>
      <xdr:col>26</xdr:col>
      <xdr:colOff>122464</xdr:colOff>
      <xdr:row>1</xdr:row>
      <xdr:rowOff>39461</xdr:rowOff>
    </xdr:from>
    <xdr:to>
      <xdr:col>29</xdr:col>
      <xdr:colOff>244792</xdr:colOff>
      <xdr:row>3</xdr:row>
      <xdr:rowOff>168592</xdr:rowOff>
    </xdr:to>
    <xdr:pic>
      <xdr:nvPicPr>
        <xdr:cNvPr id="3" name="Picture 2">
          <a:extLst>
            <a:ext uri="{FF2B5EF4-FFF2-40B4-BE49-F238E27FC236}">
              <a16:creationId xmlns:a16="http://schemas.microsoft.com/office/drawing/2014/main" id="{5D055FD9-C23C-4A76-BCF3-B6C7203BD9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866164" y="130901"/>
          <a:ext cx="1025298" cy="4834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190500</xdr:colOff>
      <xdr:row>0</xdr:row>
      <xdr:rowOff>311728</xdr:rowOff>
    </xdr:from>
    <xdr:to>
      <xdr:col>51</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10</xdr:col>
      <xdr:colOff>143434</xdr:colOff>
      <xdr:row>2</xdr:row>
      <xdr:rowOff>8964</xdr:rowOff>
    </xdr:from>
    <xdr:to>
      <xdr:col>14</xdr:col>
      <xdr:colOff>1048870</xdr:colOff>
      <xdr:row>10</xdr:row>
      <xdr:rowOff>2465</xdr:rowOff>
    </xdr:to>
    <xdr:pic>
      <xdr:nvPicPr>
        <xdr:cNvPr id="6" name="Picture 5">
          <a:extLst>
            <a:ext uri="{FF2B5EF4-FFF2-40B4-BE49-F238E27FC236}">
              <a16:creationId xmlns:a16="http://schemas.microsoft.com/office/drawing/2014/main" id="{CBA1A43E-D6C8-231D-D951-C69DA9B18634}"/>
            </a:ext>
          </a:extLst>
        </xdr:cNvPr>
        <xdr:cNvPicPr>
          <a:picLocks noChangeAspect="1"/>
        </xdr:cNvPicPr>
      </xdr:nvPicPr>
      <xdr:blipFill>
        <a:blip xmlns:r="http://schemas.openxmlformats.org/officeDocument/2006/relationships" r:embed="rId3"/>
        <a:stretch>
          <a:fillRect/>
        </a:stretch>
      </xdr:blipFill>
      <xdr:spPr>
        <a:xfrm>
          <a:off x="9688686565" y="986117"/>
          <a:ext cx="4356848" cy="3137647"/>
        </a:xfrm>
        <a:prstGeom prst="rect">
          <a:avLst/>
        </a:prstGeom>
      </xdr:spPr>
    </xdr:pic>
    <xdr:clientData/>
  </xdr:twoCellAnchor>
  <xdr:twoCellAnchor editAs="oneCell">
    <xdr:from>
      <xdr:col>13</xdr:col>
      <xdr:colOff>29807</xdr:colOff>
      <xdr:row>21</xdr:row>
      <xdr:rowOff>360846</xdr:rowOff>
    </xdr:from>
    <xdr:to>
      <xdr:col>14</xdr:col>
      <xdr:colOff>1010659</xdr:colOff>
      <xdr:row>28</xdr:row>
      <xdr:rowOff>437030</xdr:rowOff>
    </xdr:to>
    <xdr:pic>
      <xdr:nvPicPr>
        <xdr:cNvPr id="12" name="Picture 11">
          <a:extLst>
            <a:ext uri="{FF2B5EF4-FFF2-40B4-BE49-F238E27FC236}">
              <a16:creationId xmlns:a16="http://schemas.microsoft.com/office/drawing/2014/main" id="{0ABBA046-0C5C-E8B1-7A07-8B9D492415A9}"/>
            </a:ext>
          </a:extLst>
        </xdr:cNvPr>
        <xdr:cNvPicPr>
          <a:picLocks noChangeAspect="1"/>
        </xdr:cNvPicPr>
      </xdr:nvPicPr>
      <xdr:blipFill>
        <a:blip xmlns:r="http://schemas.openxmlformats.org/officeDocument/2006/relationships" r:embed="rId4"/>
        <a:stretch>
          <a:fillRect/>
        </a:stretch>
      </xdr:blipFill>
      <xdr:spPr>
        <a:xfrm>
          <a:off x="9725460124" y="9011787"/>
          <a:ext cx="2078804" cy="3572419"/>
        </a:xfrm>
        <a:prstGeom prst="rect">
          <a:avLst/>
        </a:prstGeom>
      </xdr:spPr>
    </xdr:pic>
    <xdr:clientData/>
  </xdr:twoCellAnchor>
  <xdr:twoCellAnchor editAs="oneCell">
    <xdr:from>
      <xdr:col>11</xdr:col>
      <xdr:colOff>52221</xdr:colOff>
      <xdr:row>21</xdr:row>
      <xdr:rowOff>343798</xdr:rowOff>
    </xdr:from>
    <xdr:to>
      <xdr:col>12</xdr:col>
      <xdr:colOff>1008305</xdr:colOff>
      <xdr:row>28</xdr:row>
      <xdr:rowOff>440841</xdr:rowOff>
    </xdr:to>
    <xdr:pic>
      <xdr:nvPicPr>
        <xdr:cNvPr id="13" name="Picture 12">
          <a:extLst>
            <a:ext uri="{FF2B5EF4-FFF2-40B4-BE49-F238E27FC236}">
              <a16:creationId xmlns:a16="http://schemas.microsoft.com/office/drawing/2014/main" id="{5AFE54E9-84C1-8EED-3699-3D78C35E5A71}"/>
            </a:ext>
          </a:extLst>
        </xdr:cNvPr>
        <xdr:cNvPicPr>
          <a:picLocks noChangeAspect="1"/>
        </xdr:cNvPicPr>
      </xdr:nvPicPr>
      <xdr:blipFill>
        <a:blip xmlns:r="http://schemas.openxmlformats.org/officeDocument/2006/relationships" r:embed="rId5"/>
        <a:stretch>
          <a:fillRect/>
        </a:stretch>
      </xdr:blipFill>
      <xdr:spPr>
        <a:xfrm>
          <a:off x="9727658382" y="8994739"/>
          <a:ext cx="2076897" cy="3593278"/>
        </a:xfrm>
        <a:prstGeom prst="rect">
          <a:avLst/>
        </a:prstGeom>
      </xdr:spPr>
    </xdr:pic>
    <xdr:clientData/>
  </xdr:twoCellAnchor>
  <xdr:twoCellAnchor editAs="oneCell">
    <xdr:from>
      <xdr:col>13</xdr:col>
      <xdr:colOff>22411</xdr:colOff>
      <xdr:row>12</xdr:row>
      <xdr:rowOff>341892</xdr:rowOff>
    </xdr:from>
    <xdr:to>
      <xdr:col>14</xdr:col>
      <xdr:colOff>1007202</xdr:colOff>
      <xdr:row>20</xdr:row>
      <xdr:rowOff>246530</xdr:rowOff>
    </xdr:to>
    <xdr:pic>
      <xdr:nvPicPr>
        <xdr:cNvPr id="7" name="Picture 6">
          <a:extLst>
            <a:ext uri="{FF2B5EF4-FFF2-40B4-BE49-F238E27FC236}">
              <a16:creationId xmlns:a16="http://schemas.microsoft.com/office/drawing/2014/main" id="{64E363B8-2DD8-C7F1-5F97-C2B3E4FE649D}"/>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9725452151" y="5362127"/>
          <a:ext cx="2094173" cy="3131932"/>
        </a:xfrm>
        <a:prstGeom prst="rect">
          <a:avLst/>
        </a:prstGeom>
      </xdr:spPr>
    </xdr:pic>
    <xdr:clientData/>
  </xdr:twoCellAnchor>
  <xdr:twoCellAnchor editAs="oneCell">
    <xdr:from>
      <xdr:col>11</xdr:col>
      <xdr:colOff>89871</xdr:colOff>
      <xdr:row>12</xdr:row>
      <xdr:rowOff>371926</xdr:rowOff>
    </xdr:from>
    <xdr:to>
      <xdr:col>12</xdr:col>
      <xdr:colOff>1049767</xdr:colOff>
      <xdr:row>20</xdr:row>
      <xdr:rowOff>94915</xdr:rowOff>
    </xdr:to>
    <xdr:pic>
      <xdr:nvPicPr>
        <xdr:cNvPr id="8" name="Picture 7">
          <a:extLst>
            <a:ext uri="{FF2B5EF4-FFF2-40B4-BE49-F238E27FC236}">
              <a16:creationId xmlns:a16="http://schemas.microsoft.com/office/drawing/2014/main" id="{0E2479CD-96E2-B186-BB9A-2AEA7806192C}"/>
            </a:ext>
          </a:extLst>
        </xdr:cNvPr>
        <xdr:cNvPicPr>
          <a:picLocks noChangeAspect="1"/>
        </xdr:cNvPicPr>
      </xdr:nvPicPr>
      <xdr:blipFill>
        <a:blip xmlns:r="http://schemas.openxmlformats.org/officeDocument/2006/relationships" r:embed="rId7"/>
        <a:stretch>
          <a:fillRect/>
        </a:stretch>
      </xdr:blipFill>
      <xdr:spPr>
        <a:xfrm>
          <a:off x="9727635970" y="5392161"/>
          <a:ext cx="2061659" cy="29502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_x0000_옰ʒ䄂ʒ鵠ʐ䄂ʒ閐̐䄂ʒ蕈̐"/>
      <sheetName val="Top sheet"/>
      <sheetName val="COC"/>
      <sheetName val="Inputs"/>
      <sheetName val="LABOUR_HISTOGRAM1"/>
      <sheetName val="Sheet3"/>
      <sheetName val="SHOPLIST.xls"/>
      <sheetName val="Geneí¬_x0008_i_x0000__x0000__x0014__x0000_0."/>
      <sheetName val="70_x0000_,/0_x0000_s«_x0008_i_x0000_Æø_x0003_í¬_x0008_i_x0000_"/>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_x0000__x0000__x0000__x0000__x0000__x0000__x0000__x0000_"/>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70,_0s«_x0008_iÆø_x0003_í¬_x0008_i"/>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row r="9">
          <cell r="A9" t="str">
            <v>A</v>
          </cell>
        </row>
      </sheetData>
      <sheetData sheetId="210"/>
      <sheetData sheetId="211">
        <row r="9">
          <cell r="A9" t="str">
            <v>A</v>
          </cell>
        </row>
      </sheetData>
      <sheetData sheetId="212">
        <row r="9">
          <cell r="A9" t="str">
            <v>A</v>
          </cell>
        </row>
      </sheetData>
      <sheetData sheetId="213">
        <row r="9">
          <cell r="A9" t="str">
            <v>A</v>
          </cell>
        </row>
      </sheetData>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9">
          <cell r="A9" t="str">
            <v>A</v>
          </cell>
        </row>
      </sheetData>
      <sheetData sheetId="256">
        <row r="9">
          <cell r="A9" t="str">
            <v>A</v>
          </cell>
        </row>
      </sheetData>
      <sheetData sheetId="257">
        <row r="9">
          <cell r="A9" t="str">
            <v>A</v>
          </cell>
        </row>
      </sheetData>
      <sheetData sheetId="258"/>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efreshError="1"/>
      <sheetData sheetId="470" refreshError="1"/>
      <sheetData sheetId="471" refreshError="1"/>
      <sheetData sheetId="472" refreshError="1"/>
      <sheetData sheetId="473">
        <row r="9">
          <cell r="A9" t="str">
            <v>A</v>
          </cell>
        </row>
      </sheetData>
      <sheetData sheetId="474">
        <row r="9">
          <cell r="A9" t="str">
            <v>A</v>
          </cell>
        </row>
      </sheetData>
      <sheetData sheetId="475">
        <row r="9">
          <cell r="A9" t="str">
            <v>A</v>
          </cell>
        </row>
      </sheetData>
      <sheetData sheetId="476" refreshError="1"/>
      <sheetData sheetId="477" refreshError="1"/>
      <sheetData sheetId="478" refreshError="1"/>
      <sheetData sheetId="479" refreshError="1"/>
      <sheetData sheetId="480"/>
      <sheetData sheetId="481" refreshError="1"/>
      <sheetData sheetId="482"/>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sheetData sheetId="521">
        <row r="9">
          <cell r="A9" t="str">
            <v>A</v>
          </cell>
        </row>
      </sheetData>
      <sheetData sheetId="522">
        <row r="9">
          <cell r="A9" t="str">
            <v>A</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efreshError="1"/>
      <sheetData sheetId="565" refreshError="1"/>
      <sheetData sheetId="566" refreshError="1"/>
      <sheetData sheetId="567" refreshError="1"/>
      <sheetData sheetId="568" refreshError="1"/>
      <sheetData sheetId="569">
        <row r="9">
          <cell r="A9" t="str">
            <v>A</v>
          </cell>
        </row>
      </sheetData>
      <sheetData sheetId="570">
        <row r="9">
          <cell r="A9" t="str">
            <v>A</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ow r="9">
          <cell r="A9" t="str">
            <v>A</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sheetData sheetId="853" refreshError="1"/>
      <sheetData sheetId="854" refreshError="1"/>
      <sheetData sheetId="855" refreshError="1"/>
      <sheetData sheetId="856" refreshError="1"/>
      <sheetData sheetId="857" refreshError="1"/>
      <sheetData sheetId="858" refreshError="1"/>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efreshError="1"/>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efreshError="1"/>
      <sheetData sheetId="1051">
        <row r="9">
          <cell r="A9" t="str">
            <v>A</v>
          </cell>
        </row>
      </sheetData>
      <sheetData sheetId="1052"/>
      <sheetData sheetId="1053"/>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9">
          <cell r="A9" t="str">
            <v>A</v>
          </cell>
        </row>
      </sheetData>
      <sheetData sheetId="1066" refreshError="1"/>
      <sheetData sheetId="1067" refreshError="1"/>
      <sheetData sheetId="1068" refreshError="1"/>
      <sheetData sheetId="1069"/>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ow r="9">
          <cell r="A9" t="str">
            <v>A</v>
          </cell>
        </row>
      </sheetData>
      <sheetData sheetId="1097">
        <row r="9">
          <cell r="A9" t="str">
            <v>A</v>
          </cell>
        </row>
      </sheetData>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9">
          <cell r="A9" t="str">
            <v>A</v>
          </cell>
        </row>
      </sheetData>
      <sheetData sheetId="1109" refreshError="1"/>
      <sheetData sheetId="1110">
        <row r="9">
          <cell r="A9" t="str">
            <v>A</v>
          </cell>
        </row>
      </sheetData>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efreshError="1"/>
      <sheetData sheetId="1146"/>
      <sheetData sheetId="1147" refreshError="1"/>
      <sheetData sheetId="1148" refreshError="1"/>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efreshError="1"/>
      <sheetData sheetId="1691" refreshError="1"/>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efreshError="1"/>
      <sheetData sheetId="1713" refreshError="1"/>
      <sheetData sheetId="1714"/>
      <sheetData sheetId="1715" refreshError="1"/>
      <sheetData sheetId="1716" refreshError="1"/>
      <sheetData sheetId="1717">
        <row r="9">
          <cell r="A9" t="str">
            <v>A</v>
          </cell>
        </row>
      </sheetData>
      <sheetData sheetId="1718">
        <row r="9">
          <cell r="A9" t="str">
            <v>A</v>
          </cell>
        </row>
      </sheetData>
      <sheetData sheetId="1719" refreshError="1"/>
      <sheetData sheetId="1720" refreshError="1"/>
      <sheetData sheetId="1721" refreshError="1"/>
      <sheetData sheetId="1722" refreshError="1"/>
      <sheetData sheetId="1723">
        <row r="9">
          <cell r="A9" t="str">
            <v>A</v>
          </cell>
        </row>
      </sheetData>
      <sheetData sheetId="1724"/>
      <sheetData sheetId="1725"/>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efreshError="1"/>
      <sheetData sheetId="1737" refreshError="1"/>
      <sheetData sheetId="1738" refreshError="1"/>
      <sheetData sheetId="1739" refreshError="1"/>
      <sheetData sheetId="1740" refreshError="1"/>
      <sheetData sheetId="1741" refreshError="1"/>
      <sheetData sheetId="1742">
        <row r="9">
          <cell r="A9" t="str">
            <v>A</v>
          </cell>
        </row>
      </sheetData>
      <sheetData sheetId="1743">
        <row r="9">
          <cell r="A9" t="str">
            <v>A</v>
          </cell>
        </row>
      </sheetData>
      <sheetData sheetId="1744">
        <row r="9">
          <cell r="A9" t="str">
            <v>A</v>
          </cell>
        </row>
      </sheetData>
      <sheetData sheetId="1745"/>
      <sheetData sheetId="1746">
        <row r="9">
          <cell r="A9" t="str">
            <v>A</v>
          </cell>
        </row>
      </sheetData>
      <sheetData sheetId="1747">
        <row r="9">
          <cell r="A9" t="str">
            <v>A</v>
          </cell>
        </row>
      </sheetData>
      <sheetData sheetId="1748"/>
      <sheetData sheetId="1749">
        <row r="9">
          <cell r="A9" t="str">
            <v>A</v>
          </cell>
        </row>
      </sheetData>
      <sheetData sheetId="1750">
        <row r="9">
          <cell r="A9" t="str">
            <v>A</v>
          </cell>
        </row>
      </sheetData>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9">
          <cell r="A9" t="str">
            <v>A</v>
          </cell>
        </row>
      </sheetData>
      <sheetData sheetId="1766" refreshError="1"/>
      <sheetData sheetId="1767" refreshError="1"/>
      <sheetData sheetId="1768" refreshError="1"/>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efreshError="1"/>
      <sheetData sheetId="1779" refreshError="1"/>
      <sheetData sheetId="1780" refreshError="1"/>
      <sheetData sheetId="1781" refreshError="1"/>
      <sheetData sheetId="1782" refreshError="1"/>
      <sheetData sheetId="1783">
        <row r="9">
          <cell r="A9" t="str">
            <v>A</v>
          </cell>
        </row>
      </sheetData>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ow r="9">
          <cell r="A9" t="str">
            <v>A</v>
          </cell>
        </row>
      </sheetData>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9">
          <cell r="A9" t="str">
            <v>A</v>
          </cell>
        </row>
      </sheetData>
      <sheetData sheetId="1824">
        <row r="9">
          <cell r="A9" t="str">
            <v>A</v>
          </cell>
        </row>
      </sheetData>
      <sheetData sheetId="1825" refreshError="1"/>
      <sheetData sheetId="1826" refreshError="1"/>
      <sheetData sheetId="1827"/>
      <sheetData sheetId="1828" refreshError="1"/>
      <sheetData sheetId="1829">
        <row r="9">
          <cell r="A9" t="str">
            <v>A</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9">
          <cell r="A9" t="str">
            <v>A</v>
          </cell>
        </row>
      </sheetData>
      <sheetData sheetId="1838">
        <row r="9">
          <cell r="A9" t="str">
            <v>A</v>
          </cell>
        </row>
      </sheetData>
      <sheetData sheetId="1839">
        <row r="9">
          <cell r="A9" t="str">
            <v>A</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efreshError="1"/>
      <sheetData sheetId="2071" refreshError="1"/>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ow r="9">
          <cell r="A9" t="str">
            <v>A</v>
          </cell>
        </row>
      </sheetData>
      <sheetData sheetId="2105" refreshError="1"/>
      <sheetData sheetId="2106" refreshError="1"/>
      <sheetData sheetId="2107" refreshError="1"/>
      <sheetData sheetId="2108" refreshError="1"/>
      <sheetData sheetId="2109">
        <row r="9">
          <cell r="A9" t="str">
            <v>A</v>
          </cell>
        </row>
      </sheetData>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9">
          <cell r="A9" t="str">
            <v>A</v>
          </cell>
        </row>
      </sheetData>
      <sheetData sheetId="2137"/>
      <sheetData sheetId="2138" refreshError="1"/>
      <sheetData sheetId="2139" refreshError="1"/>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sheetData sheetId="2188"/>
      <sheetData sheetId="2189"/>
      <sheetData sheetId="2190"/>
      <sheetData sheetId="2191"/>
      <sheetData sheetId="2192"/>
      <sheetData sheetId="2193"/>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ow r="9">
          <cell r="A9" t="str">
            <v>A</v>
          </cell>
        </row>
      </sheetData>
      <sheetData sheetId="2447" refreshError="1"/>
      <sheetData sheetId="2448" refreshError="1"/>
      <sheetData sheetId="2449">
        <row r="9">
          <cell r="A9" t="str">
            <v>A</v>
          </cell>
        </row>
      </sheetData>
      <sheetData sheetId="2450" refreshError="1"/>
      <sheetData sheetId="2451" refreshError="1"/>
      <sheetData sheetId="2452" refreshError="1"/>
      <sheetData sheetId="2453" refreshError="1"/>
      <sheetData sheetId="2454" refreshError="1"/>
      <sheetData sheetId="2455" refreshError="1"/>
      <sheetData sheetId="2456" refreshError="1"/>
      <sheetData sheetId="2457">
        <row r="9">
          <cell r="A9" t="str">
            <v>A</v>
          </cell>
        </row>
      </sheetData>
      <sheetData sheetId="2458">
        <row r="9">
          <cell r="A9" t="str">
            <v>A</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ow r="9">
          <cell r="A9" t="str">
            <v>A</v>
          </cell>
        </row>
      </sheetData>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ow r="9">
          <cell r="A9" t="str">
            <v>A</v>
          </cell>
        </row>
      </sheetData>
      <sheetData sheetId="2822" refreshError="1"/>
      <sheetData sheetId="2823">
        <row r="9">
          <cell r="A9" t="str">
            <v>A</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ow r="9">
          <cell r="A9" t="str">
            <v>A</v>
          </cell>
        </row>
      </sheetData>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ow r="9">
          <cell r="A9" t="str">
            <v>A</v>
          </cell>
        </row>
      </sheetData>
      <sheetData sheetId="3032" refreshError="1"/>
      <sheetData sheetId="3033">
        <row r="9">
          <cell r="A9" t="str">
            <v>A</v>
          </cell>
        </row>
      </sheetData>
      <sheetData sheetId="3034">
        <row r="9">
          <cell r="A9" t="str">
            <v>A</v>
          </cell>
        </row>
      </sheetData>
      <sheetData sheetId="3035">
        <row r="9">
          <cell r="A9" t="str">
            <v>A</v>
          </cell>
        </row>
      </sheetData>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efreshError="1"/>
      <sheetData sheetId="3136" refreshError="1"/>
      <sheetData sheetId="3137" refreshError="1"/>
      <sheetData sheetId="3138" refreshError="1"/>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efreshError="1"/>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efreshError="1"/>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efreshError="1"/>
      <sheetData sheetId="3505">
        <row r="9">
          <cell r="A9" t="str">
            <v>A</v>
          </cell>
        </row>
      </sheetData>
      <sheetData sheetId="3506" refreshError="1"/>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efreshError="1"/>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efreshError="1"/>
      <sheetData sheetId="3528">
        <row r="9">
          <cell r="A9" t="str">
            <v>A</v>
          </cell>
        </row>
      </sheetData>
      <sheetData sheetId="3529">
        <row r="9">
          <cell r="A9" t="str">
            <v>A</v>
          </cell>
        </row>
      </sheetData>
      <sheetData sheetId="3530">
        <row r="9">
          <cell r="A9" t="str">
            <v>A</v>
          </cell>
        </row>
      </sheetData>
      <sheetData sheetId="3531" refreshError="1"/>
      <sheetData sheetId="3532" refreshError="1"/>
      <sheetData sheetId="3533">
        <row r="9">
          <cell r="A9" t="str">
            <v>A</v>
          </cell>
        </row>
      </sheetData>
      <sheetData sheetId="3534" refreshError="1"/>
      <sheetData sheetId="3535">
        <row r="9">
          <cell r="A9" t="str">
            <v>A</v>
          </cell>
        </row>
      </sheetData>
      <sheetData sheetId="3536">
        <row r="9">
          <cell r="A9" t="str">
            <v>A</v>
          </cell>
        </row>
      </sheetData>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ow r="9">
          <cell r="A9" t="str">
            <v>A</v>
          </cell>
        </row>
      </sheetData>
      <sheetData sheetId="3547" refreshError="1"/>
      <sheetData sheetId="3548" refreshError="1"/>
      <sheetData sheetId="3549" refreshError="1"/>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efreshError="1"/>
      <sheetData sheetId="3559" refreshError="1"/>
      <sheetData sheetId="3560">
        <row r="9">
          <cell r="A9" t="str">
            <v>A</v>
          </cell>
        </row>
      </sheetData>
      <sheetData sheetId="3561" refreshError="1"/>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efreshError="1"/>
      <sheetData sheetId="3570">
        <row r="9">
          <cell r="A9" t="str">
            <v>A</v>
          </cell>
        </row>
      </sheetData>
      <sheetData sheetId="3571">
        <row r="9">
          <cell r="A9" t="str">
            <v>A</v>
          </cell>
        </row>
      </sheetData>
      <sheetData sheetId="3572" refreshError="1"/>
      <sheetData sheetId="3573" refreshError="1"/>
      <sheetData sheetId="3574" refreshError="1"/>
      <sheetData sheetId="3575" refreshError="1"/>
      <sheetData sheetId="3576" refreshError="1"/>
      <sheetData sheetId="3577" refreshError="1"/>
      <sheetData sheetId="3578">
        <row r="9">
          <cell r="A9" t="str">
            <v>A</v>
          </cell>
        </row>
      </sheetData>
      <sheetData sheetId="3579" refreshError="1"/>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efreshError="1"/>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efreshError="1"/>
      <sheetData sheetId="3795" refreshError="1"/>
      <sheetData sheetId="3796" refreshError="1"/>
      <sheetData sheetId="3797" refreshError="1"/>
      <sheetData sheetId="3798" refreshError="1"/>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efreshError="1"/>
      <sheetData sheetId="3816">
        <row r="9">
          <cell r="A9" t="str">
            <v>A</v>
          </cell>
        </row>
      </sheetData>
      <sheetData sheetId="3817">
        <row r="9">
          <cell r="A9" t="str">
            <v>A</v>
          </cell>
        </row>
      </sheetData>
      <sheetData sheetId="3818">
        <row r="9">
          <cell r="A9" t="str">
            <v>A</v>
          </cell>
        </row>
      </sheetData>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9">
          <cell r="A9" t="str">
            <v>A</v>
          </cell>
        </row>
      </sheetData>
      <sheetData sheetId="3874" refreshError="1"/>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efreshError="1"/>
      <sheetData sheetId="3880" refreshError="1"/>
      <sheetData sheetId="3881" refreshError="1"/>
      <sheetData sheetId="3882" refreshError="1"/>
      <sheetData sheetId="3883" refreshError="1"/>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efreshError="1"/>
      <sheetData sheetId="3889" refreshError="1"/>
      <sheetData sheetId="3890">
        <row r="9">
          <cell r="A9" t="str">
            <v>A</v>
          </cell>
        </row>
      </sheetData>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9">
          <cell r="A9" t="str">
            <v>A</v>
          </cell>
        </row>
      </sheetData>
      <sheetData sheetId="3900" refreshError="1"/>
      <sheetData sheetId="3901">
        <row r="9">
          <cell r="A9" t="str">
            <v>A</v>
          </cell>
        </row>
      </sheetData>
      <sheetData sheetId="3902" refreshError="1"/>
      <sheetData sheetId="3903" refreshError="1"/>
      <sheetData sheetId="3904" refreshError="1"/>
      <sheetData sheetId="3905" refreshError="1"/>
      <sheetData sheetId="3906" refreshError="1"/>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ow r="9">
          <cell r="A9" t="str">
            <v>A</v>
          </cell>
        </row>
      </sheetData>
      <sheetData sheetId="3956" refreshError="1"/>
      <sheetData sheetId="3957"/>
      <sheetData sheetId="3958" refreshError="1"/>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efreshError="1"/>
      <sheetData sheetId="4033" refreshError="1"/>
      <sheetData sheetId="4034" refreshError="1"/>
      <sheetData sheetId="4035" refreshError="1"/>
      <sheetData sheetId="4036" refreshError="1"/>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efreshError="1"/>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refreshError="1"/>
      <sheetData sheetId="4332"/>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efreshError="1"/>
      <sheetData sheetId="4612" refreshError="1"/>
      <sheetData sheetId="4613">
        <row r="9">
          <cell r="A9" t="str">
            <v>A</v>
          </cell>
        </row>
      </sheetData>
      <sheetData sheetId="4614" refreshError="1"/>
      <sheetData sheetId="4615">
        <row r="9">
          <cell r="A9" t="str">
            <v>A</v>
          </cell>
        </row>
      </sheetData>
      <sheetData sheetId="4616" refreshError="1"/>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ow r="9">
          <cell r="A9" t="str">
            <v>A</v>
          </cell>
        </row>
      </sheetData>
      <sheetData sheetId="4666">
        <row r="9">
          <cell r="A9" t="str">
            <v>A</v>
          </cell>
        </row>
      </sheetData>
      <sheetData sheetId="4667">
        <row r="9">
          <cell r="A9" t="str">
            <v>A</v>
          </cell>
        </row>
      </sheetData>
      <sheetData sheetId="4668" refreshError="1"/>
      <sheetData sheetId="4669" refreshError="1"/>
      <sheetData sheetId="4670"/>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efreshError="1"/>
      <sheetData sheetId="4707" refreshError="1"/>
      <sheetData sheetId="4708" refreshError="1"/>
      <sheetData sheetId="4709" refreshError="1"/>
      <sheetData sheetId="4710" refreshError="1"/>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efreshError="1"/>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efreshError="1"/>
      <sheetData sheetId="5739" refreshError="1"/>
      <sheetData sheetId="5740" refreshError="1"/>
      <sheetData sheetId="5741" refreshError="1"/>
      <sheetData sheetId="5742" refreshError="1"/>
      <sheetData sheetId="5743" refreshError="1"/>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efreshError="1"/>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efreshError="1"/>
      <sheetData sheetId="6095" refreshError="1"/>
      <sheetData sheetId="6096" refreshError="1"/>
      <sheetData sheetId="6097" refreshError="1"/>
      <sheetData sheetId="6098" refreshError="1"/>
      <sheetData sheetId="6099" refreshError="1"/>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efreshError="1"/>
      <sheetData sheetId="7587" refreshError="1"/>
      <sheetData sheetId="7588">
        <row r="9">
          <cell r="A9" t="str">
            <v>A</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ow r="9">
          <cell r="A9" t="str">
            <v>A</v>
          </cell>
        </row>
      </sheetData>
      <sheetData sheetId="7598">
        <row r="9">
          <cell r="A9" t="str">
            <v>A</v>
          </cell>
        </row>
      </sheetData>
      <sheetData sheetId="7599">
        <row r="9">
          <cell r="A9" t="str">
            <v>A</v>
          </cell>
        </row>
      </sheetData>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efreshError="1"/>
      <sheetData sheetId="7665" refreshError="1"/>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efreshError="1"/>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efreshError="1"/>
      <sheetData sheetId="7705" refreshError="1"/>
      <sheetData sheetId="7706">
        <row r="9">
          <cell r="A9" t="str">
            <v>A</v>
          </cell>
        </row>
      </sheetData>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efreshError="1"/>
      <sheetData sheetId="7747" refreshError="1"/>
      <sheetData sheetId="7748">
        <row r="9">
          <cell r="A9" t="str">
            <v>A</v>
          </cell>
        </row>
      </sheetData>
      <sheetData sheetId="7749">
        <row r="9">
          <cell r="A9" t="str">
            <v>A</v>
          </cell>
        </row>
      </sheetData>
      <sheetData sheetId="7750">
        <row r="9">
          <cell r="A9" t="str">
            <v>A</v>
          </cell>
        </row>
      </sheetData>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efreshError="1"/>
      <sheetData sheetId="7830" refreshError="1"/>
      <sheetData sheetId="7831" refreshError="1"/>
      <sheetData sheetId="7832" refreshError="1"/>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efreshError="1"/>
      <sheetData sheetId="7900" refreshError="1"/>
      <sheetData sheetId="7901" refreshError="1"/>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ow r="9">
          <cell r="A9" t="str">
            <v>A</v>
          </cell>
        </row>
      </sheetData>
      <sheetData sheetId="7918" refreshError="1"/>
      <sheetData sheetId="7919" refreshError="1"/>
      <sheetData sheetId="7920">
        <row r="9">
          <cell r="A9" t="str">
            <v>A</v>
          </cell>
        </row>
      </sheetData>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ow r="9">
          <cell r="A9" t="str">
            <v>A</v>
          </cell>
        </row>
      </sheetData>
      <sheetData sheetId="7944">
        <row r="9">
          <cell r="A9" t="str">
            <v>A</v>
          </cell>
        </row>
      </sheetData>
      <sheetData sheetId="7945" refreshError="1"/>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efreshError="1"/>
      <sheetData sheetId="7967">
        <row r="9">
          <cell r="A9" t="str">
            <v>A</v>
          </cell>
        </row>
      </sheetData>
      <sheetData sheetId="7968"/>
      <sheetData sheetId="7969"/>
      <sheetData sheetId="7970"/>
      <sheetData sheetId="7971"/>
      <sheetData sheetId="7972"/>
      <sheetData sheetId="7973"/>
      <sheetData sheetId="7974"/>
      <sheetData sheetId="7975" refreshError="1"/>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sheetData sheetId="8009"/>
      <sheetData sheetId="8010" refreshError="1"/>
      <sheetData sheetId="8011" refreshError="1"/>
      <sheetData sheetId="8012"/>
      <sheetData sheetId="8013"/>
      <sheetData sheetId="8014"/>
      <sheetData sheetId="8015"/>
      <sheetData sheetId="8016" refreshError="1"/>
      <sheetData sheetId="8017" refreshError="1"/>
      <sheetData sheetId="8018" refreshError="1"/>
      <sheetData sheetId="8019" refreshError="1"/>
      <sheetData sheetId="8020" refreshError="1"/>
      <sheetData sheetId="8021"/>
      <sheetData sheetId="8022">
        <row r="9">
          <cell r="A9" t="str">
            <v>A</v>
          </cell>
        </row>
      </sheetData>
      <sheetData sheetId="8023">
        <row r="9">
          <cell r="A9" t="str">
            <v>A</v>
          </cell>
        </row>
      </sheetData>
      <sheetData sheetId="8024">
        <row r="9">
          <cell r="A9" t="str">
            <v>A</v>
          </cell>
        </row>
      </sheetData>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9">
          <cell r="A9" t="str">
            <v>A</v>
          </cell>
        </row>
      </sheetData>
      <sheetData sheetId="8045">
        <row r="9">
          <cell r="A9" t="str">
            <v>A</v>
          </cell>
        </row>
      </sheetData>
      <sheetData sheetId="8046"/>
      <sheetData sheetId="8047"/>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sheetData sheetId="8146"/>
      <sheetData sheetId="8147"/>
      <sheetData sheetId="8148">
        <row r="9">
          <cell r="A9" t="str">
            <v>A</v>
          </cell>
        </row>
      </sheetData>
      <sheetData sheetId="8149">
        <row r="9">
          <cell r="A9" t="str">
            <v>A</v>
          </cell>
        </row>
      </sheetData>
      <sheetData sheetId="8150">
        <row r="9">
          <cell r="A9" t="str">
            <v>A</v>
          </cell>
        </row>
      </sheetData>
      <sheetData sheetId="8151"/>
      <sheetData sheetId="8152">
        <row r="9">
          <cell r="A9" t="str">
            <v>A</v>
          </cell>
        </row>
      </sheetData>
      <sheetData sheetId="8153"/>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sheetData sheetId="8310"/>
      <sheetData sheetId="8311"/>
      <sheetData sheetId="8312">
        <row r="9">
          <cell r="A9" t="str">
            <v>A</v>
          </cell>
        </row>
      </sheetData>
      <sheetData sheetId="8313">
        <row r="9">
          <cell r="A9" t="str">
            <v>A</v>
          </cell>
        </row>
      </sheetData>
      <sheetData sheetId="8314"/>
      <sheetData sheetId="8315"/>
      <sheetData sheetId="8316"/>
      <sheetData sheetId="8317"/>
      <sheetData sheetId="8318"/>
      <sheetData sheetId="8319"/>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efreshError="1"/>
      <sheetData sheetId="8367" refreshError="1"/>
      <sheetData sheetId="8368" refreshError="1"/>
      <sheetData sheetId="8369" refreshError="1"/>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ow r="9">
          <cell r="A9" t="str">
            <v>A</v>
          </cell>
        </row>
      </sheetData>
      <sheetData sheetId="8404" refreshError="1"/>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efreshError="1"/>
      <sheetData sheetId="8769" refreshError="1"/>
      <sheetData sheetId="8770" refreshError="1"/>
      <sheetData sheetId="8771" refreshError="1"/>
      <sheetData sheetId="8772" refreshError="1"/>
      <sheetData sheetId="8773">
        <row r="9">
          <cell r="A9" t="str">
            <v>A</v>
          </cell>
        </row>
      </sheetData>
      <sheetData sheetId="8774">
        <row r="9">
          <cell r="A9" t="str">
            <v>A</v>
          </cell>
        </row>
      </sheetData>
      <sheetData sheetId="8775" refreshError="1"/>
      <sheetData sheetId="8776" refreshError="1"/>
      <sheetData sheetId="8777" refreshError="1"/>
      <sheetData sheetId="8778" refreshError="1"/>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efreshError="1"/>
      <sheetData sheetId="8788" refreshError="1"/>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sheetData sheetId="8848"/>
      <sheetData sheetId="8849"/>
      <sheetData sheetId="8850"/>
      <sheetData sheetId="885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sheetData sheetId="8922"/>
      <sheetData sheetId="8923"/>
      <sheetData sheetId="8924"/>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ow r="9">
          <cell r="A9" t="str">
            <v>A</v>
          </cell>
        </row>
      </sheetData>
      <sheetData sheetId="8985" refreshError="1"/>
      <sheetData sheetId="8986">
        <row r="9">
          <cell r="A9" t="str">
            <v>A</v>
          </cell>
        </row>
      </sheetData>
      <sheetData sheetId="8987" refreshError="1"/>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efreshError="1"/>
      <sheetData sheetId="8996" refreshError="1"/>
      <sheetData sheetId="8997" refreshError="1"/>
      <sheetData sheetId="8998" refreshError="1"/>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sheetData sheetId="9382"/>
      <sheetData sheetId="9383" refreshError="1"/>
      <sheetData sheetId="9384">
        <row r="9">
          <cell r="A9" t="str">
            <v>A</v>
          </cell>
        </row>
      </sheetData>
      <sheetData sheetId="9385">
        <row r="9">
          <cell r="A9" t="str">
            <v>A</v>
          </cell>
        </row>
      </sheetData>
      <sheetData sheetId="9386">
        <row r="9">
          <cell r="A9" t="str">
            <v>A</v>
          </cell>
        </row>
      </sheetData>
      <sheetData sheetId="9387"/>
      <sheetData sheetId="9388" refreshError="1"/>
      <sheetData sheetId="9389">
        <row r="9">
          <cell r="A9" t="str">
            <v>A</v>
          </cell>
        </row>
      </sheetData>
      <sheetData sheetId="9390" refreshError="1"/>
      <sheetData sheetId="9391" refreshError="1"/>
      <sheetData sheetId="9392">
        <row r="9">
          <cell r="A9" t="str">
            <v>A</v>
          </cell>
        </row>
      </sheetData>
      <sheetData sheetId="9393" refreshError="1"/>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sheetData sheetId="9415"/>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efreshError="1"/>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efreshError="1"/>
      <sheetData sheetId="9513">
        <row r="9">
          <cell r="A9" t="str">
            <v>A</v>
          </cell>
        </row>
      </sheetData>
      <sheetData sheetId="9514">
        <row r="9">
          <cell r="A9" t="str">
            <v>A</v>
          </cell>
        </row>
      </sheetData>
      <sheetData sheetId="9515" refreshError="1"/>
      <sheetData sheetId="9516" refreshError="1"/>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efreshError="1"/>
      <sheetData sheetId="9967">
        <row r="9">
          <cell r="A9" t="str">
            <v>A</v>
          </cell>
        </row>
      </sheetData>
      <sheetData sheetId="9968">
        <row r="9">
          <cell r="A9" t="str">
            <v>A</v>
          </cell>
        </row>
      </sheetData>
      <sheetData sheetId="9969">
        <row r="9">
          <cell r="A9" t="str">
            <v>A</v>
          </cell>
        </row>
      </sheetData>
      <sheetData sheetId="9970" refreshError="1"/>
      <sheetData sheetId="9971" refreshError="1"/>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efreshError="1"/>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efreshError="1"/>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efreshError="1"/>
      <sheetData sheetId="10672" refreshError="1"/>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efreshError="1"/>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sheetData sheetId="10773"/>
      <sheetData sheetId="10774"/>
      <sheetData sheetId="10775">
        <row r="9">
          <cell r="A9" t="str">
            <v>A</v>
          </cell>
        </row>
      </sheetData>
      <sheetData sheetId="10776">
        <row r="9">
          <cell r="A9" t="str">
            <v>A</v>
          </cell>
        </row>
      </sheetData>
      <sheetData sheetId="10777">
        <row r="9">
          <cell r="A9" t="str">
            <v>A</v>
          </cell>
        </row>
      </sheetData>
      <sheetData sheetId="10778" refreshError="1"/>
      <sheetData sheetId="10779" refreshError="1"/>
      <sheetData sheetId="10780" refreshError="1"/>
      <sheetData sheetId="10781" refreshError="1"/>
      <sheetData sheetId="10782" refreshError="1"/>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efreshError="1"/>
      <sheetData sheetId="10801" refreshError="1"/>
      <sheetData sheetId="10802" refreshError="1"/>
      <sheetData sheetId="10803" refreshError="1"/>
      <sheetData sheetId="10804">
        <row r="9">
          <cell r="A9" t="str">
            <v>A</v>
          </cell>
        </row>
      </sheetData>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efreshError="1"/>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efreshError="1"/>
      <sheetData sheetId="10921" refreshError="1"/>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efreshError="1"/>
      <sheetData sheetId="11430" refreshError="1"/>
      <sheetData sheetId="11431" refreshError="1"/>
      <sheetData sheetId="11432" refreshError="1"/>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efreshError="1"/>
      <sheetData sheetId="11439">
        <row r="9">
          <cell r="A9" t="str">
            <v>A</v>
          </cell>
        </row>
      </sheetData>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ow r="9">
          <cell r="A9" t="str">
            <v>A</v>
          </cell>
        </row>
      </sheetData>
      <sheetData sheetId="11451">
        <row r="9">
          <cell r="A9" t="str">
            <v>A</v>
          </cell>
        </row>
      </sheetData>
      <sheetData sheetId="11452" refreshError="1"/>
      <sheetData sheetId="11453" refreshError="1"/>
      <sheetData sheetId="11454" refreshError="1"/>
      <sheetData sheetId="11455" refreshError="1"/>
      <sheetData sheetId="11456" refreshError="1"/>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ow r="9">
          <cell r="A9" t="str">
            <v>A</v>
          </cell>
        </row>
      </sheetData>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efreshError="1"/>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sheetData sheetId="11566"/>
      <sheetData sheetId="11567"/>
      <sheetData sheetId="11568"/>
      <sheetData sheetId="11569"/>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efreshError="1"/>
      <sheetData sheetId="11585" refreshError="1"/>
      <sheetData sheetId="11586" refreshError="1"/>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efreshError="1"/>
      <sheetData sheetId="11593">
        <row r="9">
          <cell r="A9" t="str">
            <v>A</v>
          </cell>
        </row>
      </sheetData>
      <sheetData sheetId="11594">
        <row r="9">
          <cell r="A9" t="str">
            <v>A</v>
          </cell>
        </row>
      </sheetData>
      <sheetData sheetId="11595" refreshError="1"/>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efreshError="1"/>
      <sheetData sheetId="11615">
        <row r="9">
          <cell r="A9" t="str">
            <v>A</v>
          </cell>
        </row>
      </sheetData>
      <sheetData sheetId="11616">
        <row r="9">
          <cell r="A9" t="str">
            <v>A</v>
          </cell>
        </row>
      </sheetData>
      <sheetData sheetId="11617">
        <row r="9">
          <cell r="A9" t="str">
            <v>A</v>
          </cell>
        </row>
      </sheetData>
      <sheetData sheetId="11618" refreshError="1"/>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sheetData sheetId="12518"/>
      <sheetData sheetId="12519"/>
      <sheetData sheetId="12520"/>
      <sheetData sheetId="12521"/>
      <sheetData sheetId="12522"/>
      <sheetData sheetId="12523"/>
      <sheetData sheetId="12524" refreshError="1"/>
      <sheetData sheetId="12525" refreshError="1"/>
      <sheetData sheetId="12526">
        <row r="9">
          <cell r="A9" t="str">
            <v>A</v>
          </cell>
        </row>
      </sheetData>
      <sheetData sheetId="12527">
        <row r="9">
          <cell r="A9" t="str">
            <v>A</v>
          </cell>
        </row>
      </sheetData>
      <sheetData sheetId="12528">
        <row r="9">
          <cell r="A9" t="str">
            <v>A</v>
          </cell>
        </row>
      </sheetData>
      <sheetData sheetId="12529" refreshError="1"/>
      <sheetData sheetId="12530">
        <row r="9">
          <cell r="A9" t="str">
            <v>A</v>
          </cell>
        </row>
      </sheetData>
      <sheetData sheetId="12531">
        <row r="9">
          <cell r="A9" t="str">
            <v>A</v>
          </cell>
        </row>
      </sheetData>
      <sheetData sheetId="12532">
        <row r="9">
          <cell r="A9" t="str">
            <v>A</v>
          </cell>
        </row>
      </sheetData>
      <sheetData sheetId="12533" refreshError="1"/>
      <sheetData sheetId="12534" refreshError="1"/>
      <sheetData sheetId="12535" refreshError="1"/>
      <sheetData sheetId="12536" refreshError="1"/>
      <sheetData sheetId="12537" refreshError="1"/>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efreshError="1"/>
      <sheetData sheetId="12555">
        <row r="9">
          <cell r="A9" t="str">
            <v>A</v>
          </cell>
        </row>
      </sheetData>
      <sheetData sheetId="12556">
        <row r="9">
          <cell r="A9" t="str">
            <v>A</v>
          </cell>
        </row>
      </sheetData>
      <sheetData sheetId="12557"/>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efreshError="1"/>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efreshError="1"/>
      <sheetData sheetId="12648" refreshError="1"/>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efreshError="1"/>
      <sheetData sheetId="12654" refreshError="1"/>
      <sheetData sheetId="12655" refreshError="1"/>
      <sheetData sheetId="12656" refreshError="1"/>
      <sheetData sheetId="12657">
        <row r="9">
          <cell r="A9" t="str">
            <v>A</v>
          </cell>
        </row>
      </sheetData>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efreshError="1"/>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ow r="9">
          <cell r="A9" t="str">
            <v>A</v>
          </cell>
        </row>
      </sheetData>
      <sheetData sheetId="12981" refreshError="1"/>
      <sheetData sheetId="12982" refreshError="1"/>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efreshError="1"/>
      <sheetData sheetId="13009" refreshError="1"/>
      <sheetData sheetId="13010" refreshError="1"/>
      <sheetData sheetId="13011" refreshError="1"/>
      <sheetData sheetId="13012" refreshError="1"/>
      <sheetData sheetId="13013">
        <row r="9">
          <cell r="A9" t="str">
            <v>A</v>
          </cell>
        </row>
      </sheetData>
      <sheetData sheetId="13014" refreshError="1"/>
      <sheetData sheetId="13015" refreshError="1"/>
      <sheetData sheetId="13016" refreshError="1"/>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ow r="9">
          <cell r="A9" t="str">
            <v>A</v>
          </cell>
        </row>
      </sheetData>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efreshError="1"/>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ow r="9">
          <cell r="A9" t="str">
            <v>A</v>
          </cell>
        </row>
      </sheetData>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ow r="9">
          <cell r="A9" t="str">
            <v>A</v>
          </cell>
        </row>
      </sheetData>
      <sheetData sheetId="13173" refreshError="1"/>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efreshError="1"/>
      <sheetData sheetId="13185">
        <row r="9">
          <cell r="A9" t="str">
            <v>A</v>
          </cell>
        </row>
      </sheetData>
      <sheetData sheetId="13186">
        <row r="9">
          <cell r="A9" t="str">
            <v>A</v>
          </cell>
        </row>
      </sheetData>
      <sheetData sheetId="13187">
        <row r="9">
          <cell r="A9" t="str">
            <v>A</v>
          </cell>
        </row>
      </sheetData>
      <sheetData sheetId="13188" refreshError="1"/>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efreshError="1"/>
      <sheetData sheetId="13201" refreshError="1"/>
      <sheetData sheetId="13202" refreshError="1"/>
      <sheetData sheetId="13203" refreshError="1"/>
      <sheetData sheetId="13204" refreshError="1"/>
      <sheetData sheetId="13205" refreshError="1"/>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efreshError="1"/>
      <sheetData sheetId="13211" refreshError="1"/>
      <sheetData sheetId="13212">
        <row r="9">
          <cell r="A9" t="str">
            <v>A</v>
          </cell>
        </row>
      </sheetData>
      <sheetData sheetId="13213">
        <row r="9">
          <cell r="A9" t="str">
            <v>A</v>
          </cell>
        </row>
      </sheetData>
      <sheetData sheetId="13214">
        <row r="9">
          <cell r="A9" t="str">
            <v>A</v>
          </cell>
        </row>
      </sheetData>
      <sheetData sheetId="13215" refreshError="1"/>
      <sheetData sheetId="13216" refreshError="1"/>
      <sheetData sheetId="13217" refreshError="1"/>
      <sheetData sheetId="13218" refreshError="1"/>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efreshError="1"/>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efreshError="1"/>
      <sheetData sheetId="13242" refreshError="1"/>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efreshError="1"/>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efreshError="1"/>
      <sheetData sheetId="13270" refreshError="1"/>
      <sheetData sheetId="13271" refreshError="1"/>
      <sheetData sheetId="13272" refreshError="1"/>
      <sheetData sheetId="13273" refreshError="1"/>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efreshError="1"/>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sheetData sheetId="13384">
        <row r="9">
          <cell r="A9" t="str">
            <v>A</v>
          </cell>
        </row>
      </sheetData>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efreshError="1"/>
      <sheetData sheetId="13423">
        <row r="9">
          <cell r="A9" t="str">
            <v>A</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efreshError="1"/>
      <sheetData sheetId="14087" refreshError="1"/>
      <sheetData sheetId="14088" refreshError="1"/>
      <sheetData sheetId="14089" refreshError="1"/>
      <sheetData sheetId="14090" refreshError="1"/>
      <sheetData sheetId="14091" refreshError="1"/>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efreshError="1"/>
      <sheetData sheetId="14135" refreshError="1"/>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ow r="9">
          <cell r="A9" t="str">
            <v>A</v>
          </cell>
        </row>
      </sheetData>
      <sheetData sheetId="14292">
        <row r="9">
          <cell r="A9" t="str">
            <v>A</v>
          </cell>
        </row>
      </sheetData>
      <sheetData sheetId="14293">
        <row r="9">
          <cell r="A9" t="str">
            <v>A</v>
          </cell>
        </row>
      </sheetData>
      <sheetData sheetId="14294" refreshError="1"/>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ow r="9">
          <cell r="A9" t="str">
            <v>A</v>
          </cell>
        </row>
      </sheetData>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efreshError="1"/>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efreshError="1"/>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efreshError="1"/>
      <sheetData sheetId="14551" refreshError="1"/>
      <sheetData sheetId="14552" refreshError="1"/>
      <sheetData sheetId="14553" refreshError="1"/>
      <sheetData sheetId="14554">
        <row r="9">
          <cell r="A9" t="str">
            <v>A</v>
          </cell>
        </row>
      </sheetData>
      <sheetData sheetId="14555" refreshError="1"/>
      <sheetData sheetId="14556">
        <row r="9">
          <cell r="A9" t="str">
            <v>A</v>
          </cell>
        </row>
      </sheetData>
      <sheetData sheetId="14557">
        <row r="9">
          <cell r="A9" t="str">
            <v>A</v>
          </cell>
        </row>
      </sheetData>
      <sheetData sheetId="14558">
        <row r="9">
          <cell r="A9" t="str">
            <v>A</v>
          </cell>
        </row>
      </sheetData>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sheetData sheetId="14812"/>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sheetData sheetId="14864">
        <row r="9">
          <cell r="A9" t="str">
            <v>A</v>
          </cell>
        </row>
      </sheetData>
      <sheetData sheetId="14865">
        <row r="9">
          <cell r="A9" t="str">
            <v>A</v>
          </cell>
        </row>
      </sheetData>
      <sheetData sheetId="14866"/>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sheetData sheetId="14878"/>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sheetData sheetId="14921"/>
      <sheetData sheetId="14922"/>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sheetData sheetId="15015"/>
      <sheetData sheetId="15016"/>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sheetData sheetId="15507"/>
      <sheetData sheetId="15508"/>
      <sheetData sheetId="15509"/>
      <sheetData sheetId="15510"/>
      <sheetData sheetId="15511"/>
      <sheetData sheetId="15512"/>
      <sheetData sheetId="15513"/>
      <sheetData sheetId="15514"/>
      <sheetData sheetId="15515"/>
      <sheetData sheetId="15516"/>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sheetData sheetId="15605"/>
      <sheetData sheetId="15606"/>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efreshError="1"/>
      <sheetData sheetId="15627">
        <row r="9">
          <cell r="A9" t="str">
            <v>A</v>
          </cell>
        </row>
      </sheetData>
      <sheetData sheetId="15628">
        <row r="9">
          <cell r="A9" t="str">
            <v>A</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ow r="9">
          <cell r="A9" t="str">
            <v>A</v>
          </cell>
        </row>
      </sheetData>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efreshError="1"/>
      <sheetData sheetId="15732" refreshError="1"/>
      <sheetData sheetId="15733" refreshError="1"/>
      <sheetData sheetId="15734" refreshError="1"/>
      <sheetData sheetId="15735">
        <row r="9">
          <cell r="A9" t="str">
            <v>A</v>
          </cell>
        </row>
      </sheetData>
      <sheetData sheetId="15736">
        <row r="9">
          <cell r="A9" t="str">
            <v>A</v>
          </cell>
        </row>
      </sheetData>
      <sheetData sheetId="15737" refreshError="1"/>
      <sheetData sheetId="15738" refreshError="1"/>
      <sheetData sheetId="15739" refreshError="1"/>
      <sheetData sheetId="15740" refreshError="1"/>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ow r="9">
          <cell r="A9" t="str">
            <v>A</v>
          </cell>
        </row>
      </sheetData>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ow r="9">
          <cell r="A9" t="str">
            <v>A</v>
          </cell>
        </row>
      </sheetData>
      <sheetData sheetId="15807">
        <row r="9">
          <cell r="A9" t="str">
            <v>A</v>
          </cell>
        </row>
      </sheetData>
      <sheetData sheetId="15808" refreshError="1"/>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efreshError="1"/>
      <sheetData sheetId="15834" refreshError="1"/>
      <sheetData sheetId="15835" refreshError="1"/>
      <sheetData sheetId="15836" refreshError="1"/>
      <sheetData sheetId="15837" refreshError="1"/>
      <sheetData sheetId="15838" refreshError="1"/>
      <sheetData sheetId="15839">
        <row r="9">
          <cell r="A9" t="str">
            <v>A</v>
          </cell>
        </row>
      </sheetData>
      <sheetData sheetId="15840">
        <row r="9">
          <cell r="A9" t="str">
            <v>A</v>
          </cell>
        </row>
      </sheetData>
      <sheetData sheetId="15841">
        <row r="9">
          <cell r="A9" t="str">
            <v>A</v>
          </cell>
        </row>
      </sheetData>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ow r="9">
          <cell r="A9" t="str">
            <v>A</v>
          </cell>
        </row>
      </sheetData>
      <sheetData sheetId="15850" refreshError="1"/>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efreshError="1"/>
      <sheetData sheetId="15933" refreshError="1"/>
      <sheetData sheetId="15934" refreshError="1"/>
      <sheetData sheetId="15935" refreshError="1"/>
      <sheetData sheetId="15936" refreshError="1"/>
      <sheetData sheetId="15937" refreshError="1"/>
      <sheetData sheetId="15938">
        <row r="9">
          <cell r="A9" t="str">
            <v>A</v>
          </cell>
        </row>
      </sheetData>
      <sheetData sheetId="15939" refreshError="1"/>
      <sheetData sheetId="15940" refreshError="1"/>
      <sheetData sheetId="15941" refreshError="1"/>
      <sheetData sheetId="15942">
        <row r="9">
          <cell r="A9" t="str">
            <v>A</v>
          </cell>
        </row>
      </sheetData>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efreshError="1"/>
      <sheetData sheetId="17441" refreshError="1"/>
      <sheetData sheetId="17442" refreshError="1"/>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ow r="9">
          <cell r="A9" t="str">
            <v>A</v>
          </cell>
        </row>
      </sheetData>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ow r="9">
          <cell r="A9" t="str">
            <v>A</v>
          </cell>
        </row>
      </sheetData>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ow r="9">
          <cell r="A9" t="str">
            <v>A</v>
          </cell>
        </row>
      </sheetData>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efreshError="1"/>
      <sheetData sheetId="17507" refreshError="1"/>
      <sheetData sheetId="17508">
        <row r="9">
          <cell r="A9" t="str">
            <v>A</v>
          </cell>
        </row>
      </sheetData>
      <sheetData sheetId="17509">
        <row r="9">
          <cell r="A9" t="str">
            <v>A</v>
          </cell>
        </row>
      </sheetData>
      <sheetData sheetId="17510" refreshError="1"/>
      <sheetData sheetId="17511" refreshError="1"/>
      <sheetData sheetId="17512" refreshError="1"/>
      <sheetData sheetId="17513">
        <row r="9">
          <cell r="A9" t="str">
            <v>A</v>
          </cell>
        </row>
      </sheetData>
      <sheetData sheetId="17514" refreshError="1"/>
      <sheetData sheetId="17515">
        <row r="9">
          <cell r="A9" t="str">
            <v>A</v>
          </cell>
        </row>
      </sheetData>
      <sheetData sheetId="17516">
        <row r="9">
          <cell r="A9" t="str">
            <v>A</v>
          </cell>
        </row>
      </sheetData>
      <sheetData sheetId="17517" refreshError="1"/>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efreshError="1"/>
      <sheetData sheetId="17532" refreshError="1"/>
      <sheetData sheetId="17533" refreshError="1"/>
      <sheetData sheetId="17534">
        <row r="9">
          <cell r="A9" t="str">
            <v>A</v>
          </cell>
        </row>
      </sheetData>
      <sheetData sheetId="17535" refreshError="1"/>
      <sheetData sheetId="17536" refreshError="1"/>
      <sheetData sheetId="17537" refreshError="1"/>
      <sheetData sheetId="17538" refreshError="1"/>
      <sheetData sheetId="17539" refreshError="1"/>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efreshError="1"/>
      <sheetData sheetId="17548" refreshError="1"/>
      <sheetData sheetId="17549" refreshError="1"/>
      <sheetData sheetId="17550" refreshError="1"/>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efreshError="1"/>
      <sheetData sheetId="17559" refreshError="1"/>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efreshError="1"/>
      <sheetData sheetId="17631">
        <row r="9">
          <cell r="A9" t="str">
            <v>A</v>
          </cell>
        </row>
      </sheetData>
      <sheetData sheetId="17632" refreshError="1"/>
      <sheetData sheetId="17633">
        <row r="9">
          <cell r="A9" t="str">
            <v>A</v>
          </cell>
        </row>
      </sheetData>
      <sheetData sheetId="17634">
        <row r="9">
          <cell r="A9" t="str">
            <v>A</v>
          </cell>
        </row>
      </sheetData>
      <sheetData sheetId="17635">
        <row r="9">
          <cell r="A9" t="str">
            <v>A</v>
          </cell>
        </row>
      </sheetData>
      <sheetData sheetId="17636" refreshError="1"/>
      <sheetData sheetId="17637" refreshError="1"/>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efreshError="1"/>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efreshError="1"/>
      <sheetData sheetId="17654">
        <row r="9">
          <cell r="A9" t="str">
            <v>A</v>
          </cell>
        </row>
      </sheetData>
      <sheetData sheetId="17655">
        <row r="9">
          <cell r="A9" t="str">
            <v>A</v>
          </cell>
        </row>
      </sheetData>
      <sheetData sheetId="17656" refreshError="1"/>
      <sheetData sheetId="17657" refreshError="1"/>
      <sheetData sheetId="17658" refreshError="1"/>
      <sheetData sheetId="17659" refreshError="1"/>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efreshError="1"/>
      <sheetData sheetId="17668" refreshError="1"/>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efreshError="1"/>
      <sheetData sheetId="17740" refreshError="1"/>
      <sheetData sheetId="17741" refreshError="1"/>
      <sheetData sheetId="17742" refreshError="1"/>
      <sheetData sheetId="17743" refreshError="1"/>
      <sheetData sheetId="17744" refreshError="1"/>
      <sheetData sheetId="17745">
        <row r="9">
          <cell r="A9" t="str">
            <v>A</v>
          </cell>
        </row>
      </sheetData>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ow r="9">
          <cell r="A9" t="str">
            <v>A</v>
          </cell>
        </row>
      </sheetData>
      <sheetData sheetId="17769" refreshError="1"/>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ow r="9">
          <cell r="A9" t="str">
            <v>A</v>
          </cell>
        </row>
      </sheetData>
      <sheetData sheetId="17800">
        <row r="9">
          <cell r="A9" t="str">
            <v>A</v>
          </cell>
        </row>
      </sheetData>
      <sheetData sheetId="17801" refreshError="1"/>
      <sheetData sheetId="17802" refreshError="1"/>
      <sheetData sheetId="17803" refreshError="1"/>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sheetData sheetId="17811"/>
      <sheetData sheetId="17812"/>
      <sheetData sheetId="17813"/>
      <sheetData sheetId="17814"/>
      <sheetData sheetId="17815"/>
      <sheetData sheetId="17816"/>
      <sheetData sheetId="17817">
        <row r="9">
          <cell r="A9" t="str">
            <v>A</v>
          </cell>
        </row>
      </sheetData>
      <sheetData sheetId="17818"/>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sheetData sheetId="17837"/>
      <sheetData sheetId="17838"/>
      <sheetData sheetId="17839">
        <row r="9">
          <cell r="A9" t="str">
            <v>A</v>
          </cell>
        </row>
      </sheetData>
      <sheetData sheetId="17840">
        <row r="9">
          <cell r="A9" t="str">
            <v>A</v>
          </cell>
        </row>
      </sheetData>
      <sheetData sheetId="17841"/>
      <sheetData sheetId="17842">
        <row r="9">
          <cell r="A9" t="str">
            <v>A</v>
          </cell>
        </row>
      </sheetData>
      <sheetData sheetId="17843">
        <row r="9">
          <cell r="A9" t="str">
            <v>A</v>
          </cell>
        </row>
      </sheetData>
      <sheetData sheetId="17844"/>
      <sheetData sheetId="17845"/>
      <sheetData sheetId="17846"/>
      <sheetData sheetId="17847"/>
      <sheetData sheetId="17848"/>
      <sheetData sheetId="17849"/>
      <sheetData sheetId="17850"/>
      <sheetData sheetId="17851"/>
      <sheetData sheetId="17852"/>
      <sheetData sheetId="17853"/>
      <sheetData sheetId="17854"/>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ow r="9">
          <cell r="A9" t="str">
            <v>A</v>
          </cell>
        </row>
      </sheetData>
      <sheetData sheetId="17867">
        <row r="9">
          <cell r="A9" t="str">
            <v>A</v>
          </cell>
        </row>
      </sheetData>
      <sheetData sheetId="17868" refreshError="1"/>
      <sheetData sheetId="17869" refreshError="1"/>
      <sheetData sheetId="17870" refreshError="1"/>
      <sheetData sheetId="17871">
        <row r="9">
          <cell r="A9" t="str">
            <v>A</v>
          </cell>
        </row>
      </sheetData>
      <sheetData sheetId="17872">
        <row r="9">
          <cell r="A9" t="str">
            <v>A</v>
          </cell>
        </row>
      </sheetData>
      <sheetData sheetId="17873" refreshError="1"/>
      <sheetData sheetId="17874" refreshError="1"/>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efreshError="1"/>
      <sheetData sheetId="17902" refreshError="1"/>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sheetData sheetId="17963"/>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efreshError="1"/>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efreshError="1"/>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efreshError="1"/>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sheetData sheetId="18017"/>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efreshError="1"/>
      <sheetData sheetId="18028" refreshError="1"/>
      <sheetData sheetId="18029" refreshError="1"/>
      <sheetData sheetId="18030" refreshError="1"/>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efreshError="1"/>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sheetData sheetId="18067"/>
      <sheetData sheetId="18068">
        <row r="9">
          <cell r="A9" t="str">
            <v>A</v>
          </cell>
        </row>
      </sheetData>
      <sheetData sheetId="18069"/>
      <sheetData sheetId="18070"/>
      <sheetData sheetId="18071"/>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ow r="9">
          <cell r="A9" t="str">
            <v>A</v>
          </cell>
        </row>
      </sheetData>
      <sheetData sheetId="18086">
        <row r="9">
          <cell r="A9" t="str">
            <v>A</v>
          </cell>
        </row>
      </sheetData>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sheetData sheetId="18172"/>
      <sheetData sheetId="18173"/>
      <sheetData sheetId="18174"/>
      <sheetData sheetId="18175"/>
      <sheetData sheetId="18176"/>
      <sheetData sheetId="18177"/>
      <sheetData sheetId="18178"/>
      <sheetData sheetId="18179"/>
      <sheetData sheetId="18180"/>
      <sheetData sheetId="18181" refreshError="1"/>
      <sheetData sheetId="18182" refreshError="1"/>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sheetData sheetId="18198"/>
      <sheetData sheetId="18199"/>
      <sheetData sheetId="18200"/>
      <sheetData sheetId="18201"/>
      <sheetData sheetId="18202" refreshError="1"/>
      <sheetData sheetId="18203"/>
      <sheetData sheetId="18204"/>
      <sheetData sheetId="18205" refreshError="1"/>
      <sheetData sheetId="18206" refreshError="1"/>
      <sheetData sheetId="18207" refreshError="1"/>
      <sheetData sheetId="18208" refreshError="1"/>
      <sheetData sheetId="18209" refreshError="1"/>
      <sheetData sheetId="18210"/>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ow r="9">
          <cell r="A9" t="str">
            <v>A</v>
          </cell>
        </row>
      </sheetData>
      <sheetData sheetId="18220">
        <row r="9">
          <cell r="A9" t="str">
            <v>A</v>
          </cell>
        </row>
      </sheetData>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sheetData sheetId="18257"/>
      <sheetData sheetId="18258"/>
      <sheetData sheetId="18259">
        <row r="9">
          <cell r="A9" t="str">
            <v>A</v>
          </cell>
        </row>
      </sheetData>
      <sheetData sheetId="18260"/>
      <sheetData sheetId="18261"/>
      <sheetData sheetId="18262">
        <row r="9">
          <cell r="A9" t="str">
            <v>A</v>
          </cell>
        </row>
      </sheetData>
      <sheetData sheetId="18263"/>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sheetData sheetId="18270"/>
      <sheetData sheetId="18271"/>
      <sheetData sheetId="18272"/>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efreshError="1"/>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efreshError="1"/>
      <sheetData sheetId="18361">
        <row r="9">
          <cell r="A9" t="str">
            <v>A</v>
          </cell>
        </row>
      </sheetData>
      <sheetData sheetId="18362">
        <row r="9">
          <cell r="A9" t="str">
            <v>A</v>
          </cell>
        </row>
      </sheetData>
      <sheetData sheetId="18363">
        <row r="9">
          <cell r="A9" t="str">
            <v>A</v>
          </cell>
        </row>
      </sheetData>
      <sheetData sheetId="18364"/>
      <sheetData sheetId="18365">
        <row r="9">
          <cell r="A9" t="str">
            <v>A</v>
          </cell>
        </row>
      </sheetData>
      <sheetData sheetId="18366">
        <row r="9">
          <cell r="A9" t="str">
            <v>A</v>
          </cell>
        </row>
      </sheetData>
      <sheetData sheetId="18367">
        <row r="9">
          <cell r="A9" t="str">
            <v>A</v>
          </cell>
        </row>
      </sheetData>
      <sheetData sheetId="18368"/>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efreshError="1"/>
      <sheetData sheetId="18389" refreshError="1"/>
      <sheetData sheetId="18390">
        <row r="9">
          <cell r="A9" t="str">
            <v>A</v>
          </cell>
        </row>
      </sheetData>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efreshError="1"/>
      <sheetData sheetId="18424" refreshError="1"/>
      <sheetData sheetId="18425">
        <row r="9">
          <cell r="A9" t="str">
            <v>A</v>
          </cell>
        </row>
      </sheetData>
      <sheetData sheetId="18426"/>
      <sheetData sheetId="18427"/>
      <sheetData sheetId="18428"/>
      <sheetData sheetId="18429"/>
      <sheetData sheetId="18430"/>
      <sheetData sheetId="18431">
        <row r="9">
          <cell r="A9" t="str">
            <v>A</v>
          </cell>
        </row>
      </sheetData>
      <sheetData sheetId="18432">
        <row r="9">
          <cell r="A9" t="str">
            <v>A</v>
          </cell>
        </row>
      </sheetData>
      <sheetData sheetId="18433"/>
      <sheetData sheetId="18434"/>
      <sheetData sheetId="18435"/>
      <sheetData sheetId="18436"/>
      <sheetData sheetId="18437"/>
      <sheetData sheetId="18438"/>
      <sheetData sheetId="18439"/>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ow r="9">
          <cell r="A9" t="str">
            <v>A</v>
          </cell>
        </row>
      </sheetData>
      <sheetData sheetId="18722">
        <row r="9">
          <cell r="A9" t="str">
            <v>A</v>
          </cell>
        </row>
      </sheetData>
      <sheetData sheetId="18723">
        <row r="9">
          <cell r="A9" t="str">
            <v>A</v>
          </cell>
        </row>
      </sheetData>
      <sheetData sheetId="18724" refreshError="1"/>
      <sheetData sheetId="18725" refreshError="1"/>
      <sheetData sheetId="18726" refreshError="1"/>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efreshError="1"/>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efreshError="1"/>
      <sheetData sheetId="19103" refreshError="1"/>
      <sheetData sheetId="19104"/>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efreshError="1"/>
      <sheetData sheetId="19898" refreshError="1"/>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efreshError="1"/>
      <sheetData sheetId="20031" refreshError="1"/>
      <sheetData sheetId="20032" refreshError="1"/>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ow r="9">
          <cell r="A9" t="str">
            <v>A</v>
          </cell>
        </row>
      </sheetData>
      <sheetData sheetId="22949">
        <row r="9">
          <cell r="A9" t="str">
            <v>A</v>
          </cell>
        </row>
      </sheetData>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ow r="9">
          <cell r="A9" t="str">
            <v>A</v>
          </cell>
        </row>
      </sheetData>
      <sheetData sheetId="22960" refreshError="1"/>
      <sheetData sheetId="22961" refreshError="1"/>
      <sheetData sheetId="22962" refreshError="1"/>
      <sheetData sheetId="22963">
        <row r="9">
          <cell r="A9" t="str">
            <v>A</v>
          </cell>
        </row>
      </sheetData>
      <sheetData sheetId="22964" refreshError="1"/>
      <sheetData sheetId="22965" refreshError="1"/>
      <sheetData sheetId="22966" refreshError="1"/>
      <sheetData sheetId="22967" refreshError="1"/>
      <sheetData sheetId="22968" refreshError="1"/>
      <sheetData sheetId="22969">
        <row r="9">
          <cell r="A9" t="str">
            <v>A</v>
          </cell>
        </row>
      </sheetData>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ow r="9">
          <cell r="A9" t="str">
            <v>A</v>
          </cell>
        </row>
      </sheetData>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sheetData sheetId="22994" refreshError="1"/>
      <sheetData sheetId="22995" refreshError="1"/>
      <sheetData sheetId="22996" refreshError="1"/>
      <sheetData sheetId="22997" refreshError="1"/>
      <sheetData sheetId="22998" refreshError="1"/>
      <sheetData sheetId="22999" refreshError="1"/>
      <sheetData sheetId="23000">
        <row r="9">
          <cell r="A9" t="str">
            <v>A</v>
          </cell>
        </row>
      </sheetData>
      <sheetData sheetId="23001"/>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sheetData sheetId="23029"/>
      <sheetData sheetId="23030"/>
      <sheetData sheetId="23031"/>
      <sheetData sheetId="23032">
        <row r="9">
          <cell r="A9" t="str">
            <v>A</v>
          </cell>
        </row>
      </sheetData>
      <sheetData sheetId="23033">
        <row r="9">
          <cell r="A9" t="str">
            <v>A</v>
          </cell>
        </row>
      </sheetData>
      <sheetData sheetId="23034"/>
      <sheetData sheetId="23035"/>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efreshError="1"/>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ow r="9">
          <cell r="A9" t="str">
            <v>A</v>
          </cell>
        </row>
      </sheetData>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efreshError="1"/>
      <sheetData sheetId="23290" refreshError="1"/>
      <sheetData sheetId="23291" refreshError="1"/>
      <sheetData sheetId="23292" refreshError="1"/>
      <sheetData sheetId="23293" refreshError="1"/>
      <sheetData sheetId="23294" refreshError="1"/>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ow r="9">
          <cell r="A9" t="str">
            <v>A</v>
          </cell>
        </row>
      </sheetData>
      <sheetData sheetId="23345">
        <row r="9">
          <cell r="A9" t="str">
            <v>A</v>
          </cell>
        </row>
      </sheetData>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sheetData sheetId="23389"/>
      <sheetData sheetId="23390" refreshError="1"/>
      <sheetData sheetId="23391" refreshError="1"/>
      <sheetData sheetId="23392" refreshError="1"/>
      <sheetData sheetId="23393" refreshError="1"/>
      <sheetData sheetId="23394"/>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ow r="9">
          <cell r="A9" t="str">
            <v>A</v>
          </cell>
        </row>
      </sheetData>
      <sheetData sheetId="23415">
        <row r="9">
          <cell r="A9" t="str">
            <v>A</v>
          </cell>
        </row>
      </sheetData>
      <sheetData sheetId="23416" refreshError="1"/>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efreshError="1"/>
      <sheetData sheetId="23445" refreshError="1"/>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efreshError="1"/>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efreshError="1"/>
      <sheetData sheetId="23543" refreshError="1"/>
      <sheetData sheetId="23544" refreshError="1"/>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efreshError="1"/>
      <sheetData sheetId="23555" refreshError="1"/>
      <sheetData sheetId="23556" refreshError="1"/>
      <sheetData sheetId="23557" refreshError="1"/>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efreshError="1"/>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efreshError="1"/>
      <sheetData sheetId="23647" refreshError="1"/>
      <sheetData sheetId="23648">
        <row r="9">
          <cell r="A9" t="str">
            <v>A</v>
          </cell>
        </row>
      </sheetData>
      <sheetData sheetId="23649" refreshError="1"/>
      <sheetData sheetId="23650" refreshError="1"/>
      <sheetData sheetId="23651" refreshError="1"/>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ow r="9">
          <cell r="A9" t="str">
            <v>A</v>
          </cell>
        </row>
      </sheetData>
      <sheetData sheetId="23731" refreshError="1"/>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efreshError="1"/>
      <sheetData sheetId="23815">
        <row r="9">
          <cell r="A9" t="str">
            <v>A</v>
          </cell>
        </row>
      </sheetData>
      <sheetData sheetId="23816" refreshError="1"/>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efreshError="1"/>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efreshError="1"/>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ow r="9">
          <cell r="A9" t="str">
            <v>A</v>
          </cell>
        </row>
      </sheetData>
      <sheetData sheetId="23851">
        <row r="9">
          <cell r="A9" t="str">
            <v>A</v>
          </cell>
        </row>
      </sheetData>
      <sheetData sheetId="23852">
        <row r="9">
          <cell r="A9" t="str">
            <v>A</v>
          </cell>
        </row>
      </sheetData>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ow r="9">
          <cell r="A9" t="str">
            <v>A</v>
          </cell>
        </row>
      </sheetData>
      <sheetData sheetId="23927" refreshError="1"/>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efreshError="1"/>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efreshError="1"/>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efreshError="1"/>
      <sheetData sheetId="23961">
        <row r="9">
          <cell r="A9" t="str">
            <v>A</v>
          </cell>
        </row>
      </sheetData>
      <sheetData sheetId="23962">
        <row r="9">
          <cell r="A9" t="str">
            <v>A</v>
          </cell>
        </row>
      </sheetData>
      <sheetData sheetId="23963" refreshError="1"/>
      <sheetData sheetId="23964" refreshError="1"/>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efreshError="1"/>
      <sheetData sheetId="23990" refreshError="1"/>
      <sheetData sheetId="23991" refreshError="1"/>
      <sheetData sheetId="23992" refreshError="1"/>
      <sheetData sheetId="23993" refreshError="1"/>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efreshError="1"/>
      <sheetData sheetId="24048" refreshError="1"/>
      <sheetData sheetId="24049" refreshError="1"/>
      <sheetData sheetId="24050" refreshError="1"/>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efreshError="1"/>
      <sheetData sheetId="24072">
        <row r="9">
          <cell r="A9" t="str">
            <v>A</v>
          </cell>
        </row>
      </sheetData>
      <sheetData sheetId="24073">
        <row r="9">
          <cell r="A9" t="str">
            <v>A</v>
          </cell>
        </row>
      </sheetData>
      <sheetData sheetId="24074" refreshError="1"/>
      <sheetData sheetId="24075">
        <row r="9">
          <cell r="A9" t="str">
            <v>A</v>
          </cell>
        </row>
      </sheetData>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ow r="9">
          <cell r="A9" t="str">
            <v>A</v>
          </cell>
        </row>
      </sheetData>
      <sheetData sheetId="24376">
        <row r="9">
          <cell r="A9" t="str">
            <v>A</v>
          </cell>
        </row>
      </sheetData>
      <sheetData sheetId="24377">
        <row r="9">
          <cell r="A9" t="str">
            <v>A</v>
          </cell>
        </row>
      </sheetData>
      <sheetData sheetId="24378" refreshError="1"/>
      <sheetData sheetId="24379" refreshError="1"/>
      <sheetData sheetId="24380" refreshError="1"/>
      <sheetData sheetId="24381" refreshError="1"/>
      <sheetData sheetId="24382" refreshError="1"/>
      <sheetData sheetId="24383">
        <row r="9">
          <cell r="A9" t="str">
            <v>A</v>
          </cell>
        </row>
      </sheetData>
      <sheetData sheetId="24384">
        <row r="9">
          <cell r="A9" t="str">
            <v>A</v>
          </cell>
        </row>
      </sheetData>
      <sheetData sheetId="24385">
        <row r="9">
          <cell r="A9" t="str">
            <v>A</v>
          </cell>
        </row>
      </sheetData>
      <sheetData sheetId="24386" refreshError="1"/>
      <sheetData sheetId="24387" refreshError="1"/>
      <sheetData sheetId="24388">
        <row r="9">
          <cell r="A9" t="str">
            <v>A</v>
          </cell>
        </row>
      </sheetData>
      <sheetData sheetId="24389" refreshError="1"/>
      <sheetData sheetId="24390">
        <row r="9">
          <cell r="A9" t="str">
            <v>A</v>
          </cell>
        </row>
      </sheetData>
      <sheetData sheetId="24391">
        <row r="9">
          <cell r="A9" t="str">
            <v>A</v>
          </cell>
        </row>
      </sheetData>
      <sheetData sheetId="24392" refreshError="1"/>
      <sheetData sheetId="24393" refreshError="1"/>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efreshError="1"/>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efreshError="1"/>
      <sheetData sheetId="24417" refreshError="1"/>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efreshError="1"/>
      <sheetData sheetId="24531" refreshError="1"/>
      <sheetData sheetId="24532" refreshError="1"/>
      <sheetData sheetId="24533" refreshError="1"/>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efreshError="1"/>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efreshError="1"/>
      <sheetData sheetId="24712" refreshError="1"/>
      <sheetData sheetId="24713" refreshError="1"/>
      <sheetData sheetId="24714" refreshError="1"/>
      <sheetData sheetId="24715">
        <row r="9">
          <cell r="A9" t="str">
            <v>A</v>
          </cell>
        </row>
      </sheetData>
      <sheetData sheetId="24716">
        <row r="9">
          <cell r="A9" t="str">
            <v>A</v>
          </cell>
        </row>
      </sheetData>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ow r="9">
          <cell r="A9" t="str">
            <v>A</v>
          </cell>
        </row>
      </sheetData>
      <sheetData sheetId="24726">
        <row r="9">
          <cell r="A9" t="str">
            <v>A</v>
          </cell>
        </row>
      </sheetData>
      <sheetData sheetId="24727">
        <row r="9">
          <cell r="A9" t="str">
            <v>A</v>
          </cell>
        </row>
      </sheetData>
      <sheetData sheetId="24728" refreshError="1"/>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efreshError="1"/>
      <sheetData sheetId="24737" refreshError="1"/>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ow r="9">
          <cell r="A9" t="str">
            <v>A</v>
          </cell>
        </row>
      </sheetData>
      <sheetData sheetId="24821">
        <row r="9">
          <cell r="A9" t="str">
            <v>A</v>
          </cell>
        </row>
      </sheetData>
      <sheetData sheetId="24822">
        <row r="9">
          <cell r="A9" t="str">
            <v>A</v>
          </cell>
        </row>
      </sheetData>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sheetData sheetId="24905" refreshError="1"/>
      <sheetData sheetId="24906" refreshError="1"/>
      <sheetData sheetId="24907" refreshError="1"/>
      <sheetData sheetId="24908"/>
      <sheetData sheetId="24909"/>
      <sheetData sheetId="24910" refreshError="1"/>
      <sheetData sheetId="24911" refreshError="1"/>
      <sheetData sheetId="24912" refreshError="1"/>
      <sheetData sheetId="24913" refreshError="1"/>
      <sheetData sheetId="24914"/>
      <sheetData sheetId="24915" refreshError="1"/>
      <sheetData sheetId="24916" refreshError="1"/>
      <sheetData sheetId="24917" refreshError="1"/>
      <sheetData sheetId="24918"/>
      <sheetData sheetId="24919" refreshError="1"/>
      <sheetData sheetId="24920"/>
      <sheetData sheetId="2492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ow r="9">
          <cell r="A9" t="str">
            <v>A</v>
          </cell>
        </row>
      </sheetData>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ow r="9">
          <cell r="A9" t="str">
            <v>A</v>
          </cell>
        </row>
      </sheetData>
      <sheetData sheetId="25011">
        <row r="9">
          <cell r="A9" t="str">
            <v>A</v>
          </cell>
        </row>
      </sheetData>
      <sheetData sheetId="25012">
        <row r="9">
          <cell r="A9" t="str">
            <v>A</v>
          </cell>
        </row>
      </sheetData>
      <sheetData sheetId="25013">
        <row r="9">
          <cell r="A9" t="str">
            <v>A</v>
          </cell>
        </row>
      </sheetData>
      <sheetData sheetId="25014">
        <row r="9">
          <cell r="A9" t="str">
            <v>A</v>
          </cell>
        </row>
      </sheetData>
      <sheetData sheetId="25015">
        <row r="9">
          <cell r="A9" t="str">
            <v>A</v>
          </cell>
        </row>
      </sheetData>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ow r="9">
          <cell r="A9" t="str">
            <v>A</v>
          </cell>
        </row>
      </sheetData>
      <sheetData sheetId="25031">
        <row r="9">
          <cell r="A9" t="str">
            <v>A</v>
          </cell>
        </row>
      </sheetData>
      <sheetData sheetId="25032">
        <row r="9">
          <cell r="A9" t="str">
            <v>A</v>
          </cell>
        </row>
      </sheetData>
      <sheetData sheetId="25033">
        <row r="9">
          <cell r="A9" t="str">
            <v>A</v>
          </cell>
        </row>
      </sheetData>
      <sheetData sheetId="25034">
        <row r="9">
          <cell r="A9" t="str">
            <v>A</v>
          </cell>
        </row>
      </sheetData>
      <sheetData sheetId="25035">
        <row r="9">
          <cell r="A9" t="str">
            <v>A</v>
          </cell>
        </row>
      </sheetData>
      <sheetData sheetId="25036">
        <row r="9">
          <cell r="A9" t="str">
            <v>A</v>
          </cell>
        </row>
      </sheetData>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ow r="9">
          <cell r="A9" t="str">
            <v>A</v>
          </cell>
        </row>
      </sheetData>
      <sheetData sheetId="25062">
        <row r="9">
          <cell r="A9" t="str">
            <v>A</v>
          </cell>
        </row>
      </sheetData>
      <sheetData sheetId="25063">
        <row r="9">
          <cell r="A9" t="str">
            <v>A</v>
          </cell>
        </row>
      </sheetData>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row r="9">
          <cell r="A9" t="str">
            <v>A</v>
          </cell>
        </row>
      </sheetData>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efreshError="1"/>
      <sheetData sheetId="26913" refreshError="1"/>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efreshError="1"/>
      <sheetData sheetId="26930" refreshError="1"/>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efreshError="1"/>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efreshError="1"/>
      <sheetData sheetId="27349">
        <row r="9">
          <cell r="A9" t="str">
            <v>A</v>
          </cell>
        </row>
      </sheetData>
      <sheetData sheetId="27350" refreshError="1"/>
      <sheetData sheetId="27351" refreshError="1"/>
      <sheetData sheetId="27352" refreshError="1"/>
      <sheetData sheetId="27353" refreshError="1"/>
      <sheetData sheetId="27354" refreshError="1"/>
      <sheetData sheetId="27355" refreshError="1"/>
      <sheetData sheetId="27356">
        <row r="9">
          <cell r="A9" t="str">
            <v>A</v>
          </cell>
        </row>
      </sheetData>
      <sheetData sheetId="27357" refreshError="1"/>
      <sheetData sheetId="27358">
        <row r="9">
          <cell r="A9" t="str">
            <v>A</v>
          </cell>
        </row>
      </sheetData>
      <sheetData sheetId="27359">
        <row r="9">
          <cell r="A9" t="str">
            <v>A</v>
          </cell>
        </row>
      </sheetData>
      <sheetData sheetId="27360" refreshError="1"/>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efreshError="1"/>
      <sheetData sheetId="27482" refreshError="1"/>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efreshError="1"/>
      <sheetData sheetId="27494">
        <row r="9">
          <cell r="A9" t="str">
            <v>A</v>
          </cell>
        </row>
      </sheetData>
      <sheetData sheetId="27495" refreshError="1"/>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efreshError="1"/>
      <sheetData sheetId="27526" refreshError="1"/>
      <sheetData sheetId="27527" refreshError="1"/>
      <sheetData sheetId="27528" refreshError="1"/>
      <sheetData sheetId="27529" refreshError="1"/>
      <sheetData sheetId="27530" refreshError="1"/>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efreshError="1"/>
      <sheetData sheetId="27592" refreshError="1"/>
      <sheetData sheetId="27593">
        <row r="9">
          <cell r="A9" t="str">
            <v>A</v>
          </cell>
        </row>
      </sheetData>
      <sheetData sheetId="27594">
        <row r="9">
          <cell r="A9" t="str">
            <v>A</v>
          </cell>
        </row>
      </sheetData>
      <sheetData sheetId="27595">
        <row r="9">
          <cell r="A9" t="str">
            <v>A</v>
          </cell>
        </row>
      </sheetData>
      <sheetData sheetId="27596" refreshError="1"/>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ow r="9">
          <cell r="A9" t="str">
            <v>A</v>
          </cell>
        </row>
      </sheetData>
      <sheetData sheetId="27692" refreshError="1"/>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efreshError="1"/>
      <sheetData sheetId="27756" refreshError="1"/>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efreshError="1"/>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efreshError="1"/>
      <sheetData sheetId="27807" refreshError="1"/>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efreshError="1"/>
      <sheetData sheetId="27881">
        <row r="9">
          <cell r="A9" t="str">
            <v>A</v>
          </cell>
        </row>
      </sheetData>
      <sheetData sheetId="27882">
        <row r="9">
          <cell r="A9" t="str">
            <v>A</v>
          </cell>
        </row>
      </sheetData>
      <sheetData sheetId="27883">
        <row r="9">
          <cell r="A9" t="str">
            <v>A</v>
          </cell>
        </row>
      </sheetData>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ow r="9">
          <cell r="A9" t="str">
            <v>A</v>
          </cell>
        </row>
      </sheetData>
      <sheetData sheetId="28094" refreshError="1"/>
      <sheetData sheetId="28095" refreshError="1"/>
      <sheetData sheetId="28096" refreshError="1"/>
      <sheetData sheetId="28097" refreshError="1"/>
      <sheetData sheetId="28098">
        <row r="9">
          <cell r="A9" t="str">
            <v>A</v>
          </cell>
        </row>
      </sheetData>
      <sheetData sheetId="28099" refreshError="1"/>
      <sheetData sheetId="28100">
        <row r="9">
          <cell r="A9" t="str">
            <v>A</v>
          </cell>
        </row>
      </sheetData>
      <sheetData sheetId="28101"/>
      <sheetData sheetId="28102">
        <row r="9">
          <cell r="A9" t="str">
            <v>A</v>
          </cell>
        </row>
      </sheetData>
      <sheetData sheetId="28103">
        <row r="9">
          <cell r="A9" t="str">
            <v>A</v>
          </cell>
        </row>
      </sheetData>
      <sheetData sheetId="28104"/>
      <sheetData sheetId="28105">
        <row r="9">
          <cell r="A9" t="str">
            <v>A</v>
          </cell>
        </row>
      </sheetData>
      <sheetData sheetId="28106"/>
      <sheetData sheetId="28107"/>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efreshError="1"/>
      <sheetData sheetId="28117" refreshError="1"/>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sheetData sheetId="28129"/>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efreshError="1"/>
      <sheetData sheetId="28140" refreshError="1"/>
      <sheetData sheetId="28141">
        <row r="9">
          <cell r="A9" t="str">
            <v>A</v>
          </cell>
        </row>
      </sheetData>
      <sheetData sheetId="28142">
        <row r="9">
          <cell r="A9" t="str">
            <v>A</v>
          </cell>
        </row>
      </sheetData>
      <sheetData sheetId="28143" refreshError="1"/>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sheetData sheetId="28219" refreshError="1"/>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sheetData sheetId="28226"/>
      <sheetData sheetId="28227">
        <row r="9">
          <cell r="A9" t="str">
            <v>A</v>
          </cell>
        </row>
      </sheetData>
      <sheetData sheetId="28228">
        <row r="9">
          <cell r="A9" t="str">
            <v>A</v>
          </cell>
        </row>
      </sheetData>
      <sheetData sheetId="28229">
        <row r="9">
          <cell r="A9" t="str">
            <v>A</v>
          </cell>
        </row>
      </sheetData>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ow r="9">
          <cell r="A9" t="str">
            <v>A</v>
          </cell>
        </row>
      </sheetData>
      <sheetData sheetId="28238">
        <row r="9">
          <cell r="A9" t="str">
            <v>A</v>
          </cell>
        </row>
      </sheetData>
      <sheetData sheetId="28239"/>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sheetData sheetId="28270"/>
      <sheetData sheetId="28271"/>
      <sheetData sheetId="28272"/>
      <sheetData sheetId="28273"/>
      <sheetData sheetId="28274"/>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efreshError="1"/>
      <sheetData sheetId="28313" refreshError="1"/>
      <sheetData sheetId="28314" refreshError="1"/>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sheetData sheetId="28325">
        <row r="9">
          <cell r="A9" t="str">
            <v>A</v>
          </cell>
        </row>
      </sheetData>
      <sheetData sheetId="28326">
        <row r="9">
          <cell r="A9" t="str">
            <v>A</v>
          </cell>
        </row>
      </sheetData>
      <sheetData sheetId="28327">
        <row r="9">
          <cell r="A9" t="str">
            <v>A</v>
          </cell>
        </row>
      </sheetData>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refreshError="1"/>
      <sheetData sheetId="28434"/>
      <sheetData sheetId="28435">
        <row r="9">
          <cell r="A9" t="str">
            <v>A</v>
          </cell>
        </row>
      </sheetData>
      <sheetData sheetId="28436">
        <row r="9">
          <cell r="A9" t="str">
            <v>A</v>
          </cell>
        </row>
      </sheetData>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sheetData sheetId="28454"/>
      <sheetData sheetId="28455"/>
      <sheetData sheetId="28456"/>
      <sheetData sheetId="28457"/>
      <sheetData sheetId="28458"/>
      <sheetData sheetId="28459"/>
      <sheetData sheetId="28460"/>
      <sheetData sheetId="28461"/>
      <sheetData sheetId="28462"/>
      <sheetData sheetId="28463"/>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sheetData sheetId="28507"/>
      <sheetData sheetId="28508"/>
      <sheetData sheetId="28509"/>
      <sheetData sheetId="28510"/>
      <sheetData sheetId="28511"/>
      <sheetData sheetId="28512"/>
      <sheetData sheetId="28513"/>
      <sheetData sheetId="28514"/>
      <sheetData sheetId="28515">
        <row r="9">
          <cell r="A9" t="str">
            <v>A</v>
          </cell>
        </row>
      </sheetData>
      <sheetData sheetId="28516"/>
      <sheetData sheetId="28517"/>
      <sheetData sheetId="28518" refreshError="1"/>
      <sheetData sheetId="28519"/>
      <sheetData sheetId="28520">
        <row r="9">
          <cell r="A9" t="str">
            <v>A</v>
          </cell>
        </row>
      </sheetData>
      <sheetData sheetId="28521"/>
      <sheetData sheetId="28522"/>
      <sheetData sheetId="28523">
        <row r="9">
          <cell r="A9" t="str">
            <v>A</v>
          </cell>
        </row>
      </sheetData>
      <sheetData sheetId="28524"/>
      <sheetData sheetId="28525"/>
      <sheetData sheetId="28526"/>
      <sheetData sheetId="28527" refreshError="1"/>
      <sheetData sheetId="28528" refreshError="1"/>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ow r="9">
          <cell r="A9" t="str">
            <v>A</v>
          </cell>
        </row>
      </sheetData>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efreshError="1"/>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sheetData sheetId="28661"/>
      <sheetData sheetId="28662"/>
      <sheetData sheetId="28663" refreshError="1"/>
      <sheetData sheetId="28664"/>
      <sheetData sheetId="28665" refreshError="1"/>
      <sheetData sheetId="28666" refreshError="1"/>
      <sheetData sheetId="28667"/>
      <sheetData sheetId="28668">
        <row r="9">
          <cell r="A9" t="str">
            <v>A</v>
          </cell>
        </row>
      </sheetData>
      <sheetData sheetId="28669"/>
      <sheetData sheetId="28670"/>
      <sheetData sheetId="28671"/>
      <sheetData sheetId="28672"/>
      <sheetData sheetId="28673"/>
      <sheetData sheetId="28674"/>
      <sheetData sheetId="28675"/>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efreshError="1"/>
      <sheetData sheetId="28721" refreshError="1"/>
      <sheetData sheetId="28722" refreshError="1"/>
      <sheetData sheetId="28723" refreshError="1"/>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ow r="9">
          <cell r="A9" t="str">
            <v>A</v>
          </cell>
        </row>
      </sheetData>
      <sheetData sheetId="28872">
        <row r="9">
          <cell r="A9" t="str">
            <v>A</v>
          </cell>
        </row>
      </sheetData>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efreshError="1"/>
      <sheetData sheetId="28971" refreshError="1"/>
      <sheetData sheetId="28972" refreshError="1"/>
      <sheetData sheetId="28973"/>
      <sheetData sheetId="28974">
        <row r="9">
          <cell r="A9" t="str">
            <v>A</v>
          </cell>
        </row>
      </sheetData>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refreshError="1"/>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efreshError="1"/>
      <sheetData sheetId="29082">
        <row r="9">
          <cell r="A9" t="str">
            <v>A</v>
          </cell>
        </row>
      </sheetData>
      <sheetData sheetId="29083" refreshError="1"/>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efreshError="1"/>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efreshError="1"/>
      <sheetData sheetId="29110" refreshError="1"/>
      <sheetData sheetId="29111">
        <row r="9">
          <cell r="A9" t="str">
            <v>A</v>
          </cell>
        </row>
      </sheetData>
      <sheetData sheetId="29112">
        <row r="9">
          <cell r="A9" t="str">
            <v>A</v>
          </cell>
        </row>
      </sheetData>
      <sheetData sheetId="29113">
        <row r="9">
          <cell r="A9" t="str">
            <v>A</v>
          </cell>
        </row>
      </sheetData>
      <sheetData sheetId="29114" refreshError="1"/>
      <sheetData sheetId="29115" refreshError="1"/>
      <sheetData sheetId="29116" refreshError="1"/>
      <sheetData sheetId="29117">
        <row r="9">
          <cell r="A9" t="str">
            <v>A</v>
          </cell>
        </row>
      </sheetData>
      <sheetData sheetId="29118">
        <row r="9">
          <cell r="A9" t="str">
            <v>A</v>
          </cell>
        </row>
      </sheetData>
      <sheetData sheetId="29119">
        <row r="9">
          <cell r="A9" t="str">
            <v>A</v>
          </cell>
        </row>
      </sheetData>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ow r="9">
          <cell r="A9" t="str">
            <v>A</v>
          </cell>
        </row>
      </sheetData>
      <sheetData sheetId="29192" refreshError="1"/>
      <sheetData sheetId="29193" refreshError="1"/>
      <sheetData sheetId="29194" refreshError="1"/>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efreshError="1"/>
      <sheetData sheetId="29349" refreshError="1"/>
      <sheetData sheetId="29350">
        <row r="9">
          <cell r="A9" t="str">
            <v>A</v>
          </cell>
        </row>
      </sheetData>
      <sheetData sheetId="29351" refreshError="1"/>
      <sheetData sheetId="29352" refreshError="1"/>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efreshError="1"/>
      <sheetData sheetId="29371" refreshError="1"/>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efreshError="1"/>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efreshError="1"/>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efreshError="1"/>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efreshError="1"/>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efreshError="1"/>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efreshError="1"/>
      <sheetData sheetId="29817">
        <row r="9">
          <cell r="A9" t="str">
            <v>A</v>
          </cell>
        </row>
      </sheetData>
      <sheetData sheetId="29818">
        <row r="9">
          <cell r="A9" t="str">
            <v>A</v>
          </cell>
        </row>
      </sheetData>
      <sheetData sheetId="29819">
        <row r="9">
          <cell r="A9" t="str">
            <v>A</v>
          </cell>
        </row>
      </sheetData>
      <sheetData sheetId="29820" refreshError="1"/>
      <sheetData sheetId="29821" refreshError="1"/>
      <sheetData sheetId="29822" refreshError="1"/>
      <sheetData sheetId="29823" refreshError="1"/>
      <sheetData sheetId="29824">
        <row r="9">
          <cell r="A9" t="str">
            <v>A</v>
          </cell>
        </row>
      </sheetData>
      <sheetData sheetId="29825">
        <row r="9">
          <cell r="A9" t="str">
            <v>A</v>
          </cell>
        </row>
      </sheetData>
      <sheetData sheetId="29826">
        <row r="9">
          <cell r="A9" t="str">
            <v>A</v>
          </cell>
        </row>
      </sheetData>
      <sheetData sheetId="29827" refreshError="1"/>
      <sheetData sheetId="29828" refreshError="1"/>
      <sheetData sheetId="29829" refreshError="1"/>
      <sheetData sheetId="29830">
        <row r="9">
          <cell r="A9" t="str">
            <v>A</v>
          </cell>
        </row>
      </sheetData>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ow r="9">
          <cell r="A9" t="str">
            <v>A</v>
          </cell>
        </row>
      </sheetData>
      <sheetData sheetId="29905" refreshError="1"/>
      <sheetData sheetId="29906" refreshError="1"/>
      <sheetData sheetId="29907" refreshError="1"/>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efreshError="1"/>
      <sheetData sheetId="29981" refreshError="1"/>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efreshError="1"/>
      <sheetData sheetId="30062" refreshError="1"/>
      <sheetData sheetId="30063" refreshError="1"/>
      <sheetData sheetId="30064" refreshError="1"/>
      <sheetData sheetId="30065" refreshError="1"/>
      <sheetData sheetId="30066" refreshError="1"/>
      <sheetData sheetId="30067">
        <row r="9">
          <cell r="A9" t="str">
            <v>A</v>
          </cell>
        </row>
      </sheetData>
      <sheetData sheetId="30068" refreshError="1"/>
      <sheetData sheetId="30069" refreshError="1"/>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efreshError="1"/>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efreshError="1"/>
      <sheetData sheetId="30179">
        <row r="9">
          <cell r="A9" t="str">
            <v>A</v>
          </cell>
        </row>
      </sheetData>
      <sheetData sheetId="30180" refreshError="1"/>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efreshError="1"/>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efreshError="1"/>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efreshError="1"/>
      <sheetData sheetId="30510" refreshError="1"/>
      <sheetData sheetId="30511" refreshError="1"/>
      <sheetData sheetId="30512" refreshError="1"/>
      <sheetData sheetId="30513" refreshError="1"/>
      <sheetData sheetId="30514" refreshError="1"/>
      <sheetData sheetId="30515">
        <row r="9">
          <cell r="A9" t="str">
            <v>A</v>
          </cell>
        </row>
      </sheetData>
      <sheetData sheetId="30516" refreshError="1"/>
      <sheetData sheetId="30517" refreshError="1"/>
      <sheetData sheetId="30518">
        <row r="9">
          <cell r="A9" t="str">
            <v>A</v>
          </cell>
        </row>
      </sheetData>
      <sheetData sheetId="30519">
        <row r="9">
          <cell r="A9" t="str">
            <v>A</v>
          </cell>
        </row>
      </sheetData>
      <sheetData sheetId="30520" refreshError="1"/>
      <sheetData sheetId="30521">
        <row r="9">
          <cell r="A9" t="str">
            <v>A</v>
          </cell>
        </row>
      </sheetData>
      <sheetData sheetId="30522">
        <row r="9">
          <cell r="A9" t="str">
            <v>A</v>
          </cell>
        </row>
      </sheetData>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efreshError="1"/>
      <sheetData sheetId="30545" refreshError="1"/>
      <sheetData sheetId="30546" refreshError="1"/>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efreshError="1"/>
      <sheetData sheetId="30640">
        <row r="9">
          <cell r="A9" t="str">
            <v>A</v>
          </cell>
        </row>
      </sheetData>
      <sheetData sheetId="30641">
        <row r="9">
          <cell r="A9" t="str">
            <v>A</v>
          </cell>
        </row>
      </sheetData>
      <sheetData sheetId="30642">
        <row r="9">
          <cell r="A9" t="str">
            <v>A</v>
          </cell>
        </row>
      </sheetData>
      <sheetData sheetId="30643" refreshError="1"/>
      <sheetData sheetId="30644" refreshError="1"/>
      <sheetData sheetId="30645">
        <row r="9">
          <cell r="A9" t="str">
            <v>A</v>
          </cell>
        </row>
      </sheetData>
      <sheetData sheetId="30646">
        <row r="9">
          <cell r="A9" t="str">
            <v>A</v>
          </cell>
        </row>
      </sheetData>
      <sheetData sheetId="30647">
        <row r="9">
          <cell r="A9" t="str">
            <v>A</v>
          </cell>
        </row>
      </sheetData>
      <sheetData sheetId="30648" refreshError="1"/>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efreshError="1"/>
      <sheetData sheetId="30658" refreshError="1"/>
      <sheetData sheetId="30659" refreshError="1"/>
      <sheetData sheetId="30660" refreshError="1"/>
      <sheetData sheetId="30661" refreshError="1"/>
      <sheetData sheetId="30662" refreshError="1"/>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efreshError="1"/>
      <sheetData sheetId="30751" refreshError="1"/>
      <sheetData sheetId="30752">
        <row r="9">
          <cell r="A9" t="str">
            <v>A</v>
          </cell>
        </row>
      </sheetData>
      <sheetData sheetId="30753">
        <row r="9">
          <cell r="A9" t="str">
            <v>A</v>
          </cell>
        </row>
      </sheetData>
      <sheetData sheetId="30754">
        <row r="9">
          <cell r="A9" t="str">
            <v>A</v>
          </cell>
        </row>
      </sheetData>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ow r="9">
          <cell r="A9" t="str">
            <v>A</v>
          </cell>
        </row>
      </sheetData>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ow r="9">
          <cell r="A9" t="str">
            <v>A</v>
          </cell>
        </row>
      </sheetData>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efreshError="1"/>
      <sheetData sheetId="30902">
        <row r="9">
          <cell r="A9" t="str">
            <v>A</v>
          </cell>
        </row>
      </sheetData>
      <sheetData sheetId="30903">
        <row r="9">
          <cell r="A9" t="str">
            <v>A</v>
          </cell>
        </row>
      </sheetData>
      <sheetData sheetId="30904">
        <row r="9">
          <cell r="A9" t="str">
            <v>A</v>
          </cell>
        </row>
      </sheetData>
      <sheetData sheetId="30905" refreshError="1"/>
      <sheetData sheetId="30906" refreshError="1"/>
      <sheetData sheetId="30907" refreshError="1"/>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efreshError="1"/>
      <sheetData sheetId="30957" refreshError="1"/>
      <sheetData sheetId="30958" refreshError="1"/>
      <sheetData sheetId="30959" refreshError="1"/>
      <sheetData sheetId="30960" refreshError="1"/>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efreshError="1"/>
      <sheetData sheetId="31034" refreshError="1"/>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ow r="9">
          <cell r="A9" t="str">
            <v>A</v>
          </cell>
        </row>
      </sheetData>
      <sheetData sheetId="31119" refreshError="1"/>
      <sheetData sheetId="31120">
        <row r="9">
          <cell r="A9" t="str">
            <v>A</v>
          </cell>
        </row>
      </sheetData>
      <sheetData sheetId="31121" refreshError="1"/>
      <sheetData sheetId="31122" refreshError="1"/>
      <sheetData sheetId="31123" refreshError="1"/>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efreshError="1"/>
      <sheetData sheetId="31238">
        <row r="9">
          <cell r="A9" t="str">
            <v>A</v>
          </cell>
        </row>
      </sheetData>
      <sheetData sheetId="31239">
        <row r="9">
          <cell r="A9" t="str">
            <v>A</v>
          </cell>
        </row>
      </sheetData>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ow r="9">
          <cell r="A9" t="str">
            <v>A</v>
          </cell>
        </row>
      </sheetData>
      <sheetData sheetId="31251">
        <row r="9">
          <cell r="A9" t="str">
            <v>A</v>
          </cell>
        </row>
      </sheetData>
      <sheetData sheetId="31252">
        <row r="9">
          <cell r="A9" t="str">
            <v>A</v>
          </cell>
        </row>
      </sheetData>
      <sheetData sheetId="31253" refreshError="1"/>
      <sheetData sheetId="31254">
        <row r="9">
          <cell r="A9" t="str">
            <v>A</v>
          </cell>
        </row>
      </sheetData>
      <sheetData sheetId="31255">
        <row r="9">
          <cell r="A9" t="str">
            <v>A</v>
          </cell>
        </row>
      </sheetData>
      <sheetData sheetId="31256">
        <row r="9">
          <cell r="A9" t="str">
            <v>A</v>
          </cell>
        </row>
      </sheetData>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efreshError="1"/>
      <sheetData sheetId="31292">
        <row r="9">
          <cell r="A9" t="str">
            <v>A</v>
          </cell>
        </row>
      </sheetData>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ow r="9">
          <cell r="A9" t="str">
            <v>A</v>
          </cell>
        </row>
      </sheetData>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efreshError="1"/>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efreshError="1"/>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efreshError="1"/>
      <sheetData sheetId="31398">
        <row r="9">
          <cell r="A9" t="str">
            <v>A</v>
          </cell>
        </row>
      </sheetData>
      <sheetData sheetId="31399">
        <row r="9">
          <cell r="A9" t="str">
            <v>A</v>
          </cell>
        </row>
      </sheetData>
      <sheetData sheetId="31400" refreshError="1"/>
      <sheetData sheetId="31401" refreshError="1"/>
      <sheetData sheetId="31402" refreshError="1"/>
      <sheetData sheetId="31403" refreshError="1"/>
      <sheetData sheetId="31404">
        <row r="9">
          <cell r="A9" t="str">
            <v>A</v>
          </cell>
        </row>
      </sheetData>
      <sheetData sheetId="31405" refreshError="1"/>
      <sheetData sheetId="31406">
        <row r="9">
          <cell r="A9" t="str">
            <v>A</v>
          </cell>
        </row>
      </sheetData>
      <sheetData sheetId="31407">
        <row r="9">
          <cell r="A9" t="str">
            <v>A</v>
          </cell>
        </row>
      </sheetData>
      <sheetData sheetId="31408" refreshError="1"/>
      <sheetData sheetId="31409">
        <row r="9">
          <cell r="A9" t="str">
            <v>A</v>
          </cell>
        </row>
      </sheetData>
      <sheetData sheetId="31410">
        <row r="9">
          <cell r="A9" t="str">
            <v>A</v>
          </cell>
        </row>
      </sheetData>
      <sheetData sheetId="31411" refreshError="1"/>
      <sheetData sheetId="31412" refreshError="1"/>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ow r="9">
          <cell r="A9" t="str">
            <v>A</v>
          </cell>
        </row>
      </sheetData>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ow r="9">
          <cell r="A9" t="str">
            <v>A</v>
          </cell>
        </row>
      </sheetData>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efreshError="1"/>
      <sheetData sheetId="31595" refreshError="1"/>
      <sheetData sheetId="31596">
        <row r="9">
          <cell r="A9" t="str">
            <v>A</v>
          </cell>
        </row>
      </sheetData>
      <sheetData sheetId="31597">
        <row r="9">
          <cell r="A9" t="str">
            <v>A</v>
          </cell>
        </row>
      </sheetData>
      <sheetData sheetId="31598">
        <row r="9">
          <cell r="A9" t="str">
            <v>A</v>
          </cell>
        </row>
      </sheetData>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ow r="9">
          <cell r="A9" t="str">
            <v>A</v>
          </cell>
        </row>
      </sheetData>
      <sheetData sheetId="31671" refreshError="1"/>
      <sheetData sheetId="31672" refreshError="1"/>
      <sheetData sheetId="31673" refreshError="1"/>
      <sheetData sheetId="31674" refreshError="1"/>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efreshError="1"/>
      <sheetData sheetId="31720" refreshError="1"/>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efreshError="1"/>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efreshError="1"/>
      <sheetData sheetId="31825">
        <row r="9">
          <cell r="A9" t="str">
            <v>A</v>
          </cell>
        </row>
      </sheetData>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efreshError="1"/>
      <sheetData sheetId="31881" refreshError="1"/>
      <sheetData sheetId="31882" refreshError="1"/>
      <sheetData sheetId="31883" refreshError="1"/>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efreshError="1"/>
      <sheetData sheetId="31958" refreshError="1"/>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efreshError="1"/>
      <sheetData sheetId="32045" refreshError="1"/>
      <sheetData sheetId="32046" refreshError="1"/>
      <sheetData sheetId="32047" refreshError="1"/>
      <sheetData sheetId="32048" refreshError="1"/>
      <sheetData sheetId="32049">
        <row r="9">
          <cell r="A9" t="str">
            <v>A</v>
          </cell>
        </row>
      </sheetData>
      <sheetData sheetId="32050" refreshError="1"/>
      <sheetData sheetId="32051">
        <row r="9">
          <cell r="A9" t="str">
            <v>A</v>
          </cell>
        </row>
      </sheetData>
      <sheetData sheetId="32052" refreshError="1"/>
      <sheetData sheetId="32053" refreshError="1"/>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efreshError="1"/>
      <sheetData sheetId="32243" refreshError="1"/>
      <sheetData sheetId="32244">
        <row r="9">
          <cell r="A9" t="str">
            <v>A</v>
          </cell>
        </row>
      </sheetData>
      <sheetData sheetId="32245">
        <row r="9">
          <cell r="A9" t="str">
            <v>A</v>
          </cell>
        </row>
      </sheetData>
      <sheetData sheetId="32246" refreshError="1"/>
      <sheetData sheetId="32247" refreshError="1"/>
      <sheetData sheetId="32248" refreshError="1"/>
      <sheetData sheetId="32249">
        <row r="9">
          <cell r="A9" t="str">
            <v>A</v>
          </cell>
        </row>
      </sheetData>
      <sheetData sheetId="32250">
        <row r="9">
          <cell r="A9" t="str">
            <v>A</v>
          </cell>
        </row>
      </sheetData>
      <sheetData sheetId="32251">
        <row r="9">
          <cell r="A9" t="str">
            <v>A</v>
          </cell>
        </row>
      </sheetData>
      <sheetData sheetId="32252" refreshError="1"/>
      <sheetData sheetId="32253">
        <row r="9">
          <cell r="A9" t="str">
            <v>A</v>
          </cell>
        </row>
      </sheetData>
      <sheetData sheetId="32254">
        <row r="9">
          <cell r="A9" t="str">
            <v>A</v>
          </cell>
        </row>
      </sheetData>
      <sheetData sheetId="32255" refreshError="1"/>
      <sheetData sheetId="32256" refreshError="1"/>
      <sheetData sheetId="32257" refreshError="1"/>
      <sheetData sheetId="32258" refreshError="1"/>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efreshError="1"/>
      <sheetData sheetId="32366">
        <row r="9">
          <cell r="A9" t="str">
            <v>A</v>
          </cell>
        </row>
      </sheetData>
      <sheetData sheetId="32367" refreshError="1"/>
      <sheetData sheetId="32368">
        <row r="9">
          <cell r="A9" t="str">
            <v>A</v>
          </cell>
        </row>
      </sheetData>
      <sheetData sheetId="32369" refreshError="1"/>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efreshError="1"/>
      <sheetData sheetId="32487" refreshError="1"/>
      <sheetData sheetId="32488">
        <row r="9">
          <cell r="A9" t="str">
            <v>A</v>
          </cell>
        </row>
      </sheetData>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efreshError="1"/>
      <sheetData sheetId="32531">
        <row r="9">
          <cell r="A9" t="str">
            <v>A</v>
          </cell>
        </row>
      </sheetData>
      <sheetData sheetId="32532">
        <row r="9">
          <cell r="A9" t="str">
            <v>A</v>
          </cell>
        </row>
      </sheetData>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efreshError="1"/>
      <sheetData sheetId="32570">
        <row r="9">
          <cell r="A9" t="str">
            <v>A</v>
          </cell>
        </row>
      </sheetData>
      <sheetData sheetId="32571" refreshError="1"/>
      <sheetData sheetId="32572">
        <row r="9">
          <cell r="A9" t="str">
            <v>A</v>
          </cell>
        </row>
      </sheetData>
      <sheetData sheetId="32573">
        <row r="9">
          <cell r="A9" t="str">
            <v>A</v>
          </cell>
        </row>
      </sheetData>
      <sheetData sheetId="32574" refreshError="1"/>
      <sheetData sheetId="32575">
        <row r="9">
          <cell r="A9" t="str">
            <v>A</v>
          </cell>
        </row>
      </sheetData>
      <sheetData sheetId="32576">
        <row r="9">
          <cell r="A9" t="str">
            <v>A</v>
          </cell>
        </row>
      </sheetData>
      <sheetData sheetId="32577">
        <row r="9">
          <cell r="A9" t="str">
            <v>A</v>
          </cell>
        </row>
      </sheetData>
      <sheetData sheetId="32578" refreshError="1"/>
      <sheetData sheetId="32579">
        <row r="9">
          <cell r="A9" t="str">
            <v>A</v>
          </cell>
        </row>
      </sheetData>
      <sheetData sheetId="32580">
        <row r="9">
          <cell r="A9" t="str">
            <v>A</v>
          </cell>
        </row>
      </sheetData>
      <sheetData sheetId="32581">
        <row r="9">
          <cell r="A9" t="str">
            <v>A</v>
          </cell>
        </row>
      </sheetData>
      <sheetData sheetId="32582" refreshError="1"/>
      <sheetData sheetId="32583" refreshError="1"/>
      <sheetData sheetId="32584">
        <row r="9">
          <cell r="A9" t="str">
            <v>A</v>
          </cell>
        </row>
      </sheetData>
      <sheetData sheetId="32585" refreshError="1"/>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ow r="9">
          <cell r="A9" t="str">
            <v>A</v>
          </cell>
        </row>
      </sheetData>
      <sheetData sheetId="32632" refreshError="1"/>
      <sheetData sheetId="32633" refreshError="1"/>
      <sheetData sheetId="32634" refreshError="1"/>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efreshError="1"/>
      <sheetData sheetId="32699">
        <row r="9">
          <cell r="A9" t="str">
            <v>A</v>
          </cell>
        </row>
      </sheetData>
      <sheetData sheetId="32700" refreshError="1"/>
      <sheetData sheetId="32701">
        <row r="9">
          <cell r="A9" t="str">
            <v>A</v>
          </cell>
        </row>
      </sheetData>
      <sheetData sheetId="32702" refreshError="1"/>
      <sheetData sheetId="32703">
        <row r="9">
          <cell r="A9" t="str">
            <v>A</v>
          </cell>
        </row>
      </sheetData>
      <sheetData sheetId="32704" refreshError="1"/>
      <sheetData sheetId="32705" refreshError="1"/>
      <sheetData sheetId="32706" refreshError="1"/>
      <sheetData sheetId="32707" refreshError="1"/>
      <sheetData sheetId="32708" refreshError="1"/>
      <sheetData sheetId="32709" refreshError="1"/>
      <sheetData sheetId="32710"/>
      <sheetData sheetId="32711"/>
      <sheetData sheetId="32712"/>
      <sheetData sheetId="32713"/>
      <sheetData sheetId="32714"/>
      <sheetData sheetId="32715"/>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sheetData sheetId="32721"/>
      <sheetData sheetId="32722"/>
      <sheetData sheetId="32723"/>
      <sheetData sheetId="32724"/>
      <sheetData sheetId="32725"/>
      <sheetData sheetId="32726"/>
      <sheetData sheetId="32727"/>
      <sheetData sheetId="32728"/>
      <sheetData sheetId="32729"/>
      <sheetData sheetId="32730">
        <row r="9">
          <cell r="A9" t="str">
            <v>A</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row r="9">
          <cell r="A9" t="str">
            <v>A</v>
          </cell>
        </row>
      </sheetData>
      <sheetData sheetId="32787"/>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sheetData sheetId="32851"/>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row r="9">
          <cell r="A9" t="str">
            <v>A</v>
          </cell>
        </row>
      </sheetData>
      <sheetData sheetId="32914"/>
      <sheetData sheetId="32915">
        <row r="9">
          <cell r="A9" t="str">
            <v>A</v>
          </cell>
        </row>
      </sheetData>
      <sheetData sheetId="32916"/>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sheetData sheetId="32948"/>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sheetData sheetId="33023">
        <row r="9">
          <cell r="A9" t="str">
            <v>A</v>
          </cell>
        </row>
      </sheetData>
      <sheetData sheetId="33024">
        <row r="9">
          <cell r="A9" t="str">
            <v>A</v>
          </cell>
        </row>
      </sheetData>
      <sheetData sheetId="33025">
        <row r="9">
          <cell r="A9" t="str">
            <v>A</v>
          </cell>
        </row>
      </sheetData>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sheetData sheetId="33047">
        <row r="9">
          <cell r="A9" t="str">
            <v>A</v>
          </cell>
        </row>
      </sheetData>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sheetData sheetId="33161"/>
      <sheetData sheetId="33162"/>
      <sheetData sheetId="33163"/>
      <sheetData sheetId="33164"/>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sheetData sheetId="33200"/>
      <sheetData sheetId="33201"/>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sheetData sheetId="33400"/>
      <sheetData sheetId="33401"/>
      <sheetData sheetId="33402"/>
      <sheetData sheetId="33403"/>
      <sheetData sheetId="33404"/>
      <sheetData sheetId="33405"/>
      <sheetData sheetId="33406"/>
      <sheetData sheetId="33407"/>
      <sheetData sheetId="33408"/>
      <sheetData sheetId="33409" refreshError="1"/>
      <sheetData sheetId="33410" refreshError="1"/>
      <sheetData sheetId="33411"/>
      <sheetData sheetId="33412"/>
      <sheetData sheetId="33413"/>
      <sheetData sheetId="33414"/>
      <sheetData sheetId="33415"/>
      <sheetData sheetId="33416"/>
      <sheetData sheetId="33417" refreshError="1"/>
      <sheetData sheetId="33418" refreshError="1"/>
      <sheetData sheetId="33419">
        <row r="9">
          <cell r="A9" t="str">
            <v>A</v>
          </cell>
        </row>
      </sheetData>
      <sheetData sheetId="33420">
        <row r="9">
          <cell r="A9" t="str">
            <v>A</v>
          </cell>
        </row>
      </sheetData>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ow r="9">
          <cell r="A9" t="str">
            <v>A</v>
          </cell>
        </row>
      </sheetData>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row r="9">
          <cell r="A9" t="str">
            <v>A</v>
          </cell>
        </row>
      </sheetData>
      <sheetData sheetId="33668"/>
      <sheetData sheetId="33669"/>
      <sheetData sheetId="33670"/>
      <sheetData sheetId="33671"/>
      <sheetData sheetId="33672"/>
      <sheetData sheetId="33673"/>
      <sheetData sheetId="33674"/>
      <sheetData sheetId="33675"/>
      <sheetData sheetId="33676"/>
      <sheetData sheetId="33677"/>
      <sheetData sheetId="33678"/>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sheetData sheetId="33784"/>
      <sheetData sheetId="33785"/>
      <sheetData sheetId="33786"/>
      <sheetData sheetId="33787"/>
      <sheetData sheetId="33788"/>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ow r="9">
          <cell r="A9" t="str">
            <v>A</v>
          </cell>
        </row>
      </sheetData>
      <sheetData sheetId="33918">
        <row r="9">
          <cell r="A9" t="str">
            <v>A</v>
          </cell>
        </row>
      </sheetData>
      <sheetData sheetId="33919"/>
      <sheetData sheetId="33920" refreshError="1"/>
      <sheetData sheetId="33921" refreshError="1"/>
      <sheetData sheetId="33922">
        <row r="9">
          <cell r="A9" t="str">
            <v>A</v>
          </cell>
        </row>
      </sheetData>
      <sheetData sheetId="33923" refreshError="1"/>
      <sheetData sheetId="33924" refreshError="1"/>
      <sheetData sheetId="33925" refreshError="1"/>
      <sheetData sheetId="33926">
        <row r="9">
          <cell r="A9" t="str">
            <v>A</v>
          </cell>
        </row>
      </sheetData>
      <sheetData sheetId="33927" refreshError="1"/>
      <sheetData sheetId="33928" refreshError="1"/>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efreshError="1"/>
      <sheetData sheetId="33951" refreshError="1"/>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efreshError="1"/>
      <sheetData sheetId="34041" refreshError="1"/>
      <sheetData sheetId="34042" refreshError="1"/>
      <sheetData sheetId="34043" refreshError="1"/>
      <sheetData sheetId="34044" refreshError="1"/>
      <sheetData sheetId="34045">
        <row r="9">
          <cell r="A9" t="str">
            <v>A</v>
          </cell>
        </row>
      </sheetData>
      <sheetData sheetId="34046">
        <row r="9">
          <cell r="A9" t="str">
            <v>A</v>
          </cell>
        </row>
      </sheetData>
      <sheetData sheetId="34047" refreshError="1"/>
      <sheetData sheetId="34048" refreshError="1"/>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efreshError="1"/>
      <sheetData sheetId="34091" refreshError="1"/>
      <sheetData sheetId="34092" refreshError="1"/>
      <sheetData sheetId="34093" refreshError="1"/>
      <sheetData sheetId="34094" refreshError="1"/>
      <sheetData sheetId="34095" refreshError="1"/>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efreshError="1"/>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sheetData sheetId="34156" refreshError="1"/>
      <sheetData sheetId="34157" refreshError="1"/>
      <sheetData sheetId="34158">
        <row r="9">
          <cell r="A9" t="str">
            <v>A</v>
          </cell>
        </row>
      </sheetData>
      <sheetData sheetId="34159">
        <row r="9">
          <cell r="A9" t="str">
            <v>A</v>
          </cell>
        </row>
      </sheetData>
      <sheetData sheetId="34160"/>
      <sheetData sheetId="34161" refreshError="1"/>
      <sheetData sheetId="34162"/>
      <sheetData sheetId="34163"/>
      <sheetData sheetId="34164"/>
      <sheetData sheetId="34165"/>
      <sheetData sheetId="34166">
        <row r="9">
          <cell r="A9" t="str">
            <v>A</v>
          </cell>
        </row>
      </sheetData>
      <sheetData sheetId="34167">
        <row r="9">
          <cell r="A9" t="str">
            <v>A</v>
          </cell>
        </row>
      </sheetData>
      <sheetData sheetId="34168"/>
      <sheetData sheetId="34169"/>
      <sheetData sheetId="34170"/>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sheetData sheetId="34182">
        <row r="9">
          <cell r="A9" t="str">
            <v>A</v>
          </cell>
        </row>
      </sheetData>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ow r="9">
          <cell r="A9" t="str">
            <v>A</v>
          </cell>
        </row>
      </sheetData>
      <sheetData sheetId="34287">
        <row r="9">
          <cell r="A9" t="str">
            <v>A</v>
          </cell>
        </row>
      </sheetData>
      <sheetData sheetId="34288">
        <row r="9">
          <cell r="A9" t="str">
            <v>A</v>
          </cell>
        </row>
      </sheetData>
      <sheetData sheetId="34289">
        <row r="9">
          <cell r="A9" t="str">
            <v>A</v>
          </cell>
        </row>
      </sheetData>
      <sheetData sheetId="34290">
        <row r="9">
          <cell r="A9" t="str">
            <v>A</v>
          </cell>
        </row>
      </sheetData>
      <sheetData sheetId="34291">
        <row r="9">
          <cell r="A9" t="str">
            <v>A</v>
          </cell>
        </row>
      </sheetData>
      <sheetData sheetId="34292">
        <row r="9">
          <cell r="A9" t="str">
            <v>A</v>
          </cell>
        </row>
      </sheetData>
      <sheetData sheetId="34293">
        <row r="9">
          <cell r="A9" t="str">
            <v>A</v>
          </cell>
        </row>
      </sheetData>
      <sheetData sheetId="34294">
        <row r="9">
          <cell r="A9" t="str">
            <v>A</v>
          </cell>
        </row>
      </sheetData>
      <sheetData sheetId="34295">
        <row r="9">
          <cell r="A9" t="str">
            <v>A</v>
          </cell>
        </row>
      </sheetData>
      <sheetData sheetId="34296">
        <row r="9">
          <cell r="A9" t="str">
            <v>A</v>
          </cell>
        </row>
      </sheetData>
      <sheetData sheetId="34297">
        <row r="9">
          <cell r="A9" t="str">
            <v>A</v>
          </cell>
        </row>
      </sheetData>
      <sheetData sheetId="34298">
        <row r="9">
          <cell r="A9" t="str">
            <v>A</v>
          </cell>
        </row>
      </sheetData>
      <sheetData sheetId="34299">
        <row r="9">
          <cell r="A9" t="str">
            <v>A</v>
          </cell>
        </row>
      </sheetData>
      <sheetData sheetId="34300">
        <row r="9">
          <cell r="A9" t="str">
            <v>A</v>
          </cell>
        </row>
      </sheetData>
      <sheetData sheetId="34301">
        <row r="9">
          <cell r="A9" t="str">
            <v>A</v>
          </cell>
        </row>
      </sheetData>
      <sheetData sheetId="34302">
        <row r="9">
          <cell r="A9" t="str">
            <v>A</v>
          </cell>
        </row>
      </sheetData>
      <sheetData sheetId="34303">
        <row r="9">
          <cell r="A9" t="str">
            <v>A</v>
          </cell>
        </row>
      </sheetData>
      <sheetData sheetId="34304">
        <row r="9">
          <cell r="A9" t="str">
            <v>A</v>
          </cell>
        </row>
      </sheetData>
      <sheetData sheetId="34305">
        <row r="9">
          <cell r="A9" t="str">
            <v>A</v>
          </cell>
        </row>
      </sheetData>
      <sheetData sheetId="34306" refreshError="1"/>
      <sheetData sheetId="34307" refreshError="1"/>
      <sheetData sheetId="34308">
        <row r="9">
          <cell r="A9" t="str">
            <v>A</v>
          </cell>
        </row>
      </sheetData>
      <sheetData sheetId="34309">
        <row r="9">
          <cell r="A9" t="str">
            <v>A</v>
          </cell>
        </row>
      </sheetData>
      <sheetData sheetId="34310"/>
      <sheetData sheetId="34311">
        <row r="9">
          <cell r="A9" t="str">
            <v>A</v>
          </cell>
        </row>
      </sheetData>
      <sheetData sheetId="34312">
        <row r="9">
          <cell r="A9" t="str">
            <v>A</v>
          </cell>
        </row>
      </sheetData>
      <sheetData sheetId="34313">
        <row r="9">
          <cell r="A9" t="str">
            <v>A</v>
          </cell>
        </row>
      </sheetData>
      <sheetData sheetId="34314">
        <row r="9">
          <cell r="A9" t="str">
            <v>A</v>
          </cell>
        </row>
      </sheetData>
      <sheetData sheetId="34315">
        <row r="9">
          <cell r="A9" t="str">
            <v>A</v>
          </cell>
        </row>
      </sheetData>
      <sheetData sheetId="34316">
        <row r="9">
          <cell r="A9" t="str">
            <v>A</v>
          </cell>
        </row>
      </sheetData>
      <sheetData sheetId="34317">
        <row r="9">
          <cell r="A9" t="str">
            <v>A</v>
          </cell>
        </row>
      </sheetData>
      <sheetData sheetId="34318">
        <row r="9">
          <cell r="A9" t="str">
            <v>A</v>
          </cell>
        </row>
      </sheetData>
      <sheetData sheetId="34319">
        <row r="9">
          <cell r="A9" t="str">
            <v>A</v>
          </cell>
        </row>
      </sheetData>
      <sheetData sheetId="34320">
        <row r="9">
          <cell r="A9" t="str">
            <v>A</v>
          </cell>
        </row>
      </sheetData>
      <sheetData sheetId="34321">
        <row r="9">
          <cell r="A9" t="str">
            <v>A</v>
          </cell>
        </row>
      </sheetData>
      <sheetData sheetId="34322">
        <row r="9">
          <cell r="A9" t="str">
            <v>A</v>
          </cell>
        </row>
      </sheetData>
      <sheetData sheetId="34323">
        <row r="9">
          <cell r="A9" t="str">
            <v>A</v>
          </cell>
        </row>
      </sheetData>
      <sheetData sheetId="34324">
        <row r="9">
          <cell r="A9" t="str">
            <v>A</v>
          </cell>
        </row>
      </sheetData>
      <sheetData sheetId="34325">
        <row r="9">
          <cell r="A9" t="str">
            <v>A</v>
          </cell>
        </row>
      </sheetData>
      <sheetData sheetId="34326">
        <row r="9">
          <cell r="A9" t="str">
            <v>A</v>
          </cell>
        </row>
      </sheetData>
      <sheetData sheetId="34327">
        <row r="9">
          <cell r="A9" t="str">
            <v>A</v>
          </cell>
        </row>
      </sheetData>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efreshError="1"/>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efreshError="1"/>
      <sheetData sheetId="34417" refreshError="1"/>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efreshError="1"/>
      <sheetData sheetId="34449">
        <row r="9">
          <cell r="A9" t="str">
            <v>A</v>
          </cell>
        </row>
      </sheetData>
      <sheetData sheetId="34450">
        <row r="9">
          <cell r="A9" t="str">
            <v>A</v>
          </cell>
        </row>
      </sheetData>
      <sheetData sheetId="34451">
        <row r="9">
          <cell r="A9" t="str">
            <v>A</v>
          </cell>
        </row>
      </sheetData>
      <sheetData sheetId="34452">
        <row r="9">
          <cell r="A9" t="str">
            <v>A</v>
          </cell>
        </row>
      </sheetData>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row r="9">
          <cell r="A9" t="str">
            <v>A</v>
          </cell>
        </row>
      </sheetData>
      <sheetData sheetId="34461">
        <row r="9">
          <cell r="A9" t="str">
            <v>A</v>
          </cell>
        </row>
      </sheetData>
      <sheetData sheetId="34462">
        <row r="9">
          <cell r="A9" t="str">
            <v>A</v>
          </cell>
        </row>
      </sheetData>
      <sheetData sheetId="34463">
        <row r="9">
          <cell r="A9" t="str">
            <v>A</v>
          </cell>
        </row>
      </sheetData>
      <sheetData sheetId="34464">
        <row r="9">
          <cell r="A9" t="str">
            <v>A</v>
          </cell>
        </row>
      </sheetData>
      <sheetData sheetId="34465">
        <row r="9">
          <cell r="A9" t="str">
            <v>A</v>
          </cell>
        </row>
      </sheetData>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row r="9">
          <cell r="A9" t="str">
            <v>A</v>
          </cell>
        </row>
      </sheetData>
      <sheetData sheetId="34488">
        <row r="9">
          <cell r="A9" t="str">
            <v>A</v>
          </cell>
        </row>
      </sheetData>
      <sheetData sheetId="34489">
        <row r="9">
          <cell r="A9" t="str">
            <v>A</v>
          </cell>
        </row>
      </sheetData>
      <sheetData sheetId="34490">
        <row r="9">
          <cell r="A9" t="str">
            <v>A</v>
          </cell>
        </row>
      </sheetData>
      <sheetData sheetId="34491">
        <row r="9">
          <cell r="A9" t="str">
            <v>A</v>
          </cell>
        </row>
      </sheetData>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row r="9">
          <cell r="A9" t="str">
            <v>A</v>
          </cell>
        </row>
      </sheetData>
      <sheetData sheetId="34519">
        <row r="9">
          <cell r="A9" t="str">
            <v>A</v>
          </cell>
        </row>
      </sheetData>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efreshError="1"/>
      <sheetData sheetId="34529">
        <row r="9">
          <cell r="A9" t="str">
            <v>A</v>
          </cell>
        </row>
      </sheetData>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sheetData sheetId="34537" refreshError="1"/>
      <sheetData sheetId="34538" refreshError="1"/>
      <sheetData sheetId="34539" refreshError="1"/>
      <sheetData sheetId="34540" refreshError="1"/>
      <sheetData sheetId="34541" refreshError="1"/>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row r="9">
          <cell r="A9" t="str">
            <v>A</v>
          </cell>
        </row>
      </sheetData>
      <sheetData sheetId="34550">
        <row r="9">
          <cell r="A9" t="str">
            <v>A</v>
          </cell>
        </row>
      </sheetData>
      <sheetData sheetId="34551">
        <row r="9">
          <cell r="A9" t="str">
            <v>A</v>
          </cell>
        </row>
      </sheetData>
      <sheetData sheetId="34552">
        <row r="9">
          <cell r="A9" t="str">
            <v>A</v>
          </cell>
        </row>
      </sheetData>
      <sheetData sheetId="34553">
        <row r="9">
          <cell r="A9" t="str">
            <v>A</v>
          </cell>
        </row>
      </sheetData>
      <sheetData sheetId="34554">
        <row r="9">
          <cell r="A9" t="str">
            <v>A</v>
          </cell>
        </row>
      </sheetData>
      <sheetData sheetId="34555"/>
      <sheetData sheetId="34556">
        <row r="9">
          <cell r="A9" t="str">
            <v>A</v>
          </cell>
        </row>
      </sheetData>
      <sheetData sheetId="34557">
        <row r="9">
          <cell r="A9" t="str">
            <v>A</v>
          </cell>
        </row>
      </sheetData>
      <sheetData sheetId="34558">
        <row r="9">
          <cell r="A9" t="str">
            <v>A</v>
          </cell>
        </row>
      </sheetData>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row r="9">
          <cell r="A9" t="str">
            <v>A</v>
          </cell>
        </row>
      </sheetData>
      <sheetData sheetId="34641" refreshError="1"/>
      <sheetData sheetId="34642"/>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sheetData sheetId="3478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sheetData sheetId="34860"/>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70" zoomScaleNormal="70" workbookViewId="0">
      <selection activeCell="I8" sqref="I8"/>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3" t="e">
        <f>'Weekly Progress Report'!#REF!</f>
        <v>#REF!</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e">
        <f>'Weekly Progress Report'!#REF!</f>
        <v>#REF!</v>
      </c>
      <c r="C2" s="13"/>
      <c r="D2" s="13"/>
      <c r="E2" s="13"/>
      <c r="F2" s="13"/>
      <c r="G2" s="13"/>
      <c r="H2" s="13"/>
      <c r="I2" s="13"/>
      <c r="J2" s="211" t="str">
        <f>'Weekly Progress Report'!F2</f>
        <v>Key Dates</v>
      </c>
      <c r="K2" s="212"/>
      <c r="L2" s="212"/>
      <c r="M2" s="212"/>
      <c r="N2" s="212"/>
      <c r="O2" s="212"/>
      <c r="P2" s="212"/>
      <c r="Q2" s="212"/>
      <c r="R2" s="212"/>
      <c r="S2" s="212"/>
      <c r="T2" s="213"/>
      <c r="U2" s="211" t="str">
        <f>'Weekly Progress Report'!$L$2</f>
        <v>Cost Summary (SR)</v>
      </c>
      <c r="V2" s="212"/>
      <c r="W2" s="212"/>
      <c r="X2" s="212"/>
      <c r="Y2" s="212"/>
      <c r="Z2" s="212"/>
      <c r="AA2" s="212"/>
      <c r="AB2" s="213"/>
      <c r="AC2" s="212"/>
      <c r="AD2" s="211" t="str">
        <f>'Weekly Progress Report'!$T$2</f>
        <v>Performance Summary</v>
      </c>
      <c r="AE2" s="212"/>
      <c r="AF2" s="212"/>
      <c r="AG2" s="212"/>
      <c r="AH2" s="212"/>
      <c r="AI2" s="212"/>
      <c r="AJ2" s="212"/>
      <c r="AK2" s="212"/>
      <c r="AL2" s="212"/>
      <c r="AM2" s="212"/>
      <c r="AN2" s="212"/>
      <c r="AO2" s="213"/>
      <c r="AP2" s="211" t="e">
        <f>'Weekly Progress Report'!#REF!</f>
        <v>#REF!</v>
      </c>
      <c r="AQ2" s="212"/>
      <c r="AR2" s="212"/>
      <c r="AS2" s="213"/>
      <c r="AT2" s="211" t="e">
        <f>'Weekly Progress Report'!#REF!</f>
        <v>#REF!</v>
      </c>
      <c r="AU2" s="212"/>
      <c r="AV2" s="213"/>
      <c r="AW2" s="211" t="e">
        <f>'Weekly Progress Report'!#REF!</f>
        <v>#REF!</v>
      </c>
      <c r="AX2" s="212"/>
      <c r="AY2" s="212"/>
      <c r="AZ2" s="212"/>
      <c r="BA2" s="212"/>
      <c r="BB2" s="212"/>
      <c r="BC2" s="213"/>
      <c r="BD2" s="211" t="str">
        <f>'Weekly Progress Report'!K51</f>
        <v>Quality Reports</v>
      </c>
      <c r="BE2" s="212"/>
      <c r="BF2" s="212"/>
      <c r="BG2" s="212"/>
      <c r="BH2" s="212"/>
      <c r="BI2" s="212"/>
      <c r="BJ2" s="212"/>
      <c r="BK2" s="212"/>
      <c r="BL2" s="212"/>
      <c r="BM2" s="212"/>
      <c r="BN2" s="212"/>
      <c r="BO2" s="212"/>
      <c r="BP2" s="212"/>
      <c r="BQ2" s="212"/>
      <c r="BR2" s="212"/>
      <c r="BS2" s="213"/>
      <c r="BT2" s="211" t="str">
        <f>'Weekly Progress Report'!K59</f>
        <v>Key Submittals Approval Status</v>
      </c>
      <c r="BU2" s="212"/>
      <c r="BV2" s="212"/>
      <c r="BW2" s="212"/>
      <c r="BX2" s="212"/>
      <c r="BY2" s="212"/>
      <c r="BZ2" s="212"/>
      <c r="CA2" s="212"/>
      <c r="CB2" s="212"/>
      <c r="CC2" s="213"/>
      <c r="CD2" s="211" t="str">
        <f>'Weekly Progress Report'!K65</f>
        <v>Invoices Summary</v>
      </c>
      <c r="CE2" s="212"/>
      <c r="CF2" s="212"/>
      <c r="CG2" s="212"/>
      <c r="CH2" s="212"/>
      <c r="CI2" s="212"/>
      <c r="CJ2" s="212"/>
      <c r="CK2" s="212"/>
      <c r="CL2" s="212"/>
      <c r="CM2" s="212"/>
      <c r="CN2" s="212"/>
      <c r="CO2" s="212"/>
      <c r="CP2" s="212"/>
      <c r="CQ2" s="213"/>
      <c r="CR2" s="211" t="str">
        <f>'Weekly Progress Report'!K73</f>
        <v>Resources at Site</v>
      </c>
      <c r="CS2" s="212"/>
      <c r="CT2" s="212"/>
      <c r="CU2" s="212"/>
      <c r="CV2" s="212"/>
      <c r="CW2" s="212"/>
      <c r="CX2" s="213"/>
      <c r="CY2" s="211" t="str">
        <f>'Weekly Progress Report'!V51</f>
        <v>Safety Statistics</v>
      </c>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3"/>
      <c r="FK2" s="211" t="e">
        <f>'Weekly Progress Report'!#REF!</f>
        <v>#REF!</v>
      </c>
      <c r="FL2" s="212"/>
      <c r="FM2" s="212"/>
      <c r="FN2" s="212"/>
      <c r="FO2" s="212"/>
      <c r="FP2" s="212"/>
      <c r="FQ2" s="212"/>
      <c r="FR2" s="213"/>
      <c r="FS2" s="211" t="e">
        <f>'Weekly Progress Report'!#REF!</f>
        <v>#REF!</v>
      </c>
      <c r="FT2" s="212"/>
      <c r="FU2" s="212"/>
      <c r="FV2" s="212"/>
      <c r="FW2" s="212"/>
      <c r="FX2" s="212"/>
      <c r="FY2" s="212"/>
      <c r="FZ2" s="212"/>
      <c r="GA2" s="213"/>
    </row>
    <row r="3" spans="1:183" s="45" customFormat="1" ht="56.25" customHeight="1">
      <c r="A3" s="927" t="str">
        <f>'Weekly Progress Report'!AE1</f>
        <v>Data Date</v>
      </c>
      <c r="B3" s="927" t="e">
        <f>'Weekly Progress Report'!#REF!</f>
        <v>#REF!</v>
      </c>
      <c r="C3" s="927" t="e">
        <f>'Weekly Progress Report'!#REF!</f>
        <v>#REF!</v>
      </c>
      <c r="D3" s="927" t="e">
        <f>'Weekly Progress Report'!#REF!</f>
        <v>#REF!</v>
      </c>
      <c r="E3" s="927" t="e">
        <f>'Weekly Progress Report'!#REF!</f>
        <v>#REF!</v>
      </c>
      <c r="F3" s="927" t="str">
        <f>'Weekly Progress Report'!C4</f>
        <v>Stage</v>
      </c>
      <c r="G3" s="927" t="str">
        <f>'Weekly Progress Report'!C5</f>
        <v>Status</v>
      </c>
      <c r="H3" s="927" t="str">
        <f>'Weekly Progress Report'!C6</f>
        <v>Modon PM</v>
      </c>
      <c r="I3" s="928" t="str">
        <f>'Weekly Progress Report'!Z2</f>
        <v>Project Scope</v>
      </c>
      <c r="J3" s="929" t="str">
        <f>'Weekly Progress Report'!F3</f>
        <v xml:space="preserve">Contract Award </v>
      </c>
      <c r="K3" s="927" t="str">
        <f>'Weekly Progress Report'!F4</f>
        <v xml:space="preserve">Contract Sign </v>
      </c>
      <c r="L3" s="927" t="str">
        <f>'Weekly Progress Report'!F5</f>
        <v xml:space="preserve">Site Handover </v>
      </c>
      <c r="M3" s="927" t="str">
        <f>'Weekly Progress Report'!F6</f>
        <v>Original Completion</v>
      </c>
      <c r="N3" s="927" t="str">
        <f>'Weekly Progress Report'!$H$3</f>
        <v>Contract Award  (Hijri)</v>
      </c>
      <c r="O3" s="927" t="str">
        <f>'Weekly Progress Report'!$H$4</f>
        <v>Contract Sign  (Hijri)</v>
      </c>
      <c r="P3" s="927" t="str">
        <f>'Weekly Progress Report'!$H$5</f>
        <v>Site Handover  (Hijri)</v>
      </c>
      <c r="Q3" s="927" t="str">
        <f>'Weekly Progress Report'!$H$6</f>
        <v>Original Completion (Hijri)</v>
      </c>
      <c r="R3" s="927" t="str">
        <f>'Weekly Progress Report'!$J$3</f>
        <v xml:space="preserve">Revised Completion </v>
      </c>
      <c r="S3" s="927" t="str">
        <f>'Weekly Progress Report'!$J$4</f>
        <v xml:space="preserve">Committed Completion </v>
      </c>
      <c r="T3" s="930" t="str">
        <f>'Weekly Progress Report'!$J$5</f>
        <v>Forecast Completion</v>
      </c>
      <c r="U3" s="929" t="str">
        <f>'Weekly Progress Report'!$L$3</f>
        <v>Original Contract Value</v>
      </c>
      <c r="V3" s="927" t="str">
        <f>'Weekly Progress Report'!$L$4</f>
        <v>Revised Contract Value</v>
      </c>
      <c r="W3" s="927" t="str">
        <f>'Weekly Progress Report'!$L$5</f>
        <v>Estimate At Completion Value</v>
      </c>
      <c r="X3" s="927" t="str">
        <f>'Weekly Progress Report'!$L$6</f>
        <v xml:space="preserve">Potential Changes </v>
      </c>
      <c r="Y3" s="927" t="str">
        <f>'Weekly Progress Report'!$P$3</f>
        <v>O&amp;M Value (if any)</v>
      </c>
      <c r="Z3" s="927" t="str">
        <f>'Weekly Progress Report'!$P$4</f>
        <v>Submitted Invoices (Gross Value)</v>
      </c>
      <c r="AA3" s="927" t="str">
        <f>'Weekly Progress Report'!$P$5</f>
        <v>Penalities</v>
      </c>
      <c r="AB3" s="930" t="str">
        <f>'Weekly Progress Report'!$P$6</f>
        <v>FIR Value (Todate)</v>
      </c>
      <c r="AC3" s="931" t="s">
        <v>0</v>
      </c>
      <c r="AD3" s="927" t="str">
        <f>'Weekly Progress Report'!$T$3</f>
        <v>Plan Value</v>
      </c>
      <c r="AE3" s="927" t="str">
        <f>'Weekly Progress Report'!$T$4</f>
        <v>Earn Value</v>
      </c>
      <c r="AF3" s="927" t="str">
        <f>'Weekly Progress Report'!$V$3</f>
        <v>Phys. Plan Value</v>
      </c>
      <c r="AG3" s="927" t="str">
        <f>'Weekly Progress Report'!$V$4</f>
        <v>Phys. Earn Value</v>
      </c>
      <c r="AH3" s="927" t="str">
        <f>'Weekly Progress Report'!$X$3</f>
        <v>Quality Score</v>
      </c>
      <c r="AI3" s="927" t="str">
        <f>'Weekly Progress Report'!$X$5</f>
        <v>Safety 
Score</v>
      </c>
      <c r="AJ3" s="927" t="s">
        <v>1</v>
      </c>
      <c r="AK3" s="927" t="s">
        <v>2</v>
      </c>
      <c r="AL3" s="927" t="s">
        <v>3</v>
      </c>
      <c r="AM3" s="927" t="s">
        <v>3</v>
      </c>
      <c r="AN3" s="927" t="s">
        <v>4</v>
      </c>
      <c r="AO3" s="930" t="s">
        <v>4</v>
      </c>
      <c r="AP3" s="929" t="s">
        <v>5</v>
      </c>
      <c r="AQ3" s="927" t="s">
        <v>6</v>
      </c>
      <c r="AR3" s="927" t="s">
        <v>7</v>
      </c>
      <c r="AS3" s="930" t="s">
        <v>8</v>
      </c>
      <c r="AT3" s="929" t="s">
        <v>9</v>
      </c>
      <c r="AU3" s="927" t="s">
        <v>10</v>
      </c>
      <c r="AV3" s="930" t="s">
        <v>11</v>
      </c>
      <c r="AW3" s="929" t="str">
        <f>'Weekly Progress Report'!B70</f>
        <v>Total Materials</v>
      </c>
      <c r="AX3" s="927" t="str">
        <f>'Weekly Progress Report'!C70</f>
        <v>Total Number of P.O.</v>
      </c>
      <c r="AY3" s="927" t="str">
        <f>'Weekly Progress Report'!D70</f>
        <v>Actual P.O.
To Date</v>
      </c>
      <c r="AZ3" s="927" t="str">
        <f>'Weekly Progress Report'!E70</f>
        <v>Remaining P.O</v>
      </c>
      <c r="BA3" s="927" t="str">
        <f>'Weekly Progress Report'!F70</f>
        <v>Material on Site</v>
      </c>
      <c r="BB3" s="927" t="str">
        <f>'Weekly Progress Report'!G70</f>
        <v>Remaining Materials</v>
      </c>
      <c r="BC3" s="930" t="str">
        <f>'Weekly Progress Report'!H70</f>
        <v>Material Delivery Completion (Date)</v>
      </c>
      <c r="BD3" s="929" t="str">
        <f>"NCR "&amp;'Weekly Progress Report'!M52</f>
        <v>NCR Issued</v>
      </c>
      <c r="BE3" s="927" t="str">
        <f>"NCR "&amp;'Weekly Progress Report'!N52</f>
        <v>NCR Closed</v>
      </c>
      <c r="BF3" s="927" t="str">
        <f>"NCR "&amp;'Weekly Progress Report'!O52</f>
        <v>NCR Pending</v>
      </c>
      <c r="BG3" s="927" t="str">
        <f>"NCR "&amp;'Weekly Progress Report'!P52</f>
        <v>NCR Avg. Closing
(Days)</v>
      </c>
      <c r="BH3" s="927" t="str">
        <f>"SIR "&amp;'Weekly Progress Report'!M52</f>
        <v>SIR Issued</v>
      </c>
      <c r="BI3" s="927" t="str">
        <f>"SIR "&amp;'Weekly Progress Report'!N52</f>
        <v>SIR Closed</v>
      </c>
      <c r="BJ3" s="927" t="str">
        <f>"SIR "&amp;'Weekly Progress Report'!O52</f>
        <v>SIR Pending</v>
      </c>
      <c r="BK3" s="927" t="str">
        <f>"SIR "&amp;'Weekly Progress Report'!P52</f>
        <v>SIR Avg. Closing
(Days)</v>
      </c>
      <c r="BL3" s="927" t="str">
        <f>"MIR "&amp;'Weekly Progress Report'!M52</f>
        <v>MIR Issued</v>
      </c>
      <c r="BM3" s="927" t="str">
        <f>"MIR "&amp;'Weekly Progress Report'!N52</f>
        <v>MIR Closed</v>
      </c>
      <c r="BN3" s="927" t="str">
        <f>"MIR "&amp;'Weekly Progress Report'!O52</f>
        <v>MIR Pending</v>
      </c>
      <c r="BO3" s="927" t="str">
        <f>"MIR "&amp;'Weekly Progress Report'!P52</f>
        <v>MIR Avg. Closing
(Days)</v>
      </c>
      <c r="BP3" s="927" t="str">
        <f>"FIR "&amp;'Weekly Progress Report'!M52</f>
        <v>FIR Issued</v>
      </c>
      <c r="BQ3" s="927" t="str">
        <f>"FIR "&amp;'Weekly Progress Report'!N52</f>
        <v>FIR Closed</v>
      </c>
      <c r="BR3" s="927" t="str">
        <f>"FIR "&amp;'Weekly Progress Report'!O52</f>
        <v>FIR Pending</v>
      </c>
      <c r="BS3" s="930" t="str">
        <f>"FIR "&amp;'Weekly Progress Report'!P52</f>
        <v>FIR Avg. Closing
(Days)</v>
      </c>
      <c r="BT3" s="929" t="str">
        <f>'Weekly Progress Report'!K60</f>
        <v xml:space="preserve">1 Quality Plan Approval </v>
      </c>
      <c r="BU3" s="927" t="str">
        <f>'Weekly Progress Report'!K61</f>
        <v xml:space="preserve">2 Quality Plan Last Up </v>
      </c>
      <c r="BV3" s="927" t="str">
        <f>'Weekly Progress Report'!K62</f>
        <v xml:space="preserve">3 Safety Plan Approval </v>
      </c>
      <c r="BW3" s="927" t="str">
        <f>'Weekly Progress Report'!K63</f>
        <v xml:space="preserve">4 Safety Plan Last Up </v>
      </c>
      <c r="BX3" s="927" t="str">
        <f>'Weekly Progress Report'!K64</f>
        <v xml:space="preserve">5 Execution Plan Approval </v>
      </c>
      <c r="BY3" s="927" t="str">
        <f>'Weekly Progress Report'!P60</f>
        <v>6 Baseline Approval</v>
      </c>
      <c r="BZ3" s="927" t="str">
        <f>'Weekly Progress Report'!P61</f>
        <v>7 No of Approved Version of Schedule</v>
      </c>
      <c r="CA3" s="927" t="str">
        <f>'Weekly Progress Report'!P62</f>
        <v>8 Last Approved Schedule</v>
      </c>
      <c r="CB3" s="927" t="str">
        <f>'Weekly Progress Report'!P63</f>
        <v>9 BOQ Approval Date</v>
      </c>
      <c r="CC3" s="930" t="str">
        <f>'Weekly Progress Report'!P64</f>
        <v>10 No of Approved Version of BOQ</v>
      </c>
      <c r="CD3" s="216" t="str">
        <f>'Weekly Progress Report'!K66</f>
        <v>Total Submitted Invoices</v>
      </c>
      <c r="CE3" s="217" t="str">
        <f>'Weekly Progress Report'!K67</f>
        <v>PM Approved Invoices</v>
      </c>
      <c r="CF3" s="217" t="str">
        <f>'Weekly Progress Report'!K68</f>
        <v xml:space="preserve">No of Paid  Invoices </v>
      </c>
      <c r="CG3" s="217" t="str">
        <f>'Weekly Progress Report'!K69</f>
        <v>No of Pending Invoices</v>
      </c>
      <c r="CH3" s="217" t="str">
        <f>'Weekly Progress Report'!K70</f>
        <v>Advance Payment %</v>
      </c>
      <c r="CI3" s="217" t="str">
        <f>'Weekly Progress Report'!K71</f>
        <v>Retention %</v>
      </c>
      <c r="CJ3" s="217" t="str">
        <f>'Weekly Progress Report'!K72</f>
        <v>Deduction / Penalties %</v>
      </c>
      <c r="CK3" s="217" t="str">
        <f>'Weekly Progress Report'!N66</f>
        <v>Submitted Invoices (SAR)</v>
      </c>
      <c r="CL3" s="217" t="str">
        <f>'Weekly Progress Report'!N67</f>
        <v>PM Approved Invoices (SAR)</v>
      </c>
      <c r="CM3" s="217" t="str">
        <f>'Weekly Progress Report'!N68</f>
        <v>Paid  Invoices (SAR)</v>
      </c>
      <c r="CN3" s="217" t="str">
        <f>'Weekly Progress Report'!N69</f>
        <v>Last Submitted Period</v>
      </c>
      <c r="CO3" s="217" t="str">
        <f>'Weekly Progress Report'!N70</f>
        <v>Advance Payment (SAR)</v>
      </c>
      <c r="CP3" s="217" t="str">
        <f>'Weekly Progress Report'!N71</f>
        <v>Retention (SAR)</v>
      </c>
      <c r="CQ3" s="218" t="str">
        <f>'Weekly Progress Report'!N72</f>
        <v>Deduction / Penalties (SAR)</v>
      </c>
      <c r="CR3" s="929" t="s">
        <v>12</v>
      </c>
      <c r="CS3" s="927" t="s">
        <v>13</v>
      </c>
      <c r="CT3" s="927" t="s">
        <v>14</v>
      </c>
      <c r="CU3" s="927" t="s">
        <v>15</v>
      </c>
      <c r="CV3" s="927" t="s">
        <v>16</v>
      </c>
      <c r="CW3" s="927" t="s">
        <v>17</v>
      </c>
      <c r="CX3" s="930" t="s">
        <v>18</v>
      </c>
      <c r="CY3" s="216" t="str">
        <f>"This Week "&amp;'Weekly Progress Report'!W54</f>
        <v>This Week Total Hours Worked</v>
      </c>
      <c r="CZ3" s="217" t="str">
        <f>"This Week "&amp;'Weekly Progress Report'!W55</f>
        <v>This Week Safe Hours Worked</v>
      </c>
      <c r="DA3" s="217" t="str">
        <f>"This Week "&amp;'Weekly Progress Report'!W56</f>
        <v>This Week LTI</v>
      </c>
      <c r="DB3" s="217" t="str">
        <f>"This Week "&amp;'Weekly Progress Report'!W57</f>
        <v>This Week MTC (Healed w/o Disability)</v>
      </c>
      <c r="DC3" s="217" t="str">
        <f>"This Week "&amp;'Weekly Progress Report'!W58</f>
        <v>This Week MTC (Healed w/ Disability)</v>
      </c>
      <c r="DD3" s="217" t="str">
        <f>"This Week "&amp;'Weekly Progress Report'!W59</f>
        <v>This Week Near Miss</v>
      </c>
      <c r="DE3" s="217" t="str">
        <f>"This Week "&amp;'Weekly Progress Report'!W60</f>
        <v>This Week First Aid Cases</v>
      </c>
      <c r="DF3" s="217" t="str">
        <f>"This Week "&amp;'Weekly Progress Report'!W61</f>
        <v>This Week Fatality</v>
      </c>
      <c r="DG3" s="217" t="str">
        <f>"This Week "&amp;'Weekly Progress Report'!W62</f>
        <v>This Week Fire Incident Cases</v>
      </c>
      <c r="DH3" s="217" t="str">
        <f>"This Week "&amp;'Weekly Progress Report'!W63</f>
        <v>This Week Vehicle Incident</v>
      </c>
      <c r="DI3" s="217" t="str">
        <f>"This Week "&amp;'Weekly Progress Report'!W64</f>
        <v>This Week Property Damages</v>
      </c>
      <c r="DJ3" s="217" t="str">
        <f>"This Week "&amp;'Weekly Progress Report'!W65</f>
        <v xml:space="preserve">This Week Induction Training </v>
      </c>
      <c r="DK3" s="217" t="str">
        <f>"This Week "&amp;'Weekly Progress Report'!W66</f>
        <v>This Week No.of Internal Training</v>
      </c>
      <c r="DL3" s="217" t="str">
        <f>"This Week "&amp;'Weekly Progress Report'!W67</f>
        <v>This Week No.of Internal Audit</v>
      </c>
      <c r="DM3" s="217" t="str">
        <f>"This Week "&amp;'Weekly Progress Report'!W68</f>
        <v>This Week No. of Toolbox Talks</v>
      </c>
      <c r="DN3" s="217" t="str">
        <f>"This Week "&amp;'Weekly Progress Report'!W69</f>
        <v>This Week Safety Awards/Incentives</v>
      </c>
      <c r="DO3" s="217" t="str">
        <f>"This Month "&amp;'Weekly Progress Report'!W54</f>
        <v>This Month Total Hours Worked</v>
      </c>
      <c r="DP3" s="217" t="str">
        <f>"This Month "&amp;'Weekly Progress Report'!W55</f>
        <v>This Month Safe Hours Worked</v>
      </c>
      <c r="DQ3" s="217" t="str">
        <f>"This Month "&amp;'Weekly Progress Report'!W56</f>
        <v>This Month LTI</v>
      </c>
      <c r="DR3" s="217" t="str">
        <f>"This Month "&amp;'Weekly Progress Report'!W57</f>
        <v>This Month MTC (Healed w/o Disability)</v>
      </c>
      <c r="DS3" s="217" t="str">
        <f>"This Month "&amp;'Weekly Progress Report'!W58</f>
        <v>This Month MTC (Healed w/ Disability)</v>
      </c>
      <c r="DT3" s="217" t="str">
        <f>"This Month "&amp;'Weekly Progress Report'!W59</f>
        <v>This Month Near Miss</v>
      </c>
      <c r="DU3" s="217" t="str">
        <f>"This Month "&amp;'Weekly Progress Report'!W60</f>
        <v>This Month First Aid Cases</v>
      </c>
      <c r="DV3" s="217" t="str">
        <f>"This Month "&amp;'Weekly Progress Report'!W61</f>
        <v>This Month Fatality</v>
      </c>
      <c r="DW3" s="217" t="str">
        <f>"This Month "&amp;'Weekly Progress Report'!W62</f>
        <v>This Month Fire Incident Cases</v>
      </c>
      <c r="DX3" s="217" t="str">
        <f>"This Month "&amp;'Weekly Progress Report'!W63</f>
        <v>This Month Vehicle Incident</v>
      </c>
      <c r="DY3" s="217" t="str">
        <f>"This Month "&amp;'Weekly Progress Report'!W64</f>
        <v>This Month Property Damages</v>
      </c>
      <c r="DZ3" s="217" t="str">
        <f>"This Month "&amp;'Weekly Progress Report'!W65</f>
        <v xml:space="preserve">This Month Induction Training </v>
      </c>
      <c r="EA3" s="217" t="str">
        <f>"This Month "&amp;'Weekly Progress Report'!W66</f>
        <v>This Month No.of Internal Training</v>
      </c>
      <c r="EB3" s="217" t="str">
        <f>"This Month "&amp;'Weekly Progress Report'!W67</f>
        <v>This Month No.of Internal Audit</v>
      </c>
      <c r="EC3" s="217" t="str">
        <f>"This Month "&amp;'Weekly Progress Report'!W68</f>
        <v>This Month No. of Toolbox Talks</v>
      </c>
      <c r="ED3" s="217" t="str">
        <f>"This Month "&amp;'Weekly Progress Report'!W69</f>
        <v>This Month Safety Awards/Incentives</v>
      </c>
      <c r="EE3" s="927" t="str">
        <f>"YTD "&amp;'Weekly Progress Report'!W54</f>
        <v>YTD Total Hours Worked</v>
      </c>
      <c r="EF3" s="927" t="str">
        <f>"YTD "&amp;'Weekly Progress Report'!W55</f>
        <v>YTD Safe Hours Worked</v>
      </c>
      <c r="EG3" s="927" t="str">
        <f>"YTD "&amp;'Weekly Progress Report'!W56</f>
        <v>YTD LTI</v>
      </c>
      <c r="EH3" s="927" t="str">
        <f>"YTD "&amp;'Weekly Progress Report'!W57</f>
        <v>YTD MTC (Healed w/o Disability)</v>
      </c>
      <c r="EI3" s="927" t="str">
        <f>"YTD "&amp;'Weekly Progress Report'!W58</f>
        <v>YTD MTC (Healed w/ Disability)</v>
      </c>
      <c r="EJ3" s="927" t="str">
        <f>"YTD "&amp;'Weekly Progress Report'!W59</f>
        <v>YTD Near Miss</v>
      </c>
      <c r="EK3" s="927" t="str">
        <f>"YTD "&amp;'Weekly Progress Report'!W60</f>
        <v>YTD First Aid Cases</v>
      </c>
      <c r="EL3" s="927" t="str">
        <f>"YTD "&amp;'Weekly Progress Report'!W61</f>
        <v>YTD Fatality</v>
      </c>
      <c r="EM3" s="927" t="str">
        <f>"YTD "&amp;'Weekly Progress Report'!W62</f>
        <v>YTD Fire Incident Cases</v>
      </c>
      <c r="EN3" s="927" t="str">
        <f>"YTD "&amp;'Weekly Progress Report'!W63</f>
        <v>YTD Vehicle Incident</v>
      </c>
      <c r="EO3" s="927" t="str">
        <f>"YTD "&amp;'Weekly Progress Report'!W64</f>
        <v>YTD Property Damages</v>
      </c>
      <c r="EP3" s="927" t="str">
        <f>"YTD "&amp;'Weekly Progress Report'!W65</f>
        <v xml:space="preserve">YTD Induction Training </v>
      </c>
      <c r="EQ3" s="927" t="str">
        <f>"YTD "&amp;'Weekly Progress Report'!W66</f>
        <v>YTD No.of Internal Training</v>
      </c>
      <c r="ER3" s="927" t="str">
        <f>"YTD "&amp;'Weekly Progress Report'!W67</f>
        <v>YTD No.of Internal Audit</v>
      </c>
      <c r="ES3" s="927" t="str">
        <f>"YTD "&amp;'Weekly Progress Report'!W68</f>
        <v>YTD No. of Toolbox Talks</v>
      </c>
      <c r="ET3" s="927" t="str">
        <f>"YTD "&amp;'Weekly Progress Report'!W69</f>
        <v>YTD Safety Awards/Incentives</v>
      </c>
      <c r="EU3" s="927" t="str">
        <f>"Cum "&amp;'Weekly Progress Report'!W54</f>
        <v>Cum Total Hours Worked</v>
      </c>
      <c r="EV3" s="927" t="str">
        <f>"Cum "&amp;'Weekly Progress Report'!W55</f>
        <v>Cum Safe Hours Worked</v>
      </c>
      <c r="EW3" s="927" t="str">
        <f>"Cum "&amp;'Weekly Progress Report'!W56</f>
        <v>Cum LTI</v>
      </c>
      <c r="EX3" s="927" t="str">
        <f>"Cum "&amp;'Weekly Progress Report'!W57</f>
        <v>Cum MTC (Healed w/o Disability)</v>
      </c>
      <c r="EY3" s="927" t="str">
        <f>"Cum "&amp;'Weekly Progress Report'!W58</f>
        <v>Cum MTC (Healed w/ Disability)</v>
      </c>
      <c r="EZ3" s="927" t="str">
        <f>"Cum "&amp;'Weekly Progress Report'!W59</f>
        <v>Cum Near Miss</v>
      </c>
      <c r="FA3" s="927" t="str">
        <f>"Cum "&amp;'Weekly Progress Report'!W60</f>
        <v>Cum First Aid Cases</v>
      </c>
      <c r="FB3" s="927" t="str">
        <f>"Cum "&amp;'Weekly Progress Report'!W61</f>
        <v>Cum Fatality</v>
      </c>
      <c r="FC3" s="927" t="str">
        <f>"Cum "&amp;'Weekly Progress Report'!W62</f>
        <v>Cum Fire Incident Cases</v>
      </c>
      <c r="FD3" s="927" t="str">
        <f>"Cum "&amp;'Weekly Progress Report'!W63</f>
        <v>Cum Vehicle Incident</v>
      </c>
      <c r="FE3" s="927" t="str">
        <f>"Cum "&amp;'Weekly Progress Report'!W64</f>
        <v>Cum Property Damages</v>
      </c>
      <c r="FF3" s="927" t="str">
        <f>"Cum "&amp;'Weekly Progress Report'!W65</f>
        <v xml:space="preserve">Cum Induction Training </v>
      </c>
      <c r="FG3" s="927" t="str">
        <f>"Cum "&amp;'Weekly Progress Report'!W66</f>
        <v>Cum No.of Internal Training</v>
      </c>
      <c r="FH3" s="927" t="str">
        <f>"Cum "&amp;'Weekly Progress Report'!W67</f>
        <v>Cum No.of Internal Audit</v>
      </c>
      <c r="FI3" s="927" t="str">
        <f>"Cum "&amp;'Weekly Progress Report'!W68</f>
        <v>Cum No. of Toolbox Talks</v>
      </c>
      <c r="FJ3" s="930" t="str">
        <f>"Cum "&amp;'Weekly Progress Report'!W69</f>
        <v>Cum Safety Awards/Incentives</v>
      </c>
      <c r="FK3" s="929" t="e">
        <f>'Weekly Progress Report'!#REF!</f>
        <v>#REF!</v>
      </c>
      <c r="FL3" s="927" t="str">
        <f>'Weekly Progress Report'!A81</f>
        <v>Not Started</v>
      </c>
      <c r="FM3" s="927" t="str">
        <f>'Weekly Progress Report'!B81</f>
        <v>In Progress</v>
      </c>
      <c r="FN3" s="927" t="str">
        <f>'Weekly Progress Report'!C81</f>
        <v>Completed</v>
      </c>
      <c r="FO3" s="927" t="s">
        <v>19</v>
      </c>
      <c r="FP3" s="927" t="s">
        <v>20</v>
      </c>
      <c r="FQ3" s="927" t="s">
        <v>21</v>
      </c>
      <c r="FR3" s="930" t="s">
        <v>22</v>
      </c>
      <c r="FS3" s="929">
        <f>'Weekly Progress Report'!A89</f>
        <v>0</v>
      </c>
      <c r="FT3" s="927">
        <f>'Weekly Progress Report'!C89</f>
        <v>0</v>
      </c>
      <c r="FU3" s="927">
        <f>'Weekly Progress Report'!E89</f>
        <v>0</v>
      </c>
      <c r="FV3" s="927">
        <f>'Weekly Progress Report'!G89</f>
        <v>0</v>
      </c>
      <c r="FW3" s="927">
        <f>'Weekly Progress Report'!I89</f>
        <v>0</v>
      </c>
      <c r="FX3" s="927">
        <f>'Weekly Progress Report'!K89</f>
        <v>0</v>
      </c>
      <c r="FY3" s="927">
        <f>'Weekly Progress Report'!M89</f>
        <v>0</v>
      </c>
      <c r="FZ3" s="927">
        <f>'Weekly Progress Report'!N89</f>
        <v>0</v>
      </c>
      <c r="GA3" s="930">
        <f>'Weekly Progress Report'!O89</f>
        <v>0</v>
      </c>
    </row>
    <row r="4" spans="1:183" s="45" customFormat="1" ht="36" customHeight="1" thickBot="1">
      <c r="A4" s="219">
        <f>'Weekly Progress Report'!AF1</f>
        <v>46308</v>
      </c>
      <c r="B4" s="45" t="str">
        <f>'Weekly Progress Report'!A3</f>
        <v>Completion of Infrastructure Works in The Second Industrial City in Makkah Al-Mukarramah</v>
      </c>
      <c r="C4" s="45" t="str">
        <f>'Weekly Progress Report'!A4</f>
        <v>MKH2-02-003</v>
      </c>
      <c r="D4" s="45" t="str">
        <f>'Weekly Progress Report'!A5</f>
        <v>Al Enjaz Trading &amp; Contracting Co.</v>
      </c>
      <c r="E4" s="45" t="str">
        <f>'Weekly Progress Report'!A6</f>
        <v xml:space="preserve"> Saudi Arabia Consulting Engineering Company "EGIS"</v>
      </c>
      <c r="F4" s="45" t="str">
        <f>'Weekly Progress Report'!D4</f>
        <v>Construction</v>
      </c>
      <c r="G4" s="45" t="str">
        <f>'Weekly Progress Report'!D5</f>
        <v>Active</v>
      </c>
      <c r="H4" s="45" t="str">
        <f>'Weekly Progress Report'!D6</f>
        <v>Engr. Abdallah Aljulaifi</v>
      </c>
      <c r="I4" s="220" t="str">
        <f>'Weekly Progress Report'!Z3</f>
        <v xml:space="preserve">Completion of Infrastruture in The Second Industrial City in Makkah (The project includes construction of Roads works ;  Box Culvert ; Open Drain Channels and Dike Walls ; Street Lightings and Low Voltage Cables ,concrete ducts at road crossing) </v>
      </c>
      <c r="J4" s="221">
        <f>'Weekly Progress Report'!G3</f>
        <v>46054</v>
      </c>
      <c r="K4" s="222">
        <f>'Weekly Progress Report'!G4</f>
        <v>46061</v>
      </c>
      <c r="L4" s="222">
        <f>'Weekly Progress Report'!G5</f>
        <v>46068</v>
      </c>
      <c r="M4" s="222">
        <f>'Weekly Progress Report'!G6</f>
        <v>46613</v>
      </c>
      <c r="N4" s="222" t="str">
        <f>'Weekly Progress Report'!$I$3</f>
        <v>01/02/1447</v>
      </c>
      <c r="O4" s="222" t="str">
        <f>'Weekly Progress Report'!$I$4</f>
        <v>08/02/1447</v>
      </c>
      <c r="P4" s="222" t="str">
        <f>'Weekly Progress Report'!$I$5</f>
        <v>15/02/1447</v>
      </c>
      <c r="Q4" s="223" t="str">
        <f>'Weekly Progress Report'!$I$6</f>
        <v>14/08/1447</v>
      </c>
      <c r="R4" s="223">
        <f>'Weekly Progress Report'!$K$3</f>
        <v>46613</v>
      </c>
      <c r="S4" s="223">
        <f>'Weekly Progress Report'!$K$4</f>
        <v>46613</v>
      </c>
      <c r="T4" s="224">
        <f>'Weekly Progress Report'!$K$5</f>
        <v>46642</v>
      </c>
      <c r="U4" s="225">
        <f>'Weekly Progress Report'!$N$3</f>
        <v>52025516.000000007</v>
      </c>
      <c r="V4" s="226">
        <f>'Weekly Progress Report'!$N$4</f>
        <v>52025516.000000007</v>
      </c>
      <c r="W4" s="226">
        <f>'Weekly Progress Report'!$N$5</f>
        <v>52025516.000000007</v>
      </c>
      <c r="X4" s="227">
        <f>'Weekly Progress Report'!$N$6</f>
        <v>0</v>
      </c>
      <c r="Y4" s="226">
        <f>'Weekly Progress Report'!$R$3</f>
        <v>0</v>
      </c>
      <c r="Z4" s="226">
        <f>'Weekly Progress Report'!$R$4</f>
        <v>29797667.100000001</v>
      </c>
      <c r="AA4" s="226">
        <f>'Weekly Progress Report'!$R$5</f>
        <v>2000</v>
      </c>
      <c r="AB4" s="228">
        <f>'Weekly Progress Report'!$R$6</f>
        <v>40071157.619999997</v>
      </c>
      <c r="AC4" s="229">
        <f>'Weekly Progress Report'!$I$21</f>
        <v>0.55242619025633488</v>
      </c>
      <c r="AD4" s="230">
        <f>'Weekly Progress Report'!$U$3</f>
        <v>0.55242619025633488</v>
      </c>
      <c r="AE4" s="230">
        <f>'Weekly Progress Report'!$U$4</f>
        <v>0.77077088673181049</v>
      </c>
      <c r="AF4" s="230">
        <f>'Weekly Progress Report'!$W$3</f>
        <v>0.48663587552915927</v>
      </c>
      <c r="AG4" s="230">
        <f>'Weekly Progress Report'!$W$4</f>
        <v>0.79311925581999154</v>
      </c>
      <c r="AH4" s="231">
        <f>'Weekly Progress Report'!$Y$3</f>
        <v>0.90120689655172415</v>
      </c>
      <c r="AI4" s="231">
        <f>'Weekly Progress Report'!$Y$5</f>
        <v>0.86363636363636365</v>
      </c>
      <c r="AJ4" s="292">
        <f>'Weekly Progress Report'!$D$21</f>
        <v>642969.3199999982</v>
      </c>
      <c r="AK4" s="292">
        <f>'Weekly Progress Report'!$E$21</f>
        <v>916464.08000000007</v>
      </c>
      <c r="AL4" s="293">
        <f>AJ4/V4</f>
        <v>1.2358730281502603E-2</v>
      </c>
      <c r="AM4" s="293">
        <f>AK4/V4</f>
        <v>1.7615665359282547E-2</v>
      </c>
      <c r="AN4" s="230">
        <f>'Weekly Progress Report'!R21</f>
        <v>1.600408925778754E-2</v>
      </c>
      <c r="AO4" s="232">
        <f>'Weekly Progress Report'!S21</f>
        <v>1.3478729165779241E-2</v>
      </c>
      <c r="AP4" s="233">
        <f>'Weekly Progress Report'!B59</f>
        <v>36</v>
      </c>
      <c r="AQ4" s="231">
        <f>'Weekly Progress Report'!H59</f>
        <v>8</v>
      </c>
      <c r="AR4" s="231">
        <f>'Weekly Progress Report'!I59</f>
        <v>8</v>
      </c>
      <c r="AS4" s="234">
        <f>'Weekly Progress Report'!J59</f>
        <v>36</v>
      </c>
      <c r="AT4" s="233">
        <f>'Weekly Progress Report'!B68</f>
        <v>65</v>
      </c>
      <c r="AU4" s="231">
        <f>'Weekly Progress Report'!I68</f>
        <v>0</v>
      </c>
      <c r="AV4" s="234">
        <f>'Weekly Progress Report'!J68</f>
        <v>65</v>
      </c>
      <c r="AW4" s="233">
        <f>'Weekly Progress Report'!B77</f>
        <v>18</v>
      </c>
      <c r="AX4" s="231">
        <f>'Weekly Progress Report'!C77</f>
        <v>18</v>
      </c>
      <c r="AY4" s="231">
        <f>'Weekly Progress Report'!D77</f>
        <v>18</v>
      </c>
      <c r="AZ4" s="231">
        <f>'Weekly Progress Report'!E77</f>
        <v>0</v>
      </c>
      <c r="BA4" s="231">
        <f>'Weekly Progress Report'!F77</f>
        <v>17</v>
      </c>
      <c r="BB4" s="231">
        <f>'Weekly Progress Report'!G77</f>
        <v>1</v>
      </c>
      <c r="BC4" s="224">
        <f>'Weekly Progress Report'!H77</f>
        <v>46336</v>
      </c>
      <c r="BD4" s="233">
        <f>'Weekly Progress Report'!M55</f>
        <v>2</v>
      </c>
      <c r="BE4" s="231">
        <f>'Weekly Progress Report'!N55</f>
        <v>2</v>
      </c>
      <c r="BF4" s="231">
        <f>'Weekly Progress Report'!O55</f>
        <v>0</v>
      </c>
      <c r="BG4" s="231">
        <f>'Weekly Progress Report'!P55</f>
        <v>3</v>
      </c>
      <c r="BH4" s="231">
        <f>'Weekly Progress Report'!M56</f>
        <v>25</v>
      </c>
      <c r="BI4" s="231">
        <f>'Weekly Progress Report'!N56</f>
        <v>24</v>
      </c>
      <c r="BJ4" s="231">
        <f>'Weekly Progress Report'!O56</f>
        <v>1</v>
      </c>
      <c r="BK4" s="231">
        <f>'Weekly Progress Report'!P56</f>
        <v>3</v>
      </c>
      <c r="BL4" s="231">
        <f>'Weekly Progress Report'!M57</f>
        <v>31</v>
      </c>
      <c r="BM4" s="231">
        <f>'Weekly Progress Report'!N57</f>
        <v>31</v>
      </c>
      <c r="BN4" s="231">
        <f>'Weekly Progress Report'!O57</f>
        <v>0</v>
      </c>
      <c r="BO4" s="231">
        <f>'Weekly Progress Report'!P57</f>
        <v>5</v>
      </c>
      <c r="BP4" s="231">
        <f>'Weekly Progress Report'!M58</f>
        <v>910</v>
      </c>
      <c r="BQ4" s="231">
        <f>'Weekly Progress Report'!N58</f>
        <v>901</v>
      </c>
      <c r="BR4" s="231">
        <f>'Weekly Progress Report'!O58</f>
        <v>9</v>
      </c>
      <c r="BS4" s="234">
        <f>'Weekly Progress Report'!P58</f>
        <v>4</v>
      </c>
      <c r="BT4" s="235">
        <f>'Weekly Progress Report'!N60</f>
        <v>46110</v>
      </c>
      <c r="BU4" s="236">
        <f>'Weekly Progress Report'!N61</f>
        <v>46110</v>
      </c>
      <c r="BV4" s="236">
        <f>'Weekly Progress Report'!N62</f>
        <v>46090</v>
      </c>
      <c r="BW4" s="236">
        <f>'Weekly Progress Report'!N63</f>
        <v>46090</v>
      </c>
      <c r="BX4" s="236">
        <f>'Weekly Progress Report'!N64</f>
        <v>46072</v>
      </c>
      <c r="BY4" s="236">
        <f>'Weekly Progress Report'!T60</f>
        <v>45717</v>
      </c>
      <c r="BZ4" s="231">
        <f>'Weekly Progress Report'!T61</f>
        <v>1</v>
      </c>
      <c r="CA4" s="236">
        <f>'Weekly Progress Report'!T62</f>
        <v>45717</v>
      </c>
      <c r="CB4" s="236">
        <f>'Weekly Progress Report'!T63</f>
        <v>0</v>
      </c>
      <c r="CC4" s="234">
        <f>'Weekly Progress Report'!T64</f>
        <v>0</v>
      </c>
      <c r="CD4" s="225">
        <f>'Weekly Progress Report'!M66</f>
        <v>0</v>
      </c>
      <c r="CE4" s="226">
        <f>'Weekly Progress Report'!M67</f>
        <v>7</v>
      </c>
      <c r="CF4" s="226">
        <f>'Weekly Progress Report'!M68</f>
        <v>6</v>
      </c>
      <c r="CG4" s="226">
        <f>'Weekly Progress Report'!M69</f>
        <v>1</v>
      </c>
      <c r="CH4" s="226">
        <f>'Weekly Progress Report'!M70</f>
        <v>0</v>
      </c>
      <c r="CI4" s="226">
        <f>'Weekly Progress Report'!M71</f>
        <v>0</v>
      </c>
      <c r="CJ4" s="226">
        <f>'Weekly Progress Report'!M72</f>
        <v>3.8442674936659922E-5</v>
      </c>
      <c r="CK4" s="237">
        <f>'Weekly Progress Report'!Q66</f>
        <v>34267317.164999999</v>
      </c>
      <c r="CL4" s="237">
        <f>'Weekly Progress Report'!Q67</f>
        <v>34269317.164999999</v>
      </c>
      <c r="CM4" s="237">
        <f>'Weekly Progress Report'!Q68</f>
        <v>31459715.307500001</v>
      </c>
      <c r="CN4" s="238">
        <f>'Weekly Progress Report'!Q69</f>
        <v>0</v>
      </c>
      <c r="CO4" s="237">
        <f>'Weekly Progress Report'!Q70</f>
        <v>0</v>
      </c>
      <c r="CP4" s="237">
        <f>'Weekly Progress Report'!Q71</f>
        <v>0</v>
      </c>
      <c r="CQ4" s="239">
        <f>'Weekly Progress Report'!Q72</f>
        <v>2000</v>
      </c>
      <c r="CR4" s="240">
        <f>'Weekly Progress Report'!K76</f>
        <v>12</v>
      </c>
      <c r="CS4" s="231">
        <f>'Weekly Progress Report'!L76</f>
        <v>27</v>
      </c>
      <c r="CT4" s="231">
        <f>'Weekly Progress Report'!N76</f>
        <v>0</v>
      </c>
      <c r="CU4" s="241">
        <f>'Weekly Progress Report'!O76</f>
        <v>105</v>
      </c>
      <c r="CV4" s="231">
        <f>'Weekly Progress Report'!P76</f>
        <v>119</v>
      </c>
      <c r="CW4" s="231">
        <f>'Weekly Progress Report'!S86</f>
        <v>50</v>
      </c>
      <c r="CX4" s="234">
        <f>'Weekly Progress Report'!T86</f>
        <v>64</v>
      </c>
      <c r="CY4" s="233">
        <f>'Weekly Progress Report'!Y54</f>
        <v>7560</v>
      </c>
      <c r="CZ4" s="231">
        <f>'Weekly Progress Report'!Y55</f>
        <v>7560</v>
      </c>
      <c r="DA4" s="231">
        <f>'Weekly Progress Report'!Y56</f>
        <v>0</v>
      </c>
      <c r="DB4" s="231">
        <f>'Weekly Progress Report'!Y57</f>
        <v>0</v>
      </c>
      <c r="DC4" s="231">
        <f>'Weekly Progress Report'!Y58</f>
        <v>0</v>
      </c>
      <c r="DD4" s="231">
        <f>'Weekly Progress Report'!Y59</f>
        <v>0</v>
      </c>
      <c r="DE4" s="231">
        <f>'Weekly Progress Report'!Y60</f>
        <v>0</v>
      </c>
      <c r="DF4" s="231">
        <f>'Weekly Progress Report'!Y61</f>
        <v>0</v>
      </c>
      <c r="DG4" s="231">
        <f>'Weekly Progress Report'!Y62</f>
        <v>0</v>
      </c>
      <c r="DH4" s="231">
        <f>'Weekly Progress Report'!Y63</f>
        <v>0</v>
      </c>
      <c r="DI4" s="231">
        <f>'Weekly Progress Report'!Y64</f>
        <v>0</v>
      </c>
      <c r="DJ4" s="231">
        <f>'Weekly Progress Report'!Y65</f>
        <v>0</v>
      </c>
      <c r="DK4" s="231">
        <f>'Weekly Progress Report'!Y66</f>
        <v>2</v>
      </c>
      <c r="DL4" s="231">
        <f>'Weekly Progress Report'!Y67</f>
        <v>0</v>
      </c>
      <c r="DM4" s="231">
        <f>'Weekly Progress Report'!Y68</f>
        <v>1</v>
      </c>
      <c r="DN4" s="231">
        <f>'Weekly Progress Report'!Y69</f>
        <v>0</v>
      </c>
      <c r="DO4" s="231">
        <f>'Weekly Progress Report'!AA54</f>
        <v>15120</v>
      </c>
      <c r="DP4" s="231">
        <f>'Weekly Progress Report'!AA55</f>
        <v>15120</v>
      </c>
      <c r="DQ4" s="231">
        <f>'Weekly Progress Report'!AA56</f>
        <v>0</v>
      </c>
      <c r="DR4" s="231">
        <f>'Weekly Progress Report'!AA57</f>
        <v>0</v>
      </c>
      <c r="DS4" s="231">
        <f>'Weekly Progress Report'!AA58</f>
        <v>0</v>
      </c>
      <c r="DT4" s="231">
        <f>'Weekly Progress Report'!AA59</f>
        <v>1</v>
      </c>
      <c r="DU4" s="231">
        <f>'Weekly Progress Report'!AA60</f>
        <v>0</v>
      </c>
      <c r="DV4" s="231">
        <f>'Weekly Progress Report'!AA61</f>
        <v>0</v>
      </c>
      <c r="DW4" s="231">
        <f>'Weekly Progress Report'!AA62</f>
        <v>0</v>
      </c>
      <c r="DX4" s="231">
        <f>'Weekly Progress Report'!AA63</f>
        <v>0</v>
      </c>
      <c r="DY4" s="231">
        <f>'Weekly Progress Report'!AA64</f>
        <v>0</v>
      </c>
      <c r="DZ4" s="231">
        <f>'Weekly Progress Report'!AA65</f>
        <v>0</v>
      </c>
      <c r="EA4" s="231">
        <f>'Weekly Progress Report'!AA66</f>
        <v>3</v>
      </c>
      <c r="EB4" s="231">
        <f>'Weekly Progress Report'!AA67</f>
        <v>2</v>
      </c>
      <c r="EC4" s="231">
        <f>'Weekly Progress Report'!AA68</f>
        <v>2</v>
      </c>
      <c r="ED4" s="231">
        <f>'Weekly Progress Report'!AA69</f>
        <v>0</v>
      </c>
      <c r="EE4" s="231">
        <f>'Weekly Progress Report'!AB54</f>
        <v>192100</v>
      </c>
      <c r="EF4" s="231">
        <f>'Weekly Progress Report'!AB55</f>
        <v>192100</v>
      </c>
      <c r="EG4" s="231">
        <f>'Weekly Progress Report'!AB56</f>
        <v>0</v>
      </c>
      <c r="EH4" s="231">
        <f>'Weekly Progress Report'!AB57</f>
        <v>0</v>
      </c>
      <c r="EI4" s="231">
        <f>'Weekly Progress Report'!AB58</f>
        <v>0</v>
      </c>
      <c r="EJ4" s="231">
        <f>'Weekly Progress Report'!AB59</f>
        <v>1</v>
      </c>
      <c r="EK4" s="231">
        <f>'Weekly Progress Report'!AB60</f>
        <v>0</v>
      </c>
      <c r="EL4" s="231">
        <f>'Weekly Progress Report'!AB61</f>
        <v>0</v>
      </c>
      <c r="EM4" s="231">
        <f>'Weekly Progress Report'!AB62</f>
        <v>0</v>
      </c>
      <c r="EN4" s="231">
        <f>'Weekly Progress Report'!AB63</f>
        <v>0</v>
      </c>
      <c r="EO4" s="231">
        <f>'Weekly Progress Report'!AB64</f>
        <v>0</v>
      </c>
      <c r="EP4" s="231">
        <f>'Weekly Progress Report'!AB65</f>
        <v>12</v>
      </c>
      <c r="EQ4" s="231">
        <f>'Weekly Progress Report'!AB66</f>
        <v>38</v>
      </c>
      <c r="ER4" s="231">
        <f>'Weekly Progress Report'!AB67</f>
        <v>2</v>
      </c>
      <c r="ES4" s="231">
        <f>'Weekly Progress Report'!AB68</f>
        <v>50</v>
      </c>
      <c r="ET4" s="231">
        <f>'Weekly Progress Report'!AB69</f>
        <v>0</v>
      </c>
      <c r="EU4" s="231">
        <f>'Weekly Progress Report'!AC54</f>
        <v>192100</v>
      </c>
      <c r="EV4" s="231">
        <f>'Weekly Progress Report'!AC55</f>
        <v>192100</v>
      </c>
      <c r="EW4" s="231">
        <f>'Weekly Progress Report'!AC56</f>
        <v>0</v>
      </c>
      <c r="EX4" s="231">
        <f>'Weekly Progress Report'!AC57</f>
        <v>0</v>
      </c>
      <c r="EY4" s="231">
        <f>'Weekly Progress Report'!AC58</f>
        <v>0</v>
      </c>
      <c r="EZ4" s="231">
        <f>'Weekly Progress Report'!AC59</f>
        <v>1</v>
      </c>
      <c r="FA4" s="231">
        <f>'Weekly Progress Report'!AC60</f>
        <v>0</v>
      </c>
      <c r="FB4" s="231">
        <f>'Weekly Progress Report'!AC61</f>
        <v>0</v>
      </c>
      <c r="FC4" s="231">
        <f>'Weekly Progress Report'!AC62</f>
        <v>0</v>
      </c>
      <c r="FD4" s="231">
        <f>'Weekly Progress Report'!AC63</f>
        <v>0</v>
      </c>
      <c r="FE4" s="231">
        <f>'Weekly Progress Report'!AC64</f>
        <v>0</v>
      </c>
      <c r="FF4" s="231">
        <f>'Weekly Progress Report'!AC65</f>
        <v>12</v>
      </c>
      <c r="FG4" s="231">
        <f>'Weekly Progress Report'!AC66</f>
        <v>38</v>
      </c>
      <c r="FH4" s="231">
        <f>'Weekly Progress Report'!AC67</f>
        <v>2</v>
      </c>
      <c r="FI4" s="231">
        <f>'Weekly Progress Report'!AC68</f>
        <v>50</v>
      </c>
      <c r="FJ4" s="234">
        <f>'Weekly Progress Report'!AC69</f>
        <v>0</v>
      </c>
      <c r="FK4" s="242" t="e">
        <f>'Weekly Progress Report'!#REF!</f>
        <v>#REF!</v>
      </c>
      <c r="FL4" s="227">
        <f>'Weekly Progress Report'!A82</f>
        <v>57</v>
      </c>
      <c r="FM4" s="227">
        <f>'Weekly Progress Report'!B82</f>
        <v>32</v>
      </c>
      <c r="FN4" s="227">
        <f>'Weekly Progress Report'!C82</f>
        <v>310</v>
      </c>
      <c r="FO4" s="231" t="e">
        <f>'Weekly Progress Report'!#REF!</f>
        <v>#REF!</v>
      </c>
      <c r="FP4" s="231">
        <f>'Weekly Progress Report'!A86</f>
        <v>66</v>
      </c>
      <c r="FQ4" s="231">
        <f>'Weekly Progress Report'!G86</f>
        <v>8</v>
      </c>
      <c r="FR4" s="234">
        <f>'Weekly Progress Report'!H86</f>
        <v>8</v>
      </c>
      <c r="FS4" s="235">
        <f>'Weekly Progress Report'!A94</f>
        <v>0</v>
      </c>
      <c r="FT4" s="236">
        <f>'Weekly Progress Report'!C94</f>
        <v>0</v>
      </c>
      <c r="FU4" s="236">
        <f>'Weekly Progress Report'!E94</f>
        <v>0</v>
      </c>
      <c r="FV4" s="236">
        <f>'Weekly Progress Report'!G94</f>
        <v>0</v>
      </c>
      <c r="FW4" s="236">
        <f>'Weekly Progress Report'!I94</f>
        <v>0</v>
      </c>
      <c r="FX4" s="236">
        <f>'Weekly Progress Report'!K94</f>
        <v>0</v>
      </c>
      <c r="FY4" s="243">
        <f>'Weekly Progress Report'!M94</f>
        <v>0</v>
      </c>
      <c r="FZ4" s="231">
        <f>'Weekly Progress Report'!N94</f>
        <v>0</v>
      </c>
      <c r="GA4" s="234">
        <f>'Weekly Progress Report'!O94</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W136"/>
  <sheetViews>
    <sheetView view="pageBreakPreview" topLeftCell="A10" zoomScale="55" zoomScaleNormal="85" zoomScaleSheetLayoutView="55" workbookViewId="0">
      <selection activeCell="U6" sqref="U6"/>
    </sheetView>
  </sheetViews>
  <sheetFormatPr defaultColWidth="9.109375" defaultRowHeight="15.6"/>
  <cols>
    <col min="1" max="1" width="15.77734375" style="330" customWidth="1"/>
    <col min="2" max="2" width="25.109375" style="330" bestFit="1" customWidth="1"/>
    <col min="3" max="3" width="16.109375" style="330" bestFit="1" customWidth="1"/>
    <col min="4" max="5" width="15.21875" style="330" bestFit="1" customWidth="1"/>
    <col min="6" max="6" width="17.44140625" style="330" bestFit="1" customWidth="1"/>
    <col min="7" max="7" width="21.109375" style="330" bestFit="1" customWidth="1"/>
    <col min="8" max="8" width="19.5546875" style="330" bestFit="1" customWidth="1"/>
    <col min="9" max="9" width="15.5546875" style="330" bestFit="1" customWidth="1"/>
    <col min="10" max="10" width="23.88671875" style="330" bestFit="1" customWidth="1"/>
    <col min="11" max="11" width="17.33203125" style="330" bestFit="1" customWidth="1"/>
    <col min="12" max="12" width="12.44140625" style="330" bestFit="1" customWidth="1"/>
    <col min="13" max="13" width="20.109375" style="330" bestFit="1" customWidth="1"/>
    <col min="14" max="14" width="17.33203125" style="330" bestFit="1" customWidth="1"/>
    <col min="15" max="15" width="12.44140625" style="330" bestFit="1" customWidth="1"/>
    <col min="16" max="16" width="34" style="330" bestFit="1" customWidth="1"/>
    <col min="17" max="17" width="20.109375" style="330" bestFit="1" customWidth="1"/>
    <col min="18" max="21" width="12.6640625" style="330" customWidth="1"/>
    <col min="22" max="22" width="14" style="330" customWidth="1"/>
    <col min="23" max="25" width="12.6640625" style="330" customWidth="1"/>
    <col min="26" max="26" width="10.33203125" style="330" customWidth="1"/>
    <col min="27" max="28" width="19.44140625" style="330" customWidth="1"/>
    <col min="29" max="30" width="16.88671875" style="330" customWidth="1"/>
    <col min="31" max="32" width="17.33203125" style="330" customWidth="1"/>
    <col min="33" max="36" width="12.6640625" style="330" customWidth="1"/>
    <col min="37" max="37" width="12.44140625" style="330" customWidth="1"/>
    <col min="38" max="38" width="9.6640625" style="330" bestFit="1" customWidth="1"/>
    <col min="39" max="39" width="18.109375" style="330" customWidth="1"/>
    <col min="40" max="40" width="13.6640625" style="330" customWidth="1"/>
    <col min="41" max="42" width="12.109375" style="330" bestFit="1" customWidth="1"/>
    <col min="43" max="43" width="11.6640625" style="330" bestFit="1" customWidth="1"/>
    <col min="44" max="44" width="11.109375" style="330" bestFit="1" customWidth="1"/>
    <col min="45" max="45" width="6.33203125" style="330" customWidth="1"/>
    <col min="46" max="46" width="10" style="330" bestFit="1" customWidth="1"/>
    <col min="47" max="47" width="12.109375" style="330" bestFit="1" customWidth="1"/>
    <col min="48" max="48" width="11.6640625" style="330" bestFit="1" customWidth="1"/>
    <col min="49" max="49" width="11.44140625" style="330" bestFit="1" customWidth="1"/>
    <col min="50" max="50" width="10.44140625" style="330" bestFit="1" customWidth="1"/>
    <col min="51" max="51" width="11.6640625" style="330" bestFit="1" customWidth="1"/>
    <col min="52" max="52" width="9.33203125" style="330" bestFit="1" customWidth="1"/>
    <col min="53" max="214" width="9.109375" style="330"/>
    <col min="215" max="215" width="9.109375" style="330" customWidth="1"/>
    <col min="216" max="16384" width="9.109375" style="330"/>
  </cols>
  <sheetData>
    <row r="1" spans="1:48" ht="50.4" customHeight="1" thickBot="1">
      <c r="A1" s="1432"/>
      <c r="B1" s="1432"/>
      <c r="C1" s="1432"/>
      <c r="D1" s="1432"/>
      <c r="E1" s="1432"/>
      <c r="F1" s="1432"/>
      <c r="G1" s="1432"/>
      <c r="H1" s="1432"/>
      <c r="I1" s="394"/>
      <c r="J1" s="394"/>
      <c r="K1" s="394"/>
      <c r="L1" s="394"/>
      <c r="M1" s="394"/>
      <c r="N1" s="395"/>
      <c r="O1" s="395"/>
      <c r="P1" s="395"/>
      <c r="Q1" s="395"/>
      <c r="R1" s="395"/>
      <c r="S1" s="395"/>
      <c r="T1" s="395"/>
      <c r="U1" s="395"/>
      <c r="V1" s="395"/>
      <c r="W1" s="395"/>
      <c r="X1" s="396"/>
      <c r="Y1" s="395"/>
      <c r="Z1" s="397"/>
      <c r="AA1" s="397"/>
      <c r="AB1" s="397"/>
      <c r="AC1" s="1081" t="str">
        <f>+HSE!L4</f>
        <v>Report No.</v>
      </c>
      <c r="AD1" s="1248">
        <f>'General Information'!O1</f>
        <v>35</v>
      </c>
      <c r="AE1" s="398" t="s">
        <v>23</v>
      </c>
      <c r="AF1" s="399">
        <f>'General Information'!L1</f>
        <v>46308</v>
      </c>
      <c r="AG1" s="400"/>
      <c r="AI1"/>
      <c r="AJ1"/>
    </row>
    <row r="2" spans="1:48" s="411" customFormat="1" ht="20.100000000000001" customHeight="1" thickBot="1">
      <c r="A2" s="401"/>
      <c r="B2" s="401"/>
      <c r="C2" s="401"/>
      <c r="D2" s="401"/>
      <c r="E2" s="402"/>
      <c r="F2" s="403" t="s">
        <v>25</v>
      </c>
      <c r="G2" s="404"/>
      <c r="H2" s="404"/>
      <c r="I2" s="404"/>
      <c r="J2" s="404"/>
      <c r="K2" s="405"/>
      <c r="L2" s="406" t="s">
        <v>26</v>
      </c>
      <c r="M2" s="407"/>
      <c r="N2" s="404"/>
      <c r="O2" s="404"/>
      <c r="P2" s="407"/>
      <c r="Q2" s="407"/>
      <c r="R2" s="404"/>
      <c r="S2" s="405"/>
      <c r="T2" s="406" t="s">
        <v>27</v>
      </c>
      <c r="U2" s="407"/>
      <c r="V2" s="407"/>
      <c r="W2" s="407"/>
      <c r="X2" s="407"/>
      <c r="Y2" s="407"/>
      <c r="Z2" s="308" t="s">
        <v>28</v>
      </c>
      <c r="AA2" s="408"/>
      <c r="AB2" s="408"/>
      <c r="AC2" s="409"/>
      <c r="AD2" s="408"/>
      <c r="AE2" s="408"/>
      <c r="AF2" s="408"/>
      <c r="AG2" s="410"/>
      <c r="AI2"/>
      <c r="AJ2"/>
    </row>
    <row r="3" spans="1:48" ht="50.25" customHeight="1" thickTop="1" thickBot="1">
      <c r="A3" s="412" t="str">
        <f>'General Information'!C3</f>
        <v>Completion of Infrastructure Works in The Second Industrial City in Makkah Al-Mukarramah</v>
      </c>
      <c r="B3" s="413"/>
      <c r="C3" s="414"/>
      <c r="D3" s="414"/>
      <c r="E3" s="415"/>
      <c r="F3" s="250" t="s">
        <v>30</v>
      </c>
      <c r="G3" s="416">
        <f>'General Information'!C12</f>
        <v>46054</v>
      </c>
      <c r="H3" s="254" t="s">
        <v>31</v>
      </c>
      <c r="I3" s="417" t="str">
        <f>'General Information'!C16</f>
        <v>01/02/1447</v>
      </c>
      <c r="J3" s="254" t="s">
        <v>32</v>
      </c>
      <c r="K3" s="418">
        <f>'General Information'!C20</f>
        <v>46613</v>
      </c>
      <c r="L3" s="1412" t="s">
        <v>33</v>
      </c>
      <c r="M3" s="1413"/>
      <c r="N3" s="1406">
        <f>'Invoice Log'!E3</f>
        <v>52025516.000000007</v>
      </c>
      <c r="O3" s="1427"/>
      <c r="P3" s="1430" t="s">
        <v>34</v>
      </c>
      <c r="Q3" s="1413"/>
      <c r="R3" s="1406">
        <f>'Invoice Log'!I3</f>
        <v>0</v>
      </c>
      <c r="S3" s="1407" t="s">
        <v>35</v>
      </c>
      <c r="T3" s="258" t="s">
        <v>36</v>
      </c>
      <c r="U3" s="419">
        <f>J21</f>
        <v>0.55242619025633488</v>
      </c>
      <c r="V3" s="261" t="s">
        <v>37</v>
      </c>
      <c r="W3" s="419">
        <f>V21</f>
        <v>0.48663587552915927</v>
      </c>
      <c r="X3" s="1360" t="s">
        <v>38</v>
      </c>
      <c r="Y3" s="901">
        <f>Quality!AC10</f>
        <v>0.90120689655172415</v>
      </c>
      <c r="Z3" s="1342" t="str">
        <f>+Progress!A1</f>
        <v xml:space="preserve">Completion of Infrastruture in The Second Industrial City in Makkah (The project includes construction of Roads works ;  Box Culvert ; Open Drain Channels and Dike Walls ; Street Lightings and Low Voltage Cables ,concrete ducts at road crossing) </v>
      </c>
      <c r="AA3" s="1342"/>
      <c r="AB3" s="1342"/>
      <c r="AC3" s="1342"/>
      <c r="AD3" s="1342"/>
      <c r="AE3" s="1342"/>
      <c r="AF3" s="1342"/>
      <c r="AG3" s="1343"/>
      <c r="AI3"/>
      <c r="AJ3"/>
    </row>
    <row r="4" spans="1:48" ht="35.25" customHeight="1" thickBot="1">
      <c r="A4" s="1416" t="str">
        <f>'General Information'!C4</f>
        <v>MKH2-02-003</v>
      </c>
      <c r="B4" s="1417"/>
      <c r="C4" s="247" t="s">
        <v>40</v>
      </c>
      <c r="D4" s="1420" t="str">
        <f>'General Information'!C7</f>
        <v>Construction</v>
      </c>
      <c r="E4" s="1421"/>
      <c r="F4" s="251" t="s">
        <v>41</v>
      </c>
      <c r="G4" s="420">
        <f>'General Information'!C13</f>
        <v>46061</v>
      </c>
      <c r="H4" s="255" t="s">
        <v>42</v>
      </c>
      <c r="I4" s="421" t="str">
        <f>'General Information'!C17</f>
        <v>08/02/1447</v>
      </c>
      <c r="J4" s="255" t="s">
        <v>43</v>
      </c>
      <c r="K4" s="422">
        <f>'General Information'!C21</f>
        <v>46613</v>
      </c>
      <c r="L4" s="1414" t="s">
        <v>44</v>
      </c>
      <c r="M4" s="1415"/>
      <c r="N4" s="1406">
        <f>'Invoice Log'!E4</f>
        <v>52025516.000000007</v>
      </c>
      <c r="O4" s="1427" t="s">
        <v>35</v>
      </c>
      <c r="P4" s="1431" t="s">
        <v>45</v>
      </c>
      <c r="Q4" s="1415"/>
      <c r="R4" s="1406">
        <f>+'Invoice Log'!F59</f>
        <v>29797667.100000001</v>
      </c>
      <c r="S4" s="1407"/>
      <c r="T4" s="259" t="s">
        <v>46</v>
      </c>
      <c r="U4" s="423">
        <f>K21</f>
        <v>0.77077088673181049</v>
      </c>
      <c r="V4" s="261" t="s">
        <v>47</v>
      </c>
      <c r="W4" s="423">
        <f>W21</f>
        <v>0.79311925581999154</v>
      </c>
      <c r="X4" s="1361"/>
      <c r="Y4" s="424" t="str">
        <f>REPT("¢",IF(INT(+Y3*10)&gt;5,5,INT(+Y3*10)))&amp;REPT("£",IF(INT(+Y3*10)&gt;5,0,5-INT(+Y3*10)))&amp;CHAR(10)&amp;REPT("¢",+IF(INT(+Y3*10)&gt;5,-5+INT(+Y3*10),0))&amp;REPT("£",IF(INT(+Y3*10)&gt;5,10-INT(+Y3*10),5))</f>
        <v>¢¢¢¢¢
¢¢¢¢£</v>
      </c>
      <c r="Z4" s="1344"/>
      <c r="AA4" s="1344"/>
      <c r="AB4" s="1344"/>
      <c r="AC4" s="1344"/>
      <c r="AD4" s="1344"/>
      <c r="AE4" s="1344"/>
      <c r="AF4" s="1344"/>
      <c r="AG4" s="1345"/>
      <c r="AI4"/>
      <c r="AJ4"/>
    </row>
    <row r="5" spans="1:48" ht="35.25" customHeight="1" thickBot="1">
      <c r="A5" s="1416" t="str">
        <f>'General Information'!C5</f>
        <v>Al Enjaz Trading &amp; Contracting Co.</v>
      </c>
      <c r="B5" s="1417"/>
      <c r="C5" s="248" t="s">
        <v>49</v>
      </c>
      <c r="D5" s="1420" t="str">
        <f>'General Information'!C8</f>
        <v>Active</v>
      </c>
      <c r="E5" s="1421"/>
      <c r="F5" s="252" t="s">
        <v>50</v>
      </c>
      <c r="G5" s="425">
        <f>'General Information'!C14</f>
        <v>46068</v>
      </c>
      <c r="H5" s="256" t="s">
        <v>51</v>
      </c>
      <c r="I5" s="426" t="str">
        <f>'General Information'!C18</f>
        <v>15/02/1447</v>
      </c>
      <c r="J5" s="256" t="s">
        <v>52</v>
      </c>
      <c r="K5" s="427">
        <f>'General Information'!C22</f>
        <v>46642</v>
      </c>
      <c r="L5" s="1414" t="s">
        <v>53</v>
      </c>
      <c r="M5" s="1415"/>
      <c r="N5" s="1406">
        <f>'Invoice Log'!E5</f>
        <v>52025516.000000007</v>
      </c>
      <c r="O5" s="1427" t="e">
        <f>+#REF!+#REF!+N5</f>
        <v>#REF!</v>
      </c>
      <c r="P5" s="1431" t="s">
        <v>54</v>
      </c>
      <c r="Q5" s="1415"/>
      <c r="R5" s="1408">
        <f>'Invoice Log'!M6</f>
        <v>2000</v>
      </c>
      <c r="S5" s="1409"/>
      <c r="T5" s="259" t="s">
        <v>55</v>
      </c>
      <c r="U5" s="1226">
        <f>U4-U3</f>
        <v>0.21834469647547561</v>
      </c>
      <c r="V5" s="261" t="s">
        <v>55</v>
      </c>
      <c r="W5" s="428">
        <f>W4-W3</f>
        <v>0.30648338029083227</v>
      </c>
      <c r="X5" s="1458" t="s">
        <v>56</v>
      </c>
      <c r="Y5" s="901">
        <f>'HSE-Stat'!J23</f>
        <v>0.86363636363636365</v>
      </c>
      <c r="Z5" s="1344"/>
      <c r="AA5" s="1344"/>
      <c r="AB5" s="1344"/>
      <c r="AC5" s="1344"/>
      <c r="AD5" s="1344"/>
      <c r="AE5" s="1344"/>
      <c r="AF5" s="1344"/>
      <c r="AG5" s="1345"/>
      <c r="AI5"/>
      <c r="AJ5"/>
    </row>
    <row r="6" spans="1:48" ht="45" customHeight="1" thickBot="1">
      <c r="A6" s="1424" t="str">
        <f>'General Information'!C6</f>
        <v xml:space="preserve"> Saudi Arabia Consulting Engineering Company "EGIS"</v>
      </c>
      <c r="B6" s="1425"/>
      <c r="C6" s="249" t="s">
        <v>58</v>
      </c>
      <c r="D6" s="1422" t="str">
        <f>'General Information'!C9</f>
        <v>Engr. Abdallah Aljulaifi</v>
      </c>
      <c r="E6" s="1423"/>
      <c r="F6" s="253" t="s">
        <v>59</v>
      </c>
      <c r="G6" s="429">
        <f>'General Information'!C15</f>
        <v>46613</v>
      </c>
      <c r="H6" s="257" t="s">
        <v>60</v>
      </c>
      <c r="I6" s="430" t="str">
        <f>'General Information'!C19</f>
        <v>14/08/1447</v>
      </c>
      <c r="J6" s="257" t="s">
        <v>55</v>
      </c>
      <c r="K6" s="431">
        <f>'General Information'!C23</f>
        <v>-29</v>
      </c>
      <c r="L6" s="1426" t="s">
        <v>61</v>
      </c>
      <c r="M6" s="1411"/>
      <c r="N6" s="1428">
        <f>N4-N5</f>
        <v>0</v>
      </c>
      <c r="O6" s="1429"/>
      <c r="P6" s="1410" t="s">
        <v>62</v>
      </c>
      <c r="Q6" s="1411"/>
      <c r="R6" s="1406">
        <f>+'FIR summary '!K2</f>
        <v>40071157.619999997</v>
      </c>
      <c r="S6" s="1407"/>
      <c r="T6" s="260" t="s">
        <v>63</v>
      </c>
      <c r="U6" s="899">
        <f>R6/N4</f>
        <v>0.77022124336066156</v>
      </c>
      <c r="V6" s="262" t="s">
        <v>64</v>
      </c>
      <c r="W6" s="535">
        <f>R4/N4</f>
        <v>0.57275101509805304</v>
      </c>
      <c r="X6" s="1459"/>
      <c r="Y6" s="432" t="str">
        <f>REPT("¢",IF(INT(+Y5*10)&gt;5,5,INT(+Y5*10)))&amp;REPT("£",IF(INT(+Y5*10)&gt;5,0,5-INT(+Y5*10)))&amp;CHAR(10)&amp;REPT("¢",+IF(INT(+Y5*10)&gt;5,-5+INT(+Y5*10),0))&amp;REPT("£",IF(INT(+Y5*10)&gt;5,10-INT(+Y5*10),5))</f>
        <v>¢¢¢¢¢
¢¢¢££</v>
      </c>
      <c r="Z6" s="1346"/>
      <c r="AA6" s="1346"/>
      <c r="AB6" s="1346"/>
      <c r="AC6" s="1346"/>
      <c r="AD6" s="1346"/>
      <c r="AE6" s="1346"/>
      <c r="AF6" s="1346"/>
      <c r="AG6" s="1347"/>
      <c r="AI6" s="5"/>
      <c r="AK6" s="5"/>
    </row>
    <row r="7" spans="1:48" customFormat="1" ht="5.4" customHeight="1" thickBot="1">
      <c r="AG7" s="312"/>
    </row>
    <row r="8" spans="1:48" s="435" customFormat="1" ht="28.95" customHeight="1" thickBot="1">
      <c r="A8" s="433"/>
      <c r="B8" s="433"/>
      <c r="C8" s="433"/>
      <c r="D8" s="433"/>
      <c r="E8" s="433"/>
      <c r="F8" s="433"/>
      <c r="G8" s="433"/>
      <c r="H8" s="433"/>
      <c r="I8" s="433"/>
      <c r="J8" s="433"/>
      <c r="K8" s="433"/>
      <c r="L8" s="433"/>
      <c r="M8" s="433"/>
      <c r="N8" s="433"/>
      <c r="O8" s="433"/>
      <c r="P8" s="433"/>
      <c r="Q8" s="433"/>
      <c r="R8" s="433"/>
      <c r="S8" s="433"/>
      <c r="T8" s="433"/>
      <c r="U8" s="433"/>
      <c r="V8" s="433"/>
      <c r="W8" s="433"/>
      <c r="X8" s="433"/>
      <c r="Y8" s="433"/>
      <c r="Z8" s="433"/>
      <c r="AA8" s="433"/>
      <c r="AB8" s="433"/>
      <c r="AC8" s="433"/>
      <c r="AD8" s="433"/>
      <c r="AE8" s="433"/>
      <c r="AF8" s="433"/>
      <c r="AG8" s="434"/>
      <c r="AJ8" s="436"/>
      <c r="AK8" s="437"/>
      <c r="AL8" s="437"/>
      <c r="AM8" s="437"/>
      <c r="AN8" s="437"/>
      <c r="AO8" s="437"/>
      <c r="AP8" s="437"/>
      <c r="AQ8" s="437"/>
      <c r="AR8" s="437"/>
      <c r="AS8" s="437"/>
      <c r="AT8" s="437"/>
    </row>
    <row r="9" spans="1:48" s="411" customFormat="1" ht="20.100000000000001" customHeight="1" thickBot="1">
      <c r="A9" s="438"/>
      <c r="B9" s="310"/>
      <c r="C9" s="310"/>
      <c r="D9" s="307"/>
      <c r="E9" s="307"/>
      <c r="F9" s="307"/>
      <c r="G9" s="307"/>
      <c r="H9" s="307"/>
      <c r="I9" s="307"/>
      <c r="J9" s="307"/>
      <c r="K9" s="307"/>
      <c r="L9" s="307"/>
      <c r="M9" s="309"/>
      <c r="N9" s="1441" t="s">
        <v>65</v>
      </c>
      <c r="O9" s="1442"/>
      <c r="P9" s="1442"/>
      <c r="Q9" s="1442"/>
      <c r="R9" s="1442"/>
      <c r="S9" s="1442"/>
      <c r="T9" s="1442"/>
      <c r="U9" s="1442"/>
      <c r="V9" s="1442"/>
      <c r="W9" s="1442"/>
      <c r="X9" s="1442"/>
      <c r="Y9" s="1442"/>
      <c r="Z9" s="307" t="s">
        <v>66</v>
      </c>
      <c r="AA9" s="307"/>
      <c r="AB9" s="307"/>
      <c r="AC9" s="307"/>
      <c r="AD9" s="307"/>
      <c r="AE9" s="307"/>
      <c r="AF9" s="307"/>
      <c r="AG9" s="439"/>
      <c r="AH9" s="440"/>
      <c r="AJ9" s="441"/>
      <c r="AK9" s="441"/>
      <c r="AL9" s="441"/>
      <c r="AM9" s="441"/>
      <c r="AN9" s="441"/>
      <c r="AO9" s="441"/>
      <c r="AP9" s="441"/>
      <c r="AQ9" s="441"/>
      <c r="AR9" s="441"/>
      <c r="AS9" s="441"/>
      <c r="AT9" s="441"/>
    </row>
    <row r="10" spans="1:48" ht="20.100000000000001" customHeight="1" thickBot="1">
      <c r="A10" s="1418"/>
      <c r="B10" s="1469" t="s">
        <v>67</v>
      </c>
      <c r="C10" s="1460" t="s">
        <v>68</v>
      </c>
      <c r="D10" s="1443" t="s">
        <v>69</v>
      </c>
      <c r="E10" s="1444"/>
      <c r="F10" s="1443" t="s">
        <v>70</v>
      </c>
      <c r="G10" s="1443"/>
      <c r="H10" s="1443"/>
      <c r="I10" s="1443"/>
      <c r="J10" s="1443"/>
      <c r="K10" s="1443"/>
      <c r="L10" s="1443"/>
      <c r="M10" s="1444"/>
      <c r="N10" s="112" t="s">
        <v>71</v>
      </c>
      <c r="O10" s="1464" t="s">
        <v>68</v>
      </c>
      <c r="P10" s="1466" t="s">
        <v>72</v>
      </c>
      <c r="Q10" s="1467"/>
      <c r="R10" s="1467"/>
      <c r="S10" s="1468"/>
      <c r="T10" s="442" t="s">
        <v>73</v>
      </c>
      <c r="U10" s="443"/>
      <c r="V10" s="443"/>
      <c r="W10" s="443"/>
      <c r="X10" s="443"/>
      <c r="Y10" s="444"/>
      <c r="AG10" s="445"/>
      <c r="AJ10" s="446"/>
      <c r="AK10" s="446"/>
      <c r="AL10" s="446"/>
      <c r="AM10" s="446"/>
      <c r="AN10" s="446"/>
      <c r="AO10" s="446"/>
      <c r="AP10" s="446"/>
      <c r="AQ10" s="446"/>
      <c r="AR10" s="446"/>
      <c r="AS10" s="446"/>
      <c r="AT10" s="446"/>
    </row>
    <row r="11" spans="1:48" ht="16.2" thickBot="1">
      <c r="A11" s="1419"/>
      <c r="B11" s="1470"/>
      <c r="C11" s="1461"/>
      <c r="D11" s="447" t="s">
        <v>74</v>
      </c>
      <c r="E11" s="448" t="s">
        <v>75</v>
      </c>
      <c r="F11" s="447" t="s">
        <v>76</v>
      </c>
      <c r="G11" s="449" t="s">
        <v>77</v>
      </c>
      <c r="H11" s="450" t="s">
        <v>75</v>
      </c>
      <c r="I11" s="450" t="s">
        <v>78</v>
      </c>
      <c r="J11" s="449" t="s">
        <v>79</v>
      </c>
      <c r="K11" s="451" t="s">
        <v>80</v>
      </c>
      <c r="L11" s="450" t="s">
        <v>55</v>
      </c>
      <c r="M11" s="452" t="s">
        <v>81</v>
      </c>
      <c r="N11" s="453" t="s">
        <v>82</v>
      </c>
      <c r="O11" s="1465"/>
      <c r="P11" s="450" t="s">
        <v>74</v>
      </c>
      <c r="Q11" s="450" t="s">
        <v>75</v>
      </c>
      <c r="R11" s="450" t="s">
        <v>83</v>
      </c>
      <c r="S11" s="450" t="s">
        <v>80</v>
      </c>
      <c r="T11" s="450" t="s">
        <v>74</v>
      </c>
      <c r="U11" s="450" t="s">
        <v>75</v>
      </c>
      <c r="V11" s="450" t="s">
        <v>83</v>
      </c>
      <c r="W11" s="450" t="s">
        <v>80</v>
      </c>
      <c r="X11" s="450" t="s">
        <v>55</v>
      </c>
      <c r="Y11" s="452" t="s">
        <v>81</v>
      </c>
      <c r="AG11" s="445"/>
      <c r="AK11" s="446"/>
      <c r="AL11" s="446"/>
      <c r="AM11" s="446"/>
      <c r="AN11" s="446"/>
      <c r="AO11" s="446"/>
      <c r="AP11" s="446"/>
      <c r="AQ11" s="446"/>
      <c r="AR11" s="446"/>
      <c r="AS11" s="446"/>
      <c r="AT11" s="446"/>
      <c r="AU11" s="446"/>
    </row>
    <row r="12" spans="1:48" s="3" customFormat="1" ht="15.75" customHeight="1">
      <c r="A12" s="1221"/>
      <c r="B12" s="455">
        <f>+Progress!B7</f>
        <v>0</v>
      </c>
      <c r="C12" s="454">
        <f t="shared" ref="C12:C20" si="0">IF(ISBLANK(B12),"",B12/$B$21)</f>
        <v>0</v>
      </c>
      <c r="D12" s="581">
        <f>+Progress!D7</f>
        <v>0</v>
      </c>
      <c r="E12" s="581" t="str">
        <f>+Progress!E7</f>
        <v>-</v>
      </c>
      <c r="F12" s="581">
        <f>+Progress!F7</f>
        <v>0</v>
      </c>
      <c r="G12" s="581">
        <f>+Progress!G7</f>
        <v>0</v>
      </c>
      <c r="H12" s="581" t="str">
        <f>+Progress!H7</f>
        <v>-</v>
      </c>
      <c r="I12" s="456">
        <f t="shared" ref="I12:I21" si="1">IFERROR(IF(ISBLANK(F12),"",F12/B12),0)</f>
        <v>0</v>
      </c>
      <c r="J12" s="456">
        <f t="shared" ref="J12:J21" si="2">IFERROR(IF(ISBLANK(G12),"",G12/B12),0)</f>
        <v>0</v>
      </c>
      <c r="K12" s="457">
        <f t="shared" ref="K12:K21" si="3">IFERROR(IF(ISBLANK(H12),"",H12/B12),0)</f>
        <v>0</v>
      </c>
      <c r="L12" s="458">
        <f t="shared" ref="L12:L20" si="4">IFERROR(K12-J12,"")</f>
        <v>0</v>
      </c>
      <c r="M12" s="459" t="str">
        <f t="shared" ref="M12:M20" si="5">IFERROR(K12/J12,"")</f>
        <v/>
      </c>
      <c r="N12" s="455">
        <f>+Progress!J7</f>
        <v>14738</v>
      </c>
      <c r="O12" s="460">
        <f t="shared" ref="O12:O20" si="6">IF(ISBLANK(N12),"",N12/$N$21)</f>
        <v>2.9894583964673357E-2</v>
      </c>
      <c r="P12" s="461">
        <f>+Progress!L7</f>
        <v>0</v>
      </c>
      <c r="Q12" s="461">
        <f>+Progress!M7</f>
        <v>0</v>
      </c>
      <c r="R12" s="462">
        <f t="shared" ref="R12:R21" si="7">IFERROR(IF(ISBLANK(P12),"",P12/N12),0)</f>
        <v>0</v>
      </c>
      <c r="S12" s="463">
        <f t="shared" ref="S12:S21" si="8">IFERROR(IF(ISBLANK(Q12),"",Q12/N12),0)</f>
        <v>0</v>
      </c>
      <c r="T12" s="461">
        <f>+Progress!N7</f>
        <v>14738</v>
      </c>
      <c r="U12" s="461">
        <f>+Progress!O7</f>
        <v>14738</v>
      </c>
      <c r="V12" s="456">
        <f t="shared" ref="V12:V21" si="9">IFERROR(IF(ISBLANK(T12),"",T12/N12),0)</f>
        <v>1</v>
      </c>
      <c r="W12" s="457">
        <f t="shared" ref="W12:W21" si="10">IFERROR(IF(ISBLANK(U12),"",U12/N12),0)</f>
        <v>1</v>
      </c>
      <c r="X12" s="458">
        <f t="shared" ref="X12:X20" si="11">IFERROR(W12-V12,"")</f>
        <v>0</v>
      </c>
      <c r="Y12" s="459">
        <f t="shared" ref="Y12:Y20" si="12">IFERROR(W12/V12,"")</f>
        <v>1</v>
      </c>
      <c r="AG12" s="464"/>
      <c r="AK12"/>
      <c r="AL12"/>
      <c r="AM12"/>
      <c r="AN12"/>
      <c r="AO12"/>
      <c r="AP12"/>
      <c r="AQ12"/>
      <c r="AR12"/>
      <c r="AS12"/>
      <c r="AT12"/>
      <c r="AU12"/>
    </row>
    <row r="13" spans="1:48" s="3" customFormat="1" ht="15.75" customHeight="1">
      <c r="A13" s="1221"/>
      <c r="B13" s="466">
        <f>+Progress!B9</f>
        <v>1560765.46</v>
      </c>
      <c r="C13" s="465">
        <f t="shared" si="0"/>
        <v>2.9999999615573245E-2</v>
      </c>
      <c r="D13" s="581">
        <f>+Progress!D9</f>
        <v>0</v>
      </c>
      <c r="E13" s="581">
        <f>+Progress!E9</f>
        <v>0</v>
      </c>
      <c r="F13" s="581">
        <f>+Progress!F9</f>
        <v>1560765.48</v>
      </c>
      <c r="G13" s="581">
        <f>+Progress!G9</f>
        <v>1560765.48</v>
      </c>
      <c r="H13" s="581">
        <f>+Progress!H9</f>
        <v>1560765.48</v>
      </c>
      <c r="I13" s="467">
        <f t="shared" si="1"/>
        <v>1.0000000128142252</v>
      </c>
      <c r="J13" s="467">
        <f t="shared" si="2"/>
        <v>1.0000000128142252</v>
      </c>
      <c r="K13" s="468">
        <f t="shared" si="3"/>
        <v>1.0000000128142252</v>
      </c>
      <c r="L13" s="469">
        <f t="shared" si="4"/>
        <v>0</v>
      </c>
      <c r="M13" s="470">
        <f t="shared" si="5"/>
        <v>1</v>
      </c>
      <c r="N13" s="466">
        <f>+Progress!J9</f>
        <v>24562</v>
      </c>
      <c r="O13" s="471">
        <f t="shared" si="6"/>
        <v>4.9821602072215157E-2</v>
      </c>
      <c r="P13" s="472">
        <f>+Progress!L9</f>
        <v>0</v>
      </c>
      <c r="Q13" s="472">
        <f>+Progress!M9</f>
        <v>0</v>
      </c>
      <c r="R13" s="473">
        <f t="shared" si="7"/>
        <v>0</v>
      </c>
      <c r="S13" s="474">
        <f t="shared" si="8"/>
        <v>0</v>
      </c>
      <c r="T13" s="472">
        <f>+Progress!N9</f>
        <v>24562</v>
      </c>
      <c r="U13" s="472">
        <f>+Progress!O9</f>
        <v>24562</v>
      </c>
      <c r="V13" s="467">
        <f t="shared" si="9"/>
        <v>1</v>
      </c>
      <c r="W13" s="468">
        <f t="shared" si="10"/>
        <v>1</v>
      </c>
      <c r="X13" s="469">
        <f t="shared" si="11"/>
        <v>0</v>
      </c>
      <c r="Y13" s="470">
        <f t="shared" si="12"/>
        <v>1</v>
      </c>
      <c r="AG13" s="464"/>
      <c r="AK13"/>
      <c r="AL13"/>
      <c r="AM13"/>
      <c r="AN13"/>
      <c r="AO13"/>
      <c r="AP13"/>
      <c r="AQ13"/>
      <c r="AR13"/>
      <c r="AS13"/>
      <c r="AT13"/>
      <c r="AU13"/>
    </row>
    <row r="14" spans="1:48" s="3" customFormat="1" ht="15.75" customHeight="1">
      <c r="A14" s="1221"/>
      <c r="B14" s="466">
        <f>+Progress!B11</f>
        <v>10405103.199999999</v>
      </c>
      <c r="C14" s="465">
        <f t="shared" si="0"/>
        <v>0.19999999999999996</v>
      </c>
      <c r="D14" s="581">
        <f>+Progress!D11</f>
        <v>0</v>
      </c>
      <c r="E14" s="581">
        <f>+Progress!E11</f>
        <v>25502.699999999255</v>
      </c>
      <c r="F14" s="581">
        <f>+Progress!F11</f>
        <v>10405103.199999999</v>
      </c>
      <c r="G14" s="581">
        <f>+Progress!G11</f>
        <v>10405103.199999999</v>
      </c>
      <c r="H14" s="581">
        <f>+Progress!H11</f>
        <v>10060816.75</v>
      </c>
      <c r="I14" s="467">
        <f t="shared" si="1"/>
        <v>1</v>
      </c>
      <c r="J14" s="467">
        <f t="shared" si="2"/>
        <v>1</v>
      </c>
      <c r="K14" s="468">
        <f t="shared" si="3"/>
        <v>0.96691176979388349</v>
      </c>
      <c r="L14" s="469">
        <f t="shared" si="4"/>
        <v>-3.3088230206116509E-2</v>
      </c>
      <c r="M14" s="470">
        <f t="shared" si="5"/>
        <v>0.96691176979388349</v>
      </c>
      <c r="N14" s="466">
        <f>+Progress!J11</f>
        <v>58936</v>
      </c>
      <c r="O14" s="471">
        <f t="shared" si="6"/>
        <v>0.11954588143180818</v>
      </c>
      <c r="P14" s="472">
        <f>+Progress!L11</f>
        <v>0</v>
      </c>
      <c r="Q14" s="472">
        <f>+Progress!M11</f>
        <v>152</v>
      </c>
      <c r="R14" s="473">
        <f t="shared" si="7"/>
        <v>0</v>
      </c>
      <c r="S14" s="474">
        <f t="shared" si="8"/>
        <v>2.5790688204153658E-3</v>
      </c>
      <c r="T14" s="472">
        <f>+Progress!N11</f>
        <v>58936</v>
      </c>
      <c r="U14" s="472">
        <f>+Progress!O11</f>
        <v>53310</v>
      </c>
      <c r="V14" s="467">
        <f t="shared" si="9"/>
        <v>1</v>
      </c>
      <c r="W14" s="468">
        <f t="shared" si="10"/>
        <v>0.90454051852857342</v>
      </c>
      <c r="X14" s="469">
        <f t="shared" si="11"/>
        <v>-9.5459481471426577E-2</v>
      </c>
      <c r="Y14" s="470">
        <f t="shared" si="12"/>
        <v>0.90454051852857342</v>
      </c>
      <c r="Z14"/>
      <c r="AA14"/>
      <c r="AB14"/>
      <c r="AC14"/>
      <c r="AD14"/>
      <c r="AE14"/>
      <c r="AF14"/>
      <c r="AG14" s="312"/>
      <c r="AH14" s="475"/>
      <c r="AI14" s="476"/>
      <c r="AJ14" s="476"/>
      <c r="AK14" s="477"/>
      <c r="AL14"/>
      <c r="AM14"/>
      <c r="AN14"/>
      <c r="AO14"/>
      <c r="AP14"/>
      <c r="AQ14"/>
      <c r="AR14"/>
      <c r="AS14"/>
      <c r="AT14"/>
      <c r="AU14"/>
    </row>
    <row r="15" spans="1:48" s="3" customFormat="1" ht="15.75" customHeight="1">
      <c r="A15" s="1221"/>
      <c r="B15" s="481">
        <f>+Progress!B13</f>
        <v>18062897.670000002</v>
      </c>
      <c r="C15" s="482">
        <f t="shared" si="0"/>
        <v>0.34719305177098098</v>
      </c>
      <c r="D15" s="581">
        <f>+Progress!D13</f>
        <v>470222.40999999829</v>
      </c>
      <c r="E15" s="581">
        <f>+Progress!E13</f>
        <v>846741.38000000082</v>
      </c>
      <c r="F15" s="581">
        <f>+Progress!F13</f>
        <v>10120547.769999998</v>
      </c>
      <c r="G15" s="581">
        <f>+Progress!G13</f>
        <v>10120547.769999998</v>
      </c>
      <c r="H15" s="581">
        <f>+Progress!H13</f>
        <v>13145824.129999999</v>
      </c>
      <c r="I15" s="467">
        <f t="shared" si="1"/>
        <v>0.56029480733918124</v>
      </c>
      <c r="J15" s="467">
        <f t="shared" si="2"/>
        <v>0.56029480733918124</v>
      </c>
      <c r="K15" s="468">
        <f t="shared" si="3"/>
        <v>0.72778046856974732</v>
      </c>
      <c r="L15" s="469">
        <f t="shared" si="4"/>
        <v>0.16748566123056607</v>
      </c>
      <c r="M15" s="470">
        <f t="shared" si="5"/>
        <v>1.2989241717694102</v>
      </c>
      <c r="N15" s="481">
        <f>+Progress!J13</f>
        <v>118380</v>
      </c>
      <c r="O15" s="471">
        <f t="shared" si="6"/>
        <v>0.24012219091722295</v>
      </c>
      <c r="P15" s="483">
        <f>+Progress!L13</f>
        <v>3390</v>
      </c>
      <c r="Q15" s="483">
        <f>+Progress!M13</f>
        <v>5197</v>
      </c>
      <c r="R15" s="473">
        <f t="shared" si="7"/>
        <v>2.8636594019260012E-2</v>
      </c>
      <c r="S15" s="474">
        <f t="shared" si="8"/>
        <v>4.3900996789998308E-2</v>
      </c>
      <c r="T15" s="483">
        <f>+Progress!N13</f>
        <v>55810</v>
      </c>
      <c r="U15" s="483">
        <f>+Progress!O13</f>
        <v>69355</v>
      </c>
      <c r="V15" s="467">
        <f t="shared" si="9"/>
        <v>0.47144787970941038</v>
      </c>
      <c r="W15" s="468">
        <f t="shared" si="10"/>
        <v>0.58586754519344486</v>
      </c>
      <c r="X15" s="469">
        <f t="shared" si="11"/>
        <v>0.11441966548403448</v>
      </c>
      <c r="Y15" s="470">
        <f t="shared" si="12"/>
        <v>1.2426984411395807</v>
      </c>
      <c r="Z15"/>
      <c r="AA15"/>
      <c r="AB15"/>
      <c r="AC15"/>
      <c r="AD15"/>
      <c r="AE15"/>
      <c r="AF15"/>
      <c r="AG15" s="312"/>
      <c r="AH15" s="484"/>
      <c r="AI15" s="475"/>
      <c r="AJ15" s="476"/>
      <c r="AK15" s="476"/>
      <c r="AL15"/>
      <c r="AM15"/>
      <c r="AN15"/>
      <c r="AO15"/>
      <c r="AP15"/>
      <c r="AQ15"/>
      <c r="AR15"/>
      <c r="AS15"/>
      <c r="AT15"/>
      <c r="AU15"/>
      <c r="AV15"/>
    </row>
    <row r="16" spans="1:48" s="3" customFormat="1" ht="15.75" customHeight="1">
      <c r="A16" s="1221"/>
      <c r="B16" s="478">
        <f>+Progress!B15</f>
        <v>2353781.87</v>
      </c>
      <c r="C16" s="465">
        <f t="shared" si="0"/>
        <v>4.5242835650106762E-2</v>
      </c>
      <c r="D16" s="581">
        <f>+Progress!D15</f>
        <v>51053.040000000037</v>
      </c>
      <c r="E16" s="581">
        <f>+Progress!E15</f>
        <v>44220</v>
      </c>
      <c r="F16" s="581">
        <f>+Progress!F15</f>
        <v>291254.26</v>
      </c>
      <c r="G16" s="581">
        <f>+Progress!G15</f>
        <v>291254.26</v>
      </c>
      <c r="H16" s="581">
        <f>+Progress!H15</f>
        <v>1886038.1700000002</v>
      </c>
      <c r="I16" s="467">
        <f t="shared" si="1"/>
        <v>0.12373884925878879</v>
      </c>
      <c r="J16" s="467">
        <f t="shared" si="2"/>
        <v>0.12373884925878879</v>
      </c>
      <c r="K16" s="468">
        <f t="shared" si="3"/>
        <v>0.80127992913803858</v>
      </c>
      <c r="L16" s="469">
        <f t="shared" si="4"/>
        <v>0.67754107987924983</v>
      </c>
      <c r="M16" s="470">
        <f t="shared" si="5"/>
        <v>6.4755728208061232</v>
      </c>
      <c r="N16" s="478">
        <f>+Progress!J15</f>
        <v>41030</v>
      </c>
      <c r="O16" s="471">
        <f t="shared" si="6"/>
        <v>8.3225320943855874E-2</v>
      </c>
      <c r="P16" s="479">
        <f>+Progress!L15</f>
        <v>1320</v>
      </c>
      <c r="Q16" s="479">
        <f>+Progress!M15</f>
        <v>1296</v>
      </c>
      <c r="R16" s="473">
        <f t="shared" si="7"/>
        <v>3.2171581769436998E-2</v>
      </c>
      <c r="S16" s="474">
        <f t="shared" si="8"/>
        <v>3.1586643919083598E-2</v>
      </c>
      <c r="T16" s="479">
        <f>+Progress!N15</f>
        <v>9100</v>
      </c>
      <c r="U16" s="479">
        <f>+Progress!O15</f>
        <v>29080</v>
      </c>
      <c r="V16" s="467">
        <f t="shared" si="9"/>
        <v>0.22178893492566415</v>
      </c>
      <c r="W16" s="468">
        <f t="shared" si="10"/>
        <v>0.70874969534486965</v>
      </c>
      <c r="X16" s="469">
        <f t="shared" si="11"/>
        <v>0.4869607604192055</v>
      </c>
      <c r="Y16" s="470">
        <f t="shared" si="12"/>
        <v>3.1956043956043958</v>
      </c>
      <c r="Z16"/>
      <c r="AA16"/>
      <c r="AB16"/>
      <c r="AC16"/>
      <c r="AD16"/>
      <c r="AE16"/>
      <c r="AF16"/>
      <c r="AG16" s="312"/>
      <c r="AH16" s="475"/>
      <c r="AI16" s="476"/>
      <c r="AJ16" s="476"/>
      <c r="AK16"/>
      <c r="AL16"/>
      <c r="AM16"/>
      <c r="AN16"/>
      <c r="AO16"/>
      <c r="AP16"/>
      <c r="AQ16"/>
      <c r="AR16"/>
      <c r="AS16"/>
      <c r="AT16"/>
      <c r="AU16"/>
    </row>
    <row r="17" spans="1:49" s="3" customFormat="1" ht="15.75" customHeight="1">
      <c r="A17" s="1220"/>
      <c r="B17" s="466">
        <f>+Progress!B17</f>
        <v>189275</v>
      </c>
      <c r="C17" s="465">
        <f t="shared" si="0"/>
        <v>3.6381186493181531E-3</v>
      </c>
      <c r="D17" s="581">
        <f>+Progress!D17</f>
        <v>0</v>
      </c>
      <c r="E17" s="581">
        <f>+Progress!E17</f>
        <v>0</v>
      </c>
      <c r="F17" s="581">
        <f>+Progress!F17</f>
        <v>189275</v>
      </c>
      <c r="G17" s="581">
        <f>+Progress!G17</f>
        <v>189275</v>
      </c>
      <c r="H17" s="581">
        <f>+Progress!H17</f>
        <v>155775</v>
      </c>
      <c r="I17" s="467">
        <f t="shared" si="1"/>
        <v>1</v>
      </c>
      <c r="J17" s="467">
        <f t="shared" si="2"/>
        <v>1</v>
      </c>
      <c r="K17" s="468">
        <f t="shared" si="3"/>
        <v>0.82300884955752207</v>
      </c>
      <c r="L17" s="469">
        <f t="shared" si="4"/>
        <v>-0.17699115044247793</v>
      </c>
      <c r="M17" s="470">
        <f t="shared" si="5"/>
        <v>0.82300884955752207</v>
      </c>
      <c r="N17" s="466">
        <f>+Progress!J17</f>
        <v>6490</v>
      </c>
      <c r="O17" s="471">
        <f t="shared" si="6"/>
        <v>1.3164326905328408E-2</v>
      </c>
      <c r="P17" s="472">
        <f>+Progress!L17</f>
        <v>0</v>
      </c>
      <c r="Q17" s="472">
        <f>+Progress!M17</f>
        <v>0</v>
      </c>
      <c r="R17" s="473">
        <f t="shared" si="7"/>
        <v>0</v>
      </c>
      <c r="S17" s="474">
        <f t="shared" si="8"/>
        <v>0</v>
      </c>
      <c r="T17" s="472">
        <f>+Progress!N17</f>
        <v>6490</v>
      </c>
      <c r="U17" s="472">
        <f>+Progress!O17</f>
        <v>4390</v>
      </c>
      <c r="V17" s="467">
        <f t="shared" si="9"/>
        <v>1</v>
      </c>
      <c r="W17" s="468">
        <f t="shared" si="10"/>
        <v>0.67642526964560867</v>
      </c>
      <c r="X17" s="469">
        <f t="shared" si="11"/>
        <v>-0.32357473035439133</v>
      </c>
      <c r="Y17" s="470">
        <f t="shared" si="12"/>
        <v>0.67642526964560867</v>
      </c>
      <c r="Z17"/>
      <c r="AA17"/>
      <c r="AB17"/>
      <c r="AC17"/>
      <c r="AD17"/>
      <c r="AE17"/>
      <c r="AF17"/>
      <c r="AG17" s="312"/>
      <c r="AK17"/>
      <c r="AL17"/>
      <c r="AM17"/>
      <c r="AN17"/>
      <c r="AO17"/>
      <c r="AP17"/>
      <c r="AQ17"/>
      <c r="AR17"/>
      <c r="AS17"/>
      <c r="AT17"/>
      <c r="AU17"/>
    </row>
    <row r="18" spans="1:49" s="3" customFormat="1" ht="15.75" customHeight="1">
      <c r="A18" s="1220"/>
      <c r="B18" s="466">
        <f>+Progress!B19</f>
        <v>3959941.2</v>
      </c>
      <c r="C18" s="465">
        <f t="shared" si="0"/>
        <v>7.6115366159943507E-2</v>
      </c>
      <c r="D18" s="581">
        <f>+Progress!D19</f>
        <v>0</v>
      </c>
      <c r="E18" s="581">
        <f>+Progress!E19</f>
        <v>0</v>
      </c>
      <c r="F18" s="581">
        <f>+Progress!F19</f>
        <v>3959941.2</v>
      </c>
      <c r="G18" s="581">
        <f>+Progress!G19</f>
        <v>3959941.2</v>
      </c>
      <c r="H18" s="581">
        <f>+Progress!H19</f>
        <v>3959941.2</v>
      </c>
      <c r="I18" s="467">
        <f t="shared" si="1"/>
        <v>1</v>
      </c>
      <c r="J18" s="467">
        <f t="shared" si="2"/>
        <v>1</v>
      </c>
      <c r="K18" s="468">
        <f t="shared" si="3"/>
        <v>1</v>
      </c>
      <c r="L18" s="469">
        <f t="shared" si="4"/>
        <v>0</v>
      </c>
      <c r="M18" s="470">
        <f t="shared" si="5"/>
        <v>1</v>
      </c>
      <c r="N18" s="466">
        <f>+Progress!J19</f>
        <v>17395</v>
      </c>
      <c r="O18" s="471">
        <f t="shared" si="6"/>
        <v>3.5284047229304727E-2</v>
      </c>
      <c r="P18" s="472">
        <f>+Progress!L19</f>
        <v>0</v>
      </c>
      <c r="Q18" s="472">
        <f>+Progress!M19</f>
        <v>0</v>
      </c>
      <c r="R18" s="473">
        <f t="shared" si="7"/>
        <v>0</v>
      </c>
      <c r="S18" s="474">
        <f t="shared" si="8"/>
        <v>0</v>
      </c>
      <c r="T18" s="472">
        <f>+Progress!N19</f>
        <v>17395</v>
      </c>
      <c r="U18" s="472">
        <f>+Progress!O19</f>
        <v>17395</v>
      </c>
      <c r="V18" s="467">
        <f t="shared" si="9"/>
        <v>1</v>
      </c>
      <c r="W18" s="468">
        <f t="shared" si="10"/>
        <v>1</v>
      </c>
      <c r="X18" s="469">
        <f t="shared" si="11"/>
        <v>0</v>
      </c>
      <c r="Y18" s="470">
        <f t="shared" si="12"/>
        <v>1</v>
      </c>
      <c r="Z18"/>
      <c r="AA18"/>
      <c r="AB18"/>
      <c r="AC18"/>
      <c r="AD18"/>
      <c r="AE18"/>
      <c r="AF18"/>
      <c r="AG18" s="312"/>
      <c r="AK18"/>
      <c r="AL18"/>
      <c r="AM18"/>
      <c r="AN18"/>
      <c r="AO18"/>
      <c r="AP18"/>
      <c r="AQ18"/>
      <c r="AR18"/>
      <c r="AS18"/>
      <c r="AT18"/>
      <c r="AU18"/>
    </row>
    <row r="19" spans="1:49" s="3" customFormat="1" ht="15.75" customHeight="1">
      <c r="A19" s="1220"/>
      <c r="B19" s="466">
        <f>+Progress!B21</f>
        <v>10291200</v>
      </c>
      <c r="C19" s="465">
        <f t="shared" si="0"/>
        <v>0.19781062815407729</v>
      </c>
      <c r="D19" s="581">
        <f>+Progress!D21</f>
        <v>121693.86999999988</v>
      </c>
      <c r="E19" s="581">
        <f>+Progress!E21</f>
        <v>0</v>
      </c>
      <c r="F19" s="581">
        <f>+Progress!F21</f>
        <v>2213370.69</v>
      </c>
      <c r="G19" s="581">
        <f>+Progress!G21</f>
        <v>2213370.69</v>
      </c>
      <c r="H19" s="581">
        <f>+Progress!H21</f>
        <v>9330592.3699999992</v>
      </c>
      <c r="I19" s="467">
        <f t="shared" si="1"/>
        <v>0.21507411089085821</v>
      </c>
      <c r="J19" s="467">
        <f t="shared" si="2"/>
        <v>0.21507411089085821</v>
      </c>
      <c r="K19" s="468">
        <f t="shared" si="3"/>
        <v>0.90665737426150494</v>
      </c>
      <c r="L19" s="469">
        <f t="shared" si="4"/>
        <v>0.69158326337064668</v>
      </c>
      <c r="M19" s="470">
        <f t="shared" si="5"/>
        <v>4.2155579325937493</v>
      </c>
      <c r="N19" s="466">
        <f>+Progress!J21</f>
        <v>185220</v>
      </c>
      <c r="O19" s="471">
        <f t="shared" si="6"/>
        <v>0.37570055923034329</v>
      </c>
      <c r="P19" s="472">
        <f>+Progress!L21</f>
        <v>3180</v>
      </c>
      <c r="Q19" s="472">
        <f>+Progress!M21</f>
        <v>0</v>
      </c>
      <c r="R19" s="473">
        <f t="shared" si="7"/>
        <v>1.7168772270813086E-2</v>
      </c>
      <c r="S19" s="474">
        <f t="shared" si="8"/>
        <v>0</v>
      </c>
      <c r="T19" s="472">
        <f>+Progress!N21</f>
        <v>52880</v>
      </c>
      <c r="U19" s="472">
        <f>+Progress!O21</f>
        <v>178177</v>
      </c>
      <c r="V19" s="467">
        <f t="shared" si="9"/>
        <v>0.28549832631465283</v>
      </c>
      <c r="W19" s="468">
        <f t="shared" si="10"/>
        <v>0.96197494870964262</v>
      </c>
      <c r="X19" s="469">
        <f t="shared" si="11"/>
        <v>0.67647662239498985</v>
      </c>
      <c r="Y19" s="470">
        <f t="shared" si="12"/>
        <v>3.36945915279879</v>
      </c>
      <c r="Z19"/>
      <c r="AA19"/>
      <c r="AB19"/>
      <c r="AC19"/>
      <c r="AD19"/>
      <c r="AE19"/>
      <c r="AF19"/>
      <c r="AG19" s="312"/>
      <c r="AK19"/>
      <c r="AL19"/>
      <c r="AM19"/>
      <c r="AN19"/>
      <c r="AO19"/>
      <c r="AP19"/>
      <c r="AQ19"/>
      <c r="AR19"/>
      <c r="AS19"/>
      <c r="AT19"/>
      <c r="AU19"/>
    </row>
    <row r="20" spans="1:49" s="3" customFormat="1" ht="15.75" customHeight="1">
      <c r="A20" s="1221"/>
      <c r="B20" s="466">
        <f>+Progress!B23</f>
        <v>5202551.5999999996</v>
      </c>
      <c r="C20" s="465">
        <f t="shared" si="0"/>
        <v>9.9999999999999978E-2</v>
      </c>
      <c r="D20" s="581">
        <f>+Progress!D23</f>
        <v>0</v>
      </c>
      <c r="E20" s="581">
        <f>+Progress!E23</f>
        <v>0</v>
      </c>
      <c r="F20" s="581">
        <f>+Progress!F23</f>
        <v>0</v>
      </c>
      <c r="G20" s="581">
        <f>+Progress!G23</f>
        <v>0</v>
      </c>
      <c r="H20" s="581">
        <f>+Progress!H23</f>
        <v>0</v>
      </c>
      <c r="I20" s="467">
        <f t="shared" si="1"/>
        <v>0</v>
      </c>
      <c r="J20" s="467">
        <f t="shared" si="2"/>
        <v>0</v>
      </c>
      <c r="K20" s="468">
        <f t="shared" si="3"/>
        <v>0</v>
      </c>
      <c r="L20" s="469">
        <f t="shared" si="4"/>
        <v>0</v>
      </c>
      <c r="M20" s="470" t="str">
        <f t="shared" si="5"/>
        <v/>
      </c>
      <c r="N20" s="466">
        <f>+Progress!J23</f>
        <v>14740</v>
      </c>
      <c r="O20" s="471">
        <f t="shared" si="6"/>
        <v>2.9898640768034012E-2</v>
      </c>
      <c r="P20" s="472">
        <f>+Progress!L23</f>
        <v>0</v>
      </c>
      <c r="Q20" s="472">
        <f>+Progress!M23</f>
        <v>0</v>
      </c>
      <c r="R20" s="473">
        <f t="shared" si="7"/>
        <v>0</v>
      </c>
      <c r="S20" s="474">
        <f t="shared" si="8"/>
        <v>0</v>
      </c>
      <c r="T20" s="472">
        <f>+Progress!N23</f>
        <v>0</v>
      </c>
      <c r="U20" s="472">
        <f>+Progress!O23</f>
        <v>0</v>
      </c>
      <c r="V20" s="467">
        <f t="shared" si="9"/>
        <v>0</v>
      </c>
      <c r="W20" s="468">
        <f t="shared" si="10"/>
        <v>0</v>
      </c>
      <c r="X20" s="469">
        <f t="shared" si="11"/>
        <v>0</v>
      </c>
      <c r="Y20" s="470" t="str">
        <f t="shared" si="12"/>
        <v/>
      </c>
      <c r="Z20"/>
      <c r="AA20"/>
      <c r="AB20"/>
      <c r="AC20"/>
      <c r="AD20"/>
      <c r="AE20"/>
      <c r="AF20"/>
      <c r="AG20" s="312"/>
      <c r="AH20" s="475"/>
      <c r="AI20" s="476"/>
      <c r="AJ20" s="476"/>
      <c r="AK20" s="480"/>
      <c r="AL20"/>
      <c r="AM20"/>
      <c r="AN20"/>
      <c r="AO20"/>
      <c r="AP20"/>
      <c r="AQ20"/>
      <c r="AR20"/>
      <c r="AS20"/>
      <c r="AT20"/>
      <c r="AU20"/>
    </row>
    <row r="21" spans="1:49" s="502" customFormat="1" ht="19.95" customHeight="1" thickBot="1">
      <c r="A21" s="117" t="s">
        <v>84</v>
      </c>
      <c r="B21" s="118">
        <f t="shared" ref="B21:H21" si="13">SUM(B12:B20)</f>
        <v>52025516.000000007</v>
      </c>
      <c r="C21" s="485">
        <f t="shared" si="13"/>
        <v>0.99999999999999989</v>
      </c>
      <c r="D21" s="486">
        <f t="shared" si="13"/>
        <v>642969.3199999982</v>
      </c>
      <c r="E21" s="487">
        <f t="shared" si="13"/>
        <v>916464.08000000007</v>
      </c>
      <c r="F21" s="118">
        <f t="shared" si="13"/>
        <v>28740257.599999998</v>
      </c>
      <c r="G21" s="488">
        <f t="shared" si="13"/>
        <v>28740257.599999998</v>
      </c>
      <c r="H21" s="487">
        <f t="shared" si="13"/>
        <v>40099753.100000001</v>
      </c>
      <c r="I21" s="489">
        <f t="shared" si="1"/>
        <v>0.55242619025633488</v>
      </c>
      <c r="J21" s="489">
        <f t="shared" si="2"/>
        <v>0.55242619025633488</v>
      </c>
      <c r="K21" s="490">
        <f t="shared" si="3"/>
        <v>0.77077088673181049</v>
      </c>
      <c r="L21" s="491">
        <f>+K21-J21</f>
        <v>0.21834469647547561</v>
      </c>
      <c r="M21" s="1141">
        <f>K21/J21</f>
        <v>1.3952468227007124</v>
      </c>
      <c r="N21" s="493">
        <v>492999</v>
      </c>
      <c r="O21" s="494">
        <f>SUM(O12:O20)</f>
        <v>0.97665715346278603</v>
      </c>
      <c r="P21" s="486">
        <f>SUM(P12:P20)</f>
        <v>7890</v>
      </c>
      <c r="Q21" s="495">
        <f>SUM(Q12:Q20)</f>
        <v>6645</v>
      </c>
      <c r="R21" s="496">
        <f t="shared" si="7"/>
        <v>1.600408925778754E-2</v>
      </c>
      <c r="S21" s="497">
        <f t="shared" si="8"/>
        <v>1.3478729165779241E-2</v>
      </c>
      <c r="T21" s="498">
        <f>SUM(T12:T20)</f>
        <v>239911</v>
      </c>
      <c r="U21" s="499">
        <f>SUM(U12:U20)</f>
        <v>391007</v>
      </c>
      <c r="V21" s="489">
        <f t="shared" si="9"/>
        <v>0.48663587552915927</v>
      </c>
      <c r="W21" s="490">
        <f t="shared" si="10"/>
        <v>0.79311925581999154</v>
      </c>
      <c r="X21" s="491">
        <f>+W21-V21</f>
        <v>0.30648338029083227</v>
      </c>
      <c r="Y21" s="492">
        <f>W21/V21</f>
        <v>1.6298002175806863</v>
      </c>
      <c r="Z21" s="500"/>
      <c r="AA21" s="500"/>
      <c r="AB21" s="500"/>
      <c r="AC21" s="500"/>
      <c r="AD21" s="500"/>
      <c r="AE21" s="500"/>
      <c r="AF21" s="500"/>
      <c r="AG21" s="501"/>
      <c r="AH21" s="500"/>
      <c r="AL21" s="500"/>
      <c r="AM21" s="500"/>
      <c r="AN21" s="500"/>
      <c r="AO21" s="500"/>
      <c r="AP21" s="500"/>
      <c r="AQ21" s="500"/>
      <c r="AR21" s="500"/>
      <c r="AS21" s="500"/>
      <c r="AT21" s="500"/>
      <c r="AU21" s="500"/>
      <c r="AV21" s="500"/>
    </row>
    <row r="22" spans="1:49" ht="24" customHeight="1" thickTop="1" thickBot="1">
      <c r="F22" s="503"/>
      <c r="G22" s="504"/>
      <c r="H22" s="504"/>
      <c r="I22" s="504"/>
      <c r="J22" s="504"/>
      <c r="K22" s="504"/>
      <c r="L22" s="504"/>
      <c r="M22" s="505"/>
      <c r="Y22"/>
      <c r="Z22" s="284" t="s">
        <v>85</v>
      </c>
      <c r="AA22" s="285"/>
      <c r="AB22" s="285"/>
      <c r="AC22" s="286"/>
      <c r="AD22" s="285"/>
      <c r="AE22" s="285"/>
      <c r="AF22" s="285"/>
      <c r="AG22" s="287"/>
      <c r="AI22" s="446"/>
      <c r="AM22" s="446"/>
      <c r="AN22" s="446"/>
      <c r="AO22" s="446"/>
      <c r="AP22" s="446"/>
      <c r="AQ22" s="446"/>
      <c r="AR22" s="446"/>
      <c r="AS22" s="446"/>
      <c r="AT22" s="446"/>
      <c r="AU22" s="446"/>
      <c r="AV22" s="446"/>
      <c r="AW22" s="446"/>
    </row>
    <row r="23" spans="1:49" ht="30" customHeight="1">
      <c r="Y23"/>
      <c r="Z23" s="288" t="s">
        <v>86</v>
      </c>
      <c r="AA23" s="1533" t="s">
        <v>87</v>
      </c>
      <c r="AB23" s="1534"/>
      <c r="AC23" s="289" t="s">
        <v>88</v>
      </c>
      <c r="AD23" s="289" t="s">
        <v>89</v>
      </c>
      <c r="AE23" s="289" t="s">
        <v>90</v>
      </c>
      <c r="AF23" s="289" t="s">
        <v>49</v>
      </c>
      <c r="AG23" s="290" t="s">
        <v>91</v>
      </c>
      <c r="AI23" s="446"/>
      <c r="AM23" s="446"/>
      <c r="AN23" s="446"/>
      <c r="AO23" s="446"/>
      <c r="AP23" s="446"/>
      <c r="AQ23" s="446"/>
      <c r="AR23" s="446"/>
      <c r="AS23" s="446"/>
      <c r="AT23" s="446"/>
      <c r="AU23" s="446"/>
      <c r="AV23" s="446"/>
      <c r="AW23" s="446"/>
    </row>
    <row r="24" spans="1:49" ht="27" customHeight="1">
      <c r="Y24"/>
      <c r="Z24" s="585">
        <f>+Milestones!A4</f>
        <v>1</v>
      </c>
      <c r="AA24" s="1535" t="str">
        <f>+Milestones!B4</f>
        <v>Project Commencement Date</v>
      </c>
      <c r="AB24" s="1536"/>
      <c r="AC24" s="586">
        <f>+Milestones!C4</f>
        <v>46068</v>
      </c>
      <c r="AD24" s="586">
        <f>+Milestones!D4</f>
        <v>46068</v>
      </c>
      <c r="AE24" s="586">
        <f>+Milestones!E4</f>
        <v>46068</v>
      </c>
      <c r="AF24" s="586" t="str">
        <f>+Milestones!F4</f>
        <v>A</v>
      </c>
      <c r="AG24" s="587">
        <f>+Milestones!G4</f>
        <v>0</v>
      </c>
      <c r="AM24" s="446"/>
      <c r="AN24" s="446"/>
      <c r="AO24" s="446"/>
      <c r="AP24" s="446"/>
      <c r="AQ24" s="446"/>
      <c r="AR24" s="446"/>
      <c r="AS24" s="446"/>
      <c r="AT24" s="446"/>
      <c r="AU24" s="446"/>
      <c r="AV24" s="446"/>
      <c r="AW24" s="446"/>
    </row>
    <row r="25" spans="1:49" ht="27" customHeight="1">
      <c r="Y25"/>
      <c r="Z25" s="588">
        <f>+Milestones!A5</f>
        <v>2</v>
      </c>
      <c r="AA25" s="1330" t="str">
        <f>+Milestones!B5</f>
        <v>Project Kick Off Meeting/NTP</v>
      </c>
      <c r="AB25" s="1331"/>
      <c r="AC25" s="589">
        <f>+Milestones!C5</f>
        <v>46068</v>
      </c>
      <c r="AD25" s="589">
        <f>+Milestones!D5</f>
        <v>46068</v>
      </c>
      <c r="AE25" s="589">
        <f>+Milestones!E5</f>
        <v>46068</v>
      </c>
      <c r="AF25" s="589" t="str">
        <f>+Milestones!F5</f>
        <v>A</v>
      </c>
      <c r="AG25" s="590">
        <f>+Milestones!G5</f>
        <v>0</v>
      </c>
      <c r="AM25" s="446"/>
      <c r="AN25" s="446"/>
      <c r="AO25" s="446"/>
      <c r="AP25" s="446"/>
      <c r="AQ25" s="446"/>
      <c r="AR25" s="446"/>
      <c r="AS25" s="446"/>
      <c r="AT25" s="446"/>
      <c r="AU25" s="446"/>
      <c r="AV25" s="446"/>
      <c r="AW25" s="446"/>
    </row>
    <row r="26" spans="1:49" ht="27" customHeight="1">
      <c r="Y26"/>
      <c r="Z26" s="588">
        <f>+Milestones!A6</f>
        <v>3</v>
      </c>
      <c r="AA26" s="1330" t="str">
        <f>+Milestones!B6</f>
        <v>Project Completion</v>
      </c>
      <c r="AB26" s="1331"/>
      <c r="AC26" s="589">
        <f>+Milestones!C6</f>
        <v>46613</v>
      </c>
      <c r="AD26" s="589">
        <f>+Milestones!D6</f>
        <v>46613</v>
      </c>
      <c r="AE26" s="589">
        <f>+Milestones!E6</f>
        <v>46642</v>
      </c>
      <c r="AF26" s="589" t="str">
        <f>+Milestones!F6</f>
        <v>F</v>
      </c>
      <c r="AG26" s="590">
        <f>+Milestones!G6</f>
        <v>-29</v>
      </c>
      <c r="AM26" s="446"/>
      <c r="AN26" s="446"/>
      <c r="AO26" s="446"/>
      <c r="AP26" s="446"/>
      <c r="AQ26" s="446"/>
      <c r="AR26" s="446"/>
      <c r="AS26" s="446"/>
      <c r="AT26" s="446"/>
      <c r="AU26" s="446"/>
      <c r="AV26" s="446"/>
      <c r="AW26" s="446"/>
    </row>
    <row r="27" spans="1:49" ht="27" customHeight="1">
      <c r="Y27"/>
      <c r="Z27" s="588">
        <f>+Milestones!A7</f>
        <v>4</v>
      </c>
      <c r="AA27" s="1330" t="str">
        <f>+Milestones!B7</f>
        <v>Completion of Mobilization</v>
      </c>
      <c r="AB27" s="1331"/>
      <c r="AC27" s="589">
        <f>+Milestones!C7</f>
        <v>46095</v>
      </c>
      <c r="AD27" s="589">
        <f>+Milestones!D7</f>
        <v>46095</v>
      </c>
      <c r="AE27" s="589">
        <f>+Milestones!E7</f>
        <v>46179</v>
      </c>
      <c r="AF27" s="589" t="str">
        <f>+Milestones!F7</f>
        <v>A</v>
      </c>
      <c r="AG27" s="590">
        <f>+Milestones!G7</f>
        <v>-84</v>
      </c>
      <c r="AM27" s="446"/>
      <c r="AN27" s="446"/>
      <c r="AO27" s="446"/>
      <c r="AP27" s="446"/>
      <c r="AQ27" s="446"/>
      <c r="AR27" s="446"/>
      <c r="AS27" s="446"/>
      <c r="AT27" s="446"/>
      <c r="AU27" s="446"/>
      <c r="AV27" s="446"/>
      <c r="AW27" s="446"/>
    </row>
    <row r="28" spans="1:49" ht="27" customHeight="1">
      <c r="Y28"/>
      <c r="Z28" s="588">
        <f>+Milestones!A10</f>
        <v>7</v>
      </c>
      <c r="AA28" s="1330" t="str">
        <f>+Milestones!B10</f>
        <v>Completion of Long lead Materials Delivery</v>
      </c>
      <c r="AB28" s="1331"/>
      <c r="AC28" s="589">
        <f>+Milestones!C10</f>
        <v>46250</v>
      </c>
      <c r="AD28" s="589">
        <f>+Milestones!D10</f>
        <v>46250</v>
      </c>
      <c r="AE28" s="589">
        <f>+Milestones!E10</f>
        <v>46263</v>
      </c>
      <c r="AF28" s="589" t="str">
        <f>+Milestones!F10</f>
        <v>A</v>
      </c>
      <c r="AG28" s="590">
        <f>+Milestones!G10</f>
        <v>-13</v>
      </c>
      <c r="AJ28" s="446"/>
      <c r="AK28" s="446"/>
      <c r="AL28" s="446"/>
      <c r="AM28" s="446"/>
      <c r="AN28" s="446"/>
      <c r="AO28" s="446"/>
      <c r="AP28" s="446"/>
      <c r="AQ28" s="446"/>
      <c r="AR28" s="446"/>
      <c r="AS28" s="446"/>
      <c r="AT28" s="446"/>
      <c r="AU28" s="446"/>
      <c r="AV28" s="446"/>
      <c r="AW28" s="446"/>
    </row>
    <row r="29" spans="1:49" ht="27" customHeight="1">
      <c r="Y29"/>
      <c r="Z29" s="588">
        <f>+Milestones!A11</f>
        <v>8</v>
      </c>
      <c r="AA29" s="1330" t="str">
        <f>+Milestones!B11</f>
        <v>Completion of Road Works</v>
      </c>
      <c r="AB29" s="1331"/>
      <c r="AC29" s="589">
        <f>+Milestones!C11</f>
        <v>46370</v>
      </c>
      <c r="AD29" s="589">
        <f>+Milestones!D11</f>
        <v>46370</v>
      </c>
      <c r="AE29" s="589">
        <f>+Milestones!E11</f>
        <v>46412</v>
      </c>
      <c r="AF29" s="589" t="str">
        <f>+Milestones!F11</f>
        <v>F</v>
      </c>
      <c r="AG29" s="590">
        <f>+Milestones!G11</f>
        <v>-42</v>
      </c>
      <c r="AJ29" s="446"/>
      <c r="AK29" s="446"/>
      <c r="AL29" s="446"/>
      <c r="AM29" s="446"/>
      <c r="AN29" s="446"/>
      <c r="AO29" s="446"/>
      <c r="AP29" s="446"/>
      <c r="AQ29" s="446"/>
      <c r="AR29" s="446"/>
      <c r="AS29" s="446"/>
      <c r="AT29" s="446"/>
      <c r="AU29" s="446"/>
      <c r="AV29" s="446"/>
      <c r="AW29" s="446"/>
    </row>
    <row r="30" spans="1:49" ht="27" customHeight="1">
      <c r="Y30"/>
      <c r="Z30" s="588">
        <f>+Milestones!A12</f>
        <v>9</v>
      </c>
      <c r="AA30" s="1330" t="str">
        <f>+Milestones!B12</f>
        <v>Completion of Open Drain Channel</v>
      </c>
      <c r="AB30" s="1331"/>
      <c r="AC30" s="589">
        <f>+Milestones!C12</f>
        <v>46552</v>
      </c>
      <c r="AD30" s="589">
        <f>+Milestones!D12</f>
        <v>46552</v>
      </c>
      <c r="AE30" s="589">
        <f>+Milestones!E12</f>
        <v>46581</v>
      </c>
      <c r="AF30" s="589" t="str">
        <f>+Milestones!F12</f>
        <v>F</v>
      </c>
      <c r="AG30" s="590">
        <f>+Milestones!G12</f>
        <v>-29</v>
      </c>
      <c r="AJ30" s="446"/>
      <c r="AK30" s="446"/>
      <c r="AL30" s="446"/>
      <c r="AM30" s="446"/>
      <c r="AN30" s="446"/>
      <c r="AO30" s="446"/>
      <c r="AP30" s="446"/>
      <c r="AQ30" s="446"/>
      <c r="AR30" s="446"/>
      <c r="AS30" s="446"/>
      <c r="AT30" s="446"/>
      <c r="AU30" s="446"/>
      <c r="AV30" s="446"/>
      <c r="AW30" s="446"/>
    </row>
    <row r="31" spans="1:49" ht="37.5" customHeight="1">
      <c r="Y31"/>
      <c r="Z31" s="588">
        <f>+Milestones!A13</f>
        <v>10</v>
      </c>
      <c r="AA31" s="1330" t="str">
        <f>+Milestones!B13</f>
        <v>Completion of All Works</v>
      </c>
      <c r="AB31" s="1331"/>
      <c r="AC31" s="589">
        <f>+Milestones!C13</f>
        <v>46613</v>
      </c>
      <c r="AD31" s="589">
        <f>+Milestones!D13</f>
        <v>46613</v>
      </c>
      <c r="AE31" s="589">
        <f>+Milestones!E13</f>
        <v>46642</v>
      </c>
      <c r="AF31" s="589" t="str">
        <f>+Milestones!F13</f>
        <v>F</v>
      </c>
      <c r="AG31" s="590">
        <f>+Milestones!G13</f>
        <v>-29</v>
      </c>
      <c r="AJ31" s="446"/>
      <c r="AK31" s="446"/>
      <c r="AL31" s="446"/>
      <c r="AM31" s="446"/>
      <c r="AN31" s="446"/>
      <c r="AO31" s="446"/>
      <c r="AP31" s="446"/>
      <c r="AQ31" s="446"/>
      <c r="AR31" s="446"/>
      <c r="AS31" s="446"/>
      <c r="AT31" s="446"/>
      <c r="AU31" s="446"/>
      <c r="AV31" s="446"/>
      <c r="AW31" s="446"/>
    </row>
    <row r="32" spans="1:49" ht="27" customHeight="1">
      <c r="Y32"/>
      <c r="Z32" s="588">
        <f>+Milestones!A14</f>
        <v>11</v>
      </c>
      <c r="AA32" s="1330" t="str">
        <f>+Milestones!B14</f>
        <v>Final Handover</v>
      </c>
      <c r="AB32" s="1331"/>
      <c r="AC32" s="589">
        <f>+Milestones!C14</f>
        <v>46613</v>
      </c>
      <c r="AD32" s="589">
        <f>+Milestones!D14</f>
        <v>46613</v>
      </c>
      <c r="AE32" s="589">
        <f>+Milestones!E14</f>
        <v>46642</v>
      </c>
      <c r="AF32" s="589" t="str">
        <f>+Milestones!F14</f>
        <v>F</v>
      </c>
      <c r="AG32" s="590">
        <f>+Milestones!G14</f>
        <v>-29</v>
      </c>
      <c r="AM32" s="446"/>
      <c r="AN32" s="506"/>
      <c r="AO32" s="446"/>
      <c r="AP32" s="446"/>
      <c r="AQ32" s="446"/>
      <c r="AR32" s="446"/>
      <c r="AS32" s="446"/>
      <c r="AT32" s="446"/>
      <c r="AU32" s="446"/>
      <c r="AV32" s="446"/>
      <c r="AW32" s="446"/>
    </row>
    <row r="33" spans="19:49" ht="27" customHeight="1">
      <c r="Y33"/>
      <c r="Z33" s="588"/>
      <c r="AA33" s="1330"/>
      <c r="AB33" s="1331"/>
      <c r="AC33" s="589"/>
      <c r="AD33" s="589"/>
      <c r="AE33" s="589"/>
      <c r="AF33" s="589"/>
      <c r="AG33" s="590"/>
      <c r="AM33" s="446"/>
      <c r="AN33" s="506"/>
      <c r="AO33" s="446"/>
      <c r="AP33" s="446"/>
      <c r="AQ33" s="446"/>
      <c r="AR33" s="446"/>
      <c r="AS33" s="446"/>
      <c r="AT33" s="446"/>
      <c r="AU33" s="446"/>
      <c r="AV33" s="446"/>
      <c r="AW33" s="446"/>
    </row>
    <row r="34" spans="19:49" ht="14.7" customHeight="1">
      <c r="Y34"/>
      <c r="Z34" s="591"/>
      <c r="AA34" s="592"/>
      <c r="AB34" s="592"/>
      <c r="AC34" s="592"/>
      <c r="AD34" s="592"/>
      <c r="AE34" s="592"/>
      <c r="AF34" s="592"/>
      <c r="AG34" s="593"/>
      <c r="AM34" s="446"/>
      <c r="AN34" s="506"/>
      <c r="AO34" s="446"/>
      <c r="AP34" s="446"/>
      <c r="AQ34" s="446"/>
      <c r="AR34" s="446"/>
      <c r="AS34" s="446"/>
      <c r="AT34" s="446"/>
      <c r="AU34" s="446"/>
      <c r="AV34" s="446"/>
      <c r="AW34" s="446"/>
    </row>
    <row r="35" spans="19:49" s="509" customFormat="1" ht="14.4" customHeight="1">
      <c r="S35" s="330"/>
      <c r="T35" s="330"/>
      <c r="U35" s="330"/>
      <c r="V35" s="330"/>
      <c r="W35" s="330"/>
      <c r="X35" s="330"/>
      <c r="Y35"/>
      <c r="Z35" s="510"/>
      <c r="AA35" s="507"/>
      <c r="AB35" s="507"/>
      <c r="AC35" s="507"/>
      <c r="AD35" s="507"/>
      <c r="AE35" s="507"/>
      <c r="AF35" s="507"/>
      <c r="AG35" s="508"/>
      <c r="AM35" s="511"/>
      <c r="AN35" s="506"/>
      <c r="AO35" s="512"/>
      <c r="AP35" s="446"/>
      <c r="AQ35" s="446"/>
      <c r="AR35" s="446"/>
      <c r="AS35" s="446"/>
      <c r="AT35" s="446"/>
      <c r="AU35" s="446"/>
      <c r="AV35" s="446"/>
      <c r="AW35" s="446"/>
    </row>
    <row r="36" spans="19:49">
      <c r="Y36"/>
      <c r="Z36" s="510"/>
      <c r="AA36" s="507"/>
      <c r="AB36" s="507"/>
      <c r="AC36" s="507"/>
      <c r="AD36" s="507"/>
      <c r="AE36" s="507"/>
      <c r="AF36" s="507"/>
      <c r="AG36" s="508"/>
      <c r="AM36" s="511"/>
      <c r="AN36" s="506"/>
      <c r="AO36" s="512"/>
      <c r="AP36" s="446"/>
      <c r="AQ36" s="446"/>
      <c r="AR36" s="446"/>
      <c r="AS36" s="446"/>
      <c r="AT36" s="446"/>
      <c r="AU36" s="446"/>
      <c r="AV36" s="446"/>
      <c r="AW36" s="446"/>
    </row>
    <row r="37" spans="19:49">
      <c r="Y37"/>
      <c r="Z37" s="510"/>
      <c r="AA37" s="507"/>
      <c r="AB37" s="507"/>
      <c r="AC37" s="507"/>
      <c r="AD37" s="507"/>
      <c r="AE37" s="507"/>
      <c r="AF37" s="507"/>
      <c r="AG37" s="508"/>
      <c r="AM37" s="513"/>
      <c r="AN37" s="506"/>
      <c r="AO37" s="512"/>
      <c r="AP37" s="446"/>
      <c r="AQ37" s="446"/>
      <c r="AR37" s="446"/>
      <c r="AS37" s="446"/>
      <c r="AT37" s="446"/>
      <c r="AU37" s="446"/>
      <c r="AV37" s="446"/>
      <c r="AW37" s="446"/>
    </row>
    <row r="38" spans="19:49" ht="14.4" customHeight="1">
      <c r="Y38"/>
      <c r="Z38" s="510"/>
      <c r="AA38" s="507"/>
      <c r="AB38" s="507"/>
      <c r="AC38" s="507"/>
      <c r="AD38" s="507"/>
      <c r="AE38" s="507"/>
      <c r="AF38" s="507"/>
      <c r="AG38" s="508"/>
      <c r="AM38" s="446"/>
      <c r="AN38" s="446"/>
      <c r="AO38" s="446"/>
      <c r="AP38" s="446"/>
      <c r="AQ38" s="446"/>
      <c r="AR38" s="446"/>
      <c r="AS38" s="446"/>
      <c r="AT38" s="446"/>
      <c r="AU38" s="446"/>
      <c r="AV38" s="446"/>
      <c r="AW38" s="446"/>
    </row>
    <row r="39" spans="19:49" ht="14.4" customHeight="1">
      <c r="Y39"/>
      <c r="Z39" s="510"/>
      <c r="AA39" s="507"/>
      <c r="AB39" s="507"/>
      <c r="AC39" s="507"/>
      <c r="AD39" s="507"/>
      <c r="AE39" s="507"/>
      <c r="AF39" s="507"/>
      <c r="AG39" s="508"/>
      <c r="AL39" s="502"/>
      <c r="AM39" s="446"/>
      <c r="AN39" s="446"/>
      <c r="AO39" s="446"/>
      <c r="AP39" s="446"/>
      <c r="AQ39" s="446"/>
      <c r="AR39" s="446"/>
      <c r="AS39" s="446"/>
      <c r="AT39" s="446"/>
      <c r="AU39" s="446"/>
      <c r="AV39" s="446"/>
      <c r="AW39" s="446"/>
    </row>
    <row r="40" spans="19:49" ht="14.4" customHeight="1">
      <c r="Y40"/>
      <c r="Z40" s="510"/>
      <c r="AA40" s="507"/>
      <c r="AB40" s="507"/>
      <c r="AC40" s="507"/>
      <c r="AD40" s="507"/>
      <c r="AE40" s="507"/>
      <c r="AF40" s="507"/>
      <c r="AG40" s="508"/>
      <c r="AM40" s="446"/>
      <c r="AN40" s="446"/>
      <c r="AO40" s="446"/>
      <c r="AP40" s="446"/>
      <c r="AQ40" s="446"/>
      <c r="AR40" s="446"/>
      <c r="AS40" s="446"/>
      <c r="AT40" s="446"/>
      <c r="AU40" s="446"/>
      <c r="AV40" s="446"/>
      <c r="AW40" s="446"/>
    </row>
    <row r="41" spans="19:49">
      <c r="Y41"/>
      <c r="Z41" s="510"/>
      <c r="AA41" s="507"/>
      <c r="AB41" s="507"/>
      <c r="AC41" s="507"/>
      <c r="AD41" s="507"/>
      <c r="AE41" s="507"/>
      <c r="AF41" s="507"/>
      <c r="AG41" s="508"/>
      <c r="AM41" s="446"/>
      <c r="AN41" s="446"/>
      <c r="AO41" s="446"/>
      <c r="AP41" s="446"/>
      <c r="AQ41" s="446"/>
      <c r="AR41" s="446"/>
      <c r="AS41" s="446"/>
      <c r="AT41" s="446"/>
      <c r="AU41" s="446"/>
      <c r="AV41" s="446"/>
      <c r="AW41" s="446"/>
    </row>
    <row r="42" spans="19:49" ht="15" customHeight="1">
      <c r="Y42"/>
      <c r="Z42" s="510"/>
      <c r="AA42" s="507"/>
      <c r="AB42" s="507"/>
      <c r="AC42" s="507"/>
      <c r="AD42" s="507"/>
      <c r="AE42" s="507"/>
      <c r="AF42" s="507"/>
      <c r="AG42" s="508"/>
      <c r="AM42" s="446"/>
      <c r="AN42" s="446"/>
      <c r="AO42" s="446"/>
      <c r="AP42" s="446"/>
      <c r="AQ42" s="446"/>
      <c r="AR42" s="446"/>
      <c r="AS42" s="446"/>
      <c r="AT42" s="446"/>
      <c r="AU42" s="446"/>
      <c r="AV42" s="446"/>
      <c r="AW42" s="446"/>
    </row>
    <row r="43" spans="19:49" ht="15" customHeight="1">
      <c r="Y43"/>
      <c r="Z43" s="510"/>
      <c r="AA43" s="507"/>
      <c r="AB43" s="507"/>
      <c r="AC43" s="507"/>
      <c r="AD43" s="507"/>
      <c r="AE43" s="507"/>
      <c r="AF43" s="507"/>
      <c r="AG43" s="508"/>
    </row>
    <row r="44" spans="19:49" ht="15" customHeight="1">
      <c r="Y44"/>
      <c r="Z44" s="510"/>
      <c r="AA44" s="507"/>
      <c r="AB44" s="507"/>
      <c r="AC44" s="507"/>
      <c r="AD44" s="507"/>
      <c r="AE44" s="507"/>
      <c r="AF44" s="507"/>
      <c r="AG44" s="508"/>
    </row>
    <row r="45" spans="19:49" ht="15" customHeight="1">
      <c r="Y45"/>
      <c r="Z45" s="510"/>
      <c r="AA45" s="507"/>
      <c r="AB45" s="507"/>
      <c r="AC45" s="507"/>
      <c r="AD45" s="507"/>
      <c r="AE45" s="507"/>
      <c r="AF45" s="507"/>
      <c r="AG45" s="508"/>
    </row>
    <row r="46" spans="19:49" ht="15" customHeight="1">
      <c r="W46" s="514"/>
      <c r="Y46"/>
      <c r="Z46" s="510"/>
      <c r="AA46" s="507"/>
      <c r="AB46" s="507"/>
      <c r="AC46" s="507"/>
      <c r="AD46" s="507"/>
      <c r="AE46" s="507"/>
      <c r="AF46" s="507"/>
      <c r="AG46" s="508"/>
    </row>
    <row r="47" spans="19:49" ht="4.95" customHeight="1">
      <c r="Z47" s="515"/>
      <c r="AA47" s="516"/>
      <c r="AB47" s="516"/>
      <c r="AC47" s="516"/>
      <c r="AD47" s="516"/>
      <c r="AG47" s="445"/>
      <c r="AI47" s="330" t="s">
        <v>92</v>
      </c>
    </row>
    <row r="48" spans="19:49" ht="20.100000000000001" customHeight="1">
      <c r="Z48" s="517"/>
      <c r="AA48" s="516"/>
      <c r="AB48" s="516"/>
      <c r="AC48" s="516"/>
      <c r="AD48" s="516"/>
      <c r="AG48" s="445"/>
    </row>
    <row r="49" spans="1:48" s="435" customFormat="1" ht="28.95" customHeight="1" thickBot="1">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c r="AF49" s="305"/>
      <c r="AG49" s="306"/>
      <c r="AL49" s="437"/>
      <c r="AM49" s="437"/>
      <c r="AN49" s="437"/>
      <c r="AO49" s="437"/>
      <c r="AP49" s="437"/>
      <c r="AQ49" s="437"/>
      <c r="AR49" s="437"/>
      <c r="AS49" s="437"/>
      <c r="AT49" s="437"/>
      <c r="AU49" s="437"/>
      <c r="AV49" s="437"/>
    </row>
    <row r="50" spans="1:48" s="411" customFormat="1" ht="19.95" customHeight="1" thickBot="1">
      <c r="A50" s="307"/>
      <c r="B50" s="307"/>
      <c r="C50" s="307"/>
      <c r="D50" s="307"/>
      <c r="E50" s="307"/>
      <c r="F50" s="307"/>
      <c r="G50" s="307"/>
      <c r="H50" s="307"/>
      <c r="I50" s="307"/>
      <c r="J50" s="307"/>
      <c r="K50" s="308" t="s">
        <v>93</v>
      </c>
      <c r="L50" s="307"/>
      <c r="M50" s="307"/>
      <c r="N50" s="307"/>
      <c r="O50" s="307"/>
      <c r="P50" s="307"/>
      <c r="Q50" s="307"/>
      <c r="R50" s="307"/>
      <c r="S50" s="307"/>
      <c r="T50" s="307"/>
      <c r="U50" s="309"/>
      <c r="V50" s="310" t="s">
        <v>94</v>
      </c>
      <c r="W50" s="310"/>
      <c r="X50" s="310"/>
      <c r="Y50" s="310"/>
      <c r="Z50" s="310"/>
      <c r="AA50" s="310"/>
      <c r="AB50" s="310"/>
      <c r="AC50" s="310"/>
      <c r="AD50" s="310"/>
      <c r="AE50" s="310"/>
      <c r="AF50" s="310"/>
      <c r="AG50" s="311"/>
      <c r="AH50" s="441"/>
      <c r="AI50" s="441"/>
      <c r="AJ50" s="441"/>
      <c r="AK50" s="441"/>
      <c r="AL50" s="441"/>
      <c r="AM50" s="441"/>
      <c r="AN50" s="441"/>
      <c r="AO50" s="441"/>
      <c r="AP50" s="441"/>
    </row>
    <row r="51" spans="1:48" s="519" customFormat="1" ht="19.95" customHeight="1" thickBot="1">
      <c r="A51" s="273"/>
      <c r="B51" s="273"/>
      <c r="C51" s="273"/>
      <c r="D51" s="273"/>
      <c r="E51" s="273"/>
      <c r="F51" s="273"/>
      <c r="G51" s="273"/>
      <c r="H51" s="273"/>
      <c r="I51" s="273"/>
      <c r="J51" s="282"/>
      <c r="K51" s="1433" t="s">
        <v>96</v>
      </c>
      <c r="L51" s="1433"/>
      <c r="M51" s="1433"/>
      <c r="N51" s="1433"/>
      <c r="O51" s="1433"/>
      <c r="P51" s="1433"/>
      <c r="Q51" s="1433"/>
      <c r="R51" s="1433"/>
      <c r="S51" s="1433"/>
      <c r="T51" s="1433"/>
      <c r="U51" s="1434"/>
      <c r="V51" s="283" t="s">
        <v>97</v>
      </c>
      <c r="W51" s="283"/>
      <c r="X51" s="283"/>
      <c r="Y51" s="283"/>
      <c r="Z51" s="283"/>
      <c r="AA51" s="283"/>
      <c r="AB51" s="283"/>
      <c r="AC51" s="283"/>
      <c r="AD51" s="1340" t="s">
        <v>98</v>
      </c>
      <c r="AE51" s="1340"/>
      <c r="AF51" s="1340"/>
      <c r="AG51" s="1341"/>
      <c r="AH51" s="518"/>
      <c r="AI51" s="518"/>
      <c r="AJ51" s="518"/>
      <c r="AK51" s="518"/>
      <c r="AL51" s="518"/>
      <c r="AM51" s="518"/>
    </row>
    <row r="52" spans="1:48" ht="15.75" customHeight="1">
      <c r="A52" s="1439"/>
      <c r="B52" s="1462" t="s">
        <v>84</v>
      </c>
      <c r="C52" s="278" t="s">
        <v>100</v>
      </c>
      <c r="D52" s="279"/>
      <c r="E52" s="279"/>
      <c r="F52" s="279"/>
      <c r="G52" s="280"/>
      <c r="H52" s="1447" t="s">
        <v>101</v>
      </c>
      <c r="I52" s="1447" t="s">
        <v>102</v>
      </c>
      <c r="J52" s="1445" t="s">
        <v>103</v>
      </c>
      <c r="K52" s="1451" t="s">
        <v>96</v>
      </c>
      <c r="L52" s="1452"/>
      <c r="M52" s="1449" t="s">
        <v>104</v>
      </c>
      <c r="N52" s="1456" t="s">
        <v>105</v>
      </c>
      <c r="O52" s="1456" t="s">
        <v>106</v>
      </c>
      <c r="P52" s="1455" t="s">
        <v>107</v>
      </c>
      <c r="Q52" s="1367" t="s">
        <v>102</v>
      </c>
      <c r="R52" s="1368"/>
      <c r="S52" s="1368"/>
      <c r="T52" s="1368"/>
      <c r="U52" s="1368"/>
      <c r="V52" s="1437" t="s">
        <v>108</v>
      </c>
      <c r="W52" s="1382" t="s">
        <v>109</v>
      </c>
      <c r="X52" s="1383"/>
      <c r="Y52" s="1382" t="s">
        <v>110</v>
      </c>
      <c r="Z52" s="1383"/>
      <c r="AA52" s="1354" t="s">
        <v>111</v>
      </c>
      <c r="AB52" s="1354" t="s">
        <v>112</v>
      </c>
      <c r="AC52" s="1356" t="s">
        <v>113</v>
      </c>
      <c r="AE52"/>
      <c r="AF52"/>
      <c r="AG52" s="312"/>
      <c r="AH52"/>
      <c r="AI52"/>
      <c r="AJ52"/>
      <c r="AK52"/>
    </row>
    <row r="53" spans="1:48" ht="15" customHeight="1">
      <c r="A53" s="1440"/>
      <c r="B53" s="1463"/>
      <c r="C53" s="281" t="s">
        <v>114</v>
      </c>
      <c r="D53" s="281" t="s">
        <v>115</v>
      </c>
      <c r="E53" s="281" t="s">
        <v>116</v>
      </c>
      <c r="F53" s="281" t="s">
        <v>117</v>
      </c>
      <c r="G53" s="281" t="s">
        <v>118</v>
      </c>
      <c r="H53" s="1448"/>
      <c r="I53" s="1448"/>
      <c r="J53" s="1446"/>
      <c r="K53" s="1453"/>
      <c r="L53" s="1454"/>
      <c r="M53" s="1450"/>
      <c r="N53" s="1457"/>
      <c r="O53" s="1457"/>
      <c r="P53" s="1372"/>
      <c r="Q53" s="1371" t="s">
        <v>119</v>
      </c>
      <c r="R53" s="1371" t="s">
        <v>120</v>
      </c>
      <c r="S53" s="1371" t="s">
        <v>121</v>
      </c>
      <c r="T53" s="1371" t="s">
        <v>122</v>
      </c>
      <c r="U53" s="1369" t="s">
        <v>123</v>
      </c>
      <c r="V53" s="1438"/>
      <c r="W53" s="1435"/>
      <c r="X53" s="1436"/>
      <c r="Y53" s="1384"/>
      <c r="Z53" s="1385"/>
      <c r="AA53" s="1355"/>
      <c r="AB53" s="1355"/>
      <c r="AC53" s="1357"/>
      <c r="AE53"/>
      <c r="AF53"/>
      <c r="AG53" s="312"/>
      <c r="AH53"/>
      <c r="AI53"/>
      <c r="AJ53"/>
      <c r="AK53"/>
    </row>
    <row r="54" spans="1:48" s="509" customFormat="1" ht="18.600000000000001" customHeight="1">
      <c r="A54" s="1224"/>
      <c r="B54" s="374">
        <f>IF('Quality-Stat'!D13="","",'Quality-Stat'!D13)</f>
        <v>0</v>
      </c>
      <c r="C54" s="374">
        <f>IF('Quality-Stat'!E13="","",'Quality-Stat'!E13)</f>
        <v>0</v>
      </c>
      <c r="D54" s="374">
        <f>IF('Quality-Stat'!F13="","",'Quality-Stat'!F13)</f>
        <v>0</v>
      </c>
      <c r="E54" s="374">
        <f>IF('Quality-Stat'!G13="","",'Quality-Stat'!G13)</f>
        <v>0</v>
      </c>
      <c r="F54" s="374">
        <f>IF('Quality-Stat'!H13="","",'Quality-Stat'!H13)</f>
        <v>0</v>
      </c>
      <c r="G54" s="374">
        <f>IF('Quality-Stat'!I13="","",'Quality-Stat'!I13)</f>
        <v>0</v>
      </c>
      <c r="H54" s="374">
        <f>IF('Quality-Stat'!J13="","",'Quality-Stat'!J13)</f>
        <v>0</v>
      </c>
      <c r="I54" s="374">
        <f>IF('Quality-Stat'!K13="","",'Quality-Stat'!K13)</f>
        <v>0</v>
      </c>
      <c r="J54" s="374">
        <f>IF('Quality-Stat'!L13="","",'Quality-Stat'!L13)</f>
        <v>0</v>
      </c>
      <c r="K54" s="1453"/>
      <c r="L54" s="1454"/>
      <c r="M54" s="1450"/>
      <c r="N54" s="1457"/>
      <c r="O54" s="1457"/>
      <c r="P54" s="1372"/>
      <c r="Q54" s="1372"/>
      <c r="R54" s="1372"/>
      <c r="S54" s="1372"/>
      <c r="T54" s="1372"/>
      <c r="U54" s="1370"/>
      <c r="V54" s="1332" t="s">
        <v>124</v>
      </c>
      <c r="W54" s="1350" t="str">
        <f>'HSE-Stat'!B4</f>
        <v>Total Hours Worked</v>
      </c>
      <c r="X54" s="1351"/>
      <c r="Y54" s="1362">
        <f>'HSE-Stat'!D4</f>
        <v>7560</v>
      </c>
      <c r="Z54" s="1363"/>
      <c r="AA54" s="313">
        <f>'HSE-Stat'!E4</f>
        <v>15120</v>
      </c>
      <c r="AB54" s="314">
        <f>'HSE-Stat'!F4</f>
        <v>192100</v>
      </c>
      <c r="AC54" s="315">
        <f>'HSE-Stat'!G4</f>
        <v>192100</v>
      </c>
      <c r="AE54"/>
      <c r="AF54" t="s">
        <v>125</v>
      </c>
      <c r="AG54" s="316">
        <f>+SUM(AC65:AC69)</f>
        <v>102</v>
      </c>
      <c r="AH54"/>
      <c r="AI54"/>
      <c r="AJ54"/>
      <c r="AK54"/>
      <c r="AL54"/>
    </row>
    <row r="55" spans="1:48" ht="18.600000000000001" customHeight="1">
      <c r="A55" s="1222"/>
      <c r="B55" s="374">
        <f>IF('Quality-Stat'!D14="","",'Quality-Stat'!D14)</f>
        <v>25</v>
      </c>
      <c r="C55" s="374">
        <f>IF('Quality-Stat'!E14="","",'Quality-Stat'!E14)</f>
        <v>0</v>
      </c>
      <c r="D55" s="374">
        <f>IF('Quality-Stat'!F14="","",'Quality-Stat'!F14)</f>
        <v>17</v>
      </c>
      <c r="E55" s="374">
        <f>IF('Quality-Stat'!G14="","",'Quality-Stat'!G14)</f>
        <v>0</v>
      </c>
      <c r="F55" s="374">
        <f>IF('Quality-Stat'!H14="","",'Quality-Stat'!H14)</f>
        <v>0</v>
      </c>
      <c r="G55" s="374">
        <f>IF('Quality-Stat'!I14="","",'Quality-Stat'!I14)</f>
        <v>17</v>
      </c>
      <c r="H55" s="374">
        <f>IF('Quality-Stat'!J14="","",'Quality-Stat'!J14)</f>
        <v>8</v>
      </c>
      <c r="I55" s="374">
        <f>IF('Quality-Stat'!K14="","",'Quality-Stat'!K14)</f>
        <v>8</v>
      </c>
      <c r="J55" s="374">
        <f>IF('Quality-Stat'!L14="","",'Quality-Stat'!L14)</f>
        <v>25</v>
      </c>
      <c r="K55" s="1521" t="s">
        <v>126</v>
      </c>
      <c r="L55" s="1522"/>
      <c r="M55" s="317">
        <f>'Quality-Stat'!D5</f>
        <v>2</v>
      </c>
      <c r="N55" s="317">
        <f>'Quality-Stat'!E5</f>
        <v>2</v>
      </c>
      <c r="O55" s="317">
        <f>'Quality-Stat'!F5</f>
        <v>0</v>
      </c>
      <c r="P55" s="317">
        <f>'Quality-Stat'!G5</f>
        <v>3</v>
      </c>
      <c r="Q55" s="317">
        <f>'Quality-Stat'!H5</f>
        <v>0</v>
      </c>
      <c r="R55" s="317">
        <f>'Quality-Stat'!I5</f>
        <v>0</v>
      </c>
      <c r="S55" s="317">
        <f>'Quality-Stat'!J5</f>
        <v>0</v>
      </c>
      <c r="T55" s="317">
        <f>'Quality-Stat'!K5</f>
        <v>0</v>
      </c>
      <c r="U55" s="317">
        <f>'Quality-Stat'!L5</f>
        <v>0</v>
      </c>
      <c r="V55" s="1333"/>
      <c r="W55" s="1338" t="str">
        <f>'HSE-Stat'!B5</f>
        <v>Safe Hours Worked</v>
      </c>
      <c r="X55" s="1339"/>
      <c r="Y55" s="1358">
        <f>'HSE-Stat'!D5</f>
        <v>7560</v>
      </c>
      <c r="Z55" s="1359"/>
      <c r="AA55" s="318">
        <f>'HSE-Stat'!E5</f>
        <v>15120</v>
      </c>
      <c r="AB55" s="319">
        <f>'HSE-Stat'!F5</f>
        <v>192100</v>
      </c>
      <c r="AC55" s="320">
        <f>'HSE-Stat'!G5</f>
        <v>192100</v>
      </c>
      <c r="AE55"/>
      <c r="AF55" t="s">
        <v>127</v>
      </c>
      <c r="AG55" s="316">
        <f>SUM(AC56:AC64)</f>
        <v>1</v>
      </c>
      <c r="AH55"/>
      <c r="AI55"/>
      <c r="AJ55"/>
      <c r="AK55"/>
      <c r="AL55"/>
    </row>
    <row r="56" spans="1:48" ht="18.600000000000001" customHeight="1">
      <c r="A56" s="1222"/>
      <c r="B56" s="374">
        <f>IF('Quality-Stat'!D15="","",'Quality-Stat'!D15)</f>
        <v>0</v>
      </c>
      <c r="C56" s="374">
        <f>IF('Quality-Stat'!E15="","",'Quality-Stat'!E15)</f>
        <v>0</v>
      </c>
      <c r="D56" s="374">
        <f>IF('Quality-Stat'!F15="","",'Quality-Stat'!F15)</f>
        <v>0</v>
      </c>
      <c r="E56" s="374">
        <f>IF('Quality-Stat'!G15="","",'Quality-Stat'!G15)</f>
        <v>0</v>
      </c>
      <c r="F56" s="374">
        <f>IF('Quality-Stat'!H15="","",'Quality-Stat'!H15)</f>
        <v>0</v>
      </c>
      <c r="G56" s="374">
        <f>IF('Quality-Stat'!I15="","",'Quality-Stat'!I15)</f>
        <v>0</v>
      </c>
      <c r="H56" s="374">
        <f>IF('Quality-Stat'!J15="","",'Quality-Stat'!J15)</f>
        <v>0</v>
      </c>
      <c r="I56" s="374">
        <f>IF('Quality-Stat'!K15="","",'Quality-Stat'!K15)</f>
        <v>0</v>
      </c>
      <c r="J56" s="374">
        <f>IF('Quality-Stat'!L15="","",'Quality-Stat'!L15)</f>
        <v>0</v>
      </c>
      <c r="K56" s="1316" t="s">
        <v>128</v>
      </c>
      <c r="L56" s="1317"/>
      <c r="M56" s="317">
        <f>'Quality-Stat'!D6</f>
        <v>25</v>
      </c>
      <c r="N56" s="317">
        <f>'Quality-Stat'!E6</f>
        <v>24</v>
      </c>
      <c r="O56" s="317">
        <f>'Quality-Stat'!F6</f>
        <v>1</v>
      </c>
      <c r="P56" s="317">
        <f>'Quality-Stat'!G6</f>
        <v>3</v>
      </c>
      <c r="Q56" s="317">
        <f>'Quality-Stat'!H6</f>
        <v>1</v>
      </c>
      <c r="R56" s="317">
        <f>'Quality-Stat'!I6</f>
        <v>0</v>
      </c>
      <c r="S56" s="317">
        <f>'Quality-Stat'!J6</f>
        <v>0</v>
      </c>
      <c r="T56" s="317">
        <f>'Quality-Stat'!K6</f>
        <v>0</v>
      </c>
      <c r="U56" s="317">
        <f>'Quality-Stat'!L6</f>
        <v>0</v>
      </c>
      <c r="V56" s="1332" t="s">
        <v>127</v>
      </c>
      <c r="W56" s="1338" t="str">
        <f>'HSE-Stat'!B6</f>
        <v>LTI</v>
      </c>
      <c r="X56" s="1339"/>
      <c r="Y56" s="1358">
        <f>'HSE-Stat'!D6</f>
        <v>0</v>
      </c>
      <c r="Z56" s="1359"/>
      <c r="AA56" s="318">
        <f>'HSE-Stat'!E6</f>
        <v>0</v>
      </c>
      <c r="AB56" s="319">
        <f>'HSE-Stat'!F6</f>
        <v>0</v>
      </c>
      <c r="AC56" s="320">
        <f>'HSE-Stat'!G6</f>
        <v>0</v>
      </c>
      <c r="AE56"/>
      <c r="AF56"/>
      <c r="AG56" s="312"/>
      <c r="AH56"/>
      <c r="AI56"/>
      <c r="AJ56"/>
      <c r="AK56"/>
      <c r="AL56"/>
    </row>
    <row r="57" spans="1:48" ht="18.600000000000001" customHeight="1">
      <c r="A57" s="1222"/>
      <c r="B57" s="374">
        <f>IF('Quality-Stat'!D16="","",'Quality-Stat'!D16)</f>
        <v>0</v>
      </c>
      <c r="C57" s="374">
        <f>IF('Quality-Stat'!E16="","",'Quality-Stat'!E16)</f>
        <v>0</v>
      </c>
      <c r="D57" s="374">
        <f>IF('Quality-Stat'!F16="","",'Quality-Stat'!F16)</f>
        <v>0</v>
      </c>
      <c r="E57" s="374">
        <f>IF('Quality-Stat'!G16="","",'Quality-Stat'!G16)</f>
        <v>0</v>
      </c>
      <c r="F57" s="374">
        <f>IF('Quality-Stat'!H16="","",'Quality-Stat'!H16)</f>
        <v>0</v>
      </c>
      <c r="G57" s="374">
        <f>IF('Quality-Stat'!I16="","",'Quality-Stat'!I16)</f>
        <v>0</v>
      </c>
      <c r="H57" s="374">
        <f>IF('Quality-Stat'!J16="","",'Quality-Stat'!J16)</f>
        <v>0</v>
      </c>
      <c r="I57" s="374">
        <f>IF('Quality-Stat'!K16="","",'Quality-Stat'!K16)</f>
        <v>0</v>
      </c>
      <c r="J57" s="374">
        <f>IF('Quality-Stat'!L16="","",'Quality-Stat'!L16)</f>
        <v>0</v>
      </c>
      <c r="K57" s="1316" t="s">
        <v>129</v>
      </c>
      <c r="L57" s="1317"/>
      <c r="M57" s="317">
        <f>'Quality-Stat'!D7</f>
        <v>31</v>
      </c>
      <c r="N57" s="317">
        <f>'Quality-Stat'!E7</f>
        <v>31</v>
      </c>
      <c r="O57" s="317">
        <f>'Quality-Stat'!F7</f>
        <v>0</v>
      </c>
      <c r="P57" s="317">
        <f>'Quality-Stat'!G7</f>
        <v>5</v>
      </c>
      <c r="Q57" s="317">
        <f>'Quality-Stat'!H7</f>
        <v>0</v>
      </c>
      <c r="R57" s="317">
        <f>'Quality-Stat'!I7</f>
        <v>0</v>
      </c>
      <c r="S57" s="317">
        <f>'Quality-Stat'!J7</f>
        <v>0</v>
      </c>
      <c r="T57" s="317">
        <f>'Quality-Stat'!K7</f>
        <v>0</v>
      </c>
      <c r="U57" s="317">
        <f>'Quality-Stat'!L7</f>
        <v>0</v>
      </c>
      <c r="V57" s="1333"/>
      <c r="W57" s="1352" t="str">
        <f>'HSE-Stat'!B7</f>
        <v>MTC (Healed w/o Disability)</v>
      </c>
      <c r="X57" s="1353"/>
      <c r="Y57" s="1358">
        <f>'HSE-Stat'!D7</f>
        <v>0</v>
      </c>
      <c r="Z57" s="1359"/>
      <c r="AA57" s="318">
        <f>'HSE-Stat'!E7</f>
        <v>0</v>
      </c>
      <c r="AB57" s="319">
        <f>'HSE-Stat'!F7</f>
        <v>0</v>
      </c>
      <c r="AC57" s="320">
        <f>'HSE-Stat'!G7</f>
        <v>0</v>
      </c>
      <c r="AE57"/>
      <c r="AF57"/>
      <c r="AG57" s="312"/>
      <c r="AH57"/>
      <c r="AI57"/>
      <c r="AJ57"/>
      <c r="AK57"/>
      <c r="AL57"/>
    </row>
    <row r="58" spans="1:48" ht="18.600000000000001" customHeight="1">
      <c r="A58" s="1223"/>
      <c r="B58" s="374">
        <f>IF('Quality-Stat'!D17="","",'Quality-Stat'!D17)</f>
        <v>11</v>
      </c>
      <c r="C58" s="374">
        <f>IF('Quality-Stat'!E17="","",'Quality-Stat'!E17)</f>
        <v>0</v>
      </c>
      <c r="D58" s="374">
        <f>IF('Quality-Stat'!F17="","",'Quality-Stat'!F17)</f>
        <v>11</v>
      </c>
      <c r="E58" s="374">
        <f>IF('Quality-Stat'!G17="","",'Quality-Stat'!G17)</f>
        <v>0</v>
      </c>
      <c r="F58" s="374">
        <f>IF('Quality-Stat'!H17="","",'Quality-Stat'!H17)</f>
        <v>0</v>
      </c>
      <c r="G58" s="374">
        <f>IF('Quality-Stat'!I17="","",'Quality-Stat'!I17)</f>
        <v>11</v>
      </c>
      <c r="H58" s="374">
        <f>IF('Quality-Stat'!J17="","",'Quality-Stat'!J17)</f>
        <v>0</v>
      </c>
      <c r="I58" s="374">
        <f>IF('Quality-Stat'!K17="","",'Quality-Stat'!K17)</f>
        <v>0</v>
      </c>
      <c r="J58" s="374">
        <f>IF('Quality-Stat'!L17="","",'Quality-Stat'!L17)</f>
        <v>11</v>
      </c>
      <c r="K58" s="1318" t="s">
        <v>130</v>
      </c>
      <c r="L58" s="1319"/>
      <c r="M58" s="317">
        <f>'Quality-Stat'!D8</f>
        <v>910</v>
      </c>
      <c r="N58" s="317">
        <f>'Quality-Stat'!E8</f>
        <v>901</v>
      </c>
      <c r="O58" s="317">
        <f>'Quality-Stat'!F8</f>
        <v>9</v>
      </c>
      <c r="P58" s="317">
        <f>'Quality-Stat'!G8</f>
        <v>4</v>
      </c>
      <c r="Q58" s="317">
        <f>'Quality-Stat'!H8</f>
        <v>2</v>
      </c>
      <c r="R58" s="317">
        <f>'Quality-Stat'!I8</f>
        <v>0</v>
      </c>
      <c r="S58" s="317">
        <f>'Quality-Stat'!J8</f>
        <v>0</v>
      </c>
      <c r="T58" s="317">
        <f>'Quality-Stat'!K8</f>
        <v>0</v>
      </c>
      <c r="U58" s="317">
        <f>'Quality-Stat'!L8</f>
        <v>0</v>
      </c>
      <c r="V58" s="1333"/>
      <c r="W58" s="1352" t="str">
        <f>'HSE-Stat'!B8</f>
        <v>MTC (Healed w/ Disability)</v>
      </c>
      <c r="X58" s="1353"/>
      <c r="Y58" s="1358">
        <f>'HSE-Stat'!D8</f>
        <v>0</v>
      </c>
      <c r="Z58" s="1359"/>
      <c r="AA58" s="318">
        <f>'HSE-Stat'!E8</f>
        <v>0</v>
      </c>
      <c r="AB58" s="319">
        <f>'HSE-Stat'!F8</f>
        <v>0</v>
      </c>
      <c r="AC58" s="320">
        <f>'HSE-Stat'!G8</f>
        <v>0</v>
      </c>
      <c r="AE58"/>
      <c r="AF58"/>
      <c r="AG58" s="312"/>
      <c r="AH58"/>
      <c r="AI58"/>
      <c r="AJ58"/>
      <c r="AK58"/>
      <c r="AL58"/>
    </row>
    <row r="59" spans="1:48" ht="18.600000000000001" customHeight="1" thickBot="1">
      <c r="A59" s="1219"/>
      <c r="B59" s="321">
        <f t="shared" ref="B59:J59" si="14">SUM(B54:B58)</f>
        <v>36</v>
      </c>
      <c r="C59" s="321">
        <f t="shared" si="14"/>
        <v>0</v>
      </c>
      <c r="D59" s="321">
        <f t="shared" si="14"/>
        <v>28</v>
      </c>
      <c r="E59" s="321">
        <f t="shared" si="14"/>
        <v>0</v>
      </c>
      <c r="F59" s="321">
        <f t="shared" si="14"/>
        <v>0</v>
      </c>
      <c r="G59" s="321">
        <f t="shared" si="14"/>
        <v>28</v>
      </c>
      <c r="H59" s="321">
        <f t="shared" si="14"/>
        <v>8</v>
      </c>
      <c r="I59" s="321">
        <f t="shared" si="14"/>
        <v>8</v>
      </c>
      <c r="J59" s="321">
        <f t="shared" si="14"/>
        <v>36</v>
      </c>
      <c r="K59" s="322" t="s">
        <v>132</v>
      </c>
      <c r="L59" s="323"/>
      <c r="M59" s="324"/>
      <c r="N59" s="325"/>
      <c r="O59" s="325"/>
      <c r="P59" s="325"/>
      <c r="Q59" s="325"/>
      <c r="R59" s="325"/>
      <c r="S59" s="325"/>
      <c r="T59" s="326"/>
      <c r="U59" s="327"/>
      <c r="V59" s="1333"/>
      <c r="W59" s="1338" t="str">
        <f>'HSE-Stat'!B9</f>
        <v>Near Miss</v>
      </c>
      <c r="X59" s="1339"/>
      <c r="Y59" s="1358">
        <f>'HSE-Stat'!D9</f>
        <v>0</v>
      </c>
      <c r="Z59" s="1359"/>
      <c r="AA59" s="318">
        <f>'HSE-Stat'!E9</f>
        <v>1</v>
      </c>
      <c r="AB59" s="319">
        <f>'HSE-Stat'!F9</f>
        <v>1</v>
      </c>
      <c r="AC59" s="320">
        <f>'HSE-Stat'!G9</f>
        <v>1</v>
      </c>
      <c r="AE59"/>
      <c r="AF59"/>
      <c r="AG59" s="312"/>
      <c r="AH59"/>
      <c r="AI59"/>
      <c r="AJ59"/>
      <c r="AK59"/>
      <c r="AL59"/>
    </row>
    <row r="60" spans="1:48" ht="15" customHeight="1" thickBot="1">
      <c r="A60" s="273"/>
      <c r="B60" s="273"/>
      <c r="C60" s="273"/>
      <c r="D60" s="273"/>
      <c r="E60" s="273"/>
      <c r="F60" s="273"/>
      <c r="G60" s="273"/>
      <c r="H60" s="273"/>
      <c r="I60" s="273"/>
      <c r="J60" s="275"/>
      <c r="K60" s="1320" t="s">
        <v>134</v>
      </c>
      <c r="L60" s="1321"/>
      <c r="M60" s="1321"/>
      <c r="N60" s="1388">
        <f>+'General Information'!C27</f>
        <v>46110</v>
      </c>
      <c r="O60" s="1389"/>
      <c r="P60" s="1373" t="s">
        <v>135</v>
      </c>
      <c r="Q60" s="1325"/>
      <c r="R60" s="1325"/>
      <c r="S60" s="1325"/>
      <c r="T60" s="1335">
        <f>'General Information'!C39</f>
        <v>45717</v>
      </c>
      <c r="U60" s="1335"/>
      <c r="V60" s="1333"/>
      <c r="W60" s="1338" t="str">
        <f>'HSE-Stat'!B10</f>
        <v>First Aid Cases</v>
      </c>
      <c r="X60" s="1339"/>
      <c r="Y60" s="1358">
        <f>'HSE-Stat'!D10</f>
        <v>0</v>
      </c>
      <c r="Z60" s="1359"/>
      <c r="AA60" s="318">
        <f>'HSE-Stat'!E10</f>
        <v>0</v>
      </c>
      <c r="AB60" s="319">
        <f>'HSE-Stat'!F10</f>
        <v>0</v>
      </c>
      <c r="AC60" s="320">
        <f>'HSE-Stat'!G10</f>
        <v>0</v>
      </c>
      <c r="AD60" s="1545" t="s">
        <v>136</v>
      </c>
      <c r="AE60" s="1546"/>
      <c r="AF60" s="1546"/>
      <c r="AG60" s="1547"/>
    </row>
    <row r="61" spans="1:48" ht="15.45" customHeight="1">
      <c r="A61" s="1386"/>
      <c r="B61" s="1326" t="s">
        <v>84</v>
      </c>
      <c r="C61" s="276" t="s">
        <v>137</v>
      </c>
      <c r="D61" s="276"/>
      <c r="E61" s="276"/>
      <c r="F61" s="276"/>
      <c r="G61" s="276"/>
      <c r="H61" s="1328" t="s">
        <v>138</v>
      </c>
      <c r="I61" s="1404" t="s">
        <v>102</v>
      </c>
      <c r="J61" s="1322" t="s">
        <v>103</v>
      </c>
      <c r="K61" s="1324" t="s">
        <v>139</v>
      </c>
      <c r="L61" s="1325"/>
      <c r="M61" s="1325"/>
      <c r="N61" s="1337">
        <f>+'General Information'!C28</f>
        <v>46110</v>
      </c>
      <c r="O61" s="1337"/>
      <c r="P61" s="1373" t="s">
        <v>140</v>
      </c>
      <c r="Q61" s="1325"/>
      <c r="R61" s="1325"/>
      <c r="S61" s="1325"/>
      <c r="T61" s="1337">
        <f>'General Information'!C40</f>
        <v>1</v>
      </c>
      <c r="U61" s="1337"/>
      <c r="V61" s="1333"/>
      <c r="W61" s="1338" t="str">
        <f>'HSE-Stat'!B11</f>
        <v>Fatality</v>
      </c>
      <c r="X61" s="1339"/>
      <c r="Y61" s="1358">
        <f>'HSE-Stat'!D11</f>
        <v>0</v>
      </c>
      <c r="Z61" s="1359"/>
      <c r="AA61" s="318">
        <f>'HSE-Stat'!E11</f>
        <v>0</v>
      </c>
      <c r="AB61" s="319">
        <f>'HSE-Stat'!F11</f>
        <v>0</v>
      </c>
      <c r="AC61" s="320">
        <f>'HSE-Stat'!G11</f>
        <v>0</v>
      </c>
      <c r="AD61" s="1545"/>
      <c r="AE61" s="1546"/>
      <c r="AF61" s="1546"/>
      <c r="AG61" s="1547"/>
    </row>
    <row r="62" spans="1:48" ht="15.75" customHeight="1">
      <c r="A62" s="1387"/>
      <c r="B62" s="1327"/>
      <c r="C62" s="277" t="s">
        <v>114</v>
      </c>
      <c r="D62" s="277" t="s">
        <v>115</v>
      </c>
      <c r="E62" s="277" t="s">
        <v>116</v>
      </c>
      <c r="F62" s="277" t="s">
        <v>117</v>
      </c>
      <c r="G62" s="277" t="s">
        <v>118</v>
      </c>
      <c r="H62" s="1329" t="s">
        <v>141</v>
      </c>
      <c r="I62" s="1405"/>
      <c r="J62" s="1323"/>
      <c r="K62" s="1324" t="s">
        <v>142</v>
      </c>
      <c r="L62" s="1325"/>
      <c r="M62" s="1325"/>
      <c r="N62" s="1388">
        <f>+'General Information'!C31</f>
        <v>46090</v>
      </c>
      <c r="O62" s="1389"/>
      <c r="P62" s="1373" t="s">
        <v>143</v>
      </c>
      <c r="Q62" s="1325"/>
      <c r="R62" s="1325"/>
      <c r="S62" s="1325"/>
      <c r="T62" s="1335">
        <f>'General Information'!C41</f>
        <v>45717</v>
      </c>
      <c r="U62" s="1336"/>
      <c r="V62" s="1333"/>
      <c r="W62" s="1338" t="str">
        <f>'HSE-Stat'!B12</f>
        <v>Fire Incident Cases</v>
      </c>
      <c r="X62" s="1339"/>
      <c r="Y62" s="1358">
        <f>'HSE-Stat'!D12</f>
        <v>0</v>
      </c>
      <c r="Z62" s="1359"/>
      <c r="AA62" s="318">
        <f>'HSE-Stat'!E12</f>
        <v>0</v>
      </c>
      <c r="AB62" s="319">
        <f>'HSE-Stat'!F12</f>
        <v>0</v>
      </c>
      <c r="AC62" s="320">
        <f>'HSE-Stat'!G12</f>
        <v>0</v>
      </c>
      <c r="AE62"/>
      <c r="AF62"/>
      <c r="AG62" s="312"/>
    </row>
    <row r="63" spans="1:48" ht="18.600000000000001" customHeight="1">
      <c r="A63" s="1217"/>
      <c r="B63" s="374">
        <f>IF('Quality-Stat'!D30="","",'Quality-Stat'!D30)</f>
        <v>0</v>
      </c>
      <c r="C63" s="374">
        <f>IF('Quality-Stat'!E30="","",'Quality-Stat'!E30)</f>
        <v>0</v>
      </c>
      <c r="D63" s="374">
        <f>IF('Quality-Stat'!F30="","",'Quality-Stat'!F30)</f>
        <v>0</v>
      </c>
      <c r="E63" s="374">
        <f>IF('Quality-Stat'!G30="","",'Quality-Stat'!G30)</f>
        <v>0</v>
      </c>
      <c r="F63" s="374">
        <f>IF('Quality-Stat'!H30="","",'Quality-Stat'!H30)</f>
        <v>0</v>
      </c>
      <c r="G63" s="374">
        <f>IF('Quality-Stat'!I30="","",'Quality-Stat'!I30)</f>
        <v>0</v>
      </c>
      <c r="H63" s="374">
        <f>IF('Quality-Stat'!J30="","",'Quality-Stat'!J30)</f>
        <v>0</v>
      </c>
      <c r="I63" s="374">
        <f>IF('Quality-Stat'!K30="","",'Quality-Stat'!K30)</f>
        <v>0</v>
      </c>
      <c r="J63" s="374">
        <f>IF('Quality-Stat'!L30="","",'Quality-Stat'!L30)</f>
        <v>0</v>
      </c>
      <c r="K63" s="1324" t="s">
        <v>144</v>
      </c>
      <c r="L63" s="1325"/>
      <c r="M63" s="1325"/>
      <c r="N63" s="1337">
        <f>+'General Information'!C32</f>
        <v>46090</v>
      </c>
      <c r="O63" s="1337"/>
      <c r="P63" s="1373" t="s">
        <v>145</v>
      </c>
      <c r="Q63" s="1325"/>
      <c r="R63" s="1325"/>
      <c r="S63" s="1325"/>
      <c r="T63" s="1335">
        <f>+'General Information'!C44</f>
        <v>0</v>
      </c>
      <c r="U63" s="1336"/>
      <c r="V63" s="1333"/>
      <c r="W63" s="1338" t="str">
        <f>'HSE-Stat'!B13</f>
        <v>Vehicle Incident</v>
      </c>
      <c r="X63" s="1339"/>
      <c r="Y63" s="1358">
        <f>'HSE-Stat'!D13</f>
        <v>0</v>
      </c>
      <c r="Z63" s="1359"/>
      <c r="AA63" s="318">
        <f>'HSE-Stat'!E13</f>
        <v>0</v>
      </c>
      <c r="AB63" s="319">
        <f>'HSE-Stat'!F13</f>
        <v>0</v>
      </c>
      <c r="AC63" s="320">
        <f>'HSE-Stat'!G13</f>
        <v>0</v>
      </c>
      <c r="AE63"/>
      <c r="AF63"/>
      <c r="AG63" s="312"/>
    </row>
    <row r="64" spans="1:48" ht="18.600000000000001" customHeight="1">
      <c r="A64" s="1218"/>
      <c r="B64" s="374">
        <f>IF('Quality-Stat'!D31="","",'Quality-Stat'!D31)</f>
        <v>15</v>
      </c>
      <c r="C64" s="374">
        <f>IF('Quality-Stat'!E31="","",'Quality-Stat'!E31)</f>
        <v>0</v>
      </c>
      <c r="D64" s="374">
        <f>IF('Quality-Stat'!F31="","",'Quality-Stat'!F31)</f>
        <v>14</v>
      </c>
      <c r="E64" s="374">
        <f>IF('Quality-Stat'!G31="","",'Quality-Stat'!G31)</f>
        <v>0</v>
      </c>
      <c r="F64" s="374">
        <f>IF('Quality-Stat'!H31="","",'Quality-Stat'!H31)</f>
        <v>1</v>
      </c>
      <c r="G64" s="374">
        <f>IF('Quality-Stat'!I31="","",'Quality-Stat'!I31)</f>
        <v>14</v>
      </c>
      <c r="H64" s="374">
        <f>IF('Quality-Stat'!J31="","",'Quality-Stat'!J31)</f>
        <v>0</v>
      </c>
      <c r="I64" s="374">
        <f>IF('Quality-Stat'!K31="","",'Quality-Stat'!K31)</f>
        <v>0</v>
      </c>
      <c r="J64" s="374">
        <f>IF('Quality-Stat'!L31="","",'Quality-Stat'!L31)</f>
        <v>15</v>
      </c>
      <c r="K64" s="1324" t="s">
        <v>1018</v>
      </c>
      <c r="L64" s="1325"/>
      <c r="M64" s="1325"/>
      <c r="N64" s="1388">
        <f>+'General Information'!C48</f>
        <v>46072</v>
      </c>
      <c r="O64" s="1389"/>
      <c r="P64" s="1373" t="s">
        <v>146</v>
      </c>
      <c r="Q64" s="1325"/>
      <c r="R64" s="1325"/>
      <c r="S64" s="1325"/>
      <c r="T64" s="1337">
        <f>'General Information'!C45</f>
        <v>0</v>
      </c>
      <c r="U64" s="1337"/>
      <c r="V64" s="1334"/>
      <c r="W64" s="1338" t="str">
        <f>'HSE-Stat'!B14</f>
        <v>Property Damages</v>
      </c>
      <c r="X64" s="1339"/>
      <c r="Y64" s="1358">
        <f>'HSE-Stat'!D14</f>
        <v>0</v>
      </c>
      <c r="Z64" s="1359"/>
      <c r="AA64" s="318">
        <f>'HSE-Stat'!E14</f>
        <v>0</v>
      </c>
      <c r="AB64" s="319">
        <f>'HSE-Stat'!F14</f>
        <v>0</v>
      </c>
      <c r="AC64" s="320">
        <f>'HSE-Stat'!G14</f>
        <v>0</v>
      </c>
      <c r="AE64"/>
      <c r="AF64"/>
      <c r="AG64" s="312"/>
    </row>
    <row r="65" spans="1:33" ht="18.600000000000001" customHeight="1">
      <c r="A65" s="1218"/>
      <c r="B65" s="374">
        <f>IF('Quality-Stat'!D32="","",'Quality-Stat'!D32)</f>
        <v>33</v>
      </c>
      <c r="C65" s="374">
        <f>IF('Quality-Stat'!E32="","",'Quality-Stat'!E32)</f>
        <v>0</v>
      </c>
      <c r="D65" s="374">
        <f>IF('Quality-Stat'!F32="","",'Quality-Stat'!F32)</f>
        <v>32</v>
      </c>
      <c r="E65" s="374">
        <f>IF('Quality-Stat'!G32="","",'Quality-Stat'!G32)</f>
        <v>0</v>
      </c>
      <c r="F65" s="374">
        <f>IF('Quality-Stat'!H32="","",'Quality-Stat'!H32)</f>
        <v>1</v>
      </c>
      <c r="G65" s="374">
        <f>IF('Quality-Stat'!I32="","",'Quality-Stat'!I32)</f>
        <v>32</v>
      </c>
      <c r="H65" s="374">
        <f>IF('Quality-Stat'!J32="","",'Quality-Stat'!J32)</f>
        <v>0</v>
      </c>
      <c r="I65" s="374">
        <f>IF('Quality-Stat'!K32="","",'Quality-Stat'!K32)</f>
        <v>0</v>
      </c>
      <c r="J65" s="374">
        <f>IF('Quality-Stat'!L32="","",'Quality-Stat'!L32)</f>
        <v>33</v>
      </c>
      <c r="K65" s="1374" t="s">
        <v>147</v>
      </c>
      <c r="L65" s="1375"/>
      <c r="M65" s="1375"/>
      <c r="N65" s="1375"/>
      <c r="O65" s="1375"/>
      <c r="P65" s="1375"/>
      <c r="Q65" s="1375"/>
      <c r="R65" s="1375"/>
      <c r="S65" s="1375"/>
      <c r="T65" s="1375"/>
      <c r="U65" s="1376"/>
      <c r="V65" s="1332" t="s">
        <v>125</v>
      </c>
      <c r="W65" s="1338" t="str">
        <f>'HSE-Stat'!B15</f>
        <v xml:space="preserve">Induction Training </v>
      </c>
      <c r="X65" s="1339"/>
      <c r="Y65" s="1358">
        <f>'HSE-Stat'!D15</f>
        <v>0</v>
      </c>
      <c r="Z65" s="1359"/>
      <c r="AA65" s="318">
        <f>'HSE-Stat'!E15</f>
        <v>0</v>
      </c>
      <c r="AB65" s="319">
        <f>'HSE-Stat'!F15</f>
        <v>12</v>
      </c>
      <c r="AC65" s="320">
        <f>'HSE-Stat'!G15</f>
        <v>12</v>
      </c>
      <c r="AE65"/>
      <c r="AF65"/>
      <c r="AG65" s="312"/>
    </row>
    <row r="66" spans="1:33" ht="18.600000000000001" thickBot="1">
      <c r="A66" s="1218"/>
      <c r="B66" s="374">
        <f>IF('Quality-Stat'!D33="","",'Quality-Stat'!D33)</f>
        <v>0</v>
      </c>
      <c r="C66" s="374">
        <f>IF('Quality-Stat'!E33="","",'Quality-Stat'!E33)</f>
        <v>0</v>
      </c>
      <c r="D66" s="374">
        <f>IF('Quality-Stat'!F33="","",'Quality-Stat'!F33)</f>
        <v>0</v>
      </c>
      <c r="E66" s="374">
        <f>IF('Quality-Stat'!G33="","",'Quality-Stat'!G33)</f>
        <v>0</v>
      </c>
      <c r="F66" s="374">
        <f>IF('Quality-Stat'!H33="","",'Quality-Stat'!H33)</f>
        <v>0</v>
      </c>
      <c r="G66" s="374">
        <f>IF('Quality-Stat'!I33="","",'Quality-Stat'!I33)</f>
        <v>0</v>
      </c>
      <c r="H66" s="374">
        <f>IF('Quality-Stat'!J33="","",'Quality-Stat'!J33)</f>
        <v>0</v>
      </c>
      <c r="I66" s="374">
        <f>IF('Quality-Stat'!K33="","",'Quality-Stat'!K33)</f>
        <v>0</v>
      </c>
      <c r="J66" s="374">
        <f>IF('Quality-Stat'!L33="","",'Quality-Stat'!L33)</f>
        <v>0</v>
      </c>
      <c r="K66" s="1315" t="s">
        <v>148</v>
      </c>
      <c r="L66" s="1315"/>
      <c r="M66" s="328">
        <f>'Invoice Log'!U3</f>
        <v>0</v>
      </c>
      <c r="N66" s="1377" t="s">
        <v>149</v>
      </c>
      <c r="O66" s="1378"/>
      <c r="P66" s="1378"/>
      <c r="Q66" s="329">
        <f>'Invoice Log'!Y3</f>
        <v>34267317.164999999</v>
      </c>
      <c r="S66" s="331" t="s">
        <v>150</v>
      </c>
      <c r="T66" s="332">
        <f>N4</f>
        <v>52025516.000000007</v>
      </c>
      <c r="U66" s="333"/>
      <c r="V66" s="1333"/>
      <c r="W66" s="1338" t="str">
        <f>'HSE-Stat'!B16</f>
        <v>No.of Internal Training</v>
      </c>
      <c r="X66" s="1339"/>
      <c r="Y66" s="1358">
        <f>'HSE-Stat'!D16</f>
        <v>2</v>
      </c>
      <c r="Z66" s="1359"/>
      <c r="AA66" s="318">
        <f>'HSE-Stat'!E16</f>
        <v>3</v>
      </c>
      <c r="AB66" s="319">
        <f>'HSE-Stat'!F16</f>
        <v>38</v>
      </c>
      <c r="AC66" s="320">
        <f>'HSE-Stat'!G16</f>
        <v>38</v>
      </c>
      <c r="AE66"/>
      <c r="AF66"/>
      <c r="AG66" s="312"/>
    </row>
    <row r="67" spans="1:33" ht="18.600000000000001" thickBot="1">
      <c r="A67" s="1216"/>
      <c r="B67" s="374">
        <f>IF('Quality-Stat'!D34="","",'Quality-Stat'!D34)</f>
        <v>17</v>
      </c>
      <c r="C67" s="374">
        <f>IF('Quality-Stat'!E34="","",'Quality-Stat'!E34)</f>
        <v>0</v>
      </c>
      <c r="D67" s="374">
        <f>IF('Quality-Stat'!F34="","",'Quality-Stat'!F34)</f>
        <v>17</v>
      </c>
      <c r="E67" s="374">
        <f>IF('Quality-Stat'!G34="","",'Quality-Stat'!G34)</f>
        <v>0</v>
      </c>
      <c r="F67" s="374">
        <f>IF('Quality-Stat'!H34="","",'Quality-Stat'!H34)</f>
        <v>0</v>
      </c>
      <c r="G67" s="374">
        <f>IF('Quality-Stat'!I34="","",'Quality-Stat'!I34)</f>
        <v>17</v>
      </c>
      <c r="H67" s="374">
        <f>IF('Quality-Stat'!J34="","",'Quality-Stat'!J34)</f>
        <v>0</v>
      </c>
      <c r="I67" s="374">
        <f>IF('Quality-Stat'!K34="","",'Quality-Stat'!K34)</f>
        <v>0</v>
      </c>
      <c r="J67" s="374">
        <f>IF('Quality-Stat'!L34="","",'Quality-Stat'!L34)</f>
        <v>17</v>
      </c>
      <c r="K67" s="1315" t="s">
        <v>151</v>
      </c>
      <c r="L67" s="1315"/>
      <c r="M67" s="328">
        <f>'Invoice Log'!U5</f>
        <v>7</v>
      </c>
      <c r="N67" s="1377" t="s">
        <v>152</v>
      </c>
      <c r="O67" s="1378"/>
      <c r="P67" s="1378"/>
      <c r="Q67" s="334">
        <f>'Invoice Log'!Y5</f>
        <v>34269317.164999999</v>
      </c>
      <c r="S67" s="330" t="s">
        <v>153</v>
      </c>
      <c r="T67" s="335">
        <f>G21</f>
        <v>28740257.599999998</v>
      </c>
      <c r="U67" s="336"/>
      <c r="V67" s="1333"/>
      <c r="W67" s="1338" t="str">
        <f>'HSE-Stat'!B17</f>
        <v>No.of Internal Audit</v>
      </c>
      <c r="X67" s="1339"/>
      <c r="Y67" s="1358">
        <f>'HSE-Stat'!D17</f>
        <v>0</v>
      </c>
      <c r="Z67" s="1359"/>
      <c r="AA67" s="318">
        <f>'HSE-Stat'!E17</f>
        <v>2</v>
      </c>
      <c r="AB67" s="319">
        <f>'HSE-Stat'!F17</f>
        <v>2</v>
      </c>
      <c r="AC67" s="320">
        <f>'HSE-Stat'!G17</f>
        <v>2</v>
      </c>
      <c r="AE67"/>
      <c r="AF67"/>
      <c r="AG67" s="312"/>
    </row>
    <row r="68" spans="1:33" ht="18.600000000000001" thickBot="1">
      <c r="A68" s="1219"/>
      <c r="B68" s="337">
        <f t="shared" ref="B68:J68" si="15">SUM(B63:B67)</f>
        <v>65</v>
      </c>
      <c r="C68" s="337">
        <f t="shared" si="15"/>
        <v>0</v>
      </c>
      <c r="D68" s="337">
        <f t="shared" si="15"/>
        <v>63</v>
      </c>
      <c r="E68" s="337">
        <f t="shared" si="15"/>
        <v>0</v>
      </c>
      <c r="F68" s="337">
        <f t="shared" si="15"/>
        <v>2</v>
      </c>
      <c r="G68" s="337">
        <f t="shared" si="15"/>
        <v>63</v>
      </c>
      <c r="H68" s="337">
        <f t="shared" si="15"/>
        <v>0</v>
      </c>
      <c r="I68" s="337">
        <f t="shared" si="15"/>
        <v>0</v>
      </c>
      <c r="J68" s="338">
        <f t="shared" si="15"/>
        <v>65</v>
      </c>
      <c r="K68" s="1314" t="s">
        <v>154</v>
      </c>
      <c r="L68" s="1315"/>
      <c r="M68" s="328">
        <f>'Invoice Log'!U6</f>
        <v>6</v>
      </c>
      <c r="N68" s="1377" t="s">
        <v>155</v>
      </c>
      <c r="O68" s="1378"/>
      <c r="P68" s="1378"/>
      <c r="Q68" s="334">
        <f>'Invoice Log'!Y6</f>
        <v>31459715.307500001</v>
      </c>
      <c r="S68" s="339" t="s">
        <v>156</v>
      </c>
      <c r="T68" s="335">
        <f>H21</f>
        <v>40099753.100000001</v>
      </c>
      <c r="U68" s="336"/>
      <c r="V68" s="1333"/>
      <c r="W68" s="1338" t="str">
        <f>'HSE-Stat'!B18</f>
        <v>No. of Toolbox Talks</v>
      </c>
      <c r="X68" s="1339"/>
      <c r="Y68" s="1358">
        <f>'HSE-Stat'!D18</f>
        <v>1</v>
      </c>
      <c r="Z68" s="1359"/>
      <c r="AA68" s="318">
        <f>'HSE-Stat'!E18</f>
        <v>2</v>
      </c>
      <c r="AB68" s="319">
        <f>'HSE-Stat'!F18</f>
        <v>50</v>
      </c>
      <c r="AC68" s="320">
        <f>'HSE-Stat'!G18</f>
        <v>50</v>
      </c>
      <c r="AE68"/>
      <c r="AF68"/>
      <c r="AG68" s="312"/>
    </row>
    <row r="69" spans="1:33" ht="14.4" customHeight="1" thickBot="1">
      <c r="A69" s="273"/>
      <c r="B69" s="273"/>
      <c r="C69" s="273"/>
      <c r="D69" s="273"/>
      <c r="E69" s="273"/>
      <c r="F69" s="273"/>
      <c r="G69" s="273"/>
      <c r="H69" s="273"/>
      <c r="I69" s="273"/>
      <c r="J69" s="274"/>
      <c r="K69" s="1315" t="s">
        <v>158</v>
      </c>
      <c r="L69" s="1315"/>
      <c r="M69" s="328">
        <f>M67-M68</f>
        <v>1</v>
      </c>
      <c r="N69" s="1377" t="s">
        <v>159</v>
      </c>
      <c r="O69" s="1378"/>
      <c r="P69" s="1378"/>
      <c r="Q69" s="340"/>
      <c r="S69" s="339" t="s">
        <v>160</v>
      </c>
      <c r="T69" s="341">
        <f>Q66</f>
        <v>34267317.164999999</v>
      </c>
      <c r="U69" s="342"/>
      <c r="V69" s="1528"/>
      <c r="W69" s="1348" t="str">
        <f>'HSE-Stat'!B19</f>
        <v>Safety Awards/Incentives</v>
      </c>
      <c r="X69" s="1349"/>
      <c r="Y69" s="1525">
        <f>'HSE-Stat'!D19</f>
        <v>0</v>
      </c>
      <c r="Z69" s="1526"/>
      <c r="AA69" s="343">
        <f>'HSE-Stat'!E19</f>
        <v>0</v>
      </c>
      <c r="AB69" s="344">
        <f>'HSE-Stat'!F19</f>
        <v>0</v>
      </c>
      <c r="AC69" s="345">
        <f>'HSE-Stat'!G19</f>
        <v>0</v>
      </c>
      <c r="AE69"/>
      <c r="AF69"/>
      <c r="AG69" s="312"/>
    </row>
    <row r="70" spans="1:33" ht="14.4" customHeight="1" thickBot="1">
      <c r="A70" s="1523"/>
      <c r="B70" s="1519" t="s">
        <v>161</v>
      </c>
      <c r="C70" s="1519" t="s">
        <v>162</v>
      </c>
      <c r="D70" s="1519" t="s">
        <v>163</v>
      </c>
      <c r="E70" s="1519" t="s">
        <v>164</v>
      </c>
      <c r="F70" s="1519" t="s">
        <v>165</v>
      </c>
      <c r="G70" s="1519" t="s">
        <v>166</v>
      </c>
      <c r="H70" s="1400" t="s">
        <v>167</v>
      </c>
      <c r="I70" s="1400"/>
      <c r="J70" s="1400"/>
      <c r="K70" s="1315" t="s">
        <v>168</v>
      </c>
      <c r="L70" s="1315"/>
      <c r="M70" s="346">
        <f>'Invoice Log'!M3</f>
        <v>0</v>
      </c>
      <c r="N70" s="1377" t="s">
        <v>169</v>
      </c>
      <c r="O70" s="1378"/>
      <c r="P70" s="1378"/>
      <c r="Q70" s="334">
        <f>'Invoice Log'!Q3</f>
        <v>0</v>
      </c>
      <c r="S70" s="339" t="s">
        <v>170</v>
      </c>
      <c r="T70" s="341">
        <f>Q67</f>
        <v>34269317.164999999</v>
      </c>
      <c r="U70" s="347"/>
      <c r="V70" s="1489" t="s">
        <v>171</v>
      </c>
      <c r="W70" s="1490"/>
      <c r="X70" s="1490"/>
      <c r="Y70" s="1490"/>
      <c r="Z70" s="1490"/>
      <c r="AA70" s="1490"/>
      <c r="AB70" s="1490"/>
      <c r="AC70" s="1490"/>
      <c r="AD70" s="1490"/>
      <c r="AE70" s="1490"/>
      <c r="AF70" s="1490"/>
      <c r="AG70" s="1491"/>
    </row>
    <row r="71" spans="1:33" ht="14.4" customHeight="1" thickBot="1">
      <c r="A71" s="1524"/>
      <c r="B71" s="1520"/>
      <c r="C71" s="1520" t="s">
        <v>114</v>
      </c>
      <c r="D71" s="1520" t="s">
        <v>115</v>
      </c>
      <c r="E71" s="1520" t="s">
        <v>116</v>
      </c>
      <c r="F71" s="1520" t="s">
        <v>117</v>
      </c>
      <c r="G71" s="1520" t="s">
        <v>118</v>
      </c>
      <c r="H71" s="1401"/>
      <c r="I71" s="1401"/>
      <c r="J71" s="1401"/>
      <c r="K71" s="1315" t="s">
        <v>172</v>
      </c>
      <c r="L71" s="1315"/>
      <c r="M71" s="346">
        <f>'Invoice Log'!M4</f>
        <v>0</v>
      </c>
      <c r="N71" s="1377" t="s">
        <v>173</v>
      </c>
      <c r="O71" s="1378"/>
      <c r="P71" s="1378"/>
      <c r="Q71" s="334">
        <f>'Invoice Log'!Q4</f>
        <v>0</v>
      </c>
      <c r="S71" s="339" t="s">
        <v>174</v>
      </c>
      <c r="T71" s="341">
        <f>Q68</f>
        <v>31459715.307500001</v>
      </c>
      <c r="U71" s="347"/>
      <c r="V71" s="1492"/>
      <c r="W71" s="1493"/>
      <c r="X71" s="1493"/>
      <c r="Y71" s="1493"/>
      <c r="Z71" s="1493"/>
      <c r="AA71" s="1493"/>
      <c r="AB71" s="1493"/>
      <c r="AC71" s="1493"/>
      <c r="AD71" s="1493"/>
      <c r="AE71" s="1493"/>
      <c r="AF71" s="1493"/>
      <c r="AG71" s="1494"/>
    </row>
    <row r="72" spans="1:33" ht="18.600000000000001" customHeight="1" thickBot="1">
      <c r="A72" s="1217"/>
      <c r="B72" s="374">
        <f>IF('Quality-Stat'!D40="","",'Quality-Stat'!D40)</f>
        <v>0</v>
      </c>
      <c r="C72" s="374">
        <f>IF('Quality-Stat'!E40="","",'Quality-Stat'!E40)</f>
        <v>0</v>
      </c>
      <c r="D72" s="374" t="str">
        <f>IF('Quality-Stat'!F40="","",'Quality-Stat'!F40)</f>
        <v/>
      </c>
      <c r="E72" s="374">
        <f>IF('Quality-Stat'!G40="","",'Quality-Stat'!G40)</f>
        <v>0</v>
      </c>
      <c r="F72" s="374">
        <f>IF('Quality-Stat'!H40="","",'Quality-Stat'!H40)</f>
        <v>0</v>
      </c>
      <c r="G72" s="374">
        <f>IF('Quality-Stat'!I40="","",'Quality-Stat'!I40)</f>
        <v>0</v>
      </c>
      <c r="H72" s="1402">
        <f>'Quality-Stat'!J40</f>
        <v>0</v>
      </c>
      <c r="I72" s="1402"/>
      <c r="J72" s="1403"/>
      <c r="K72" s="1315" t="s">
        <v>175</v>
      </c>
      <c r="L72" s="1315"/>
      <c r="M72" s="348">
        <f>'Invoice Log'!M5</f>
        <v>3.8442674936659922E-5</v>
      </c>
      <c r="N72" s="1377" t="s">
        <v>176</v>
      </c>
      <c r="O72" s="1378"/>
      <c r="P72" s="1378"/>
      <c r="Q72" s="349">
        <f>'Invoice Log'!M6</f>
        <v>2000</v>
      </c>
      <c r="R72" s="350"/>
      <c r="S72" s="351"/>
      <c r="T72" s="352"/>
      <c r="U72" s="353"/>
      <c r="V72" s="1495" t="s">
        <v>177</v>
      </c>
      <c r="W72" s="1499" t="s">
        <v>178</v>
      </c>
      <c r="X72" s="1541" t="s">
        <v>179</v>
      </c>
      <c r="Y72" s="1541"/>
      <c r="Z72" s="1541"/>
      <c r="AA72" s="1541"/>
      <c r="AB72" s="1541"/>
      <c r="AC72" s="1499" t="s">
        <v>49</v>
      </c>
      <c r="AD72" s="1499" t="s">
        <v>180</v>
      </c>
      <c r="AE72" s="1499" t="s">
        <v>181</v>
      </c>
      <c r="AF72" s="1499" t="s">
        <v>182</v>
      </c>
      <c r="AG72" s="1472" t="s">
        <v>183</v>
      </c>
    </row>
    <row r="73" spans="1:33" ht="18.600000000000001" customHeight="1">
      <c r="A73" s="1218"/>
      <c r="B73" s="374">
        <f>IF('Quality-Stat'!D41="","",'Quality-Stat'!D41)</f>
        <v>9</v>
      </c>
      <c r="C73" s="374">
        <f>IF('Quality-Stat'!E41="","",'Quality-Stat'!E41)</f>
        <v>9</v>
      </c>
      <c r="D73" s="374">
        <f>IF('Quality-Stat'!F41="","",'Quality-Stat'!F41)</f>
        <v>9</v>
      </c>
      <c r="E73" s="374">
        <f>IF('Quality-Stat'!G41="","",'Quality-Stat'!G41)</f>
        <v>0</v>
      </c>
      <c r="F73" s="374">
        <f>IF('Quality-Stat'!H41="","",'Quality-Stat'!H41)</f>
        <v>8</v>
      </c>
      <c r="G73" s="374">
        <f>IF('Quality-Stat'!I41="","",'Quality-Stat'!I41)</f>
        <v>1</v>
      </c>
      <c r="H73" s="1402">
        <f>'Quality-Stat'!J41</f>
        <v>46336</v>
      </c>
      <c r="I73" s="1402"/>
      <c r="J73" s="1403"/>
      <c r="K73" s="1471" t="s">
        <v>184</v>
      </c>
      <c r="L73" s="1471"/>
      <c r="M73" s="1471"/>
      <c r="N73" s="1471"/>
      <c r="O73" s="1471"/>
      <c r="P73" s="1471"/>
      <c r="Q73" s="1471"/>
      <c r="R73" s="1471"/>
      <c r="S73" s="1471"/>
      <c r="T73" s="1471"/>
      <c r="U73" s="1471"/>
      <c r="V73" s="1496"/>
      <c r="W73" s="1500"/>
      <c r="X73" s="1500"/>
      <c r="Y73" s="1500"/>
      <c r="Z73" s="1500"/>
      <c r="AA73" s="1500"/>
      <c r="AB73" s="1500"/>
      <c r="AC73" s="1500"/>
      <c r="AD73" s="1500"/>
      <c r="AE73" s="1500"/>
      <c r="AF73" s="1500"/>
      <c r="AG73" s="1473"/>
    </row>
    <row r="74" spans="1:33" ht="18.600000000000001" customHeight="1">
      <c r="A74" s="1218"/>
      <c r="B74" s="374">
        <f>IF('Quality-Stat'!D42="","",'Quality-Stat'!D42)</f>
        <v>2</v>
      </c>
      <c r="C74" s="374">
        <f>IF('Quality-Stat'!E42="","",'Quality-Stat'!E42)</f>
        <v>2</v>
      </c>
      <c r="D74" s="374">
        <f>IF('Quality-Stat'!F42="","",'Quality-Stat'!F42)</f>
        <v>2</v>
      </c>
      <c r="E74" s="374">
        <f>IF('Quality-Stat'!G42="","",'Quality-Stat'!G42)</f>
        <v>0</v>
      </c>
      <c r="F74" s="374">
        <f>IF('Quality-Stat'!H42="","",'Quality-Stat'!H42)</f>
        <v>2</v>
      </c>
      <c r="G74" s="374">
        <f>IF('Quality-Stat'!I42="","",'Quality-Stat'!I42)</f>
        <v>0</v>
      </c>
      <c r="H74" s="1402">
        <f>'Quality-Stat'!J42</f>
        <v>46172</v>
      </c>
      <c r="I74" s="1402"/>
      <c r="J74" s="1403"/>
      <c r="K74" s="354" t="s">
        <v>185</v>
      </c>
      <c r="L74" s="355"/>
      <c r="M74" s="355"/>
      <c r="N74" s="355"/>
      <c r="O74" s="356" t="s">
        <v>186</v>
      </c>
      <c r="P74" s="356"/>
      <c r="Q74" s="355"/>
      <c r="R74" s="357"/>
      <c r="S74" s="1529" t="s">
        <v>187</v>
      </c>
      <c r="T74" s="1530"/>
      <c r="U74" s="1530"/>
      <c r="V74" s="1497">
        <f>CCO!A3</f>
        <v>0</v>
      </c>
      <c r="W74" s="1527">
        <f>CCO!B3</f>
        <v>0</v>
      </c>
      <c r="X74" s="1474">
        <f>CCO!C3</f>
        <v>0</v>
      </c>
      <c r="Y74" s="1474"/>
      <c r="Z74" s="1474"/>
      <c r="AA74" s="1474"/>
      <c r="AB74" s="1474"/>
      <c r="AC74" s="1482">
        <f>CCO!D3</f>
        <v>0</v>
      </c>
      <c r="AD74" s="1481">
        <f>CCO!E3</f>
        <v>0</v>
      </c>
      <c r="AE74" s="1482">
        <f>CCO!F3</f>
        <v>0</v>
      </c>
      <c r="AF74" s="1483">
        <f>CCO!G3</f>
        <v>0</v>
      </c>
      <c r="AG74" s="1485">
        <f>CCO!H3</f>
        <v>0</v>
      </c>
    </row>
    <row r="75" spans="1:33" ht="18.600000000000001" customHeight="1" thickBot="1">
      <c r="A75" s="1218"/>
      <c r="B75" s="374">
        <f>IF('Quality-Stat'!D43="","",'Quality-Stat'!D43)</f>
        <v>0</v>
      </c>
      <c r="C75" s="374">
        <f>IF('Quality-Stat'!E43="","",'Quality-Stat'!E43)</f>
        <v>0</v>
      </c>
      <c r="D75" s="374">
        <f>IF('Quality-Stat'!F43="","",'Quality-Stat'!F43)</f>
        <v>0</v>
      </c>
      <c r="E75" s="374">
        <f>IF('Quality-Stat'!G43="","",'Quality-Stat'!G43)</f>
        <v>0</v>
      </c>
      <c r="F75" s="374">
        <f>IF('Quality-Stat'!H43="","",'Quality-Stat'!H43)</f>
        <v>0</v>
      </c>
      <c r="G75" s="374">
        <f>IF('Quality-Stat'!I43="","",'Quality-Stat'!I43)</f>
        <v>0</v>
      </c>
      <c r="H75" s="1402">
        <f>'Quality-Stat'!J43</f>
        <v>0</v>
      </c>
      <c r="I75" s="1402"/>
      <c r="J75" s="1403"/>
      <c r="K75" s="263" t="s">
        <v>74</v>
      </c>
      <c r="L75" s="264" t="s">
        <v>188</v>
      </c>
      <c r="M75" s="525" t="s">
        <v>189</v>
      </c>
      <c r="N75" s="265" t="s">
        <v>14</v>
      </c>
      <c r="O75" s="264" t="s">
        <v>74</v>
      </c>
      <c r="P75" s="264" t="s">
        <v>188</v>
      </c>
      <c r="Q75" s="525" t="s">
        <v>189</v>
      </c>
      <c r="R75" s="265" t="s">
        <v>14</v>
      </c>
      <c r="S75" s="358" t="s">
        <v>190</v>
      </c>
      <c r="T75" s="359" t="s">
        <v>191</v>
      </c>
      <c r="U75" s="360" t="s">
        <v>55</v>
      </c>
      <c r="V75" s="1488"/>
      <c r="W75" s="1510"/>
      <c r="X75" s="1475"/>
      <c r="Y75" s="1475"/>
      <c r="Z75" s="1475"/>
      <c r="AA75" s="1475"/>
      <c r="AB75" s="1475"/>
      <c r="AC75" s="1477"/>
      <c r="AD75" s="1479"/>
      <c r="AE75" s="1477"/>
      <c r="AF75" s="1484"/>
      <c r="AG75" s="1486"/>
    </row>
    <row r="76" spans="1:33" ht="18.600000000000001" customHeight="1">
      <c r="A76" s="1216"/>
      <c r="B76" s="374">
        <f>IF('Quality-Stat'!D44="","",'Quality-Stat'!D44)</f>
        <v>7</v>
      </c>
      <c r="C76" s="374">
        <f>IF('Quality-Stat'!E44="","",'Quality-Stat'!E44)</f>
        <v>7</v>
      </c>
      <c r="D76" s="374">
        <f>IF('Quality-Stat'!F44="","",'Quality-Stat'!F44)</f>
        <v>7</v>
      </c>
      <c r="E76" s="374">
        <f>IF('Quality-Stat'!G44="","",'Quality-Stat'!G44)</f>
        <v>0</v>
      </c>
      <c r="F76" s="374">
        <f>IF('Quality-Stat'!H44="","",'Quality-Stat'!H44)</f>
        <v>7</v>
      </c>
      <c r="G76" s="374">
        <f>IF('Quality-Stat'!I44="","",'Quality-Stat'!I44)</f>
        <v>0</v>
      </c>
      <c r="H76" s="1402">
        <f>'Quality-Stat'!J44</f>
        <v>46263</v>
      </c>
      <c r="I76" s="1402"/>
      <c r="J76" s="1403"/>
      <c r="K76" s="361">
        <f>Manpower!A20</f>
        <v>12</v>
      </c>
      <c r="L76" s="362">
        <f>Manpower!B20</f>
        <v>27</v>
      </c>
      <c r="M76" s="362">
        <f>Manpower!F20</f>
        <v>12</v>
      </c>
      <c r="N76" s="362">
        <f>Manpower!H20</f>
        <v>0</v>
      </c>
      <c r="O76" s="363">
        <f>L86</f>
        <v>105</v>
      </c>
      <c r="P76" s="362">
        <f>M86</f>
        <v>119</v>
      </c>
      <c r="Q76" s="362">
        <f>Manpower!F24</f>
        <v>137</v>
      </c>
      <c r="R76" s="364">
        <f>Manpower!H24</f>
        <v>0</v>
      </c>
      <c r="S76" s="365">
        <f>K76+O76</f>
        <v>117</v>
      </c>
      <c r="T76" s="366">
        <f>L76+P76</f>
        <v>146</v>
      </c>
      <c r="U76" s="367">
        <f>+T76-S76</f>
        <v>29</v>
      </c>
      <c r="V76" s="1488" t="str">
        <f>CCO!A4</f>
        <v/>
      </c>
      <c r="W76" s="1510" t="str">
        <f>CCO!B4</f>
        <v/>
      </c>
      <c r="X76" s="1475" t="str">
        <f>CCO!C4</f>
        <v/>
      </c>
      <c r="Y76" s="1475"/>
      <c r="Z76" s="1475"/>
      <c r="AA76" s="1475"/>
      <c r="AB76" s="1475"/>
      <c r="AC76" s="1477" t="str">
        <f>IF(CCO!D4="","",CCO!D4)</f>
        <v/>
      </c>
      <c r="AD76" s="1479" t="str">
        <f>CCO!E4</f>
        <v/>
      </c>
      <c r="AE76" s="1477" t="str">
        <f>CCO!F4</f>
        <v/>
      </c>
      <c r="AF76" s="1484" t="str">
        <f>CCO!G4</f>
        <v/>
      </c>
      <c r="AG76" s="1486" t="str">
        <f>CCO!H4</f>
        <v/>
      </c>
    </row>
    <row r="77" spans="1:33" ht="18.600000000000001" customHeight="1" thickBot="1">
      <c r="A77" s="1219"/>
      <c r="B77" s="337">
        <f>IF('Quality-Stat'!D45="","",'Quality-Stat'!D45)</f>
        <v>18</v>
      </c>
      <c r="C77" s="337">
        <f>IF('Quality-Stat'!E45="","",'Quality-Stat'!E45)</f>
        <v>18</v>
      </c>
      <c r="D77" s="337">
        <f>IF('Quality-Stat'!F45="","",'Quality-Stat'!F45)</f>
        <v>18</v>
      </c>
      <c r="E77" s="337">
        <f>IF('Quality-Stat'!G45="","",'Quality-Stat'!G45)</f>
        <v>0</v>
      </c>
      <c r="F77" s="337">
        <f>IF('Quality-Stat'!H45="","",'Quality-Stat'!H45)</f>
        <v>17</v>
      </c>
      <c r="G77" s="337">
        <f>IF('Quality-Stat'!I45="","",'Quality-Stat'!I45)</f>
        <v>1</v>
      </c>
      <c r="H77" s="1397">
        <f>MAX(H72:H76)</f>
        <v>46336</v>
      </c>
      <c r="I77" s="1398"/>
      <c r="J77" s="1399"/>
      <c r="K77" s="368" t="s">
        <v>192</v>
      </c>
      <c r="L77" s="369"/>
      <c r="M77" s="369"/>
      <c r="N77" s="369"/>
      <c r="O77" s="369"/>
      <c r="P77" s="369"/>
      <c r="Q77" s="369"/>
      <c r="R77" s="1395" t="s">
        <v>193</v>
      </c>
      <c r="S77" s="1396"/>
      <c r="T77" s="1396"/>
      <c r="U77" s="1396"/>
      <c r="V77" s="1488"/>
      <c r="W77" s="1510"/>
      <c r="X77" s="1475"/>
      <c r="Y77" s="1475"/>
      <c r="Z77" s="1475"/>
      <c r="AA77" s="1475"/>
      <c r="AB77" s="1475"/>
      <c r="AC77" s="1477"/>
      <c r="AD77" s="1479"/>
      <c r="AE77" s="1477"/>
      <c r="AF77" s="1484"/>
      <c r="AG77" s="1486"/>
    </row>
    <row r="78" spans="1:33" ht="18.600000000000001" customHeight="1" thickBot="1">
      <c r="A78" s="1513"/>
      <c r="B78" s="1513"/>
      <c r="C78" s="1513"/>
      <c r="D78" s="1513"/>
      <c r="E78" s="1513"/>
      <c r="F78" s="1513"/>
      <c r="G78" s="1513"/>
      <c r="H78" s="1513"/>
      <c r="I78" s="1513"/>
      <c r="J78" s="1514"/>
      <c r="K78" s="370" t="s">
        <v>194</v>
      </c>
      <c r="L78" s="371" t="s">
        <v>74</v>
      </c>
      <c r="M78" s="372" t="s">
        <v>188</v>
      </c>
      <c r="R78" s="370" t="s">
        <v>195</v>
      </c>
      <c r="S78" s="371" t="s">
        <v>74</v>
      </c>
      <c r="T78" s="372" t="s">
        <v>188</v>
      </c>
      <c r="U78" s="372" t="s">
        <v>196</v>
      </c>
      <c r="V78" s="1488" t="str">
        <f>CCO!A5</f>
        <v/>
      </c>
      <c r="W78" s="1510" t="str">
        <f>CCO!B5</f>
        <v/>
      </c>
      <c r="X78" s="1475" t="str">
        <f>CCO!C5</f>
        <v/>
      </c>
      <c r="Y78" s="1475"/>
      <c r="Z78" s="1475"/>
      <c r="AA78" s="1475"/>
      <c r="AB78" s="1475"/>
      <c r="AC78" s="1477" t="str">
        <f>IF(CCO!D5="","",CCO!D5)</f>
        <v/>
      </c>
      <c r="AD78" s="1479" t="str">
        <f>CCO!E5</f>
        <v/>
      </c>
      <c r="AE78" s="1477" t="str">
        <f>CCO!F5</f>
        <v/>
      </c>
      <c r="AF78" s="1484" t="str">
        <f>CCO!G5</f>
        <v/>
      </c>
      <c r="AG78" s="1486" t="str">
        <f>CCO!H5</f>
        <v/>
      </c>
    </row>
    <row r="79" spans="1:33" ht="18.600000000000001" customHeight="1">
      <c r="A79" s="1515"/>
      <c r="B79" s="1515"/>
      <c r="C79" s="1515"/>
      <c r="D79" s="1515"/>
      <c r="E79" s="1515"/>
      <c r="F79" s="1515"/>
      <c r="G79" s="1515"/>
      <c r="H79" s="1515"/>
      <c r="I79" s="1515"/>
      <c r="J79" s="1516"/>
      <c r="K79" s="373" t="str">
        <f>+Manpower!N23</f>
        <v>General Labor</v>
      </c>
      <c r="L79" s="374">
        <f>Manpower!N24</f>
        <v>60</v>
      </c>
      <c r="M79" s="375">
        <f>Manpower!N25</f>
        <v>57</v>
      </c>
      <c r="R79" s="373" t="str">
        <f>+Manpower!$B$49</f>
        <v>Excavator</v>
      </c>
      <c r="S79" s="374">
        <f>+Manpower!B50</f>
        <v>5</v>
      </c>
      <c r="T79" s="374">
        <f>+Manpower!B51</f>
        <v>13</v>
      </c>
      <c r="U79" s="375">
        <f>+Manpower!B52</f>
        <v>0</v>
      </c>
      <c r="V79" s="1509"/>
      <c r="W79" s="1511"/>
      <c r="X79" s="1476"/>
      <c r="Y79" s="1476"/>
      <c r="Z79" s="1476"/>
      <c r="AA79" s="1476"/>
      <c r="AB79" s="1476"/>
      <c r="AC79" s="1478"/>
      <c r="AD79" s="1480"/>
      <c r="AE79" s="1478"/>
      <c r="AF79" s="1487"/>
      <c r="AG79" s="1498"/>
    </row>
    <row r="80" spans="1:33" ht="18.600000000000001" customHeight="1">
      <c r="A80" s="1390"/>
      <c r="B80" s="1390"/>
      <c r="C80" s="1390"/>
      <c r="D80" s="1391"/>
      <c r="E80" s="1392" t="str">
        <f>Schedule!F3</f>
        <v>Active Schedule Activities</v>
      </c>
      <c r="F80" s="1390"/>
      <c r="G80" s="1390"/>
      <c r="H80" s="1390"/>
      <c r="I80" s="1390"/>
      <c r="J80" s="1391"/>
      <c r="K80" s="373" t="str">
        <f>+Manpower!P23</f>
        <v>Carpenter</v>
      </c>
      <c r="L80" s="374">
        <f>Manpower!P24</f>
        <v>1</v>
      </c>
      <c r="M80" s="375">
        <f>Manpower!P25</f>
        <v>0</v>
      </c>
      <c r="R80" s="373" t="str">
        <f>+Manpower!$D$49</f>
        <v>Loader</v>
      </c>
      <c r="S80" s="374">
        <f>+Manpower!D50</f>
        <v>5</v>
      </c>
      <c r="T80" s="374">
        <f>+Manpower!D51</f>
        <v>5</v>
      </c>
      <c r="U80" s="375">
        <f>+Manpower!D52</f>
        <v>0</v>
      </c>
      <c r="V80" s="266" t="s">
        <v>197</v>
      </c>
      <c r="W80" s="267"/>
      <c r="X80" s="267"/>
      <c r="Y80" s="267"/>
      <c r="Z80" s="267"/>
      <c r="AA80" s="268"/>
      <c r="AB80" s="268"/>
      <c r="AC80" s="267"/>
      <c r="AD80" s="267"/>
      <c r="AE80" s="267"/>
      <c r="AF80" s="267"/>
      <c r="AG80" s="269"/>
    </row>
    <row r="81" spans="1:47" ht="18.600000000000001" customHeight="1">
      <c r="A81" s="120" t="str">
        <f>Schedule!B4</f>
        <v>Not Started</v>
      </c>
      <c r="B81" s="120" t="str">
        <f>Schedule!C4</f>
        <v>In Progress</v>
      </c>
      <c r="C81" s="120" t="str">
        <f>Schedule!D4</f>
        <v>Completed</v>
      </c>
      <c r="D81" s="121" t="str">
        <f>Schedule!E4</f>
        <v>%</v>
      </c>
      <c r="E81" s="119" t="str">
        <f>Schedule!F4</f>
        <v xml:space="preserve">Active </v>
      </c>
      <c r="F81" s="120" t="str">
        <f>Schedule!G4</f>
        <v>Ahead</v>
      </c>
      <c r="G81" s="120" t="str">
        <f>Schedule!H4</f>
        <v>On</v>
      </c>
      <c r="H81" s="120" t="str">
        <f>Schedule!I4</f>
        <v>Behind</v>
      </c>
      <c r="I81" s="120" t="str">
        <f>Schedule!J4</f>
        <v>Flag</v>
      </c>
      <c r="J81" s="121">
        <f>Schedule!K4</f>
        <v>0</v>
      </c>
      <c r="K81" s="373" t="str">
        <f>+Manpower!R23</f>
        <v>Plumber</v>
      </c>
      <c r="L81" s="374">
        <f>+Manpower!R24</f>
        <v>0</v>
      </c>
      <c r="M81" s="375">
        <f>Manpower!R25</f>
        <v>0</v>
      </c>
      <c r="R81" s="373" t="str">
        <f>+Manpower!$F$49</f>
        <v>Dozer</v>
      </c>
      <c r="S81" s="374">
        <f>+Manpower!F50</f>
        <v>2</v>
      </c>
      <c r="T81" s="374">
        <f>+Manpower!F51</f>
        <v>7</v>
      </c>
      <c r="U81" s="375">
        <f>+Manpower!F52</f>
        <v>0</v>
      </c>
      <c r="V81" s="270" t="s">
        <v>198</v>
      </c>
      <c r="W81" s="1530" t="s">
        <v>199</v>
      </c>
      <c r="X81" s="1530"/>
      <c r="Y81" s="1530"/>
      <c r="Z81" s="1530"/>
      <c r="AA81" s="1530"/>
      <c r="AB81" s="271" t="s">
        <v>200</v>
      </c>
      <c r="AC81" s="271" t="s">
        <v>201</v>
      </c>
      <c r="AD81" s="271" t="s">
        <v>202</v>
      </c>
      <c r="AE81" s="271" t="s">
        <v>203</v>
      </c>
      <c r="AF81" s="271" t="s">
        <v>204</v>
      </c>
      <c r="AG81" s="272" t="s">
        <v>55</v>
      </c>
    </row>
    <row r="82" spans="1:47" ht="18.600000000000001" customHeight="1">
      <c r="A82" s="376">
        <f>Schedule!B5</f>
        <v>57</v>
      </c>
      <c r="B82" s="376">
        <f>Schedule!C5</f>
        <v>32</v>
      </c>
      <c r="C82" s="376">
        <f>Schedule!D5</f>
        <v>310</v>
      </c>
      <c r="D82" s="377">
        <f>Schedule!E5</f>
        <v>0.77694235588972427</v>
      </c>
      <c r="E82" s="128">
        <f>Schedule!F5</f>
        <v>32</v>
      </c>
      <c r="F82" s="376">
        <f>Schedule!G5</f>
        <v>27</v>
      </c>
      <c r="G82" s="376">
        <f>Schedule!H5</f>
        <v>0</v>
      </c>
      <c r="H82" s="129">
        <f>Schedule!I5</f>
        <v>5</v>
      </c>
      <c r="I82" s="1393">
        <f>Schedule!J5</f>
        <v>22</v>
      </c>
      <c r="J82" s="1394"/>
      <c r="K82" s="373" t="str">
        <f>+Manpower!T23</f>
        <v>Operator</v>
      </c>
      <c r="L82" s="374">
        <f>Manpower!T24</f>
        <v>20</v>
      </c>
      <c r="M82" s="375">
        <f>Manpower!T25</f>
        <v>36</v>
      </c>
      <c r="R82" s="373" t="str">
        <f>+Manpower!$H$49</f>
        <v>Dump Truck</v>
      </c>
      <c r="S82" s="374">
        <f>+Manpower!H50</f>
        <v>17</v>
      </c>
      <c r="T82" s="374">
        <f>+Manpower!H51</f>
        <v>20</v>
      </c>
      <c r="U82" s="526">
        <f>+Manpower!H52</f>
        <v>0</v>
      </c>
      <c r="V82" s="528" t="str">
        <f>'Major Quantities'!A2</f>
        <v>B1.31 22 00.01</v>
      </c>
      <c r="W82" s="1537" t="str">
        <f>'Major Quantities'!B2</f>
        <v>Roadway Excavation for cuttings (all types of soil)</v>
      </c>
      <c r="X82" s="1537"/>
      <c r="Y82" s="1537"/>
      <c r="Z82" s="1537"/>
      <c r="AA82" s="1537"/>
      <c r="AB82" s="529">
        <f>'Major Quantities'!C2</f>
        <v>537044.15480000002</v>
      </c>
      <c r="AC82" s="529" t="str">
        <f>'Major Quantities'!D2</f>
        <v>m³</v>
      </c>
      <c r="AD82" s="529">
        <f>'Major Quantities'!E2</f>
        <v>537044.15480000002</v>
      </c>
      <c r="AE82" s="529">
        <f>'Major Quantities'!F2</f>
        <v>508798.75680000003</v>
      </c>
      <c r="AF82" s="529">
        <f>'Major Quantities'!G2</f>
        <v>28245.397999999986</v>
      </c>
      <c r="AG82" s="529">
        <f>'Major Quantities'!H2</f>
        <v>-28245.397999999986</v>
      </c>
    </row>
    <row r="83" spans="1:47" ht="18.600000000000001" customHeight="1">
      <c r="A83" s="1505"/>
      <c r="B83" s="1506"/>
      <c r="C83" s="1504" t="str">
        <f>Schedule!D6</f>
        <v>Free Float Management (Total)</v>
      </c>
      <c r="D83" s="1505"/>
      <c r="E83" s="1505"/>
      <c r="F83" s="1506"/>
      <c r="G83" s="1504" t="str">
        <f>Schedule!H6</f>
        <v xml:space="preserve">Failed Start Activities </v>
      </c>
      <c r="H83" s="1505"/>
      <c r="I83" s="1505"/>
      <c r="J83" s="1506"/>
      <c r="K83" s="373" t="str">
        <f>+Manpower!V23</f>
        <v>Steel Fixer</v>
      </c>
      <c r="L83" s="374">
        <f>+Manpower!V24</f>
        <v>2</v>
      </c>
      <c r="M83" s="375">
        <f>+Manpower!V25</f>
        <v>0</v>
      </c>
      <c r="R83" s="373" t="str">
        <f>+Manpower!$J$49</f>
        <v>Crane</v>
      </c>
      <c r="S83" s="374">
        <f>+Manpower!J50</f>
        <v>0</v>
      </c>
      <c r="T83" s="374">
        <f>+Manpower!J51</f>
        <v>2</v>
      </c>
      <c r="U83" s="526">
        <f>+Manpower!J52</f>
        <v>0</v>
      </c>
      <c r="V83" s="530" t="str">
        <f>'Major Quantities'!A3</f>
        <v>B1.31 22 00.02</v>
      </c>
      <c r="W83" s="1538" t="str">
        <f>'Major Quantities'!B3</f>
        <v>Embankments to the ROW with common / suitable excavated material or with suitable imported material</v>
      </c>
      <c r="X83" s="1539"/>
      <c r="Y83" s="1539"/>
      <c r="Z83" s="1539"/>
      <c r="AA83" s="1540"/>
      <c r="AB83" s="531">
        <f>'Major Quantities'!C3</f>
        <v>438396.60479999997</v>
      </c>
      <c r="AC83" s="531" t="str">
        <f>'Major Quantities'!D3</f>
        <v>m³</v>
      </c>
      <c r="AD83" s="531">
        <f>'Major Quantities'!E3</f>
        <v>438396.60479999997</v>
      </c>
      <c r="AE83" s="531">
        <f>'Major Quantities'!F3</f>
        <v>434601.60879999993</v>
      </c>
      <c r="AF83" s="531">
        <f>'Major Quantities'!G3</f>
        <v>3794.9960000000428</v>
      </c>
      <c r="AG83" s="531">
        <f>'Major Quantities'!H3</f>
        <v>-3794.9960000000428</v>
      </c>
    </row>
    <row r="84" spans="1:47" ht="18.600000000000001" customHeight="1">
      <c r="A84" s="1517"/>
      <c r="B84" s="1518"/>
      <c r="C84" s="1507" t="str">
        <f>Schedule!D7</f>
        <v>Greater Than 14 Days</v>
      </c>
      <c r="D84" s="1508"/>
      <c r="E84" s="1508" t="str">
        <f>Schedule!F7</f>
        <v>Less Than 14 Days</v>
      </c>
      <c r="F84" s="1512"/>
      <c r="G84" s="1531"/>
      <c r="H84" s="1517"/>
      <c r="I84" s="1517"/>
      <c r="J84" s="1518"/>
      <c r="K84" s="373" t="str">
        <f>+Manpower!X23</f>
        <v>Mason</v>
      </c>
      <c r="L84" s="374">
        <f>+Manpower!X24</f>
        <v>2</v>
      </c>
      <c r="M84" s="375">
        <f>+Manpower!X25</f>
        <v>0</v>
      </c>
      <c r="R84" s="373" t="str">
        <f>+Manpower!$L$49</f>
        <v>Grader</v>
      </c>
      <c r="S84" s="374">
        <f>+Manpower!L50</f>
        <v>4</v>
      </c>
      <c r="T84" s="374">
        <f>+Manpower!L51</f>
        <v>3</v>
      </c>
      <c r="U84" s="526">
        <f>+Manpower!L52</f>
        <v>0</v>
      </c>
      <c r="V84" s="530" t="str">
        <f>'Major Quantities'!A4</f>
        <v>B1.31 22 00.05</v>
      </c>
      <c r="W84" s="1538" t="str">
        <f>'Major Quantities'!B4</f>
        <v xml:space="preserve"> Subgrade</v>
      </c>
      <c r="X84" s="1539"/>
      <c r="Y84" s="1539"/>
      <c r="Z84" s="1539"/>
      <c r="AA84" s="1540"/>
      <c r="AB84" s="531">
        <f>'Major Quantities'!C4</f>
        <v>21604</v>
      </c>
      <c r="AC84" s="531" t="str">
        <f>'Major Quantities'!D4</f>
        <v>m³</v>
      </c>
      <c r="AD84" s="531">
        <f>'Major Quantities'!E4</f>
        <v>0</v>
      </c>
      <c r="AE84" s="531">
        <f>'Major Quantities'!F4</f>
        <v>0</v>
      </c>
      <c r="AF84" s="531">
        <f>'Major Quantities'!G4</f>
        <v>21604</v>
      </c>
      <c r="AG84" s="531">
        <f>'Major Quantities'!H4</f>
        <v>0</v>
      </c>
    </row>
    <row r="85" spans="1:47" ht="18.600000000000001" customHeight="1">
      <c r="A85" s="120" t="str">
        <f>Schedule!B8</f>
        <v>This Week</v>
      </c>
      <c r="B85" s="121" t="str">
        <f>Schedule!C8</f>
        <v>Diff</v>
      </c>
      <c r="C85" s="119" t="str">
        <f>Schedule!D8</f>
        <v>Last Week</v>
      </c>
      <c r="D85" s="120" t="str">
        <f>Schedule!E8</f>
        <v>This Week</v>
      </c>
      <c r="E85" s="120" t="str">
        <f>Schedule!F8</f>
        <v>Last Week</v>
      </c>
      <c r="F85" s="121" t="str">
        <f>Schedule!G8</f>
        <v>This Week</v>
      </c>
      <c r="G85" s="119" t="str">
        <f>Schedule!H8</f>
        <v>Last Week</v>
      </c>
      <c r="H85" s="120" t="str">
        <f>Schedule!I8</f>
        <v>This Week</v>
      </c>
      <c r="I85" s="120" t="str">
        <f>Schedule!J8</f>
        <v>Flag</v>
      </c>
      <c r="J85" s="121">
        <f>Schedule!K8</f>
        <v>0</v>
      </c>
      <c r="K85" s="378" t="str">
        <f>+Manpower!Z23</f>
        <v>Others</v>
      </c>
      <c r="L85" s="362">
        <f>+Manpower!Z24</f>
        <v>20</v>
      </c>
      <c r="M85" s="379">
        <f>+Manpower!Z25</f>
        <v>26</v>
      </c>
      <c r="R85" s="378" t="str">
        <f>+Manpower!$N$49</f>
        <v>Other</v>
      </c>
      <c r="S85" s="362">
        <f>+Manpower!N50</f>
        <v>17</v>
      </c>
      <c r="T85" s="362">
        <f>+Manpower!N51</f>
        <v>14</v>
      </c>
      <c r="U85" s="527">
        <f>+Manpower!N52</f>
        <v>0</v>
      </c>
      <c r="V85" s="530" t="str">
        <f>'Major Quantities'!A5</f>
        <v>B1.32 11 23.01</v>
      </c>
      <c r="W85" s="1538" t="str">
        <f>'Major Quantities'!B5</f>
        <v xml:space="preserve"> Aggregate base course</v>
      </c>
      <c r="X85" s="1539"/>
      <c r="Y85" s="1539"/>
      <c r="Z85" s="1539"/>
      <c r="AA85" s="1540"/>
      <c r="AB85" s="531">
        <f>'Major Quantities'!C5</f>
        <v>14403</v>
      </c>
      <c r="AC85" s="531" t="str">
        <f>'Major Quantities'!D5</f>
        <v>m³</v>
      </c>
      <c r="AD85" s="531">
        <f>'Major Quantities'!E5</f>
        <v>0</v>
      </c>
      <c r="AE85" s="531">
        <f>'Major Quantities'!F5</f>
        <v>0</v>
      </c>
      <c r="AF85" s="531">
        <f>'Major Quantities'!G5</f>
        <v>14403</v>
      </c>
      <c r="AG85" s="531">
        <f>'Major Quantities'!H5</f>
        <v>0</v>
      </c>
      <c r="AH85" s="446"/>
      <c r="AI85" s="446"/>
    </row>
    <row r="86" spans="1:47" customFormat="1" ht="18.600000000000001" customHeight="1">
      <c r="A86" s="362">
        <f>Schedule!B9</f>
        <v>66</v>
      </c>
      <c r="B86" s="125">
        <f>Schedule!C9</f>
        <v>1</v>
      </c>
      <c r="C86" s="380">
        <f>Schedule!D9</f>
        <v>7</v>
      </c>
      <c r="D86" s="362">
        <f>Schedule!E9</f>
        <v>6</v>
      </c>
      <c r="E86" s="362">
        <f>Schedule!F9</f>
        <v>89</v>
      </c>
      <c r="F86" s="381">
        <f>Schedule!G9</f>
        <v>83</v>
      </c>
      <c r="G86" s="380">
        <f>Schedule!H9</f>
        <v>8</v>
      </c>
      <c r="H86" s="362">
        <f>Schedule!I9</f>
        <v>8</v>
      </c>
      <c r="I86" s="1393">
        <f>Schedule!J9</f>
        <v>0</v>
      </c>
      <c r="J86" s="1394"/>
      <c r="K86" s="382" t="s">
        <v>84</v>
      </c>
      <c r="L86" s="383">
        <f>SUM(L79:L85)</f>
        <v>105</v>
      </c>
      <c r="M86" s="384">
        <f>SUM(M79:M85)</f>
        <v>119</v>
      </c>
      <c r="R86" s="382" t="s">
        <v>84</v>
      </c>
      <c r="S86" s="383">
        <f>SUM(S79:S85)</f>
        <v>50</v>
      </c>
      <c r="T86" s="383">
        <f>SUM(T79:T85)</f>
        <v>64</v>
      </c>
      <c r="U86" s="383">
        <f>SUM(U79:U85)</f>
        <v>0</v>
      </c>
      <c r="V86" s="530" t="str">
        <f>'Major Quantities'!A6</f>
        <v>B1.32 11 26.01</v>
      </c>
      <c r="W86" s="1538" t="str">
        <f>'Major Quantities'!B6</f>
        <v>Bituminous base course (Grading I - Class A), including Prime Coat (MC1) and tack coat (RC2) (if any)</v>
      </c>
      <c r="X86" s="1539"/>
      <c r="Y86" s="1539"/>
      <c r="Z86" s="1539"/>
      <c r="AA86" s="1540"/>
      <c r="AB86" s="531">
        <f>'Major Quantities'!C6</f>
        <v>7129</v>
      </c>
      <c r="AC86" s="531" t="str">
        <f>'Major Quantities'!D6</f>
        <v>m³</v>
      </c>
      <c r="AD86" s="531">
        <f>'Major Quantities'!E6</f>
        <v>0</v>
      </c>
      <c r="AE86" s="531">
        <f>'Major Quantities'!F6</f>
        <v>0</v>
      </c>
      <c r="AF86" s="531">
        <f>'Major Quantities'!G6</f>
        <v>7129</v>
      </c>
      <c r="AG86" s="531">
        <f>'Major Quantities'!H6</f>
        <v>0</v>
      </c>
    </row>
    <row r="87" spans="1:47" s="411" customFormat="1" ht="25.8">
      <c r="A87" s="386"/>
      <c r="B87" s="386"/>
      <c r="C87" s="386"/>
      <c r="D87" s="386"/>
      <c r="E87" s="386"/>
      <c r="F87" s="386"/>
      <c r="G87" s="386"/>
      <c r="H87" s="386"/>
      <c r="I87" s="386"/>
      <c r="J87" s="386"/>
      <c r="K87" s="386"/>
      <c r="L87" s="386"/>
      <c r="M87" s="386"/>
      <c r="N87" s="386"/>
      <c r="O87" s="386"/>
      <c r="P87" s="385" t="s">
        <v>205</v>
      </c>
      <c r="Q87" s="386"/>
      <c r="R87" s="386"/>
      <c r="S87" s="386"/>
      <c r="T87" s="386"/>
      <c r="U87" s="386"/>
      <c r="V87" s="386"/>
      <c r="W87" s="386"/>
      <c r="X87" s="386"/>
      <c r="Y87" s="386"/>
      <c r="Z87" s="386"/>
      <c r="AA87" s="386"/>
      <c r="AB87" s="386"/>
      <c r="AC87" s="386"/>
      <c r="AD87" s="386"/>
      <c r="AE87" s="386"/>
      <c r="AF87" s="386"/>
      <c r="AG87" s="387"/>
      <c r="AK87" s="441"/>
      <c r="AL87" s="441"/>
      <c r="AM87" s="441"/>
      <c r="AN87" s="441"/>
      <c r="AO87" s="441"/>
      <c r="AP87" s="441"/>
      <c r="AQ87" s="441"/>
      <c r="AR87" s="441"/>
      <c r="AS87" s="441"/>
      <c r="AT87" s="441"/>
      <c r="AU87" s="441"/>
    </row>
    <row r="88" spans="1:47" s="521" customFormat="1" ht="18.600000000000001" thickBot="1">
      <c r="A88" s="1501"/>
      <c r="B88" s="1501"/>
      <c r="C88" s="1501"/>
      <c r="D88" s="1501"/>
      <c r="E88" s="1501" t="str">
        <f>'Weekly Photos'!L23</f>
        <v>RIP-RAP Works for Dike Wall 1</v>
      </c>
      <c r="F88" s="1501"/>
      <c r="G88" s="1501"/>
      <c r="H88" s="1501"/>
      <c r="I88" s="1501"/>
      <c r="J88" s="1501"/>
      <c r="K88" s="1501" t="str">
        <f>'Weekly Photos'!B4</f>
        <v>Cutting Works for Collector 9</v>
      </c>
      <c r="L88" s="1501"/>
      <c r="M88" s="1501"/>
      <c r="N88" s="1501"/>
      <c r="O88" s="1502"/>
      <c r="P88" s="388" t="s">
        <v>206</v>
      </c>
      <c r="Q88" s="389"/>
      <c r="R88" s="389"/>
      <c r="S88" s="389"/>
      <c r="T88" s="389"/>
      <c r="U88" s="389"/>
      <c r="V88" s="389"/>
      <c r="W88" s="389"/>
      <c r="X88" s="389"/>
      <c r="Y88" s="389"/>
      <c r="Z88" s="389"/>
      <c r="AA88" s="389"/>
      <c r="AB88" s="389"/>
      <c r="AC88" s="389"/>
      <c r="AD88" s="389"/>
      <c r="AE88" s="389"/>
      <c r="AF88" s="389"/>
      <c r="AG88" s="390"/>
      <c r="AH88" s="520"/>
      <c r="AI88" s="520"/>
    </row>
    <row r="89" spans="1:47" s="523" customFormat="1" ht="41.4" customHeight="1">
      <c r="A89"/>
      <c r="B89" s="108"/>
      <c r="C89" s="108"/>
      <c r="D89" s="109"/>
      <c r="E89" s="107"/>
      <c r="F89" s="108"/>
      <c r="G89" s="108"/>
      <c r="H89" s="108"/>
      <c r="I89" s="108"/>
      <c r="J89" s="109"/>
      <c r="K89" s="107"/>
      <c r="L89" s="108"/>
      <c r="M89" s="108"/>
      <c r="N89" s="108"/>
      <c r="O89" s="109"/>
      <c r="P89" s="391" t="s">
        <v>207</v>
      </c>
      <c r="Q89" s="391" t="s">
        <v>208</v>
      </c>
      <c r="R89" s="1503" t="s">
        <v>209</v>
      </c>
      <c r="S89" s="1503"/>
      <c r="T89" s="1503"/>
      <c r="U89" s="1503"/>
      <c r="V89" s="391" t="s">
        <v>210</v>
      </c>
      <c r="W89" s="1503" t="s">
        <v>211</v>
      </c>
      <c r="X89" s="1503"/>
      <c r="Y89" s="1503"/>
      <c r="Z89" s="1503" t="s">
        <v>212</v>
      </c>
      <c r="AA89" s="1503"/>
      <c r="AB89" s="1503"/>
      <c r="AC89" s="1503"/>
      <c r="AD89" s="1503"/>
      <c r="AE89" s="391" t="s">
        <v>213</v>
      </c>
      <c r="AF89" s="392" t="s">
        <v>214</v>
      </c>
      <c r="AG89" s="393" t="s">
        <v>215</v>
      </c>
      <c r="AH89" s="522"/>
      <c r="AI89" s="522"/>
    </row>
    <row r="90" spans="1:47" ht="41.4" customHeight="1">
      <c r="A90"/>
      <c r="B90"/>
      <c r="C90"/>
      <c r="D90" s="111"/>
      <c r="E90" s="110"/>
      <c r="F90"/>
      <c r="G90"/>
      <c r="H90"/>
      <c r="I90"/>
      <c r="J90" s="111"/>
      <c r="K90" s="110"/>
      <c r="L90"/>
      <c r="M90"/>
      <c r="N90"/>
      <c r="O90" s="111"/>
      <c r="P90" s="294">
        <f>IF(+Issues!B11="","",+Issues!B11)</f>
        <v>1</v>
      </c>
      <c r="Q90" s="295" t="str">
        <f>IF(+Issues!C11="","",+Issues!C11)</f>
        <v/>
      </c>
      <c r="R90" s="1532" t="str">
        <f>IF(+Issues!D11="","",+Issues!D11)</f>
        <v/>
      </c>
      <c r="S90" s="1532"/>
      <c r="T90" s="1532"/>
      <c r="U90" s="1532"/>
      <c r="V90" s="296" t="str">
        <f>IF(+Issues!E11="","",+Issues!E11)</f>
        <v/>
      </c>
      <c r="W90" s="1542" t="str">
        <f>IF(+Issues!F11="","",+Issues!F11)</f>
        <v/>
      </c>
      <c r="X90" s="1543"/>
      <c r="Y90" s="1543"/>
      <c r="Z90" s="1543"/>
      <c r="AA90" s="1543"/>
      <c r="AB90" s="1543"/>
      <c r="AC90" s="1543"/>
      <c r="AD90" s="1544"/>
      <c r="AE90" s="297" t="str">
        <f>IF(+Issues!H11="","",+Issues!H11)</f>
        <v/>
      </c>
      <c r="AF90" s="298" t="str">
        <f>IF(+Issues!I11="","",+Issues!I11)</f>
        <v/>
      </c>
      <c r="AG90" s="299">
        <f>IF(+Issues!J11="","",+Issues!J11)</f>
        <v>0</v>
      </c>
    </row>
    <row r="91" spans="1:47" ht="41.4" customHeight="1">
      <c r="A91"/>
      <c r="B91"/>
      <c r="C91"/>
      <c r="D91" s="111"/>
      <c r="E91" s="110"/>
      <c r="F91"/>
      <c r="G91"/>
      <c r="H91"/>
      <c r="I91"/>
      <c r="J91" s="111"/>
      <c r="K91" s="110"/>
      <c r="L91"/>
      <c r="M91"/>
      <c r="N91"/>
      <c r="O91" s="111"/>
      <c r="P91" s="294">
        <f>IF(+Issues!B12="","",+Issues!B12)</f>
        <v>2</v>
      </c>
      <c r="Q91" s="298" t="str">
        <f>IF(+Issues!C12="","",+Issues!C12)</f>
        <v/>
      </c>
      <c r="R91" s="1379" t="str">
        <f>IF(+Issues!D12="","",+Issues!D12)</f>
        <v/>
      </c>
      <c r="S91" s="1380"/>
      <c r="T91" s="1380"/>
      <c r="U91" s="1381"/>
      <c r="V91" s="297" t="str">
        <f>IF(+Issues!E12="","",+Issues!E12)</f>
        <v/>
      </c>
      <c r="W91" s="1379" t="str">
        <f>IF(+Issues!F12="","",+Issues!F12)</f>
        <v/>
      </c>
      <c r="X91" s="1380"/>
      <c r="Y91" s="1380"/>
      <c r="Z91" s="1380"/>
      <c r="AA91" s="1380"/>
      <c r="AB91" s="1380"/>
      <c r="AC91" s="1380"/>
      <c r="AD91" s="1381"/>
      <c r="AE91" s="297" t="str">
        <f>IF(+Issues!H12="","",+Issues!H12)</f>
        <v/>
      </c>
      <c r="AF91" s="298" t="str">
        <f>IF(+Issues!I12="","",+Issues!I12)</f>
        <v/>
      </c>
      <c r="AG91" s="300">
        <f>IF(+Issues!J12="","",+Issues!J12)</f>
        <v>0</v>
      </c>
    </row>
    <row r="92" spans="1:47" ht="41.4" customHeight="1">
      <c r="A92"/>
      <c r="B92"/>
      <c r="C92"/>
      <c r="D92" s="111"/>
      <c r="E92" s="110"/>
      <c r="F92"/>
      <c r="G92"/>
      <c r="H92"/>
      <c r="I92"/>
      <c r="J92" s="111"/>
      <c r="K92" s="110"/>
      <c r="L92"/>
      <c r="M92"/>
      <c r="N92"/>
      <c r="O92" s="111"/>
      <c r="P92" s="294">
        <f>IF(+Issues!B13="","",+Issues!B13)</f>
        <v>3</v>
      </c>
      <c r="Q92" s="298" t="str">
        <f>IF(+Issues!C13="","",+Issues!C13)</f>
        <v/>
      </c>
      <c r="R92" s="1379" t="str">
        <f>IF(+Issues!D13="","",+Issues!D13)</f>
        <v/>
      </c>
      <c r="S92" s="1380"/>
      <c r="T92" s="1380"/>
      <c r="U92" s="1381"/>
      <c r="V92" s="297" t="str">
        <f>IF(+Issues!E13="","",+Issues!E13)</f>
        <v/>
      </c>
      <c r="W92" s="1379" t="str">
        <f>IF(+Issues!F13="","",+Issues!F13)</f>
        <v/>
      </c>
      <c r="X92" s="1380"/>
      <c r="Y92" s="1380"/>
      <c r="Z92" s="1380"/>
      <c r="AA92" s="1380"/>
      <c r="AB92" s="1380"/>
      <c r="AC92" s="1380"/>
      <c r="AD92" s="1381"/>
      <c r="AE92" s="297" t="str">
        <f>IF(+Issues!H13="","",+Issues!H13)</f>
        <v/>
      </c>
      <c r="AF92" s="298" t="str">
        <f>IF(+Issues!I13="","",+Issues!I13)</f>
        <v/>
      </c>
      <c r="AG92" s="300">
        <f>IF(+Issues!J13="","",+Issues!J13)</f>
        <v>0</v>
      </c>
    </row>
    <row r="93" spans="1:47" customFormat="1" ht="41.4" customHeight="1">
      <c r="D93" s="111"/>
      <c r="E93" s="110"/>
      <c r="J93" s="111"/>
      <c r="K93" s="110"/>
      <c r="O93" s="111"/>
      <c r="P93" s="294">
        <f>IF(+Issues!B14="","",+Issues!B14)</f>
        <v>4</v>
      </c>
      <c r="Q93" s="298" t="str">
        <f>IF(+Issues!C14="","",+Issues!C14)</f>
        <v/>
      </c>
      <c r="R93" s="1379" t="str">
        <f>IF(+Issues!D14="","",+Issues!D14)</f>
        <v/>
      </c>
      <c r="S93" s="1380"/>
      <c r="T93" s="1380"/>
      <c r="U93" s="1381"/>
      <c r="V93" s="297" t="str">
        <f>IF(+Issues!E14="","",+Issues!E14)</f>
        <v/>
      </c>
      <c r="W93" s="1379" t="str">
        <f>IF(+Issues!F14="","",+Issues!F14)</f>
        <v/>
      </c>
      <c r="X93" s="1380"/>
      <c r="Y93" s="1380"/>
      <c r="Z93" s="1380"/>
      <c r="AA93" s="1380"/>
      <c r="AB93" s="1380"/>
      <c r="AC93" s="1380"/>
      <c r="AD93" s="1381"/>
      <c r="AE93" s="297" t="str">
        <f>IF(+Issues!H14="","",+Issues!H14)</f>
        <v/>
      </c>
      <c r="AF93" s="298" t="str">
        <f>IF(+Issues!I14="","",+Issues!I14)</f>
        <v/>
      </c>
      <c r="AG93" s="300">
        <f>IF(+Issues!J14="","",+Issues!J14)</f>
        <v>0</v>
      </c>
    </row>
    <row r="94" spans="1:47" customFormat="1" ht="41.4" customHeight="1" thickBot="1">
      <c r="A94" s="532"/>
      <c r="B94" s="532"/>
      <c r="C94" s="532"/>
      <c r="D94" s="533"/>
      <c r="E94" s="534"/>
      <c r="F94" s="532"/>
      <c r="G94" s="532"/>
      <c r="H94" s="532"/>
      <c r="I94" s="532"/>
      <c r="J94" s="533"/>
      <c r="K94" s="534"/>
      <c r="L94" s="532"/>
      <c r="M94" s="532"/>
      <c r="N94" s="532"/>
      <c r="O94" s="533"/>
      <c r="P94" s="301">
        <f>IF(+Issues!B15="","",+Issues!B15)</f>
        <v>5</v>
      </c>
      <c r="Q94" s="302" t="str">
        <f>IF(+Issues!C15="","",+Issues!C15)</f>
        <v/>
      </c>
      <c r="R94" s="1364" t="str">
        <f>IF(+Issues!D15="","",+Issues!D15)</f>
        <v/>
      </c>
      <c r="S94" s="1365"/>
      <c r="T94" s="1365"/>
      <c r="U94" s="1366"/>
      <c r="V94" s="303" t="str">
        <f>IF(+Issues!E15="","",+Issues!E15)</f>
        <v/>
      </c>
      <c r="W94" s="1364" t="str">
        <f>IF(+Issues!F15="","",+Issues!F15)</f>
        <v/>
      </c>
      <c r="X94" s="1365"/>
      <c r="Y94" s="1365"/>
      <c r="Z94" s="1365"/>
      <c r="AA94" s="1365"/>
      <c r="AB94" s="1365"/>
      <c r="AC94" s="1365"/>
      <c r="AD94" s="1366"/>
      <c r="AE94" s="303" t="str">
        <f>IF(+Issues!H15="","",+Issues!H15)</f>
        <v/>
      </c>
      <c r="AF94" s="302" t="str">
        <f>IF(+Issues!I15="","",+Issues!I15)</f>
        <v/>
      </c>
      <c r="AG94" s="304" t="str">
        <f>IF(+Issues!J15="","",+Issues!J15)</f>
        <v/>
      </c>
    </row>
    <row r="95" spans="1:47" customFormat="1" ht="14.4"/>
    <row r="96" spans="1:47" customFormat="1">
      <c r="A96" s="330"/>
      <c r="B96" s="330"/>
      <c r="C96" s="330"/>
      <c r="D96" s="330"/>
      <c r="E96" s="330"/>
      <c r="F96" s="330"/>
      <c r="G96" s="330"/>
      <c r="H96" s="330"/>
      <c r="I96" s="330"/>
      <c r="J96" s="330"/>
      <c r="K96" s="330"/>
    </row>
    <row r="97" spans="1:22" customFormat="1">
      <c r="A97" s="330"/>
      <c r="B97" s="330"/>
      <c r="C97" s="330"/>
      <c r="D97" s="330"/>
      <c r="E97" s="330"/>
      <c r="F97" s="330"/>
      <c r="G97" s="330"/>
      <c r="H97" s="330"/>
      <c r="I97" s="330"/>
      <c r="J97" s="330"/>
      <c r="K97" s="330"/>
      <c r="V97" s="93"/>
    </row>
    <row r="98" spans="1:22" customFormat="1">
      <c r="A98" s="330"/>
      <c r="B98" s="330"/>
      <c r="C98" s="330"/>
      <c r="D98" s="330"/>
      <c r="E98" s="330"/>
      <c r="F98" s="330"/>
      <c r="G98" s="330"/>
      <c r="H98" s="330"/>
      <c r="I98" s="330"/>
      <c r="J98" s="330"/>
      <c r="K98" s="330"/>
      <c r="V98" s="524"/>
    </row>
    <row r="99" spans="1:22" customFormat="1">
      <c r="A99" s="330"/>
      <c r="B99" s="330"/>
      <c r="C99" s="330"/>
      <c r="D99" s="330"/>
      <c r="E99" s="330"/>
      <c r="F99" s="330"/>
      <c r="G99" s="330"/>
      <c r="H99" s="330"/>
      <c r="I99" s="330"/>
      <c r="J99" s="330"/>
      <c r="K99" s="330"/>
    </row>
    <row r="100" spans="1:22" customFormat="1">
      <c r="G100" s="330"/>
      <c r="H100" s="330"/>
      <c r="I100" s="330"/>
      <c r="J100" s="330"/>
    </row>
    <row r="101" spans="1:22" customFormat="1">
      <c r="G101" s="330"/>
      <c r="H101" s="330"/>
      <c r="I101" s="330"/>
      <c r="J101" s="330"/>
    </row>
    <row r="102" spans="1:22" customFormat="1">
      <c r="G102" s="330"/>
      <c r="H102" s="330"/>
      <c r="I102" s="330"/>
      <c r="J102" s="330"/>
    </row>
    <row r="103" spans="1:22" customFormat="1">
      <c r="G103" s="330"/>
      <c r="H103" s="330"/>
      <c r="I103" s="330"/>
      <c r="J103" s="330"/>
    </row>
    <row r="104" spans="1:22" customFormat="1" ht="14.4"/>
    <row r="105" spans="1:22" customFormat="1" ht="14.4"/>
    <row r="106" spans="1:22" customFormat="1" ht="14.4"/>
    <row r="107" spans="1:22" customFormat="1" ht="14.4"/>
    <row r="108" spans="1:22" customFormat="1" ht="14.4"/>
    <row r="109" spans="1:22" customFormat="1" ht="14.4"/>
    <row r="110" spans="1:22" customFormat="1" ht="14.4"/>
    <row r="111" spans="1:22" customFormat="1" ht="14.4"/>
    <row r="112" spans="1:22"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sheetData>
  <sheetProtection formatCells="0" formatColumns="0" formatRows="0" insertHyperlinks="0" sort="0" autoFilter="0" pivotTables="0"/>
  <mergeCells count="232">
    <mergeCell ref="W94:AD94"/>
    <mergeCell ref="AA23:AB23"/>
    <mergeCell ref="AA24:AB24"/>
    <mergeCell ref="AA25:AB25"/>
    <mergeCell ref="AA26:AB26"/>
    <mergeCell ref="AA27:AB27"/>
    <mergeCell ref="AA28:AB28"/>
    <mergeCell ref="AA29:AB29"/>
    <mergeCell ref="AA30:AB30"/>
    <mergeCell ref="W81:AA81"/>
    <mergeCell ref="W82:AA82"/>
    <mergeCell ref="W83:AA83"/>
    <mergeCell ref="W84:AA84"/>
    <mergeCell ref="W85:AA85"/>
    <mergeCell ref="W86:AA86"/>
    <mergeCell ref="X72:AB73"/>
    <mergeCell ref="W76:W77"/>
    <mergeCell ref="W90:AD90"/>
    <mergeCell ref="W91:AD91"/>
    <mergeCell ref="AA31:AB31"/>
    <mergeCell ref="AA33:AB33"/>
    <mergeCell ref="Y65:Z65"/>
    <mergeCell ref="Y66:Z66"/>
    <mergeCell ref="AD60:AG61"/>
    <mergeCell ref="F70:F71"/>
    <mergeCell ref="K55:L55"/>
    <mergeCell ref="H76:J76"/>
    <mergeCell ref="B70:B71"/>
    <mergeCell ref="C70:C71"/>
    <mergeCell ref="D70:D71"/>
    <mergeCell ref="A70:A71"/>
    <mergeCell ref="W93:AD93"/>
    <mergeCell ref="Y67:Z67"/>
    <mergeCell ref="Y69:Z69"/>
    <mergeCell ref="Y68:Z68"/>
    <mergeCell ref="W67:X67"/>
    <mergeCell ref="W65:X65"/>
    <mergeCell ref="W66:X66"/>
    <mergeCell ref="W74:W75"/>
    <mergeCell ref="H74:J74"/>
    <mergeCell ref="H75:J75"/>
    <mergeCell ref="V65:V69"/>
    <mergeCell ref="N70:P70"/>
    <mergeCell ref="G70:G71"/>
    <mergeCell ref="S74:U74"/>
    <mergeCell ref="E70:E71"/>
    <mergeCell ref="G83:J84"/>
    <mergeCell ref="R90:U90"/>
    <mergeCell ref="Z89:AD89"/>
    <mergeCell ref="C83:F83"/>
    <mergeCell ref="C84:D84"/>
    <mergeCell ref="W92:AD92"/>
    <mergeCell ref="V78:V79"/>
    <mergeCell ref="W78:W79"/>
    <mergeCell ref="W89:Y89"/>
    <mergeCell ref="R92:U92"/>
    <mergeCell ref="R89:U89"/>
    <mergeCell ref="E84:F84"/>
    <mergeCell ref="A78:J78"/>
    <mergeCell ref="A79:J79"/>
    <mergeCell ref="A88:D88"/>
    <mergeCell ref="A83:B84"/>
    <mergeCell ref="E88:J88"/>
    <mergeCell ref="AG78:AG79"/>
    <mergeCell ref="W72:W73"/>
    <mergeCell ref="AC72:AC73"/>
    <mergeCell ref="AD72:AD73"/>
    <mergeCell ref="AE72:AE73"/>
    <mergeCell ref="AF72:AF73"/>
    <mergeCell ref="K88:O88"/>
    <mergeCell ref="AC74:AC75"/>
    <mergeCell ref="I86:J86"/>
    <mergeCell ref="N71:P71"/>
    <mergeCell ref="N72:P72"/>
    <mergeCell ref="K73:U73"/>
    <mergeCell ref="AG72:AG73"/>
    <mergeCell ref="X74:AB75"/>
    <mergeCell ref="X76:AB77"/>
    <mergeCell ref="X78:AB79"/>
    <mergeCell ref="AC78:AC79"/>
    <mergeCell ref="AD78:AD79"/>
    <mergeCell ref="AD74:AD75"/>
    <mergeCell ref="AE74:AE75"/>
    <mergeCell ref="AF74:AF75"/>
    <mergeCell ref="AG74:AG75"/>
    <mergeCell ref="AC76:AC77"/>
    <mergeCell ref="AE76:AE77"/>
    <mergeCell ref="AF76:AF77"/>
    <mergeCell ref="AG76:AG77"/>
    <mergeCell ref="AF78:AF79"/>
    <mergeCell ref="AE78:AE79"/>
    <mergeCell ref="AD76:AD77"/>
    <mergeCell ref="V76:V77"/>
    <mergeCell ref="V70:AG71"/>
    <mergeCell ref="V72:V73"/>
    <mergeCell ref="V74:V75"/>
    <mergeCell ref="A1:H1"/>
    <mergeCell ref="K51:U51"/>
    <mergeCell ref="W52:X53"/>
    <mergeCell ref="V52:V53"/>
    <mergeCell ref="A52:A53"/>
    <mergeCell ref="N9:Y9"/>
    <mergeCell ref="D10:E10"/>
    <mergeCell ref="F10:M10"/>
    <mergeCell ref="J52:J53"/>
    <mergeCell ref="I52:I53"/>
    <mergeCell ref="M52:M54"/>
    <mergeCell ref="K52:L54"/>
    <mergeCell ref="P52:P54"/>
    <mergeCell ref="O52:O54"/>
    <mergeCell ref="N52:N54"/>
    <mergeCell ref="H52:H53"/>
    <mergeCell ref="X5:X6"/>
    <mergeCell ref="C10:C11"/>
    <mergeCell ref="B52:B53"/>
    <mergeCell ref="D4:E4"/>
    <mergeCell ref="O10:O11"/>
    <mergeCell ref="P10:S10"/>
    <mergeCell ref="B10:B11"/>
    <mergeCell ref="R6:S6"/>
    <mergeCell ref="R4:S4"/>
    <mergeCell ref="R5:S5"/>
    <mergeCell ref="P6:Q6"/>
    <mergeCell ref="L3:M3"/>
    <mergeCell ref="L4:M4"/>
    <mergeCell ref="R3:S3"/>
    <mergeCell ref="A4:B4"/>
    <mergeCell ref="A10:A11"/>
    <mergeCell ref="D5:E5"/>
    <mergeCell ref="D6:E6"/>
    <mergeCell ref="A6:B6"/>
    <mergeCell ref="A5:B5"/>
    <mergeCell ref="L5:M5"/>
    <mergeCell ref="L6:M6"/>
    <mergeCell ref="N3:O3"/>
    <mergeCell ref="N4:O4"/>
    <mergeCell ref="N5:O5"/>
    <mergeCell ref="N6:O6"/>
    <mergeCell ref="P3:Q3"/>
    <mergeCell ref="P4:Q4"/>
    <mergeCell ref="P5:Q5"/>
    <mergeCell ref="R93:U93"/>
    <mergeCell ref="Y52:Z53"/>
    <mergeCell ref="Y55:Z55"/>
    <mergeCell ref="Y57:Z57"/>
    <mergeCell ref="Y58:Z58"/>
    <mergeCell ref="R91:U91"/>
    <mergeCell ref="W64:X64"/>
    <mergeCell ref="A61:A62"/>
    <mergeCell ref="N63:O63"/>
    <mergeCell ref="N64:O64"/>
    <mergeCell ref="K63:M63"/>
    <mergeCell ref="K64:M64"/>
    <mergeCell ref="A80:D80"/>
    <mergeCell ref="E80:J80"/>
    <mergeCell ref="I82:J82"/>
    <mergeCell ref="R77:U77"/>
    <mergeCell ref="H77:J77"/>
    <mergeCell ref="H70:J71"/>
    <mergeCell ref="H72:J72"/>
    <mergeCell ref="H73:J73"/>
    <mergeCell ref="N60:O60"/>
    <mergeCell ref="N61:O61"/>
    <mergeCell ref="I61:I62"/>
    <mergeCell ref="N62:O62"/>
    <mergeCell ref="R94:U94"/>
    <mergeCell ref="Q52:U52"/>
    <mergeCell ref="U53:U54"/>
    <mergeCell ref="T53:T54"/>
    <mergeCell ref="S53:S54"/>
    <mergeCell ref="R53:R54"/>
    <mergeCell ref="Q53:Q54"/>
    <mergeCell ref="P60:S60"/>
    <mergeCell ref="P61:S61"/>
    <mergeCell ref="P62:S62"/>
    <mergeCell ref="P63:S63"/>
    <mergeCell ref="P64:S64"/>
    <mergeCell ref="K65:U65"/>
    <mergeCell ref="N66:P66"/>
    <mergeCell ref="N67:P67"/>
    <mergeCell ref="N68:P68"/>
    <mergeCell ref="N69:P69"/>
    <mergeCell ref="K69:L69"/>
    <mergeCell ref="K70:L70"/>
    <mergeCell ref="K71:L71"/>
    <mergeCell ref="K72:L72"/>
    <mergeCell ref="T60:U60"/>
    <mergeCell ref="T61:U61"/>
    <mergeCell ref="T62:U62"/>
    <mergeCell ref="Z3:AG6"/>
    <mergeCell ref="W68:X68"/>
    <mergeCell ref="W69:X69"/>
    <mergeCell ref="W54:X54"/>
    <mergeCell ref="W55:X55"/>
    <mergeCell ref="W56:X56"/>
    <mergeCell ref="W57:X57"/>
    <mergeCell ref="W58:X58"/>
    <mergeCell ref="W59:X59"/>
    <mergeCell ref="W60:X60"/>
    <mergeCell ref="W61:X61"/>
    <mergeCell ref="W62:X62"/>
    <mergeCell ref="AA52:AA53"/>
    <mergeCell ref="AB52:AB53"/>
    <mergeCell ref="AC52:AC53"/>
    <mergeCell ref="Y56:Z56"/>
    <mergeCell ref="Y59:Z59"/>
    <mergeCell ref="Y60:Z60"/>
    <mergeCell ref="Y61:Z61"/>
    <mergeCell ref="Y62:Z62"/>
    <mergeCell ref="Y63:Z63"/>
    <mergeCell ref="Y64:Z64"/>
    <mergeCell ref="X3:X4"/>
    <mergeCell ref="Y54:Z54"/>
    <mergeCell ref="B61:B62"/>
    <mergeCell ref="H61:H62"/>
    <mergeCell ref="AA32:AB32"/>
    <mergeCell ref="V54:V55"/>
    <mergeCell ref="V56:V64"/>
    <mergeCell ref="T63:U63"/>
    <mergeCell ref="T64:U64"/>
    <mergeCell ref="W63:X63"/>
    <mergeCell ref="AD51:AG51"/>
    <mergeCell ref="K56:L56"/>
    <mergeCell ref="K68:L68"/>
    <mergeCell ref="K57:L57"/>
    <mergeCell ref="K58:L58"/>
    <mergeCell ref="K60:M60"/>
    <mergeCell ref="K66:L66"/>
    <mergeCell ref="K67:L67"/>
    <mergeCell ref="J61:J62"/>
    <mergeCell ref="K61:M61"/>
    <mergeCell ref="K62:M62"/>
  </mergeCells>
  <phoneticPr fontId="97" type="noConversion"/>
  <conditionalFormatting sqref="C12:C21">
    <cfRule type="dataBar" priority="7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H82">
    <cfRule type="cellIs" dxfId="78" priority="23" operator="lessThan">
      <formula>0</formula>
    </cfRule>
  </conditionalFormatting>
  <conditionalFormatting sqref="I12:I20">
    <cfRule type="colorScale" priority="794">
      <colorScale>
        <cfvo type="min"/>
        <cfvo type="percentile" val="50"/>
        <cfvo type="max"/>
        <color theme="5" tint="0.59999389629810485"/>
        <color theme="7" tint="0.79998168889431442"/>
        <color theme="4" tint="0.59999389629810485"/>
      </colorScale>
    </cfRule>
  </conditionalFormatting>
  <conditionalFormatting sqref="I21">
    <cfRule type="colorScale" priority="8">
      <colorScale>
        <cfvo type="min"/>
        <cfvo type="percentile" val="50"/>
        <cfvo type="max"/>
        <color theme="5" tint="0.59999389629810485"/>
        <color theme="7" tint="0.79998168889431442"/>
        <color theme="4" tint="0.59999389629810485"/>
      </colorScale>
    </cfRule>
  </conditionalFormatting>
  <conditionalFormatting sqref="I82:J82">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I86:J86">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K12:K21">
    <cfRule type="colorScale" priority="796">
      <colorScale>
        <cfvo type="min"/>
        <cfvo type="percentile" val="50"/>
        <cfvo type="max"/>
        <color theme="5" tint="0.59999389629810485"/>
        <color theme="7" tint="0.79998168889431442"/>
        <color theme="4" tint="0.59999389629810485"/>
      </colorScale>
    </cfRule>
  </conditionalFormatting>
  <conditionalFormatting sqref="L12:L20">
    <cfRule type="dataBar" priority="799">
      <dataBar>
        <cfvo type="min"/>
        <cfvo type="max"/>
        <color theme="0" tint="-0.249977111117893"/>
      </dataBar>
      <extLst>
        <ext xmlns:x14="http://schemas.microsoft.com/office/spreadsheetml/2009/9/main" uri="{B025F937-C7B1-47D3-B67F-A62EFF666E3E}">
          <x14:id>{9DE887E0-D252-4EC6-8D45-08DA8F54C581}</x14:id>
        </ext>
      </extLst>
    </cfRule>
    <cfRule type="cellIs" dxfId="77" priority="798" operator="lessThan">
      <formula>0</formula>
    </cfRule>
  </conditionalFormatting>
  <conditionalFormatting sqref="M12:M20 Y12:Y20">
    <cfRule type="expression" dxfId="76" priority="223">
      <formula>M12&gt;1</formula>
    </cfRule>
    <cfRule type="expression" dxfId="75" priority="222">
      <formula>M12=1</formula>
    </cfRule>
    <cfRule type="expression" dxfId="74" priority="221">
      <formula>M12&lt;1</formula>
    </cfRule>
  </conditionalFormatting>
  <conditionalFormatting sqref="M21">
    <cfRule type="expression" dxfId="73" priority="219">
      <formula>M21=1</formula>
    </cfRule>
    <cfRule type="expression" dxfId="72" priority="218">
      <formula>M21&lt;1</formula>
    </cfRule>
    <cfRule type="expression" dxfId="71" priority="220">
      <formula>M21&gt;1</formula>
    </cfRule>
  </conditionalFormatting>
  <conditionalFormatting sqref="N6:O6">
    <cfRule type="cellIs" dxfId="70" priority="165" operator="greaterThan">
      <formula>0</formula>
    </cfRule>
  </conditionalFormatting>
  <conditionalFormatting sqref="O12:O21">
    <cfRule type="dataBar" priority="802">
      <dataBar>
        <cfvo type="min"/>
        <cfvo type="max"/>
        <color rgb="FF53B3DD"/>
      </dataBar>
      <extLst>
        <ext xmlns:x14="http://schemas.microsoft.com/office/spreadsheetml/2009/9/main" uri="{B025F937-C7B1-47D3-B67F-A62EFF666E3E}">
          <x14:id>{BE7EBD0A-6FB7-4A23-A747-D47CE770E088}</x14:id>
        </ext>
      </extLst>
    </cfRule>
  </conditionalFormatting>
  <conditionalFormatting sqref="R12:R21">
    <cfRule type="colorScale" priority="804">
      <colorScale>
        <cfvo type="min"/>
        <cfvo type="percentile" val="50"/>
        <cfvo type="max"/>
        <color theme="5" tint="0.59999389629810485"/>
        <color theme="7" tint="0.79998168889431442"/>
        <color theme="4" tint="0.59999389629810485"/>
      </colorScale>
    </cfRule>
  </conditionalFormatting>
  <conditionalFormatting sqref="R90:R94 AF90:AF94">
    <cfRule type="cellIs" dxfId="69" priority="66" stopIfTrue="1" operator="equal">
      <formula>"Threat"</formula>
    </cfRule>
    <cfRule type="cellIs" dxfId="68" priority="67" stopIfTrue="1" operator="equal">
      <formula>"Opportunity"</formula>
    </cfRule>
    <cfRule type="cellIs" dxfId="67" priority="68" stopIfTrue="1" operator="equal">
      <formula>"Issue"</formula>
    </cfRule>
  </conditionalFormatting>
  <conditionalFormatting sqref="S12:S21">
    <cfRule type="colorScale" priority="806">
      <colorScale>
        <cfvo type="min"/>
        <cfvo type="percentile" val="50"/>
        <cfvo type="max"/>
        <color theme="5" tint="0.59999389629810485"/>
        <color theme="7" tint="0.79998168889431442"/>
        <color theme="4" tint="0.59999389629810485"/>
      </colorScale>
    </cfRule>
  </conditionalFormatting>
  <conditionalFormatting sqref="U5">
    <cfRule type="cellIs" dxfId="66" priority="160" stopIfTrue="1" operator="greaterThanOrEqual">
      <formula>0</formula>
    </cfRule>
    <cfRule type="cellIs" dxfId="65" priority="161" stopIfTrue="1" operator="between">
      <formula>-0.1</formula>
      <formula>0</formula>
    </cfRule>
    <cfRule type="cellIs" dxfId="64" priority="162" stopIfTrue="1" operator="lessThan">
      <formula>-0.1</formula>
    </cfRule>
  </conditionalFormatting>
  <conditionalFormatting sqref="U6">
    <cfRule type="cellIs" dxfId="63" priority="159" operator="greaterThanOrEqual">
      <formula>0.9</formula>
    </cfRule>
    <cfRule type="cellIs" dxfId="62" priority="158" operator="lessThan">
      <formula>0.9</formula>
    </cfRule>
  </conditionalFormatting>
  <conditionalFormatting sqref="U76">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V12:V21">
    <cfRule type="colorScale" priority="808">
      <colorScale>
        <cfvo type="min"/>
        <cfvo type="percentile" val="50"/>
        <cfvo type="max"/>
        <color theme="5" tint="0.59999389629810485"/>
        <color theme="7" tint="0.79998168889431442"/>
        <color theme="4" tint="0.59999389629810485"/>
      </colorScale>
    </cfRule>
  </conditionalFormatting>
  <conditionalFormatting sqref="V22:V23 F22 J12:J21">
    <cfRule type="colorScale" priority="41">
      <colorScale>
        <cfvo type="min"/>
        <cfvo type="percentile" val="50"/>
        <cfvo type="max"/>
        <color theme="5" tint="0.59999389629810485"/>
        <color theme="7" tint="0.79998168889431442"/>
        <color theme="4" tint="0.59999389629810485"/>
      </colorScale>
    </cfRule>
  </conditionalFormatting>
  <conditionalFormatting sqref="W5">
    <cfRule type="cellIs" dxfId="61" priority="2" stopIfTrue="1" operator="between">
      <formula>-0.1</formula>
      <formula>0</formula>
    </cfRule>
    <cfRule type="cellIs" dxfId="60" priority="3" stopIfTrue="1" operator="lessThan">
      <formula>-0.1</formula>
    </cfRule>
    <cfRule type="cellIs" dxfId="59" priority="1" stopIfTrue="1" operator="greaterThanOrEqual">
      <formula>0</formula>
    </cfRule>
  </conditionalFormatting>
  <conditionalFormatting sqref="W6">
    <cfRule type="cellIs" dxfId="58" priority="6" operator="lessThan">
      <formula>0.9</formula>
    </cfRule>
    <cfRule type="cellIs" dxfId="57" priority="7" operator="greaterThanOrEqual">
      <formula>0.9</formula>
    </cfRule>
  </conditionalFormatting>
  <conditionalFormatting sqref="W12:W21">
    <cfRule type="colorScale" priority="810">
      <colorScale>
        <cfvo type="min"/>
        <cfvo type="percentile" val="50"/>
        <cfvo type="max"/>
        <color theme="5" tint="0.59999389629810485"/>
        <color theme="7" tint="0.79998168889431442"/>
        <color theme="4" tint="0.59999389629810485"/>
      </colorScale>
    </cfRule>
  </conditionalFormatting>
  <conditionalFormatting sqref="X12:X20">
    <cfRule type="cellIs" dxfId="56" priority="812" operator="lessThan">
      <formula>0</formula>
    </cfRule>
    <cfRule type="dataBar" priority="813">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Y3:Y4">
    <cfRule type="expression" dxfId="55" priority="141" stopIfTrue="1">
      <formula>IF(AND(Y$3&lt;0.8),TRUE,FALSE)</formula>
    </cfRule>
    <cfRule type="expression" dxfId="54" priority="140" stopIfTrue="1">
      <formula>IF(AND(Y$3&gt;0.8,Y$3&lt;0.9),TRUE,FALSE)</formula>
    </cfRule>
    <cfRule type="expression" dxfId="53" priority="139" stopIfTrue="1">
      <formula>IF(AND(Y$3&gt;=0.9),TRUE,FALSE)</formula>
    </cfRule>
  </conditionalFormatting>
  <conditionalFormatting sqref="Y5:Y6">
    <cfRule type="expression" dxfId="52" priority="33" stopIfTrue="1">
      <formula>IF(AND(Y$5&lt;0.8),TRUE,FALSE)</formula>
    </cfRule>
    <cfRule type="expression" dxfId="51" priority="32" stopIfTrue="1">
      <formula>IF(AND(Y$5&gt;0.8,Y$5&lt;0.9),TRUE,FALSE)</formula>
    </cfRule>
    <cfRule type="expression" dxfId="50" priority="31" stopIfTrue="1">
      <formula>IF(AND(Y$5&gt;=0.9),TRUE,FALSE)</formula>
    </cfRule>
  </conditionalFormatting>
  <conditionalFormatting sqref="Y21">
    <cfRule type="expression" dxfId="49" priority="202">
      <formula>Y21&lt;1</formula>
    </cfRule>
    <cfRule type="expression" dxfId="48" priority="203">
      <formula>Y21=1</formula>
    </cfRule>
    <cfRule type="expression" dxfId="47" priority="204">
      <formula>Y21&gt;1</formula>
    </cfRule>
  </conditionalFormatting>
  <conditionalFormatting sqref="AF24:AF33">
    <cfRule type="cellIs" dxfId="46" priority="28" stopIfTrue="1" operator="equal">
      <formula>$X4</formula>
    </cfRule>
    <cfRule type="cellIs" dxfId="45" priority="27" stopIfTrue="1" operator="equal">
      <formula>"F"</formula>
    </cfRule>
    <cfRule type="cellIs" dxfId="44" priority="26" stopIfTrue="1" operator="equal">
      <formula>"A"</formula>
    </cfRule>
  </conditionalFormatting>
  <dataValidations disablePrompts="1" count="6">
    <dataValidation type="date" allowBlank="1" showInputMessage="1" showErrorMessage="1" errorTitle="Date only" error="Please enter only Date" sqref="I3:I6" xr:uid="{00000000-0002-0000-0000-000000000000}">
      <formula1>32874</formula1>
      <formula2>72686</formula2>
    </dataValidation>
    <dataValidation allowBlank="1" showInputMessage="1" showErrorMessage="1" prompt="Non-Conformance Report" sqref="K55" xr:uid="{00000000-0002-0000-0000-000010000000}"/>
    <dataValidation allowBlank="1" showInputMessage="1" showErrorMessage="1" prompt="Material Inspection Report" sqref="K57" xr:uid="{00000000-0002-0000-0000-000012000000}"/>
    <dataValidation allowBlank="1" showInputMessage="1" showErrorMessage="1" prompt="Field Inspection Report" sqref="K58" xr:uid="{00000000-0002-0000-0000-000013000000}"/>
    <dataValidation type="list" allowBlank="1" showInputMessage="1" showErrorMessage="1" prompt="Select as loaded in P6 Schedule" sqref="N11" xr:uid="{00000000-0002-0000-0000-000020000000}">
      <formula1>"(Manhours),(Mandays)"</formula1>
    </dataValidation>
    <dataValidation allowBlank="1" sqref="K56:L56" xr:uid="{FEC5B7C1-E5CF-420F-B3CD-54AB34A74F74}"/>
  </dataValidations>
  <printOptions horizontalCentered="1" verticalCentered="1"/>
  <pageMargins left="0.15" right="0.15" top="0.15" bottom="0.15" header="0" footer="0"/>
  <pageSetup paperSize="8" scale="37" orientation="landscape" r:id="rId1"/>
  <headerFooter alignWithMargins="0">
    <oddFooter>&amp;L_x000D_&amp;1#&amp;"Calibri"&amp;10&amp;K000000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C12:C21</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I82:J82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I86:J86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L12:L20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O12:O21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U76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X12:X20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M87"/>
  <sheetViews>
    <sheetView showGridLines="0" tabSelected="1" zoomScale="74" zoomScaleNormal="80" workbookViewId="0">
      <selection activeCell="K24" sqref="K24"/>
    </sheetView>
  </sheetViews>
  <sheetFormatPr defaultColWidth="9.33203125" defaultRowHeight="12"/>
  <cols>
    <col min="1" max="1" width="16.21875" style="761" customWidth="1"/>
    <col min="2" max="2" width="62.33203125" style="761" customWidth="1"/>
    <col min="3" max="3" width="38.88671875" style="762" bestFit="1" customWidth="1"/>
    <col min="4" max="4" width="10.33203125" style="1123" customWidth="1"/>
    <col min="5" max="5" width="75.109375" style="761" customWidth="1"/>
    <col min="6" max="6" width="10.6640625" style="751" customWidth="1"/>
    <col min="7" max="7" width="13.109375" style="763" bestFit="1" customWidth="1"/>
    <col min="8" max="8" width="14.6640625" style="763" customWidth="1"/>
    <col min="9" max="9" width="23.88671875" style="763" customWidth="1"/>
    <col min="10" max="10" width="24.109375" style="751" customWidth="1"/>
    <col min="11" max="11" width="19.109375" style="751" customWidth="1"/>
    <col min="12" max="12" width="13.88671875" style="751" bestFit="1" customWidth="1"/>
    <col min="13" max="15" width="9.33203125" style="751"/>
    <col min="16" max="16" width="12.33203125" style="751" bestFit="1" customWidth="1"/>
    <col min="17" max="16384" width="9.33203125" style="751"/>
  </cols>
  <sheetData>
    <row r="1" spans="1:13" s="739" customFormat="1" ht="40.5" customHeight="1">
      <c r="A1" s="1553" t="s">
        <v>29</v>
      </c>
      <c r="B1" s="1554"/>
      <c r="C1" s="1548" t="str">
        <f>+'General Information'!C3:I3</f>
        <v>Completion of Infrastructure Works in The Second Industrial City in Makkah Al-Mukarramah</v>
      </c>
      <c r="D1" s="1549"/>
      <c r="E1" s="1549"/>
      <c r="F1" s="1550" t="s">
        <v>216</v>
      </c>
      <c r="G1" s="1551"/>
      <c r="H1" s="1552"/>
      <c r="I1" s="932">
        <f>+Total</f>
        <v>944735.49999999977</v>
      </c>
      <c r="J1" s="832" t="s">
        <v>1319</v>
      </c>
      <c r="K1" s="832" t="s">
        <v>217</v>
      </c>
    </row>
    <row r="2" spans="1:13" s="739" customFormat="1" ht="20.100000000000001" customHeight="1">
      <c r="A2" s="1553" t="s">
        <v>39</v>
      </c>
      <c r="B2" s="1554"/>
      <c r="C2" s="1555" t="str">
        <f>+'General Information'!C4:I4</f>
        <v>MKH2-02-003</v>
      </c>
      <c r="D2" s="1556"/>
      <c r="E2" s="905" t="s">
        <v>218</v>
      </c>
      <c r="F2" s="1559">
        <v>52025516</v>
      </c>
      <c r="G2" s="1559"/>
      <c r="H2" s="1559"/>
      <c r="I2" s="1560"/>
      <c r="J2" s="833">
        <v>38688024.539999999</v>
      </c>
      <c r="K2" s="833">
        <f>J2+438397.58+944735.5</f>
        <v>40071157.619999997</v>
      </c>
    </row>
    <row r="3" spans="1:13" s="739" customFormat="1" ht="20.100000000000001" customHeight="1">
      <c r="A3" s="1553" t="s">
        <v>219</v>
      </c>
      <c r="B3" s="1554"/>
      <c r="C3" s="1561">
        <f>+F3-6</f>
        <v>46302</v>
      </c>
      <c r="D3" s="1562"/>
      <c r="E3" s="905" t="s">
        <v>220</v>
      </c>
      <c r="F3" s="1561">
        <f>'General Information'!L1</f>
        <v>46308</v>
      </c>
      <c r="G3" s="1563"/>
      <c r="H3" s="1563"/>
      <c r="I3" s="1562"/>
      <c r="J3" s="2169"/>
      <c r="K3" s="2170"/>
      <c r="L3" s="2169"/>
      <c r="M3" s="2169"/>
    </row>
    <row r="4" spans="1:13" s="739" customFormat="1">
      <c r="A4" s="740"/>
      <c r="B4" s="741"/>
      <c r="C4" s="742"/>
      <c r="D4" s="1118"/>
      <c r="E4" s="741"/>
      <c r="F4" s="743"/>
      <c r="G4" s="744"/>
      <c r="H4" s="744"/>
      <c r="I4" s="745"/>
      <c r="J4" s="2169"/>
      <c r="K4" s="2171"/>
      <c r="L4" s="2169"/>
      <c r="M4" s="2169"/>
    </row>
    <row r="5" spans="1:13" s="739" customFormat="1" ht="24">
      <c r="A5" s="828" t="s">
        <v>221</v>
      </c>
      <c r="B5" s="746" t="s">
        <v>222</v>
      </c>
      <c r="C5" s="747" t="s">
        <v>223</v>
      </c>
      <c r="D5" s="1119" t="s">
        <v>224</v>
      </c>
      <c r="E5" s="828" t="s">
        <v>225</v>
      </c>
      <c r="F5" s="746" t="s">
        <v>226</v>
      </c>
      <c r="G5" s="746" t="s">
        <v>227</v>
      </c>
      <c r="H5" s="746" t="s">
        <v>228</v>
      </c>
      <c r="I5" s="746" t="s">
        <v>229</v>
      </c>
      <c r="J5" s="2169"/>
      <c r="K5" s="2171"/>
      <c r="L5" s="2169"/>
      <c r="M5" s="2169"/>
    </row>
    <row r="6" spans="1:13" ht="15" customHeight="1">
      <c r="A6" s="1557" t="s">
        <v>887</v>
      </c>
      <c r="B6" s="1558"/>
      <c r="C6" s="748"/>
      <c r="D6" s="1120"/>
      <c r="E6" s="906"/>
      <c r="F6" s="749"/>
      <c r="G6" s="749"/>
      <c r="H6" s="985"/>
      <c r="I6" s="750"/>
      <c r="J6" s="2172"/>
      <c r="K6" s="2173">
        <f>+K2/52025516</f>
        <v>0.77022124336066167</v>
      </c>
      <c r="L6" s="2172"/>
      <c r="M6" s="2172"/>
    </row>
    <row r="7" spans="1:13" ht="13.8">
      <c r="A7" s="1133" t="s">
        <v>888</v>
      </c>
      <c r="B7" s="1134" t="s">
        <v>1043</v>
      </c>
      <c r="C7" s="753"/>
      <c r="D7" s="1121"/>
      <c r="E7" s="752"/>
      <c r="F7" s="1135" t="s">
        <v>232</v>
      </c>
      <c r="G7" s="756">
        <v>30</v>
      </c>
      <c r="H7" s="988"/>
      <c r="I7" s="757">
        <f>+H7*G7</f>
        <v>0</v>
      </c>
      <c r="J7" s="2174"/>
      <c r="K7" s="2175"/>
      <c r="L7" s="2172"/>
      <c r="M7" s="2172"/>
    </row>
    <row r="8" spans="1:13" ht="13.8">
      <c r="A8" s="1133" t="s">
        <v>889</v>
      </c>
      <c r="B8" s="987" t="s">
        <v>892</v>
      </c>
      <c r="C8" s="753"/>
      <c r="D8" s="1121"/>
      <c r="E8" s="752"/>
      <c r="F8" s="755" t="s">
        <v>231</v>
      </c>
      <c r="G8" s="756">
        <v>10</v>
      </c>
      <c r="H8" s="988"/>
      <c r="I8" s="757">
        <f t="shared" ref="I8:I41" si="0">+H8*G8</f>
        <v>0</v>
      </c>
      <c r="J8" s="2176"/>
      <c r="K8" s="2177"/>
      <c r="L8" s="2172"/>
      <c r="M8" s="2172"/>
    </row>
    <row r="9" spans="1:13" ht="13.8">
      <c r="A9" s="1133" t="s">
        <v>891</v>
      </c>
      <c r="B9" s="1134" t="s">
        <v>890</v>
      </c>
      <c r="C9" s="753"/>
      <c r="D9" s="1087"/>
      <c r="E9" s="754"/>
      <c r="F9" s="755" t="s">
        <v>231</v>
      </c>
      <c r="G9" s="756">
        <v>35</v>
      </c>
      <c r="H9" s="988"/>
      <c r="I9" s="757">
        <f t="shared" si="0"/>
        <v>0</v>
      </c>
      <c r="J9" s="2176"/>
      <c r="K9" s="2175"/>
      <c r="L9" s="2172"/>
      <c r="M9" s="2172"/>
    </row>
    <row r="10" spans="1:13" ht="13.8">
      <c r="A10" s="1133" t="s">
        <v>1044</v>
      </c>
      <c r="B10" s="1134" t="s">
        <v>1045</v>
      </c>
      <c r="C10" s="753"/>
      <c r="D10" s="1087"/>
      <c r="E10" s="754"/>
      <c r="F10" s="1135" t="s">
        <v>233</v>
      </c>
      <c r="G10" s="756">
        <v>5000</v>
      </c>
      <c r="H10" s="988"/>
      <c r="I10" s="757">
        <f t="shared" si="0"/>
        <v>0</v>
      </c>
      <c r="J10" s="2176"/>
      <c r="K10" s="2172"/>
      <c r="L10" s="2178"/>
      <c r="M10" s="2172"/>
    </row>
    <row r="11" spans="1:13" ht="13.8">
      <c r="A11" s="986" t="s">
        <v>1046</v>
      </c>
      <c r="B11" s="1134" t="s">
        <v>1047</v>
      </c>
      <c r="C11" s="753"/>
      <c r="D11" s="1087"/>
      <c r="E11" s="754"/>
      <c r="F11" s="1135" t="s">
        <v>233</v>
      </c>
      <c r="G11" s="756">
        <v>2500</v>
      </c>
      <c r="H11" s="988"/>
      <c r="I11" s="757">
        <f t="shared" si="0"/>
        <v>0</v>
      </c>
      <c r="J11" s="2176"/>
      <c r="K11" s="2172"/>
      <c r="L11" s="2172"/>
      <c r="M11" s="2172"/>
    </row>
    <row r="12" spans="1:13" ht="13.8">
      <c r="A12" s="1133" t="s">
        <v>894</v>
      </c>
      <c r="B12" s="1134" t="s">
        <v>1048</v>
      </c>
      <c r="C12" s="753"/>
      <c r="D12" s="1087"/>
      <c r="E12" s="754"/>
      <c r="F12" s="755" t="s">
        <v>234</v>
      </c>
      <c r="G12" s="756">
        <v>20</v>
      </c>
      <c r="H12" s="988"/>
      <c r="I12" s="757">
        <f t="shared" si="0"/>
        <v>0</v>
      </c>
      <c r="J12" s="2176"/>
      <c r="K12" s="2172"/>
      <c r="L12" s="2172"/>
      <c r="M12" s="2172"/>
    </row>
    <row r="13" spans="1:13" ht="13.8">
      <c r="A13" s="1191"/>
      <c r="B13" s="1134"/>
      <c r="C13" s="753"/>
      <c r="D13" s="1087"/>
      <c r="E13" s="754"/>
      <c r="F13" s="755" t="s">
        <v>234</v>
      </c>
      <c r="G13" s="756">
        <v>20</v>
      </c>
      <c r="H13" s="988"/>
      <c r="I13" s="757">
        <f t="shared" si="0"/>
        <v>0</v>
      </c>
      <c r="J13" s="2176"/>
      <c r="K13" s="2172"/>
      <c r="L13" s="2172"/>
      <c r="M13" s="2172"/>
    </row>
    <row r="14" spans="1:13" ht="27.6">
      <c r="A14" s="986" t="s">
        <v>895</v>
      </c>
      <c r="B14" s="987" t="s">
        <v>1049</v>
      </c>
      <c r="C14" s="753"/>
      <c r="D14" s="1087"/>
      <c r="E14" s="754"/>
      <c r="F14" s="755" t="s">
        <v>234</v>
      </c>
      <c r="G14" s="756">
        <v>18</v>
      </c>
      <c r="H14" s="1211"/>
      <c r="I14" s="757">
        <f t="shared" si="0"/>
        <v>0</v>
      </c>
      <c r="J14" s="2176"/>
      <c r="K14" s="2178"/>
      <c r="L14" s="2179"/>
      <c r="M14" s="2172"/>
    </row>
    <row r="15" spans="1:13" ht="13.8">
      <c r="A15" s="986"/>
      <c r="B15" s="987"/>
      <c r="C15" s="753"/>
      <c r="D15" s="1087"/>
      <c r="E15" s="754"/>
      <c r="F15" s="755" t="s">
        <v>234</v>
      </c>
      <c r="G15" s="756">
        <v>18</v>
      </c>
      <c r="H15" s="1211"/>
      <c r="I15" s="757">
        <f t="shared" si="0"/>
        <v>0</v>
      </c>
      <c r="J15" s="1245"/>
      <c r="K15" s="912"/>
      <c r="L15" s="904"/>
    </row>
    <row r="16" spans="1:13" ht="13.8">
      <c r="A16" s="986" t="s">
        <v>896</v>
      </c>
      <c r="B16" s="987" t="s">
        <v>1050</v>
      </c>
      <c r="C16" s="753"/>
      <c r="D16" s="1087"/>
      <c r="E16" s="754"/>
      <c r="F16" s="755" t="s">
        <v>234</v>
      </c>
      <c r="G16" s="756">
        <v>22</v>
      </c>
      <c r="H16" s="1211"/>
      <c r="I16" s="757">
        <f t="shared" si="0"/>
        <v>0</v>
      </c>
      <c r="J16" s="1245"/>
    </row>
    <row r="17" spans="1:11" ht="13.8">
      <c r="A17" s="986"/>
      <c r="B17" s="987"/>
      <c r="C17" s="753"/>
      <c r="D17" s="1087"/>
      <c r="E17" s="754"/>
      <c r="F17" s="755" t="s">
        <v>234</v>
      </c>
      <c r="G17" s="756">
        <v>22</v>
      </c>
      <c r="H17" s="1211"/>
      <c r="I17" s="757">
        <f t="shared" si="0"/>
        <v>0</v>
      </c>
      <c r="J17" s="1245"/>
    </row>
    <row r="18" spans="1:11" ht="13.8">
      <c r="A18" s="986" t="s">
        <v>899</v>
      </c>
      <c r="B18" s="987" t="s">
        <v>1051</v>
      </c>
      <c r="C18" s="753"/>
      <c r="D18" s="1087"/>
      <c r="E18" s="754"/>
      <c r="F18" s="755" t="s">
        <v>234</v>
      </c>
      <c r="G18" s="756">
        <v>50</v>
      </c>
      <c r="H18" s="988"/>
      <c r="I18" s="757">
        <f t="shared" si="0"/>
        <v>0</v>
      </c>
      <c r="J18" s="1246"/>
    </row>
    <row r="19" spans="1:11" ht="13.8">
      <c r="A19" s="986"/>
      <c r="B19" s="987"/>
      <c r="C19" s="753"/>
      <c r="D19" s="1087"/>
      <c r="E19" s="754"/>
      <c r="F19" s="755" t="s">
        <v>234</v>
      </c>
      <c r="G19" s="756">
        <v>50</v>
      </c>
      <c r="H19" s="988"/>
      <c r="I19" s="757">
        <f t="shared" si="0"/>
        <v>0</v>
      </c>
      <c r="J19" s="1246"/>
    </row>
    <row r="20" spans="1:11" ht="27.6">
      <c r="A20" s="986" t="s">
        <v>901</v>
      </c>
      <c r="B20" s="987" t="s">
        <v>902</v>
      </c>
      <c r="C20" s="753"/>
      <c r="D20" s="1087"/>
      <c r="E20" s="754"/>
      <c r="F20" s="755" t="s">
        <v>234</v>
      </c>
      <c r="G20" s="756">
        <v>560</v>
      </c>
      <c r="H20" s="988"/>
      <c r="I20" s="757">
        <f t="shared" si="0"/>
        <v>0</v>
      </c>
      <c r="J20" s="1246"/>
    </row>
    <row r="21" spans="1:11" ht="13.8">
      <c r="A21" s="986"/>
      <c r="B21" s="987"/>
      <c r="C21" s="753"/>
      <c r="D21" s="1087"/>
      <c r="E21" s="754"/>
      <c r="F21" s="755" t="s">
        <v>234</v>
      </c>
      <c r="G21" s="756">
        <v>560</v>
      </c>
      <c r="H21" s="988"/>
      <c r="I21" s="757">
        <f t="shared" si="0"/>
        <v>0</v>
      </c>
      <c r="J21" s="1246"/>
    </row>
    <row r="22" spans="1:11" ht="13.8">
      <c r="A22" s="986" t="s">
        <v>903</v>
      </c>
      <c r="B22" s="987" t="s">
        <v>1052</v>
      </c>
      <c r="C22" s="753" t="s">
        <v>1329</v>
      </c>
      <c r="D22" s="1087" t="s">
        <v>1330</v>
      </c>
      <c r="E22" s="754" t="s">
        <v>1331</v>
      </c>
      <c r="F22" s="755" t="s">
        <v>234</v>
      </c>
      <c r="G22" s="756">
        <v>580</v>
      </c>
      <c r="H22" s="988">
        <v>35.630000000000003</v>
      </c>
      <c r="I22" s="757">
        <f t="shared" si="0"/>
        <v>20665.400000000001</v>
      </c>
      <c r="J22" s="1246"/>
    </row>
    <row r="23" spans="1:11" ht="13.8">
      <c r="A23" s="986" t="s">
        <v>905</v>
      </c>
      <c r="B23" s="987" t="s">
        <v>1053</v>
      </c>
      <c r="C23" s="753" t="s">
        <v>1327</v>
      </c>
      <c r="D23" s="1087">
        <v>46304</v>
      </c>
      <c r="E23" s="754" t="s">
        <v>1328</v>
      </c>
      <c r="F23" s="755" t="s">
        <v>232</v>
      </c>
      <c r="G23" s="756">
        <v>60</v>
      </c>
      <c r="H23" s="988">
        <v>504</v>
      </c>
      <c r="I23" s="757">
        <f t="shared" si="0"/>
        <v>30240</v>
      </c>
      <c r="J23" s="1246"/>
    </row>
    <row r="24" spans="1:11" ht="13.8">
      <c r="A24" s="986"/>
      <c r="B24" s="987"/>
      <c r="C24" s="753"/>
      <c r="D24" s="1087"/>
      <c r="E24" s="754"/>
      <c r="F24" s="755" t="s">
        <v>232</v>
      </c>
      <c r="G24" s="756">
        <v>60</v>
      </c>
      <c r="H24" s="988"/>
      <c r="I24" s="757">
        <f t="shared" si="0"/>
        <v>0</v>
      </c>
      <c r="J24" s="1246"/>
    </row>
    <row r="25" spans="1:11" ht="13.8">
      <c r="A25" s="986" t="s">
        <v>907</v>
      </c>
      <c r="B25" s="987" t="s">
        <v>1054</v>
      </c>
      <c r="C25" s="753" t="s">
        <v>1338</v>
      </c>
      <c r="D25" s="1087" t="s">
        <v>1339</v>
      </c>
      <c r="E25" s="754" t="s">
        <v>1340</v>
      </c>
      <c r="F25" s="755" t="s">
        <v>232</v>
      </c>
      <c r="G25" s="756">
        <v>60</v>
      </c>
      <c r="H25" s="988">
        <v>642.76</v>
      </c>
      <c r="I25" s="757">
        <f t="shared" si="0"/>
        <v>38565.599999999999</v>
      </c>
      <c r="J25" s="1246"/>
      <c r="K25" s="912"/>
    </row>
    <row r="26" spans="1:11" ht="13.8">
      <c r="A26" s="986" t="s">
        <v>908</v>
      </c>
      <c r="B26" s="987" t="s">
        <v>1055</v>
      </c>
      <c r="C26" s="753" t="s">
        <v>1341</v>
      </c>
      <c r="D26" s="1087" t="s">
        <v>1323</v>
      </c>
      <c r="E26" s="754" t="s">
        <v>1343</v>
      </c>
      <c r="F26" s="755" t="s">
        <v>232</v>
      </c>
      <c r="G26" s="756">
        <v>55</v>
      </c>
      <c r="H26" s="988">
        <v>89.2</v>
      </c>
      <c r="I26" s="757">
        <f t="shared" si="0"/>
        <v>4906</v>
      </c>
      <c r="J26" s="1246"/>
      <c r="K26" s="912"/>
    </row>
    <row r="27" spans="1:11" ht="13.8">
      <c r="A27" s="986"/>
      <c r="B27" s="987"/>
      <c r="C27" s="753" t="s">
        <v>1342</v>
      </c>
      <c r="D27" s="1087" t="s">
        <v>1335</v>
      </c>
      <c r="E27" s="754" t="s">
        <v>1344</v>
      </c>
      <c r="F27" s="755" t="s">
        <v>232</v>
      </c>
      <c r="G27" s="756">
        <v>55</v>
      </c>
      <c r="H27" s="988">
        <v>87</v>
      </c>
      <c r="I27" s="757">
        <f t="shared" si="0"/>
        <v>4785</v>
      </c>
      <c r="J27" s="1246"/>
      <c r="K27" s="912"/>
    </row>
    <row r="28" spans="1:11" ht="23.4" customHeight="1">
      <c r="A28" s="986" t="s">
        <v>909</v>
      </c>
      <c r="B28" s="987" t="s">
        <v>1056</v>
      </c>
      <c r="C28" s="758" t="s">
        <v>1332</v>
      </c>
      <c r="D28" s="1087" t="s">
        <v>1334</v>
      </c>
      <c r="E28" s="759" t="s">
        <v>1336</v>
      </c>
      <c r="F28" s="760" t="s">
        <v>1057</v>
      </c>
      <c r="G28" s="756">
        <v>70</v>
      </c>
      <c r="H28" s="988">
        <v>553.70000000000005</v>
      </c>
      <c r="I28" s="757">
        <f t="shared" si="0"/>
        <v>38759</v>
      </c>
      <c r="J28" s="1246"/>
    </row>
    <row r="29" spans="1:11" ht="18.600000000000001" customHeight="1">
      <c r="A29" s="986"/>
      <c r="B29" s="987"/>
      <c r="C29" s="758" t="s">
        <v>1333</v>
      </c>
      <c r="D29" s="1087" t="s">
        <v>1335</v>
      </c>
      <c r="E29" s="759" t="s">
        <v>1337</v>
      </c>
      <c r="F29" s="760" t="s">
        <v>1057</v>
      </c>
      <c r="G29" s="756">
        <v>70</v>
      </c>
      <c r="H29" s="988">
        <v>762.6</v>
      </c>
      <c r="I29" s="757">
        <f t="shared" si="0"/>
        <v>53382</v>
      </c>
      <c r="J29" s="1246"/>
    </row>
    <row r="30" spans="1:11" ht="18.600000000000001" customHeight="1">
      <c r="A30" s="986"/>
      <c r="B30" s="987"/>
      <c r="C30" s="758" t="s">
        <v>1345</v>
      </c>
      <c r="D30" s="1087">
        <v>46304</v>
      </c>
      <c r="E30" s="759" t="s">
        <v>1353</v>
      </c>
      <c r="F30" s="760" t="s">
        <v>1057</v>
      </c>
      <c r="G30" s="756">
        <v>70</v>
      </c>
      <c r="H30" s="988">
        <v>1116</v>
      </c>
      <c r="I30" s="757">
        <f t="shared" si="0"/>
        <v>78120</v>
      </c>
      <c r="J30" s="1246"/>
    </row>
    <row r="31" spans="1:11" ht="18.600000000000001" customHeight="1">
      <c r="A31" s="986"/>
      <c r="B31" s="987"/>
      <c r="C31" s="758" t="s">
        <v>1346</v>
      </c>
      <c r="D31" s="1087" t="s">
        <v>1330</v>
      </c>
      <c r="E31" s="759" t="s">
        <v>1354</v>
      </c>
      <c r="F31" s="760" t="s">
        <v>1057</v>
      </c>
      <c r="G31" s="756">
        <v>70</v>
      </c>
      <c r="H31" s="988">
        <v>185.56</v>
      </c>
      <c r="I31" s="757">
        <f t="shared" si="0"/>
        <v>12989.2</v>
      </c>
      <c r="J31" s="1246"/>
    </row>
    <row r="32" spans="1:11" ht="18.600000000000001" customHeight="1">
      <c r="A32" s="986"/>
      <c r="B32" s="987"/>
      <c r="C32" s="758" t="s">
        <v>1347</v>
      </c>
      <c r="D32" s="1087" t="s">
        <v>1335</v>
      </c>
      <c r="E32" s="759" t="s">
        <v>1355</v>
      </c>
      <c r="F32" s="760" t="s">
        <v>1057</v>
      </c>
      <c r="G32" s="756">
        <v>70</v>
      </c>
      <c r="H32" s="988">
        <v>279.86</v>
      </c>
      <c r="I32" s="757">
        <f t="shared" si="0"/>
        <v>19590.2</v>
      </c>
      <c r="J32" s="1246"/>
    </row>
    <row r="33" spans="1:10" ht="18.600000000000001" customHeight="1">
      <c r="A33" s="986"/>
      <c r="B33" s="987"/>
      <c r="C33" s="758" t="s">
        <v>1348</v>
      </c>
      <c r="D33" s="1087" t="s">
        <v>1352</v>
      </c>
      <c r="E33" s="759" t="s">
        <v>1356</v>
      </c>
      <c r="F33" s="760" t="s">
        <v>1057</v>
      </c>
      <c r="G33" s="756">
        <v>70</v>
      </c>
      <c r="H33" s="988">
        <v>220.16</v>
      </c>
      <c r="I33" s="757">
        <f t="shared" si="0"/>
        <v>15411.199999999999</v>
      </c>
      <c r="J33" s="1246"/>
    </row>
    <row r="34" spans="1:10" ht="18.600000000000001" customHeight="1">
      <c r="A34" s="986"/>
      <c r="B34" s="987"/>
      <c r="C34" s="758" t="s">
        <v>1349</v>
      </c>
      <c r="D34" s="1087" t="s">
        <v>1320</v>
      </c>
      <c r="E34" s="759" t="s">
        <v>1357</v>
      </c>
      <c r="F34" s="760" t="s">
        <v>1057</v>
      </c>
      <c r="G34" s="756">
        <v>70</v>
      </c>
      <c r="H34" s="988">
        <v>37.49</v>
      </c>
      <c r="I34" s="757">
        <f t="shared" si="0"/>
        <v>2624.3</v>
      </c>
      <c r="J34" s="1246"/>
    </row>
    <row r="35" spans="1:10" ht="18.600000000000001" customHeight="1">
      <c r="A35" s="986"/>
      <c r="B35" s="987"/>
      <c r="C35" s="758" t="s">
        <v>1350</v>
      </c>
      <c r="D35" s="1087" t="s">
        <v>1321</v>
      </c>
      <c r="E35" s="759" t="s">
        <v>1358</v>
      </c>
      <c r="F35" s="760" t="s">
        <v>1057</v>
      </c>
      <c r="G35" s="756">
        <v>70</v>
      </c>
      <c r="H35" s="988">
        <v>43.6</v>
      </c>
      <c r="I35" s="757">
        <f t="shared" si="0"/>
        <v>3052</v>
      </c>
      <c r="J35" s="1246"/>
    </row>
    <row r="36" spans="1:10" ht="18.600000000000001" customHeight="1">
      <c r="A36" s="986"/>
      <c r="B36" s="987"/>
      <c r="C36" s="758" t="s">
        <v>1351</v>
      </c>
      <c r="D36" s="1087" t="s">
        <v>1320</v>
      </c>
      <c r="E36" s="759" t="s">
        <v>1359</v>
      </c>
      <c r="F36" s="760" t="s">
        <v>1057</v>
      </c>
      <c r="G36" s="756">
        <v>70</v>
      </c>
      <c r="H36" s="988">
        <v>62.43</v>
      </c>
      <c r="I36" s="757">
        <f t="shared" si="0"/>
        <v>4370.1000000000004</v>
      </c>
      <c r="J36" s="1246"/>
    </row>
    <row r="37" spans="1:10" ht="18.600000000000001" customHeight="1">
      <c r="A37" s="986"/>
      <c r="B37" s="987"/>
      <c r="C37" s="758"/>
      <c r="D37" s="1087"/>
      <c r="E37" s="759"/>
      <c r="F37" s="760" t="s">
        <v>1057</v>
      </c>
      <c r="G37" s="756">
        <v>70</v>
      </c>
      <c r="H37" s="988"/>
      <c r="I37" s="757">
        <f t="shared" si="0"/>
        <v>0</v>
      </c>
      <c r="J37" s="1246"/>
    </row>
    <row r="38" spans="1:10" ht="23.4" customHeight="1">
      <c r="A38" s="986" t="s">
        <v>911</v>
      </c>
      <c r="B38" s="987" t="s">
        <v>1058</v>
      </c>
      <c r="C38" s="758"/>
      <c r="D38" s="1087"/>
      <c r="E38" s="759"/>
      <c r="F38" s="760" t="s">
        <v>231</v>
      </c>
      <c r="G38" s="756">
        <v>36</v>
      </c>
      <c r="H38" s="988"/>
      <c r="I38" s="757">
        <f t="shared" si="0"/>
        <v>0</v>
      </c>
      <c r="J38" s="1246"/>
    </row>
    <row r="39" spans="1:10" ht="23.4" customHeight="1">
      <c r="A39" s="986" t="s">
        <v>912</v>
      </c>
      <c r="B39" s="987" t="s">
        <v>1059</v>
      </c>
      <c r="C39" s="758"/>
      <c r="D39" s="1087"/>
      <c r="E39" s="759"/>
      <c r="F39" s="760" t="s">
        <v>231</v>
      </c>
      <c r="G39" s="756">
        <v>36</v>
      </c>
      <c r="H39" s="988"/>
      <c r="I39" s="757">
        <f t="shared" si="0"/>
        <v>0</v>
      </c>
      <c r="J39" s="1246"/>
    </row>
    <row r="40" spans="1:10" ht="23.4" customHeight="1">
      <c r="A40" s="986" t="s">
        <v>913</v>
      </c>
      <c r="B40" s="987" t="s">
        <v>1060</v>
      </c>
      <c r="C40" s="758"/>
      <c r="D40" s="1087"/>
      <c r="E40" s="759"/>
      <c r="F40" s="760" t="s">
        <v>226</v>
      </c>
      <c r="G40" s="756">
        <v>1700</v>
      </c>
      <c r="H40" s="988"/>
      <c r="I40" s="757">
        <f t="shared" si="0"/>
        <v>0</v>
      </c>
      <c r="J40" s="1246"/>
    </row>
    <row r="41" spans="1:10" ht="46.2" customHeight="1">
      <c r="A41" s="986" t="s">
        <v>914</v>
      </c>
      <c r="B41" s="987" t="s">
        <v>1061</v>
      </c>
      <c r="C41" s="758"/>
      <c r="D41" s="1087"/>
      <c r="E41" s="759"/>
      <c r="F41" s="760" t="s">
        <v>226</v>
      </c>
      <c r="G41" s="756">
        <v>750000</v>
      </c>
      <c r="H41" s="988"/>
      <c r="I41" s="757">
        <f t="shared" si="0"/>
        <v>0</v>
      </c>
      <c r="J41" s="1246"/>
    </row>
    <row r="42" spans="1:10" ht="15" customHeight="1" thickBot="1">
      <c r="A42" s="1557" t="s">
        <v>915</v>
      </c>
      <c r="B42" s="1558"/>
      <c r="C42" s="748"/>
      <c r="D42" s="1120"/>
      <c r="E42" s="906"/>
      <c r="F42" s="749"/>
      <c r="G42" s="749"/>
      <c r="H42" s="985"/>
      <c r="I42" s="750">
        <f>+H42*G42</f>
        <v>0</v>
      </c>
      <c r="J42" s="1246"/>
    </row>
    <row r="43" spans="1:10" ht="23.4" customHeight="1">
      <c r="A43" s="986" t="s">
        <v>920</v>
      </c>
      <c r="B43" s="987" t="s">
        <v>1062</v>
      </c>
      <c r="C43" s="1313"/>
      <c r="D43" s="1087"/>
      <c r="E43" s="759"/>
      <c r="F43" s="760" t="s">
        <v>232</v>
      </c>
      <c r="G43" s="756">
        <v>70</v>
      </c>
      <c r="H43" s="988"/>
      <c r="I43" s="757">
        <f>+H43*G43</f>
        <v>0</v>
      </c>
      <c r="J43" s="1246"/>
    </row>
    <row r="44" spans="1:10" ht="11.4" customHeight="1">
      <c r="A44" s="986"/>
      <c r="B44" s="987"/>
      <c r="C44" s="758"/>
      <c r="D44" s="1087"/>
      <c r="E44" s="759"/>
      <c r="F44" s="760" t="s">
        <v>232</v>
      </c>
      <c r="G44" s="756">
        <v>70</v>
      </c>
      <c r="H44" s="988"/>
      <c r="I44" s="757">
        <f t="shared" ref="I44:I63" si="1">+H44*G44</f>
        <v>0</v>
      </c>
      <c r="J44" s="1246"/>
    </row>
    <row r="45" spans="1:10" ht="23.4" customHeight="1">
      <c r="A45" s="986" t="s">
        <v>921</v>
      </c>
      <c r="B45" s="987" t="s">
        <v>1063</v>
      </c>
      <c r="C45" s="758"/>
      <c r="D45" s="1087"/>
      <c r="E45" s="759"/>
      <c r="F45" s="760" t="s">
        <v>232</v>
      </c>
      <c r="G45" s="756">
        <v>175</v>
      </c>
      <c r="H45" s="988"/>
      <c r="I45" s="757">
        <f t="shared" si="1"/>
        <v>0</v>
      </c>
      <c r="J45" s="1246"/>
    </row>
    <row r="46" spans="1:10" ht="23.4" customHeight="1">
      <c r="A46" s="986" t="s">
        <v>922</v>
      </c>
      <c r="B46" s="987" t="s">
        <v>1064</v>
      </c>
      <c r="C46" s="758"/>
      <c r="D46" s="1087"/>
      <c r="E46" s="759"/>
      <c r="F46" s="760" t="s">
        <v>232</v>
      </c>
      <c r="G46" s="756">
        <v>270</v>
      </c>
      <c r="H46" s="988"/>
      <c r="I46" s="757">
        <f t="shared" si="1"/>
        <v>0</v>
      </c>
      <c r="J46" s="1246"/>
    </row>
    <row r="47" spans="1:10" ht="23.4" customHeight="1">
      <c r="A47" s="986" t="s">
        <v>930</v>
      </c>
      <c r="B47" s="987" t="s">
        <v>1065</v>
      </c>
      <c r="C47" s="758"/>
      <c r="D47" s="1087"/>
      <c r="E47" s="759"/>
      <c r="F47" s="760" t="s">
        <v>226</v>
      </c>
      <c r="G47" s="756">
        <v>8000</v>
      </c>
      <c r="H47" s="988"/>
      <c r="I47" s="757">
        <f t="shared" si="1"/>
        <v>0</v>
      </c>
      <c r="J47" s="1246"/>
    </row>
    <row r="48" spans="1:10" ht="23.4" customHeight="1">
      <c r="A48" s="986" t="s">
        <v>932</v>
      </c>
      <c r="B48" s="987" t="s">
        <v>1066</v>
      </c>
      <c r="C48" s="758"/>
      <c r="D48" s="1087"/>
      <c r="E48" s="759"/>
      <c r="F48" s="760" t="s">
        <v>226</v>
      </c>
      <c r="G48" s="756">
        <v>6400</v>
      </c>
      <c r="H48" s="988"/>
      <c r="I48" s="757">
        <f t="shared" si="1"/>
        <v>0</v>
      </c>
      <c r="J48" s="1246"/>
    </row>
    <row r="49" spans="1:11" ht="14.4" customHeight="1">
      <c r="A49" s="986"/>
      <c r="B49" s="987"/>
      <c r="C49" s="758"/>
      <c r="D49" s="1087"/>
      <c r="E49" s="759"/>
      <c r="F49" s="760" t="s">
        <v>226</v>
      </c>
      <c r="G49" s="756">
        <v>6400</v>
      </c>
      <c r="H49" s="988"/>
      <c r="I49" s="757">
        <f t="shared" si="1"/>
        <v>0</v>
      </c>
      <c r="J49" s="1246"/>
    </row>
    <row r="50" spans="1:11" ht="27.6">
      <c r="A50" s="986" t="s">
        <v>1067</v>
      </c>
      <c r="B50" s="987" t="s">
        <v>1068</v>
      </c>
      <c r="C50" s="758"/>
      <c r="D50" s="1121"/>
      <c r="E50" s="752"/>
      <c r="F50" s="755" t="s">
        <v>226</v>
      </c>
      <c r="G50" s="756">
        <v>1600</v>
      </c>
      <c r="H50" s="988"/>
      <c r="I50" s="757">
        <f t="shared" si="1"/>
        <v>0</v>
      </c>
      <c r="J50" s="1246"/>
      <c r="K50" s="834"/>
    </row>
    <row r="51" spans="1:11" ht="13.8">
      <c r="A51" s="986"/>
      <c r="B51" s="987"/>
      <c r="C51" s="753"/>
      <c r="D51" s="1121"/>
      <c r="E51" s="752"/>
      <c r="F51" s="755" t="s">
        <v>226</v>
      </c>
      <c r="G51" s="756">
        <v>1600</v>
      </c>
      <c r="H51" s="988"/>
      <c r="I51" s="757">
        <f t="shared" si="1"/>
        <v>0</v>
      </c>
      <c r="J51" s="1246"/>
      <c r="K51" s="834"/>
    </row>
    <row r="52" spans="1:11" ht="27.6">
      <c r="A52" s="986" t="s">
        <v>1069</v>
      </c>
      <c r="B52" s="987" t="s">
        <v>1070</v>
      </c>
      <c r="C52" s="753"/>
      <c r="D52" s="1121"/>
      <c r="E52" s="752"/>
      <c r="F52" s="755" t="s">
        <v>226</v>
      </c>
      <c r="G52" s="756">
        <v>2000</v>
      </c>
      <c r="H52" s="988"/>
      <c r="I52" s="757">
        <f t="shared" si="1"/>
        <v>0</v>
      </c>
      <c r="J52" s="1246"/>
      <c r="K52" s="834"/>
    </row>
    <row r="53" spans="1:11" ht="27.6">
      <c r="A53" s="986" t="s">
        <v>934</v>
      </c>
      <c r="B53" s="987" t="s">
        <v>1071</v>
      </c>
      <c r="C53" s="753"/>
      <c r="D53" s="1122"/>
      <c r="E53" s="752"/>
      <c r="F53" s="755" t="s">
        <v>226</v>
      </c>
      <c r="G53" s="756">
        <v>1500</v>
      </c>
      <c r="H53" s="988"/>
      <c r="I53" s="757">
        <f t="shared" si="1"/>
        <v>0</v>
      </c>
      <c r="J53" s="1246"/>
    </row>
    <row r="54" spans="1:11" ht="13.8">
      <c r="A54" s="986" t="s">
        <v>916</v>
      </c>
      <c r="B54" s="987" t="s">
        <v>1072</v>
      </c>
      <c r="C54" s="753"/>
      <c r="D54" s="1122"/>
      <c r="E54" s="752"/>
      <c r="F54" s="755" t="s">
        <v>232</v>
      </c>
      <c r="G54" s="756">
        <v>300</v>
      </c>
      <c r="H54" s="988"/>
      <c r="I54" s="757">
        <f t="shared" si="1"/>
        <v>0</v>
      </c>
      <c r="J54" s="1246"/>
    </row>
    <row r="55" spans="1:11" ht="13.8">
      <c r="A55" s="986"/>
      <c r="B55" s="987"/>
      <c r="C55" s="753"/>
      <c r="D55" s="1122"/>
      <c r="E55" s="752"/>
      <c r="F55" s="755" t="s">
        <v>232</v>
      </c>
      <c r="G55" s="756">
        <v>300</v>
      </c>
      <c r="H55" s="988"/>
      <c r="I55" s="757">
        <f t="shared" si="1"/>
        <v>0</v>
      </c>
      <c r="J55" s="1246"/>
      <c r="K55" s="1244">
        <f>+K2/52025516</f>
        <v>0.77022124336066167</v>
      </c>
    </row>
    <row r="56" spans="1:11" ht="13.8">
      <c r="A56" s="986" t="s">
        <v>917</v>
      </c>
      <c r="B56" s="987" t="s">
        <v>1073</v>
      </c>
      <c r="C56" s="753"/>
      <c r="D56" s="1122"/>
      <c r="E56" s="752"/>
      <c r="F56" s="755" t="s">
        <v>232</v>
      </c>
      <c r="G56" s="756">
        <v>400</v>
      </c>
      <c r="H56" s="988"/>
      <c r="I56" s="757">
        <f t="shared" si="1"/>
        <v>0</v>
      </c>
      <c r="J56" s="1246"/>
    </row>
    <row r="57" spans="1:11" ht="13.8">
      <c r="A57" s="986"/>
      <c r="B57" s="987"/>
      <c r="C57" s="753"/>
      <c r="D57" s="1122"/>
      <c r="E57" s="752"/>
      <c r="F57" s="755" t="s">
        <v>232</v>
      </c>
      <c r="G57" s="756">
        <v>400</v>
      </c>
      <c r="H57" s="988"/>
      <c r="I57" s="757">
        <f t="shared" si="1"/>
        <v>0</v>
      </c>
      <c r="J57" s="1246"/>
    </row>
    <row r="58" spans="1:11" ht="13.8">
      <c r="A58" s="986" t="s">
        <v>917</v>
      </c>
      <c r="B58" s="987" t="s">
        <v>1074</v>
      </c>
      <c r="C58" s="753"/>
      <c r="D58" s="1122"/>
      <c r="E58" s="752"/>
      <c r="F58" s="755" t="s">
        <v>232</v>
      </c>
      <c r="G58" s="756">
        <v>650</v>
      </c>
      <c r="H58" s="988"/>
      <c r="I58" s="757">
        <f t="shared" si="1"/>
        <v>0</v>
      </c>
      <c r="J58" s="1246"/>
    </row>
    <row r="59" spans="1:11" ht="13.8">
      <c r="A59" s="986" t="s">
        <v>1075</v>
      </c>
      <c r="B59" s="987" t="s">
        <v>1076</v>
      </c>
      <c r="C59" s="753"/>
      <c r="D59" s="1122"/>
      <c r="E59" s="752"/>
      <c r="F59" s="755" t="s">
        <v>226</v>
      </c>
      <c r="G59" s="756">
        <v>6000</v>
      </c>
      <c r="H59" s="988"/>
      <c r="I59" s="757">
        <f t="shared" si="1"/>
        <v>0</v>
      </c>
      <c r="J59" s="1246"/>
    </row>
    <row r="60" spans="1:11" ht="13.8">
      <c r="A60" s="986" t="s">
        <v>1077</v>
      </c>
      <c r="B60" s="987" t="s">
        <v>1078</v>
      </c>
      <c r="C60" s="753"/>
      <c r="D60" s="1122"/>
      <c r="E60" s="752"/>
      <c r="F60" s="755" t="s">
        <v>226</v>
      </c>
      <c r="G60" s="756">
        <v>12000</v>
      </c>
      <c r="H60" s="988"/>
      <c r="I60" s="757">
        <f t="shared" si="1"/>
        <v>0</v>
      </c>
      <c r="J60" s="1246"/>
    </row>
    <row r="61" spans="1:11" ht="13.8">
      <c r="A61" s="986" t="s">
        <v>1079</v>
      </c>
      <c r="B61" s="987" t="s">
        <v>1080</v>
      </c>
      <c r="C61" s="753"/>
      <c r="D61" s="1122"/>
      <c r="E61" s="752"/>
      <c r="F61" s="755" t="s">
        <v>226</v>
      </c>
      <c r="G61" s="756">
        <v>28000</v>
      </c>
      <c r="H61" s="988"/>
      <c r="I61" s="757">
        <f t="shared" si="1"/>
        <v>0</v>
      </c>
      <c r="J61" s="1246"/>
    </row>
    <row r="62" spans="1:11" ht="13.8">
      <c r="A62" s="986" t="s">
        <v>1081</v>
      </c>
      <c r="B62" s="987" t="s">
        <v>1082</v>
      </c>
      <c r="C62" s="753"/>
      <c r="D62" s="1122"/>
      <c r="E62" s="752"/>
      <c r="F62" s="755" t="s">
        <v>226</v>
      </c>
      <c r="G62" s="756">
        <v>30000</v>
      </c>
      <c r="H62" s="988"/>
      <c r="I62" s="757">
        <f t="shared" si="1"/>
        <v>0</v>
      </c>
      <c r="J62" s="1246"/>
    </row>
    <row r="63" spans="1:11" ht="27.6">
      <c r="A63" s="1136" t="s">
        <v>1083</v>
      </c>
      <c r="B63" s="987" t="s">
        <v>1084</v>
      </c>
      <c r="C63" s="753"/>
      <c r="D63" s="1122"/>
      <c r="E63" s="752"/>
      <c r="F63" s="755" t="s">
        <v>226</v>
      </c>
      <c r="G63" s="756">
        <v>12000</v>
      </c>
      <c r="H63" s="988"/>
      <c r="I63" s="757">
        <f t="shared" si="1"/>
        <v>0</v>
      </c>
      <c r="J63" s="1246"/>
    </row>
    <row r="64" spans="1:11" ht="15" customHeight="1">
      <c r="A64" s="1557" t="s">
        <v>940</v>
      </c>
      <c r="B64" s="1558"/>
      <c r="C64" s="748"/>
      <c r="D64" s="1120"/>
      <c r="E64" s="906"/>
      <c r="F64" s="749"/>
      <c r="G64" s="749"/>
      <c r="H64" s="985"/>
      <c r="I64" s="750">
        <f>+H64*G64</f>
        <v>0</v>
      </c>
      <c r="J64" s="1246"/>
    </row>
    <row r="65" spans="1:10" ht="13.8">
      <c r="A65" s="986" t="s">
        <v>943</v>
      </c>
      <c r="B65" s="987" t="s">
        <v>1085</v>
      </c>
      <c r="C65" s="753"/>
      <c r="D65" s="1122"/>
      <c r="E65" s="752"/>
      <c r="F65" s="755" t="s">
        <v>234</v>
      </c>
      <c r="G65" s="756">
        <v>30</v>
      </c>
      <c r="H65" s="988"/>
      <c r="I65" s="757">
        <f>+H65*G65</f>
        <v>0</v>
      </c>
      <c r="J65" s="1246"/>
    </row>
    <row r="66" spans="1:10" ht="13.8">
      <c r="A66" s="986" t="s">
        <v>1086</v>
      </c>
      <c r="B66" s="987" t="s">
        <v>941</v>
      </c>
      <c r="C66" s="753" t="s">
        <v>1360</v>
      </c>
      <c r="D66" s="1088" t="s">
        <v>1330</v>
      </c>
      <c r="E66" s="753" t="s">
        <v>1361</v>
      </c>
      <c r="F66" s="755" t="s">
        <v>234</v>
      </c>
      <c r="G66" s="756">
        <v>450</v>
      </c>
      <c r="H66" s="988">
        <v>24.82</v>
      </c>
      <c r="I66" s="757">
        <f t="shared" ref="I66:I86" si="2">+H66*G66</f>
        <v>11169</v>
      </c>
      <c r="J66" s="1246"/>
    </row>
    <row r="67" spans="1:10" ht="13.8">
      <c r="A67" s="986"/>
      <c r="B67" s="987"/>
      <c r="C67" s="753"/>
      <c r="D67" s="1088"/>
      <c r="E67" s="753"/>
      <c r="F67" s="755" t="s">
        <v>234</v>
      </c>
      <c r="G67" s="756">
        <v>450</v>
      </c>
      <c r="H67" s="988"/>
      <c r="I67" s="757">
        <f t="shared" si="2"/>
        <v>0</v>
      </c>
      <c r="J67" s="1246"/>
    </row>
    <row r="68" spans="1:10" ht="27.6">
      <c r="A68" s="986" t="s">
        <v>1087</v>
      </c>
      <c r="B68" s="987" t="s">
        <v>1088</v>
      </c>
      <c r="C68" s="753" t="s">
        <v>1362</v>
      </c>
      <c r="D68" s="1122" t="s">
        <v>1352</v>
      </c>
      <c r="E68" s="752" t="s">
        <v>1364</v>
      </c>
      <c r="F68" s="755" t="s">
        <v>234</v>
      </c>
      <c r="G68" s="756">
        <v>900</v>
      </c>
      <c r="H68" s="988">
        <v>85.68</v>
      </c>
      <c r="I68" s="757">
        <f t="shared" si="2"/>
        <v>77112</v>
      </c>
      <c r="J68" s="1246"/>
    </row>
    <row r="69" spans="1:10" ht="24">
      <c r="A69" s="986"/>
      <c r="B69" s="987"/>
      <c r="C69" s="753" t="s">
        <v>1363</v>
      </c>
      <c r="D69" s="1122" t="s">
        <v>1322</v>
      </c>
      <c r="E69" s="752" t="s">
        <v>1365</v>
      </c>
      <c r="F69" s="755" t="s">
        <v>234</v>
      </c>
      <c r="G69" s="756">
        <v>900</v>
      </c>
      <c r="H69" s="988">
        <v>22.44</v>
      </c>
      <c r="I69" s="757">
        <f t="shared" si="2"/>
        <v>20196</v>
      </c>
      <c r="J69" s="1246"/>
    </row>
    <row r="70" spans="1:10" ht="13.8">
      <c r="A70" s="986" t="s">
        <v>1089</v>
      </c>
      <c r="B70" s="987" t="s">
        <v>942</v>
      </c>
      <c r="C70" s="753" t="s">
        <v>1366</v>
      </c>
      <c r="D70" s="1122" t="s">
        <v>1334</v>
      </c>
      <c r="E70" s="752" t="s">
        <v>1368</v>
      </c>
      <c r="F70" s="755" t="s">
        <v>946</v>
      </c>
      <c r="G70" s="756">
        <v>4200</v>
      </c>
      <c r="H70" s="988">
        <v>18.95</v>
      </c>
      <c r="I70" s="757">
        <f t="shared" si="2"/>
        <v>79590</v>
      </c>
      <c r="J70" s="1246"/>
    </row>
    <row r="71" spans="1:10" ht="13.8">
      <c r="A71" s="986"/>
      <c r="B71" s="987"/>
      <c r="C71" s="753" t="s">
        <v>1367</v>
      </c>
      <c r="D71" s="1122" t="s">
        <v>1321</v>
      </c>
      <c r="E71" s="752" t="s">
        <v>1369</v>
      </c>
      <c r="F71" s="755" t="s">
        <v>946</v>
      </c>
      <c r="G71" s="756">
        <v>4200</v>
      </c>
      <c r="H71" s="988">
        <v>8.8800000000000008</v>
      </c>
      <c r="I71" s="757">
        <f t="shared" si="2"/>
        <v>37296</v>
      </c>
      <c r="J71" s="1245"/>
    </row>
    <row r="72" spans="1:10" ht="28.2" thickBot="1">
      <c r="A72" s="986" t="s">
        <v>945</v>
      </c>
      <c r="B72" s="987" t="s">
        <v>944</v>
      </c>
      <c r="C72" s="753"/>
      <c r="D72" s="1122"/>
      <c r="E72" s="752"/>
      <c r="F72" s="755" t="s">
        <v>230</v>
      </c>
      <c r="G72" s="756">
        <v>25</v>
      </c>
      <c r="H72" s="988"/>
      <c r="I72" s="757">
        <f t="shared" si="2"/>
        <v>0</v>
      </c>
      <c r="J72" s="1245"/>
    </row>
    <row r="73" spans="1:10" ht="13.8">
      <c r="A73" s="1313"/>
      <c r="B73" s="987"/>
      <c r="C73" s="753"/>
      <c r="D73" s="1122"/>
      <c r="E73" s="752"/>
      <c r="F73" s="755" t="s">
        <v>230</v>
      </c>
      <c r="G73" s="756">
        <v>25</v>
      </c>
      <c r="H73" s="988"/>
      <c r="I73" s="757">
        <f t="shared" si="2"/>
        <v>0</v>
      </c>
      <c r="J73" s="1245"/>
    </row>
    <row r="74" spans="1:10" ht="27.6">
      <c r="A74" s="986" t="s">
        <v>1090</v>
      </c>
      <c r="B74" s="987" t="s">
        <v>1091</v>
      </c>
      <c r="C74" s="753" t="s">
        <v>1370</v>
      </c>
      <c r="D74" s="1122">
        <v>46304</v>
      </c>
      <c r="E74" s="752" t="s">
        <v>1376</v>
      </c>
      <c r="F74" s="755" t="s">
        <v>230</v>
      </c>
      <c r="G74" s="756">
        <v>20</v>
      </c>
      <c r="H74" s="988">
        <v>154.03</v>
      </c>
      <c r="I74" s="757">
        <f t="shared" si="2"/>
        <v>3080.6</v>
      </c>
      <c r="J74" s="1245"/>
    </row>
    <row r="75" spans="1:10" ht="13.8">
      <c r="A75" s="986"/>
      <c r="B75" s="987"/>
      <c r="C75" s="753" t="s">
        <v>1371</v>
      </c>
      <c r="D75" s="1122">
        <v>46304</v>
      </c>
      <c r="E75" s="752" t="s">
        <v>1377</v>
      </c>
      <c r="F75" s="755" t="s">
        <v>230</v>
      </c>
      <c r="G75" s="756">
        <v>20</v>
      </c>
      <c r="H75" s="988">
        <v>119.21</v>
      </c>
      <c r="I75" s="757">
        <f t="shared" si="2"/>
        <v>2384.1999999999998</v>
      </c>
      <c r="J75" s="1245"/>
    </row>
    <row r="76" spans="1:10" ht="13.8">
      <c r="A76" s="986"/>
      <c r="B76" s="987"/>
      <c r="C76" s="753" t="s">
        <v>1372</v>
      </c>
      <c r="D76" s="1122" t="s">
        <v>1335</v>
      </c>
      <c r="E76" s="752" t="s">
        <v>1378</v>
      </c>
      <c r="F76" s="755" t="s">
        <v>230</v>
      </c>
      <c r="G76" s="756">
        <v>20</v>
      </c>
      <c r="H76" s="988">
        <v>123.88</v>
      </c>
      <c r="I76" s="757">
        <f t="shared" si="2"/>
        <v>2477.6</v>
      </c>
      <c r="J76" s="1245"/>
    </row>
    <row r="77" spans="1:10" ht="13.8">
      <c r="A77" s="986"/>
      <c r="B77" s="987"/>
      <c r="C77" s="753" t="s">
        <v>1373</v>
      </c>
      <c r="D77" s="1122" t="s">
        <v>1335</v>
      </c>
      <c r="E77" s="752" t="s">
        <v>1379</v>
      </c>
      <c r="F77" s="755" t="s">
        <v>230</v>
      </c>
      <c r="G77" s="756">
        <v>20</v>
      </c>
      <c r="H77" s="988">
        <v>119.21</v>
      </c>
      <c r="I77" s="757">
        <f t="shared" si="2"/>
        <v>2384.1999999999998</v>
      </c>
      <c r="J77" s="1245"/>
    </row>
    <row r="78" spans="1:10" ht="13.8">
      <c r="A78" s="986"/>
      <c r="B78" s="987"/>
      <c r="C78" s="753" t="s">
        <v>1374</v>
      </c>
      <c r="D78" s="1122" t="s">
        <v>1352</v>
      </c>
      <c r="E78" s="752" t="s">
        <v>1380</v>
      </c>
      <c r="F78" s="755" t="s">
        <v>230</v>
      </c>
      <c r="G78" s="756">
        <v>20</v>
      </c>
      <c r="H78" s="988">
        <v>1268.4100000000001</v>
      </c>
      <c r="I78" s="757">
        <f t="shared" si="2"/>
        <v>25368.2</v>
      </c>
      <c r="J78" s="1245"/>
    </row>
    <row r="79" spans="1:10" ht="13.8">
      <c r="A79" s="986"/>
      <c r="B79" s="987"/>
      <c r="C79" s="753" t="s">
        <v>1375</v>
      </c>
      <c r="D79" s="1122" t="s">
        <v>1322</v>
      </c>
      <c r="E79" s="752" t="s">
        <v>1381</v>
      </c>
      <c r="F79" s="755" t="s">
        <v>230</v>
      </c>
      <c r="G79" s="756">
        <v>20</v>
      </c>
      <c r="H79" s="988">
        <v>129.80000000000001</v>
      </c>
      <c r="I79" s="757">
        <f t="shared" si="2"/>
        <v>2596</v>
      </c>
      <c r="J79" s="1245"/>
    </row>
    <row r="80" spans="1:10" ht="13.8">
      <c r="A80" s="986"/>
      <c r="B80" s="987"/>
      <c r="C80" s="753"/>
      <c r="D80" s="1122"/>
      <c r="E80" s="752"/>
      <c r="F80" s="755" t="s">
        <v>230</v>
      </c>
      <c r="G80" s="756">
        <v>20</v>
      </c>
      <c r="H80" s="988"/>
      <c r="I80" s="757">
        <f t="shared" si="2"/>
        <v>0</v>
      </c>
      <c r="J80" s="1246"/>
    </row>
    <row r="81" spans="1:10" ht="13.8">
      <c r="A81" s="986" t="s">
        <v>1092</v>
      </c>
      <c r="B81" s="987" t="s">
        <v>1093</v>
      </c>
      <c r="C81" s="753"/>
      <c r="D81" s="1122"/>
      <c r="E81" s="752"/>
      <c r="F81" s="755" t="s">
        <v>231</v>
      </c>
      <c r="G81" s="756">
        <v>90</v>
      </c>
      <c r="H81" s="988"/>
      <c r="I81" s="757">
        <f t="shared" si="2"/>
        <v>0</v>
      </c>
      <c r="J81" s="1246"/>
    </row>
    <row r="82" spans="1:10" ht="24">
      <c r="A82" s="986"/>
      <c r="B82" s="987"/>
      <c r="C82" s="753" t="s">
        <v>1382</v>
      </c>
      <c r="D82" s="1122">
        <v>46212</v>
      </c>
      <c r="E82" s="752" t="s">
        <v>1387</v>
      </c>
      <c r="F82" s="755" t="s">
        <v>231</v>
      </c>
      <c r="G82" s="756">
        <v>90</v>
      </c>
      <c r="H82" s="988">
        <v>2202.7600000000002</v>
      </c>
      <c r="I82" s="757">
        <f t="shared" si="2"/>
        <v>198248.40000000002</v>
      </c>
      <c r="J82" s="1246"/>
    </row>
    <row r="83" spans="1:10" ht="24">
      <c r="A83" s="986"/>
      <c r="B83" s="987"/>
      <c r="C83" s="753" t="s">
        <v>1383</v>
      </c>
      <c r="D83" s="1122" t="s">
        <v>1386</v>
      </c>
      <c r="E83" s="752" t="s">
        <v>1388</v>
      </c>
      <c r="F83" s="755" t="s">
        <v>231</v>
      </c>
      <c r="G83" s="756">
        <v>90</v>
      </c>
      <c r="H83" s="988">
        <v>489.71</v>
      </c>
      <c r="I83" s="757">
        <f t="shared" si="2"/>
        <v>44073.9</v>
      </c>
      <c r="J83" s="1246"/>
    </row>
    <row r="84" spans="1:10" ht="24">
      <c r="A84" s="986"/>
      <c r="B84" s="987"/>
      <c r="C84" s="753" t="s">
        <v>1384</v>
      </c>
      <c r="D84" s="1122" t="s">
        <v>1386</v>
      </c>
      <c r="E84" s="752" t="s">
        <v>1389</v>
      </c>
      <c r="F84" s="755" t="s">
        <v>231</v>
      </c>
      <c r="G84" s="756">
        <v>90</v>
      </c>
      <c r="H84" s="988">
        <v>508.33</v>
      </c>
      <c r="I84" s="757">
        <f t="shared" si="2"/>
        <v>45749.7</v>
      </c>
      <c r="J84" s="1246"/>
    </row>
    <row r="85" spans="1:10" ht="13.8">
      <c r="A85" s="986"/>
      <c r="B85" s="987"/>
      <c r="C85" s="753" t="s">
        <v>1385</v>
      </c>
      <c r="D85" s="1122" t="s">
        <v>1335</v>
      </c>
      <c r="E85" s="752" t="s">
        <v>1390</v>
      </c>
      <c r="F85" s="755" t="s">
        <v>231</v>
      </c>
      <c r="G85" s="756">
        <v>90</v>
      </c>
      <c r="H85" s="988">
        <v>728.33</v>
      </c>
      <c r="I85" s="757">
        <f t="shared" si="2"/>
        <v>65549.7</v>
      </c>
      <c r="J85" s="1246"/>
    </row>
    <row r="86" spans="1:10" ht="14.4" thickBot="1">
      <c r="A86" s="986"/>
      <c r="B86" s="987" t="s">
        <v>1093</v>
      </c>
      <c r="C86" s="753"/>
      <c r="D86" s="1122"/>
      <c r="E86" s="752"/>
      <c r="F86" s="755" t="s">
        <v>231</v>
      </c>
      <c r="G86" s="756">
        <v>90</v>
      </c>
      <c r="H86" s="988"/>
      <c r="I86" s="757">
        <f t="shared" si="2"/>
        <v>0</v>
      </c>
      <c r="J86" s="1246"/>
    </row>
    <row r="87" spans="1:10" ht="27" customHeight="1" thickBot="1">
      <c r="A87" s="982" t="s">
        <v>235</v>
      </c>
      <c r="B87" s="983"/>
      <c r="C87" s="983"/>
      <c r="D87" s="1124"/>
      <c r="E87" s="983"/>
      <c r="F87" s="983"/>
      <c r="G87" s="983"/>
      <c r="H87" s="984"/>
      <c r="I87" s="811">
        <f>SUM(I6:I86)</f>
        <v>944735.49999999977</v>
      </c>
      <c r="J87" s="1242"/>
    </row>
  </sheetData>
  <protectedRanges>
    <protectedRange password="CC3D" sqref="H7:H11" name="Range1_1_1_2_1"/>
  </protectedRanges>
  <autoFilter ref="A5:L87" xr:uid="{88C0E08A-E5C0-4052-9FC9-DEC03F76B00E}"/>
  <mergeCells count="12">
    <mergeCell ref="A6:B6"/>
    <mergeCell ref="A42:B42"/>
    <mergeCell ref="A64:B64"/>
    <mergeCell ref="F2:I2"/>
    <mergeCell ref="A3:B3"/>
    <mergeCell ref="C3:D3"/>
    <mergeCell ref="F3:I3"/>
    <mergeCell ref="C1:E1"/>
    <mergeCell ref="F1:H1"/>
    <mergeCell ref="A1:B1"/>
    <mergeCell ref="A2:B2"/>
    <mergeCell ref="C2:D2"/>
  </mergeCells>
  <phoneticPr fontId="97" type="noConversion"/>
  <printOptions horizontalCentered="1"/>
  <pageMargins left="0.25" right="0.41" top="0.15" bottom="0.25" header="0" footer="0"/>
  <pageSetup paperSize="9" scale="52"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K48"/>
  <sheetViews>
    <sheetView zoomScaleNormal="100" workbookViewId="0">
      <selection activeCell="M11" sqref="M11"/>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14" max="14" width="13.6640625" bestFit="1" customWidth="1"/>
    <col min="15" max="15" width="11.21875" bestFit="1" customWidth="1"/>
    <col min="34" max="34" width="12.44140625" bestFit="1" customWidth="1"/>
  </cols>
  <sheetData>
    <row r="1" spans="1:37" s="43" customFormat="1" ht="30" customHeight="1">
      <c r="A1" s="1579" t="s">
        <v>236</v>
      </c>
      <c r="B1" s="1579"/>
      <c r="C1" s="1579"/>
      <c r="D1" s="1579"/>
      <c r="E1" s="1579"/>
      <c r="F1" s="1579"/>
      <c r="G1" s="1579"/>
      <c r="H1" s="1579"/>
      <c r="I1" s="1579"/>
      <c r="J1"/>
      <c r="K1" s="59" t="s">
        <v>23</v>
      </c>
      <c r="L1" s="60">
        <v>46308</v>
      </c>
      <c r="M1"/>
      <c r="N1" s="59" t="s">
        <v>478</v>
      </c>
      <c r="O1" s="1247">
        <f>ROUNDUP(((L1-C14)/7),0)</f>
        <v>35</v>
      </c>
      <c r="P1" s="1225"/>
      <c r="Q1" s="1225"/>
      <c r="R1" s="1225"/>
      <c r="S1"/>
      <c r="T1"/>
      <c r="U1"/>
      <c r="V1"/>
      <c r="W1"/>
      <c r="X1"/>
      <c r="Y1"/>
      <c r="Z1"/>
      <c r="AA1"/>
      <c r="AB1"/>
      <c r="AC1"/>
      <c r="AD1"/>
      <c r="AE1"/>
      <c r="AF1"/>
      <c r="AG1"/>
      <c r="AH1"/>
      <c r="AI1"/>
      <c r="AJ1"/>
      <c r="AK1"/>
    </row>
    <row r="2" spans="1:37" s="43" customFormat="1" ht="30" customHeight="1">
      <c r="A2" s="44" t="s">
        <v>24</v>
      </c>
      <c r="B2" s="47"/>
      <c r="C2" s="47"/>
      <c r="D2" s="47"/>
      <c r="E2" s="47"/>
      <c r="F2" s="47"/>
      <c r="G2" s="47"/>
      <c r="H2" s="47"/>
      <c r="I2" s="48"/>
      <c r="J2"/>
      <c r="K2"/>
      <c r="L2"/>
      <c r="M2"/>
      <c r="N2"/>
      <c r="O2"/>
      <c r="P2"/>
      <c r="Q2"/>
      <c r="R2"/>
      <c r="S2"/>
      <c r="T2"/>
      <c r="U2"/>
      <c r="V2"/>
      <c r="W2"/>
      <c r="X2"/>
      <c r="Y2"/>
      <c r="Z2"/>
      <c r="AA2"/>
      <c r="AB2"/>
      <c r="AC2"/>
      <c r="AD2"/>
      <c r="AE2"/>
      <c r="AF2"/>
      <c r="AG2"/>
      <c r="AH2"/>
      <c r="AI2"/>
      <c r="AJ2"/>
      <c r="AK2"/>
    </row>
    <row r="3" spans="1:37" ht="36.75" customHeight="1">
      <c r="A3" s="1574" t="s">
        <v>29</v>
      </c>
      <c r="B3" s="1575"/>
      <c r="C3" s="1583" t="s">
        <v>1173</v>
      </c>
      <c r="D3" s="1584"/>
      <c r="E3" s="1584"/>
      <c r="F3" s="1584"/>
      <c r="G3" s="1584"/>
      <c r="H3" s="1584"/>
      <c r="I3" s="1585"/>
    </row>
    <row r="4" spans="1:37" ht="15.6">
      <c r="A4" s="1569" t="s">
        <v>39</v>
      </c>
      <c r="B4" s="1570"/>
      <c r="C4" s="1564" t="s">
        <v>1036</v>
      </c>
      <c r="D4" s="1565"/>
      <c r="E4" s="1565"/>
      <c r="F4" s="1565"/>
      <c r="G4" s="1565"/>
      <c r="H4" s="1565"/>
      <c r="I4" s="1566"/>
    </row>
    <row r="5" spans="1:37" ht="15.6">
      <c r="A5" s="1569" t="s">
        <v>48</v>
      </c>
      <c r="B5" s="1570"/>
      <c r="C5" s="1564" t="s">
        <v>1037</v>
      </c>
      <c r="D5" s="1565"/>
      <c r="E5" s="1565"/>
      <c r="F5" s="1565"/>
      <c r="G5" s="1565"/>
      <c r="H5" s="1565"/>
      <c r="I5" s="1566"/>
    </row>
    <row r="6" spans="1:37" ht="15.6">
      <c r="A6" s="1569" t="s">
        <v>57</v>
      </c>
      <c r="B6" s="1570"/>
      <c r="C6" s="1564" t="s">
        <v>1038</v>
      </c>
      <c r="D6" s="1565"/>
      <c r="E6" s="1565"/>
      <c r="F6" s="1565"/>
      <c r="G6" s="1565"/>
      <c r="H6" s="1565"/>
      <c r="I6" s="1566"/>
    </row>
    <row r="7" spans="1:37" ht="15.6">
      <c r="A7" s="1569" t="s">
        <v>40</v>
      </c>
      <c r="B7" s="1570"/>
      <c r="C7" s="1564" t="s">
        <v>237</v>
      </c>
      <c r="D7" s="1565"/>
      <c r="E7" s="1565"/>
      <c r="F7" s="1565"/>
      <c r="G7" s="1565"/>
      <c r="H7" s="1565"/>
      <c r="I7" s="1566"/>
    </row>
    <row r="8" spans="1:37" ht="15.6">
      <c r="A8" s="1569" t="s">
        <v>49</v>
      </c>
      <c r="B8" s="1570"/>
      <c r="C8" s="1564" t="s">
        <v>238</v>
      </c>
      <c r="D8" s="1565"/>
      <c r="E8" s="1565"/>
      <c r="F8" s="1565"/>
      <c r="G8" s="1565"/>
      <c r="H8" s="1565"/>
      <c r="I8" s="1566"/>
    </row>
    <row r="9" spans="1:37" ht="14.4" customHeight="1">
      <c r="A9" s="1567" t="s">
        <v>58</v>
      </c>
      <c r="B9" s="1568"/>
      <c r="C9" s="1580" t="s">
        <v>1209</v>
      </c>
      <c r="D9" s="1581"/>
      <c r="E9" s="1581"/>
      <c r="F9" s="1581"/>
      <c r="G9" s="1581"/>
      <c r="H9" s="1581"/>
      <c r="I9" s="1582"/>
    </row>
    <row r="11" spans="1:37" ht="17.399999999999999">
      <c r="A11" s="44" t="s">
        <v>25</v>
      </c>
      <c r="B11" s="47"/>
      <c r="C11" s="47"/>
      <c r="D11" s="47"/>
      <c r="E11" s="47"/>
      <c r="F11" s="47"/>
      <c r="G11" s="47"/>
      <c r="H11" s="47"/>
      <c r="I11" s="48"/>
    </row>
    <row r="12" spans="1:37" ht="21" customHeight="1">
      <c r="A12" s="1574" t="s">
        <v>239</v>
      </c>
      <c r="B12" s="1575"/>
      <c r="C12" s="1571">
        <v>46054</v>
      </c>
      <c r="D12" s="1572"/>
      <c r="E12" s="1572"/>
      <c r="F12" s="1572"/>
      <c r="G12" s="1572"/>
      <c r="H12" s="1572"/>
      <c r="I12" s="1573"/>
      <c r="J12" s="93"/>
    </row>
    <row r="13" spans="1:37" ht="21" customHeight="1">
      <c r="A13" s="1569" t="s">
        <v>240</v>
      </c>
      <c r="B13" s="1570"/>
      <c r="C13" s="1571">
        <v>46061</v>
      </c>
      <c r="D13" s="1572"/>
      <c r="E13" s="1572"/>
      <c r="F13" s="1572"/>
      <c r="G13" s="1572"/>
      <c r="H13" s="1572"/>
      <c r="I13" s="1573"/>
      <c r="J13" s="93"/>
    </row>
    <row r="14" spans="1:37" ht="21" customHeight="1">
      <c r="A14" s="1569" t="s">
        <v>241</v>
      </c>
      <c r="B14" s="1570"/>
      <c r="C14" s="1571">
        <v>46068</v>
      </c>
      <c r="D14" s="1572"/>
      <c r="E14" s="1572"/>
      <c r="F14" s="1572"/>
      <c r="G14" s="1572"/>
      <c r="H14" s="1572"/>
      <c r="I14" s="1573"/>
      <c r="J14" s="93"/>
    </row>
    <row r="15" spans="1:37" ht="21" customHeight="1">
      <c r="A15" s="1567" t="s">
        <v>59</v>
      </c>
      <c r="B15" s="1568"/>
      <c r="C15" s="1571">
        <v>46613</v>
      </c>
      <c r="D15" s="1572"/>
      <c r="E15" s="1572"/>
      <c r="F15" s="1572"/>
      <c r="G15" s="1572"/>
      <c r="H15" s="1572"/>
      <c r="I15" s="1573"/>
      <c r="J15" s="93"/>
    </row>
    <row r="16" spans="1:37" ht="21" customHeight="1">
      <c r="A16" s="1574" t="s">
        <v>242</v>
      </c>
      <c r="B16" s="1575"/>
      <c r="C16" s="1571" t="s">
        <v>1039</v>
      </c>
      <c r="D16" s="1572"/>
      <c r="E16" s="1572"/>
      <c r="F16" s="1572"/>
      <c r="G16" s="1572"/>
      <c r="H16" s="1572"/>
      <c r="I16" s="1573"/>
      <c r="J16" s="524"/>
    </row>
    <row r="17" spans="1:10" ht="21" customHeight="1">
      <c r="A17" s="1569" t="s">
        <v>243</v>
      </c>
      <c r="B17" s="1570"/>
      <c r="C17" s="1571" t="s">
        <v>1040</v>
      </c>
      <c r="D17" s="1572"/>
      <c r="E17" s="1572"/>
      <c r="F17" s="1572"/>
      <c r="G17" s="1572"/>
      <c r="H17" s="1572"/>
      <c r="I17" s="1573"/>
    </row>
    <row r="18" spans="1:10" ht="21" customHeight="1">
      <c r="A18" s="1569" t="s">
        <v>244</v>
      </c>
      <c r="B18" s="1570"/>
      <c r="C18" s="1571" t="s">
        <v>1041</v>
      </c>
      <c r="D18" s="1572"/>
      <c r="E18" s="1572"/>
      <c r="F18" s="1572"/>
      <c r="G18" s="1572"/>
      <c r="H18" s="1572"/>
      <c r="I18" s="1573"/>
      <c r="J18" s="524"/>
    </row>
    <row r="19" spans="1:10" ht="21" customHeight="1">
      <c r="A19" s="1567" t="s">
        <v>60</v>
      </c>
      <c r="B19" s="1568"/>
      <c r="C19" s="1571" t="s">
        <v>1042</v>
      </c>
      <c r="D19" s="1572"/>
      <c r="E19" s="1572"/>
      <c r="F19" s="1572"/>
      <c r="G19" s="1572"/>
      <c r="H19" s="1572"/>
      <c r="I19" s="1573"/>
      <c r="J19" s="524"/>
    </row>
    <row r="20" spans="1:10" ht="21" customHeight="1">
      <c r="A20" s="1574" t="s">
        <v>245</v>
      </c>
      <c r="B20" s="1575"/>
      <c r="C20" s="1571">
        <v>46613</v>
      </c>
      <c r="D20" s="1572"/>
      <c r="E20" s="1572"/>
      <c r="F20" s="1572"/>
      <c r="G20" s="1572"/>
      <c r="H20" s="1572"/>
      <c r="I20" s="1573"/>
      <c r="J20" s="93"/>
    </row>
    <row r="21" spans="1:10" ht="21" customHeight="1">
      <c r="A21" s="1569" t="s">
        <v>246</v>
      </c>
      <c r="B21" s="1570"/>
      <c r="C21" s="1576">
        <v>46613</v>
      </c>
      <c r="D21" s="1577"/>
      <c r="E21" s="1577"/>
      <c r="F21" s="1577"/>
      <c r="G21" s="1577"/>
      <c r="H21" s="1577"/>
      <c r="I21" s="1578"/>
      <c r="J21" s="93"/>
    </row>
    <row r="22" spans="1:10" ht="21" customHeight="1">
      <c r="A22" s="1569" t="s">
        <v>52</v>
      </c>
      <c r="B22" s="1570"/>
      <c r="C22" s="1576">
        <v>46642</v>
      </c>
      <c r="D22" s="1577"/>
      <c r="E22" s="1577"/>
      <c r="F22" s="1577"/>
      <c r="G22" s="1577"/>
      <c r="H22" s="1577"/>
      <c r="I22" s="1578"/>
      <c r="J22" s="93"/>
    </row>
    <row r="23" spans="1:10" ht="21" customHeight="1">
      <c r="A23" s="1567" t="s">
        <v>55</v>
      </c>
      <c r="B23" s="1568"/>
      <c r="C23" s="1605">
        <f>C20-C22</f>
        <v>-29</v>
      </c>
      <c r="D23" s="1606"/>
      <c r="E23" s="1606"/>
      <c r="F23" s="1606"/>
      <c r="G23" s="1606"/>
      <c r="H23" s="1606"/>
      <c r="I23" s="1607"/>
    </row>
    <row r="24" spans="1:10" ht="15" thickBot="1"/>
    <row r="25" spans="1:10" ht="54" customHeight="1" thickBot="1">
      <c r="A25" s="1586" t="s">
        <v>247</v>
      </c>
      <c r="B25" s="1587"/>
      <c r="C25" s="204" t="s">
        <v>248</v>
      </c>
      <c r="D25" s="205" t="s">
        <v>249</v>
      </c>
    </row>
    <row r="26" spans="1:10" ht="15" thickBot="1">
      <c r="A26" s="1591" t="s">
        <v>250</v>
      </c>
      <c r="B26" s="1592"/>
      <c r="C26" s="722">
        <v>46076</v>
      </c>
      <c r="D26" s="1588">
        <f>C26-C14</f>
        <v>8</v>
      </c>
    </row>
    <row r="27" spans="1:10" ht="15" thickBot="1">
      <c r="A27" s="1593" t="s">
        <v>251</v>
      </c>
      <c r="B27" s="1594"/>
      <c r="C27" s="722">
        <v>46110</v>
      </c>
      <c r="D27" s="1589"/>
    </row>
    <row r="28" spans="1:10" ht="15" thickBot="1">
      <c r="A28" s="1595" t="s">
        <v>252</v>
      </c>
      <c r="B28" s="1596"/>
      <c r="C28" s="1197">
        <v>46110</v>
      </c>
      <c r="D28" s="1590"/>
    </row>
    <row r="29" spans="1:10" ht="15" thickBot="1">
      <c r="C29" s="5"/>
      <c r="H29" s="5"/>
    </row>
    <row r="30" spans="1:10" ht="15" thickBot="1">
      <c r="A30" s="1591" t="s">
        <v>253</v>
      </c>
      <c r="B30" s="1592"/>
      <c r="C30" s="722">
        <v>46085</v>
      </c>
      <c r="D30" s="1588">
        <f>C30-C14</f>
        <v>17</v>
      </c>
    </row>
    <row r="31" spans="1:10" ht="15" thickBot="1">
      <c r="A31" s="1593" t="s">
        <v>254</v>
      </c>
      <c r="B31" s="1594"/>
      <c r="C31" s="722">
        <v>46090</v>
      </c>
      <c r="D31" s="1589"/>
    </row>
    <row r="32" spans="1:10" ht="15" thickBot="1">
      <c r="A32" s="1595" t="s">
        <v>255</v>
      </c>
      <c r="B32" s="1596"/>
      <c r="C32" s="723">
        <v>46090</v>
      </c>
      <c r="D32" s="1590"/>
    </row>
    <row r="33" spans="1:4" ht="15" thickBot="1">
      <c r="C33" s="5"/>
    </row>
    <row r="34" spans="1:4" ht="15" thickBot="1">
      <c r="A34" s="1591" t="s">
        <v>256</v>
      </c>
      <c r="B34" s="1592"/>
      <c r="C34" s="722">
        <v>46076</v>
      </c>
      <c r="D34" s="1588">
        <f>C34-C14</f>
        <v>8</v>
      </c>
    </row>
    <row r="35" spans="1:4" ht="15" thickBot="1">
      <c r="A35" s="1593" t="s">
        <v>257</v>
      </c>
      <c r="B35" s="1594"/>
      <c r="C35" s="722">
        <v>46078</v>
      </c>
      <c r="D35" s="1589"/>
    </row>
    <row r="36" spans="1:4" ht="15" thickBot="1">
      <c r="A36" s="1595" t="s">
        <v>258</v>
      </c>
      <c r="B36" s="1596"/>
      <c r="C36" s="723">
        <v>46078</v>
      </c>
      <c r="D36" s="1590"/>
    </row>
    <row r="37" spans="1:4" ht="15" thickBot="1">
      <c r="A37" s="724"/>
      <c r="B37" s="725"/>
      <c r="C37" s="726"/>
      <c r="D37" s="203"/>
    </row>
    <row r="38" spans="1:4" ht="15" thickBot="1">
      <c r="A38" s="1591" t="s">
        <v>259</v>
      </c>
      <c r="B38" s="1592"/>
      <c r="C38" s="722">
        <v>46070</v>
      </c>
      <c r="D38" s="1588">
        <f>C38-C14</f>
        <v>2</v>
      </c>
    </row>
    <row r="39" spans="1:4" ht="15" thickBot="1">
      <c r="A39" s="1593" t="s">
        <v>260</v>
      </c>
      <c r="B39" s="1594"/>
      <c r="C39" s="722">
        <v>45717</v>
      </c>
      <c r="D39" s="1589"/>
    </row>
    <row r="40" spans="1:4" ht="15" thickBot="1">
      <c r="A40" s="1593" t="s">
        <v>261</v>
      </c>
      <c r="B40" s="1594"/>
      <c r="C40" s="727">
        <v>1</v>
      </c>
      <c r="D40" s="1589"/>
    </row>
    <row r="41" spans="1:4" ht="15" thickBot="1">
      <c r="A41" s="1595" t="s">
        <v>262</v>
      </c>
      <c r="B41" s="1596"/>
      <c r="C41" s="723">
        <v>45717</v>
      </c>
      <c r="D41" s="1590"/>
    </row>
    <row r="42" spans="1:4" ht="15" thickBot="1">
      <c r="C42" s="5"/>
    </row>
    <row r="43" spans="1:4" ht="15" thickBot="1">
      <c r="A43" s="1597" t="s">
        <v>263</v>
      </c>
      <c r="B43" s="1598"/>
      <c r="C43" s="1147">
        <v>46231</v>
      </c>
      <c r="D43" s="1588">
        <f>C43-C14</f>
        <v>163</v>
      </c>
    </row>
    <row r="44" spans="1:4" ht="15" thickBot="1">
      <c r="A44" s="1593" t="s">
        <v>264</v>
      </c>
      <c r="B44" s="1599"/>
      <c r="C44" s="1147"/>
      <c r="D44" s="1589"/>
    </row>
    <row r="45" spans="1:4" ht="15" thickBot="1">
      <c r="A45" s="1600" t="s">
        <v>265</v>
      </c>
      <c r="B45" s="1601"/>
      <c r="C45" s="728"/>
      <c r="D45" s="1590"/>
    </row>
    <row r="46" spans="1:4" ht="15" thickBot="1">
      <c r="C46" s="5"/>
    </row>
    <row r="47" spans="1:4" ht="15" thickBot="1">
      <c r="A47" s="1602" t="s">
        <v>1014</v>
      </c>
      <c r="B47" s="1603"/>
      <c r="C47" s="728">
        <v>46072</v>
      </c>
      <c r="D47" s="1588">
        <f>C47-C14</f>
        <v>4</v>
      </c>
    </row>
    <row r="48" spans="1:4" ht="15" thickBot="1">
      <c r="A48" s="1595" t="s">
        <v>1017</v>
      </c>
      <c r="B48" s="1604"/>
      <c r="C48" s="728">
        <v>46072</v>
      </c>
      <c r="D48" s="1590"/>
    </row>
  </sheetData>
  <mergeCells count="64">
    <mergeCell ref="C23:I23"/>
    <mergeCell ref="C19:I19"/>
    <mergeCell ref="C20:I20"/>
    <mergeCell ref="C15:I15"/>
    <mergeCell ref="C16:I16"/>
    <mergeCell ref="C17:I17"/>
    <mergeCell ref="C18:I18"/>
    <mergeCell ref="D43:D45"/>
    <mergeCell ref="D47:D48"/>
    <mergeCell ref="A43:B43"/>
    <mergeCell ref="A44:B44"/>
    <mergeCell ref="A45:B45"/>
    <mergeCell ref="A47:B47"/>
    <mergeCell ref="A48:B48"/>
    <mergeCell ref="D38:D41"/>
    <mergeCell ref="A38:B38"/>
    <mergeCell ref="A39:B39"/>
    <mergeCell ref="A40:B40"/>
    <mergeCell ref="A41:B41"/>
    <mergeCell ref="D30:D32"/>
    <mergeCell ref="D34:D36"/>
    <mergeCell ref="A30:B30"/>
    <mergeCell ref="A31:B31"/>
    <mergeCell ref="A32:B32"/>
    <mergeCell ref="A34:B34"/>
    <mergeCell ref="A35:B35"/>
    <mergeCell ref="A36:B36"/>
    <mergeCell ref="A25:B25"/>
    <mergeCell ref="D26:D28"/>
    <mergeCell ref="A26:B26"/>
    <mergeCell ref="A27:B27"/>
    <mergeCell ref="A28:B28"/>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V49"/>
  <sheetViews>
    <sheetView zoomScale="80" zoomScaleNormal="80" zoomScaleSheetLayoutView="90" workbookViewId="0">
      <selection activeCell="J33" sqref="J33"/>
    </sheetView>
  </sheetViews>
  <sheetFormatPr defaultRowHeight="14.4"/>
  <cols>
    <col min="1" max="1" width="15.77734375" customWidth="1"/>
    <col min="2" max="2" width="17.21875" bestFit="1" customWidth="1"/>
    <col min="3" max="3" width="7.44140625" bestFit="1" customWidth="1"/>
    <col min="4" max="4" width="14.44140625" bestFit="1" customWidth="1"/>
    <col min="5" max="5" width="13.33203125" bestFit="1" customWidth="1"/>
    <col min="6" max="6" width="18.5546875" bestFit="1" customWidth="1"/>
    <col min="7" max="7" width="14.44140625" bestFit="1" customWidth="1"/>
    <col min="8" max="8" width="13.33203125" bestFit="1" customWidth="1"/>
    <col min="9" max="9" width="3.44140625" customWidth="1"/>
    <col min="10" max="10" width="17.6640625" bestFit="1" customWidth="1"/>
    <col min="11" max="11" width="6.77734375" bestFit="1" customWidth="1"/>
    <col min="12" max="12" width="14.44140625" bestFit="1" customWidth="1"/>
    <col min="13" max="13" width="13.33203125" bestFit="1" customWidth="1"/>
    <col min="14" max="14" width="14.44140625" bestFit="1" customWidth="1"/>
    <col min="15" max="15" width="13.33203125" bestFit="1" customWidth="1"/>
    <col min="16" max="16" width="11.88671875" customWidth="1"/>
    <col min="17" max="17" width="8.109375" customWidth="1"/>
    <col min="18" max="18" width="13.88671875" customWidth="1"/>
    <col min="19" max="19" width="12.33203125" bestFit="1" customWidth="1"/>
    <col min="20" max="21" width="14.5546875" customWidth="1"/>
    <col min="22" max="22" width="18.44140625" bestFit="1" customWidth="1"/>
    <col min="23" max="23" width="17.33203125" bestFit="1" customWidth="1"/>
    <col min="24" max="24" width="20.109375" bestFit="1" customWidth="1"/>
    <col min="25" max="25" width="24.44140625" bestFit="1" customWidth="1"/>
    <col min="26" max="26" width="23.44140625" bestFit="1" customWidth="1"/>
  </cols>
  <sheetData>
    <row r="1" spans="1:22" ht="15.6">
      <c r="A1" s="1608" t="s">
        <v>1210</v>
      </c>
      <c r="B1" s="1609"/>
      <c r="C1" s="1609"/>
      <c r="D1" s="1609"/>
      <c r="E1" s="1609"/>
      <c r="F1" s="1609"/>
      <c r="G1" s="1609"/>
      <c r="H1" s="1609"/>
      <c r="I1" s="1609"/>
      <c r="J1" s="1609"/>
      <c r="K1" s="1609"/>
      <c r="L1" s="1609"/>
      <c r="M1" s="1609"/>
      <c r="N1" s="1609"/>
      <c r="O1" s="1610"/>
      <c r="R1" s="59" t="str">
        <f>'General Information'!$K$1</f>
        <v>Data Date</v>
      </c>
      <c r="S1" s="60">
        <f>'General Information'!L1</f>
        <v>46308</v>
      </c>
    </row>
    <row r="2" spans="1:22">
      <c r="A2" s="1611"/>
      <c r="B2" s="1612"/>
      <c r="C2" s="1612"/>
      <c r="D2" s="1612"/>
      <c r="E2" s="1612"/>
      <c r="F2" s="1612"/>
      <c r="G2" s="1612"/>
      <c r="H2" s="1612"/>
      <c r="I2" s="1612"/>
      <c r="J2" s="1612"/>
      <c r="K2" s="1612"/>
      <c r="L2" s="1612"/>
      <c r="M2" s="1612"/>
      <c r="N2" s="1612"/>
      <c r="O2" s="1613"/>
    </row>
    <row r="3" spans="1:22" ht="15" thickBot="1">
      <c r="A3" s="1611"/>
      <c r="B3" s="1612"/>
      <c r="C3" s="1612"/>
      <c r="D3" s="1612"/>
      <c r="E3" s="1612"/>
      <c r="F3" s="1612"/>
      <c r="G3" s="1612"/>
      <c r="H3" s="1612"/>
      <c r="I3" s="1612"/>
      <c r="J3" s="1612"/>
      <c r="K3" s="1612"/>
      <c r="L3" s="1612"/>
      <c r="M3" s="1612"/>
      <c r="N3" s="1612"/>
      <c r="O3" s="1613"/>
    </row>
    <row r="4" spans="1:22" ht="31.2" customHeight="1" thickBot="1">
      <c r="A4" s="1624" t="s">
        <v>1292</v>
      </c>
      <c r="B4" s="1624"/>
      <c r="C4" s="1624"/>
      <c r="D4" s="1624"/>
      <c r="E4" s="1624"/>
      <c r="F4" s="1624"/>
      <c r="G4" s="1624"/>
      <c r="H4" s="1624"/>
      <c r="I4" s="108"/>
      <c r="J4" s="1619" t="s">
        <v>65</v>
      </c>
      <c r="K4" s="1620"/>
      <c r="L4" s="1620"/>
      <c r="M4" s="1620"/>
      <c r="N4" s="1620"/>
      <c r="O4" s="1621"/>
    </row>
    <row r="5" spans="1:22" ht="18.600000000000001" customHeight="1" thickBot="1">
      <c r="A5" s="1418"/>
      <c r="B5" s="1469" t="s">
        <v>67</v>
      </c>
      <c r="C5" s="1614" t="s">
        <v>68</v>
      </c>
      <c r="D5" s="1466" t="s">
        <v>69</v>
      </c>
      <c r="E5" s="1467"/>
      <c r="F5" s="291"/>
      <c r="G5" s="1622" t="s">
        <v>70</v>
      </c>
      <c r="H5" s="1623"/>
      <c r="J5" s="112" t="s">
        <v>71</v>
      </c>
      <c r="K5" s="1614" t="s">
        <v>68</v>
      </c>
      <c r="L5" s="1616" t="s">
        <v>72</v>
      </c>
      <c r="M5" s="1617"/>
      <c r="N5" s="1616" t="s">
        <v>73</v>
      </c>
      <c r="O5" s="1618"/>
    </row>
    <row r="6" spans="1:22" ht="16.2" thickBot="1">
      <c r="A6" s="1419"/>
      <c r="B6" s="1470"/>
      <c r="C6" s="1615"/>
      <c r="D6" s="113" t="s">
        <v>74</v>
      </c>
      <c r="E6" s="114" t="s">
        <v>75</v>
      </c>
      <c r="F6" s="816" t="s">
        <v>76</v>
      </c>
      <c r="G6" s="115" t="s">
        <v>74</v>
      </c>
      <c r="H6" s="115" t="s">
        <v>75</v>
      </c>
      <c r="J6" s="116" t="s">
        <v>82</v>
      </c>
      <c r="K6" s="1615"/>
      <c r="L6" s="113" t="s">
        <v>74</v>
      </c>
      <c r="M6" s="114" t="s">
        <v>75</v>
      </c>
      <c r="N6" s="115" t="s">
        <v>74</v>
      </c>
      <c r="O6" s="817" t="s">
        <v>75</v>
      </c>
    </row>
    <row r="7" spans="1:22" s="13" customFormat="1" ht="15" thickBot="1">
      <c r="A7" s="1239" t="s">
        <v>266</v>
      </c>
      <c r="B7" s="202">
        <f>SUBTOTAL(9,B8:B8)</f>
        <v>0</v>
      </c>
      <c r="C7" s="577">
        <f t="shared" ref="C7:C24" si="0">IF(ISBLANK(B7),"",B7/$B$27)</f>
        <v>0</v>
      </c>
      <c r="D7" s="202">
        <f>SUBTOTAL(9,D8:D8)</f>
        <v>0</v>
      </c>
      <c r="E7" s="1190" t="s">
        <v>319</v>
      </c>
      <c r="F7" s="202">
        <f>SUBTOTAL(9,F8:F8)</f>
        <v>0</v>
      </c>
      <c r="G7" s="202">
        <f>SUBTOTAL(9,G8:G8)</f>
        <v>0</v>
      </c>
      <c r="H7" s="1190" t="s">
        <v>319</v>
      </c>
      <c r="I7" s="818"/>
      <c r="J7" s="202">
        <f>SUBTOTAL(9,J8:J8)</f>
        <v>14738</v>
      </c>
      <c r="K7" s="201">
        <f t="shared" ref="K7:K26" si="1">IF(ISBLANK(J7),"",J7/$J$27)</f>
        <v>2.9894583964673357E-2</v>
      </c>
      <c r="L7" s="202">
        <f>SUBTOTAL(9,L8:L8)</f>
        <v>0</v>
      </c>
      <c r="M7" s="202">
        <f>SUBTOTAL(9,M8:M8)</f>
        <v>0</v>
      </c>
      <c r="N7" s="202">
        <f>SUBTOTAL(9,N8:N8)</f>
        <v>14738</v>
      </c>
      <c r="O7" s="829">
        <f>SUBTOTAL(9,O8:O8)</f>
        <v>14738</v>
      </c>
    </row>
    <row r="8" spans="1:22" s="13" customFormat="1" ht="15" thickBot="1">
      <c r="A8" s="1238"/>
      <c r="B8" s="574">
        <v>0</v>
      </c>
      <c r="C8" s="578">
        <f t="shared" si="0"/>
        <v>0</v>
      </c>
      <c r="D8" s="729">
        <f>+'Progress (2)'!I4</f>
        <v>0</v>
      </c>
      <c r="E8" s="729">
        <f>+'Progress (2)'!J4</f>
        <v>916464.07999999821</v>
      </c>
      <c r="F8" s="729">
        <f>+'Progress (2)'!K4</f>
        <v>0</v>
      </c>
      <c r="G8" s="729">
        <f>+'Progress (2)'!L4</f>
        <v>0</v>
      </c>
      <c r="H8" s="729">
        <f>+'Progress (2)'!M4</f>
        <v>40099753.079999998</v>
      </c>
      <c r="I8" s="576"/>
      <c r="J8" s="730">
        <v>14738</v>
      </c>
      <c r="K8" s="575">
        <f t="shared" si="1"/>
        <v>2.9894583964673357E-2</v>
      </c>
      <c r="L8" s="729">
        <f>+'Progress (2)'!O4</f>
        <v>0</v>
      </c>
      <c r="M8" s="729">
        <f>+'Progress (2)'!P4</f>
        <v>0</v>
      </c>
      <c r="N8" s="729">
        <f>+'Progress (2)'!Q4</f>
        <v>14738</v>
      </c>
      <c r="O8" s="830">
        <f>+'Progress (2)'!R4</f>
        <v>14738</v>
      </c>
    </row>
    <row r="9" spans="1:22" s="13" customFormat="1" ht="15" thickBot="1">
      <c r="A9" s="1239" t="s">
        <v>1293</v>
      </c>
      <c r="B9" s="202">
        <f>SUBTOTAL(9,B10:B10)</f>
        <v>1560765.46</v>
      </c>
      <c r="C9" s="577">
        <f t="shared" si="0"/>
        <v>2.9999999615573245E-2</v>
      </c>
      <c r="D9" s="202">
        <f>SUBTOTAL(9,D10:D10)</f>
        <v>0</v>
      </c>
      <c r="E9" s="202">
        <f>SUBTOTAL(9,E10:E10)</f>
        <v>0</v>
      </c>
      <c r="F9" s="202">
        <f>SUBTOTAL(9,F10:F10)</f>
        <v>1560765.48</v>
      </c>
      <c r="G9" s="202">
        <f>SUBTOTAL(9,G10:G10)</f>
        <v>1560765.48</v>
      </c>
      <c r="H9" s="202">
        <f>SUBTOTAL(9,H10:H10)</f>
        <v>1560765.48</v>
      </c>
      <c r="I9" s="818"/>
      <c r="J9" s="202">
        <f>SUBTOTAL(9,J10:J10)</f>
        <v>24562</v>
      </c>
      <c r="K9" s="201">
        <f t="shared" si="1"/>
        <v>4.9821602072215157E-2</v>
      </c>
      <c r="L9" s="202">
        <f>SUBTOTAL(9,L10:L10)</f>
        <v>0</v>
      </c>
      <c r="M9" s="202">
        <f>SUBTOTAL(9,M10:M10)</f>
        <v>0</v>
      </c>
      <c r="N9" s="202">
        <f>SUBTOTAL(9,N10:N10)</f>
        <v>24562</v>
      </c>
      <c r="O9" s="829">
        <f>SUBTOTAL(9,O10:O10)</f>
        <v>24562</v>
      </c>
      <c r="Q9" s="731"/>
      <c r="R9" s="731"/>
      <c r="S9" s="731"/>
      <c r="T9" s="737"/>
      <c r="U9" s="732"/>
      <c r="V9" s="732"/>
    </row>
    <row r="10" spans="1:22" s="13" customFormat="1" ht="15" thickBot="1">
      <c r="A10" s="1238"/>
      <c r="B10" s="574">
        <v>1560765.46</v>
      </c>
      <c r="C10" s="578">
        <f t="shared" si="0"/>
        <v>2.9999999615573245E-2</v>
      </c>
      <c r="D10" s="729">
        <f>+'Progress (2)'!I5</f>
        <v>0</v>
      </c>
      <c r="E10" s="729">
        <f>+'Progress (2)'!J5</f>
        <v>0</v>
      </c>
      <c r="F10" s="729">
        <f>+'Progress (2)'!K5</f>
        <v>1560765.48</v>
      </c>
      <c r="G10" s="729">
        <f>+'Progress (2)'!L5</f>
        <v>1560765.48</v>
      </c>
      <c r="H10" s="729">
        <f>+'Progress (2)'!M5</f>
        <v>1560765.48</v>
      </c>
      <c r="I10" s="576"/>
      <c r="J10" s="730">
        <v>24562</v>
      </c>
      <c r="K10" s="575">
        <f t="shared" si="1"/>
        <v>4.9821602072215157E-2</v>
      </c>
      <c r="L10" s="729">
        <f>+'Progress (2)'!O5</f>
        <v>0</v>
      </c>
      <c r="M10" s="729">
        <f>+'Progress (2)'!P5</f>
        <v>0</v>
      </c>
      <c r="N10" s="729">
        <f>+'Progress (2)'!Q5</f>
        <v>24562</v>
      </c>
      <c r="O10" s="830">
        <f>+'Progress (2)'!R5</f>
        <v>24562</v>
      </c>
      <c r="Q10" s="732"/>
      <c r="R10" s="736"/>
      <c r="S10" s="736"/>
      <c r="T10" s="732"/>
      <c r="U10" s="731"/>
      <c r="V10" s="732"/>
    </row>
    <row r="11" spans="1:22" s="13" customFormat="1" ht="15" thickBot="1">
      <c r="A11" s="1239" t="s">
        <v>1294</v>
      </c>
      <c r="B11" s="202">
        <f>SUBTOTAL(9,B12:B12)</f>
        <v>10405103.199999999</v>
      </c>
      <c r="C11" s="577">
        <f t="shared" si="0"/>
        <v>0.19999999999999996</v>
      </c>
      <c r="D11" s="202">
        <f>SUBTOTAL(9,D12:D12)</f>
        <v>0</v>
      </c>
      <c r="E11" s="202">
        <f>SUBTOTAL(9,E12:E12)</f>
        <v>25502.699999999255</v>
      </c>
      <c r="F11" s="202">
        <f>SUBTOTAL(9,F12:F12)</f>
        <v>10405103.199999999</v>
      </c>
      <c r="G11" s="202">
        <f>SUBTOTAL(9,G12:G12)</f>
        <v>10405103.199999999</v>
      </c>
      <c r="H11" s="202">
        <f>SUBTOTAL(9,H12:H12)</f>
        <v>10060816.75</v>
      </c>
      <c r="I11" s="818"/>
      <c r="J11" s="202">
        <f>SUBTOTAL(9,J12:J12)</f>
        <v>58936</v>
      </c>
      <c r="K11" s="201">
        <f t="shared" si="1"/>
        <v>0.11954588143180818</v>
      </c>
      <c r="L11" s="202">
        <f>SUBTOTAL(9,L12:L12)</f>
        <v>0</v>
      </c>
      <c r="M11" s="202">
        <f>SUBTOTAL(9,M12:M12)</f>
        <v>152</v>
      </c>
      <c r="N11" s="202">
        <f>SUBTOTAL(9,N12:N12)</f>
        <v>58936</v>
      </c>
      <c r="O11" s="829">
        <f>SUBTOTAL(9,O12:O12)</f>
        <v>53310</v>
      </c>
      <c r="Q11" s="731"/>
      <c r="R11" s="731"/>
      <c r="S11" s="731"/>
      <c r="T11" s="732"/>
      <c r="U11" s="731"/>
      <c r="V11" s="732"/>
    </row>
    <row r="12" spans="1:22" s="13" customFormat="1" ht="15" thickBot="1">
      <c r="A12" s="1238"/>
      <c r="B12" s="574">
        <v>10405103.199999999</v>
      </c>
      <c r="C12" s="578">
        <f t="shared" si="0"/>
        <v>0.19999999999999996</v>
      </c>
      <c r="D12" s="729">
        <f>+'Progress (2)'!I6</f>
        <v>0</v>
      </c>
      <c r="E12" s="729">
        <f>+'Progress (2)'!J6</f>
        <v>25502.699999999255</v>
      </c>
      <c r="F12" s="729">
        <f>+'Progress (2)'!K6</f>
        <v>10405103.199999999</v>
      </c>
      <c r="G12" s="729">
        <f>+'Progress (2)'!L6</f>
        <v>10405103.199999999</v>
      </c>
      <c r="H12" s="729">
        <f>+'Progress (2)'!M6</f>
        <v>10060816.75</v>
      </c>
      <c r="I12" s="576"/>
      <c r="J12" s="730">
        <v>58936</v>
      </c>
      <c r="K12" s="575">
        <f t="shared" si="1"/>
        <v>0.11954588143180818</v>
      </c>
      <c r="L12" s="729">
        <f>+'Progress (2)'!O6</f>
        <v>0</v>
      </c>
      <c r="M12" s="729">
        <f>+'Progress (2)'!P6</f>
        <v>152</v>
      </c>
      <c r="N12" s="729">
        <f>+'Progress (2)'!Q6</f>
        <v>58936</v>
      </c>
      <c r="O12" s="830">
        <f>+'Progress (2)'!R6</f>
        <v>53310</v>
      </c>
      <c r="Q12" s="732"/>
      <c r="R12" s="736"/>
      <c r="S12" s="736"/>
      <c r="T12" s="732"/>
      <c r="U12" s="731"/>
      <c r="V12" s="732"/>
    </row>
    <row r="13" spans="1:22" s="13" customFormat="1" ht="15" thickBot="1">
      <c r="A13" s="1239" t="s">
        <v>381</v>
      </c>
      <c r="B13" s="202">
        <f>SUBTOTAL(9,B14:B14)</f>
        <v>18062897.670000002</v>
      </c>
      <c r="C13" s="577">
        <f t="shared" si="0"/>
        <v>0.34719305177098098</v>
      </c>
      <c r="D13" s="202">
        <f>SUBTOTAL(9,D14:D14)</f>
        <v>470222.40999999829</v>
      </c>
      <c r="E13" s="202">
        <f>SUBTOTAL(9,E14:E14)</f>
        <v>846741.38000000082</v>
      </c>
      <c r="F13" s="202">
        <f>SUBTOTAL(9,F14:F14)</f>
        <v>10120547.769999998</v>
      </c>
      <c r="G13" s="202">
        <f>SUBTOTAL(9,G14:G14)</f>
        <v>10120547.769999998</v>
      </c>
      <c r="H13" s="202">
        <f>SUBTOTAL(9,H14:H14)</f>
        <v>13145824.129999999</v>
      </c>
      <c r="I13" s="818"/>
      <c r="J13" s="202">
        <f>SUBTOTAL(9,J14:J14)</f>
        <v>118380</v>
      </c>
      <c r="K13" s="201">
        <f t="shared" si="1"/>
        <v>0.24012219091722295</v>
      </c>
      <c r="L13" s="202">
        <f>SUBTOTAL(9,L14:L14)</f>
        <v>3390</v>
      </c>
      <c r="M13" s="202">
        <f>SUBTOTAL(9,M14:M14)</f>
        <v>5197</v>
      </c>
      <c r="N13" s="202">
        <f>SUBTOTAL(9,N14:N14)</f>
        <v>55810</v>
      </c>
      <c r="O13" s="829">
        <f>SUBTOTAL(9,O14:O14)</f>
        <v>69355</v>
      </c>
      <c r="Q13" s="731"/>
      <c r="R13" s="731"/>
      <c r="S13" s="731"/>
      <c r="T13" s="732"/>
      <c r="U13" s="731"/>
      <c r="V13" s="732"/>
    </row>
    <row r="14" spans="1:22" s="576" customFormat="1" ht="15.75" customHeight="1" thickBot="1">
      <c r="A14" s="1238"/>
      <c r="B14" s="574">
        <v>18062897.670000002</v>
      </c>
      <c r="C14" s="578">
        <f t="shared" si="0"/>
        <v>0.34719305177098098</v>
      </c>
      <c r="D14" s="729">
        <f>+'Progress (2)'!I7</f>
        <v>470222.40999999829</v>
      </c>
      <c r="E14" s="729">
        <f>+'Progress (2)'!J7</f>
        <v>846741.38000000082</v>
      </c>
      <c r="F14" s="729">
        <f>+'Progress (2)'!K7</f>
        <v>10120547.769999998</v>
      </c>
      <c r="G14" s="729">
        <f>+'Progress (2)'!L7</f>
        <v>10120547.769999998</v>
      </c>
      <c r="H14" s="729">
        <f>+'Progress (2)'!M7</f>
        <v>13145824.129999999</v>
      </c>
      <c r="J14" s="730">
        <v>118380</v>
      </c>
      <c r="K14" s="575">
        <f t="shared" si="1"/>
        <v>0.24012219091722295</v>
      </c>
      <c r="L14" s="729">
        <f>+'Progress (2)'!O7</f>
        <v>3390</v>
      </c>
      <c r="M14" s="729">
        <f>+'Progress (2)'!P7</f>
        <v>5197</v>
      </c>
      <c r="N14" s="729">
        <f>+'Progress (2)'!Q7</f>
        <v>55810</v>
      </c>
      <c r="O14" s="830">
        <f>+'Progress (2)'!R7</f>
        <v>69355</v>
      </c>
      <c r="Q14" s="732"/>
      <c r="R14" s="736"/>
      <c r="S14" s="736"/>
      <c r="T14" s="732"/>
      <c r="U14" s="734"/>
      <c r="V14" s="732"/>
    </row>
    <row r="15" spans="1:22" s="13" customFormat="1" ht="15" thickBot="1">
      <c r="A15" s="1239" t="s">
        <v>1295</v>
      </c>
      <c r="B15" s="202">
        <f>SUBTOTAL(9,B16:B16)</f>
        <v>2353781.87</v>
      </c>
      <c r="C15" s="577">
        <f t="shared" si="0"/>
        <v>4.5242835650106762E-2</v>
      </c>
      <c r="D15" s="202">
        <f>SUBTOTAL(9,D16:D16)</f>
        <v>51053.040000000037</v>
      </c>
      <c r="E15" s="202">
        <f>SUBTOTAL(9,E16:E16)</f>
        <v>44220</v>
      </c>
      <c r="F15" s="202">
        <f>SUBTOTAL(9,F16:F16)</f>
        <v>291254.26</v>
      </c>
      <c r="G15" s="202">
        <f>SUBTOTAL(9,G16:G16)</f>
        <v>291254.26</v>
      </c>
      <c r="H15" s="202">
        <f>SUBTOTAL(9,H16:H16)</f>
        <v>1886038.1700000002</v>
      </c>
      <c r="I15" s="818"/>
      <c r="J15" s="202">
        <f>SUBTOTAL(9,J16:J16)</f>
        <v>41030</v>
      </c>
      <c r="K15" s="201">
        <f t="shared" si="1"/>
        <v>8.3225320943855874E-2</v>
      </c>
      <c r="L15" s="202">
        <f>SUBTOTAL(9,L16:L16)</f>
        <v>1320</v>
      </c>
      <c r="M15" s="202">
        <f>SUBTOTAL(9,M16:M16)</f>
        <v>1296</v>
      </c>
      <c r="N15" s="202">
        <f>SUBTOTAL(9,N16:N16)</f>
        <v>9100</v>
      </c>
      <c r="O15" s="829">
        <f>SUBTOTAL(9,O16:O16)</f>
        <v>29080</v>
      </c>
      <c r="Q15" s="731"/>
      <c r="R15" s="734"/>
      <c r="S15" s="734"/>
      <c r="T15" s="732"/>
      <c r="U15" s="734"/>
      <c r="V15" s="732"/>
    </row>
    <row r="16" spans="1:22" s="13" customFormat="1" ht="15" thickBot="1">
      <c r="A16" s="1238"/>
      <c r="B16" s="574">
        <v>2353781.87</v>
      </c>
      <c r="C16" s="578">
        <f t="shared" si="0"/>
        <v>4.5242835650106762E-2</v>
      </c>
      <c r="D16" s="729">
        <f>+'Progress (2)'!I8</f>
        <v>51053.040000000037</v>
      </c>
      <c r="E16" s="729">
        <f>+'Progress (2)'!J8</f>
        <v>44220</v>
      </c>
      <c r="F16" s="729">
        <f>+'Progress (2)'!K8</f>
        <v>291254.26</v>
      </c>
      <c r="G16" s="729">
        <f>+'Progress (2)'!L8</f>
        <v>291254.26</v>
      </c>
      <c r="H16" s="729">
        <f>+'Progress (2)'!M8</f>
        <v>1886038.1700000002</v>
      </c>
      <c r="I16" s="576"/>
      <c r="J16" s="730">
        <v>41030</v>
      </c>
      <c r="K16" s="575">
        <f t="shared" si="1"/>
        <v>8.3225320943855874E-2</v>
      </c>
      <c r="L16" s="729">
        <f>+'Progress (2)'!O8</f>
        <v>1320</v>
      </c>
      <c r="M16" s="729">
        <f>+'Progress (2)'!P8</f>
        <v>1296</v>
      </c>
      <c r="N16" s="729">
        <f>+'Progress (2)'!Q8</f>
        <v>9100</v>
      </c>
      <c r="O16" s="830">
        <f>+'Progress (2)'!R8</f>
        <v>29080</v>
      </c>
      <c r="Q16" s="732"/>
      <c r="R16" s="736"/>
      <c r="S16" s="736"/>
      <c r="T16" s="732"/>
      <c r="U16" s="738"/>
      <c r="V16" s="732"/>
    </row>
    <row r="17" spans="1:22" s="13" customFormat="1" ht="15" thickBot="1">
      <c r="A17" s="1237" t="s">
        <v>1296</v>
      </c>
      <c r="B17" s="202">
        <f>SUBTOTAL(9,B18:B18)</f>
        <v>189275</v>
      </c>
      <c r="C17" s="577">
        <f t="shared" si="0"/>
        <v>3.6381186493181531E-3</v>
      </c>
      <c r="D17" s="202">
        <f t="shared" ref="D17:H21" si="2">SUBTOTAL(9,D18:D18)</f>
        <v>0</v>
      </c>
      <c r="E17" s="202">
        <f t="shared" si="2"/>
        <v>0</v>
      </c>
      <c r="F17" s="202">
        <f t="shared" si="2"/>
        <v>189275</v>
      </c>
      <c r="G17" s="202">
        <f t="shared" si="2"/>
        <v>189275</v>
      </c>
      <c r="H17" s="202">
        <f t="shared" si="2"/>
        <v>155775</v>
      </c>
      <c r="I17" s="818"/>
      <c r="J17" s="202">
        <f>SUBTOTAL(9,J18:J18)</f>
        <v>6490</v>
      </c>
      <c r="K17" s="201">
        <f t="shared" si="1"/>
        <v>1.3164326905328408E-2</v>
      </c>
      <c r="L17" s="202">
        <f>SUBTOTAL(9,L18:L18)</f>
        <v>0</v>
      </c>
      <c r="M17" s="202">
        <f>SUBTOTAL(9,M18:M18)</f>
        <v>0</v>
      </c>
      <c r="N17" s="202">
        <f>SUBTOTAL(9,N18:N18)</f>
        <v>6490</v>
      </c>
      <c r="O17" s="829">
        <f>SUBTOTAL(9,O18:O18)</f>
        <v>4390</v>
      </c>
      <c r="Q17" s="731"/>
      <c r="R17" s="734"/>
      <c r="S17" s="734"/>
      <c r="T17" s="732"/>
      <c r="U17" s="734"/>
      <c r="V17" s="732"/>
    </row>
    <row r="18" spans="1:22" s="576" customFormat="1" ht="15" thickBot="1">
      <c r="A18" s="1241"/>
      <c r="B18" s="574">
        <v>189275</v>
      </c>
      <c r="C18" s="578">
        <f t="shared" si="0"/>
        <v>3.6381186493181531E-3</v>
      </c>
      <c r="D18" s="729">
        <f>+'Progress (2)'!I9</f>
        <v>0</v>
      </c>
      <c r="E18" s="729">
        <f>+'Progress (2)'!J9</f>
        <v>0</v>
      </c>
      <c r="F18" s="729">
        <f>+'Progress (2)'!K9</f>
        <v>189275</v>
      </c>
      <c r="G18" s="729">
        <f>+'Progress (2)'!L9</f>
        <v>189275</v>
      </c>
      <c r="H18" s="729">
        <f>+'Progress (2)'!M9</f>
        <v>155775</v>
      </c>
      <c r="J18" s="730">
        <v>6490</v>
      </c>
      <c r="K18" s="575">
        <f t="shared" si="1"/>
        <v>1.3164326905328408E-2</v>
      </c>
      <c r="L18" s="729">
        <f>+'Progress (2)'!O9</f>
        <v>0</v>
      </c>
      <c r="M18" s="729">
        <f>+'Progress (2)'!P9</f>
        <v>0</v>
      </c>
      <c r="N18" s="729">
        <f>+'Progress (2)'!Q9</f>
        <v>6490</v>
      </c>
      <c r="O18" s="830">
        <f>+'Progress (2)'!R9</f>
        <v>4390</v>
      </c>
      <c r="Q18" s="732"/>
      <c r="R18" s="736"/>
      <c r="S18" s="736"/>
      <c r="T18" s="732"/>
      <c r="U18" s="734"/>
      <c r="V18" s="732"/>
    </row>
    <row r="19" spans="1:22" s="13" customFormat="1" ht="15" thickBot="1">
      <c r="A19" s="1237" t="s">
        <v>1297</v>
      </c>
      <c r="B19" s="202">
        <f>SUBTOTAL(9,B20:B20)</f>
        <v>3959941.2</v>
      </c>
      <c r="C19" s="577">
        <f t="shared" si="0"/>
        <v>7.6115366159943507E-2</v>
      </c>
      <c r="D19" s="202">
        <f t="shared" si="2"/>
        <v>0</v>
      </c>
      <c r="E19" s="202">
        <f t="shared" si="2"/>
        <v>0</v>
      </c>
      <c r="F19" s="202">
        <f t="shared" si="2"/>
        <v>3959941.2</v>
      </c>
      <c r="G19" s="202">
        <f t="shared" si="2"/>
        <v>3959941.2</v>
      </c>
      <c r="H19" s="202">
        <f t="shared" si="2"/>
        <v>3959941.2</v>
      </c>
      <c r="I19" s="818"/>
      <c r="J19" s="202">
        <f>SUBTOTAL(9,J20:J20)</f>
        <v>17395</v>
      </c>
      <c r="K19" s="201">
        <f t="shared" si="1"/>
        <v>3.5284047229304727E-2</v>
      </c>
      <c r="L19" s="202">
        <f>SUBTOTAL(9,L20:L20)</f>
        <v>0</v>
      </c>
      <c r="M19" s="202">
        <f>SUBTOTAL(9,M20:M20)</f>
        <v>0</v>
      </c>
      <c r="N19" s="202">
        <f>SUBTOTAL(9,N20:N20)</f>
        <v>17395</v>
      </c>
      <c r="O19" s="829">
        <f>SUBTOTAL(9,O20:O20)</f>
        <v>17395</v>
      </c>
      <c r="Q19" s="731"/>
      <c r="R19" s="734"/>
      <c r="S19" s="734"/>
      <c r="T19" s="732"/>
      <c r="U19" s="734"/>
      <c r="V19" s="732"/>
    </row>
    <row r="20" spans="1:22" s="576" customFormat="1" ht="15" thickBot="1">
      <c r="A20" s="1238"/>
      <c r="B20" s="574">
        <v>3959941.2</v>
      </c>
      <c r="C20" s="578">
        <f t="shared" si="0"/>
        <v>7.6115366159943507E-2</v>
      </c>
      <c r="D20" s="729">
        <f>+'Progress (2)'!I10</f>
        <v>0</v>
      </c>
      <c r="E20" s="729">
        <f>+'Progress (2)'!J10</f>
        <v>0</v>
      </c>
      <c r="F20" s="729">
        <f>+'Progress (2)'!K10</f>
        <v>3959941.2</v>
      </c>
      <c r="G20" s="729">
        <f>+'Progress (2)'!L10</f>
        <v>3959941.2</v>
      </c>
      <c r="H20" s="729">
        <f>+'Progress (2)'!M10</f>
        <v>3959941.2</v>
      </c>
      <c r="J20" s="730">
        <v>17395</v>
      </c>
      <c r="K20" s="575">
        <f t="shared" si="1"/>
        <v>3.5284047229304727E-2</v>
      </c>
      <c r="L20" s="729">
        <f>+'Progress (2)'!O10</f>
        <v>0</v>
      </c>
      <c r="M20" s="729">
        <f>+'Progress (2)'!P10</f>
        <v>0</v>
      </c>
      <c r="N20" s="729">
        <f>+'Progress (2)'!Q10</f>
        <v>17395</v>
      </c>
      <c r="O20" s="830">
        <f>+'Progress (2)'!R10</f>
        <v>17395</v>
      </c>
      <c r="Q20" s="731"/>
      <c r="R20" s="734"/>
      <c r="S20" s="734"/>
      <c r="T20" s="732"/>
      <c r="U20" s="734"/>
      <c r="V20" s="732"/>
    </row>
    <row r="21" spans="1:22" s="13" customFormat="1" ht="15" thickBot="1">
      <c r="A21" s="1237" t="s">
        <v>1298</v>
      </c>
      <c r="B21" s="202">
        <f>SUBTOTAL(9,B22:B22)</f>
        <v>10291200</v>
      </c>
      <c r="C21" s="577">
        <f t="shared" si="0"/>
        <v>0.19781062815407729</v>
      </c>
      <c r="D21" s="202">
        <f t="shared" si="2"/>
        <v>121693.86999999988</v>
      </c>
      <c r="E21" s="202">
        <f t="shared" si="2"/>
        <v>0</v>
      </c>
      <c r="F21" s="202">
        <f t="shared" si="2"/>
        <v>2213370.69</v>
      </c>
      <c r="G21" s="202">
        <f t="shared" si="2"/>
        <v>2213370.69</v>
      </c>
      <c r="H21" s="202">
        <f t="shared" si="2"/>
        <v>9330592.3699999992</v>
      </c>
      <c r="I21" s="818"/>
      <c r="J21" s="202">
        <f>SUBTOTAL(9,J22:J22)</f>
        <v>185220</v>
      </c>
      <c r="K21" s="201">
        <f t="shared" si="1"/>
        <v>0.37570055923034329</v>
      </c>
      <c r="L21" s="202">
        <f>SUBTOTAL(9,L22:L22)</f>
        <v>3180</v>
      </c>
      <c r="M21" s="202">
        <f>SUBTOTAL(9,M22:M22)</f>
        <v>0</v>
      </c>
      <c r="N21" s="202">
        <f>SUBTOTAL(9,N22:N22)</f>
        <v>52880</v>
      </c>
      <c r="O21" s="829">
        <f>SUBTOTAL(9,O22:O22)</f>
        <v>178177</v>
      </c>
      <c r="Q21" s="731"/>
      <c r="R21" s="734"/>
      <c r="S21" s="734"/>
      <c r="T21" s="732"/>
      <c r="U21" s="734"/>
      <c r="V21" s="732"/>
    </row>
    <row r="22" spans="1:22" s="576" customFormat="1" ht="15" thickBot="1">
      <c r="A22" s="1238"/>
      <c r="B22" s="574">
        <v>10291200</v>
      </c>
      <c r="C22" s="578">
        <f t="shared" si="0"/>
        <v>0.19781062815407729</v>
      </c>
      <c r="D22" s="729">
        <f>+'Progress (2)'!I11</f>
        <v>121693.86999999988</v>
      </c>
      <c r="E22" s="729">
        <f>+'Progress (2)'!J11</f>
        <v>0</v>
      </c>
      <c r="F22" s="729">
        <f>+'Progress (2)'!K11</f>
        <v>2213370.69</v>
      </c>
      <c r="G22" s="729">
        <f>+'Progress (2)'!L11</f>
        <v>2213370.69</v>
      </c>
      <c r="H22" s="729">
        <f>+'Progress (2)'!M11</f>
        <v>9330592.3699999992</v>
      </c>
      <c r="J22" s="730">
        <v>185220</v>
      </c>
      <c r="K22" s="575">
        <f t="shared" si="1"/>
        <v>0.37570055923034329</v>
      </c>
      <c r="L22" s="729">
        <f>+'Progress (2)'!O11</f>
        <v>3180</v>
      </c>
      <c r="M22" s="729">
        <f>+'Progress (2)'!P11</f>
        <v>0</v>
      </c>
      <c r="N22" s="729">
        <f>+'Progress (2)'!Q11</f>
        <v>52880</v>
      </c>
      <c r="O22" s="830">
        <f>+'Progress (2)'!R11</f>
        <v>178177</v>
      </c>
      <c r="Q22" s="731"/>
      <c r="R22" s="734"/>
      <c r="S22" s="734"/>
      <c r="T22" s="732"/>
      <c r="U22" s="734"/>
      <c r="V22" s="732"/>
    </row>
    <row r="23" spans="1:22" s="13" customFormat="1" ht="15" thickBot="1">
      <c r="A23" s="1240" t="s">
        <v>1299</v>
      </c>
      <c r="B23" s="202">
        <f>SUBTOTAL(9,B24:B24)</f>
        <v>5202551.5999999996</v>
      </c>
      <c r="C23" s="577">
        <f t="shared" si="0"/>
        <v>9.9999999999999978E-2</v>
      </c>
      <c r="D23" s="202">
        <f t="shared" ref="D23:H25" si="3">SUBTOTAL(9,D24:D24)</f>
        <v>0</v>
      </c>
      <c r="E23" s="202">
        <f t="shared" si="3"/>
        <v>0</v>
      </c>
      <c r="F23" s="202">
        <f t="shared" si="3"/>
        <v>0</v>
      </c>
      <c r="G23" s="202">
        <f t="shared" si="3"/>
        <v>0</v>
      </c>
      <c r="H23" s="202">
        <f t="shared" si="3"/>
        <v>0</v>
      </c>
      <c r="I23" s="818"/>
      <c r="J23" s="202">
        <f>SUBTOTAL(9,J24:J24)</f>
        <v>14740</v>
      </c>
      <c r="K23" s="201">
        <f t="shared" si="1"/>
        <v>2.9898640768034012E-2</v>
      </c>
      <c r="L23" s="202">
        <f>SUBTOTAL(9,L24:L24)</f>
        <v>0</v>
      </c>
      <c r="M23" s="202">
        <f>SUBTOTAL(9,M24:M24)</f>
        <v>0</v>
      </c>
      <c r="N23" s="202">
        <f>SUBTOTAL(9,N24:N24)</f>
        <v>0</v>
      </c>
      <c r="O23" s="829">
        <f>SUBTOTAL(9,O24:O24)</f>
        <v>0</v>
      </c>
      <c r="Q23" s="731"/>
      <c r="R23" s="734"/>
      <c r="S23" s="734"/>
      <c r="T23" s="732"/>
      <c r="U23" s="734"/>
      <c r="V23" s="732"/>
    </row>
    <row r="24" spans="1:22" s="576" customFormat="1" ht="15" thickBot="1">
      <c r="A24" s="1238"/>
      <c r="B24" s="574">
        <v>5202551.5999999996</v>
      </c>
      <c r="C24" s="578">
        <f t="shared" si="0"/>
        <v>9.9999999999999978E-2</v>
      </c>
      <c r="D24" s="730">
        <f>+'Progress (2)'!I12</f>
        <v>0</v>
      </c>
      <c r="E24" s="730">
        <f>+'Progress (2)'!J12</f>
        <v>0</v>
      </c>
      <c r="F24" s="730">
        <f>+'Progress (2)'!K12</f>
        <v>0</v>
      </c>
      <c r="G24" s="730">
        <f>+'Progress (2)'!L12</f>
        <v>0</v>
      </c>
      <c r="H24" s="730">
        <f>+'Progress (2)'!M12</f>
        <v>0</v>
      </c>
      <c r="J24" s="730">
        <v>14740</v>
      </c>
      <c r="K24" s="575">
        <f t="shared" si="1"/>
        <v>2.9898640768034012E-2</v>
      </c>
      <c r="L24" s="729">
        <f>+'Progress (2)'!O12</f>
        <v>0</v>
      </c>
      <c r="M24" s="729">
        <f>+'Progress (2)'!P12</f>
        <v>0</v>
      </c>
      <c r="N24" s="729">
        <f>+'Progress (2)'!Q12</f>
        <v>0</v>
      </c>
      <c r="O24" s="830">
        <f>+'Progress (2)'!R12</f>
        <v>0</v>
      </c>
      <c r="Q24" s="731"/>
      <c r="R24" s="734"/>
      <c r="S24" s="734"/>
      <c r="T24" s="732"/>
      <c r="U24" s="734"/>
      <c r="V24" s="732"/>
    </row>
    <row r="25" spans="1:22" s="13" customFormat="1" ht="15" thickBot="1">
      <c r="A25" s="1240"/>
      <c r="B25" s="202" t="s">
        <v>319</v>
      </c>
      <c r="C25" s="577">
        <v>0</v>
      </c>
      <c r="D25" s="202">
        <f t="shared" si="3"/>
        <v>0</v>
      </c>
      <c r="E25" s="202">
        <f t="shared" si="3"/>
        <v>0</v>
      </c>
      <c r="F25" s="202">
        <f t="shared" si="3"/>
        <v>0</v>
      </c>
      <c r="G25" s="202">
        <f t="shared" si="3"/>
        <v>0</v>
      </c>
      <c r="H25" s="202">
        <f t="shared" si="3"/>
        <v>0</v>
      </c>
      <c r="I25" s="818"/>
      <c r="J25" s="202">
        <f>SUBTOTAL(9,J26:J26)</f>
        <v>9820</v>
      </c>
      <c r="K25" s="201">
        <f t="shared" si="1"/>
        <v>1.9918904500820487E-2</v>
      </c>
      <c r="L25" s="202">
        <f>SUBTOTAL(9,L26:L26)</f>
        <v>0</v>
      </c>
      <c r="M25" s="202">
        <f>SUBTOTAL(9,M26:M26)</f>
        <v>0</v>
      </c>
      <c r="N25" s="202">
        <f>SUBTOTAL(9,N26:N26)</f>
        <v>0</v>
      </c>
      <c r="O25" s="829">
        <f>SUBTOTAL(9,O26:O26)</f>
        <v>0</v>
      </c>
      <c r="Q25" s="731"/>
      <c r="R25" s="734"/>
      <c r="S25" s="734"/>
      <c r="T25" s="732"/>
      <c r="U25" s="734"/>
      <c r="V25" s="732"/>
    </row>
    <row r="26" spans="1:22" s="576" customFormat="1">
      <c r="A26" s="1238"/>
      <c r="B26" s="574" t="s">
        <v>319</v>
      </c>
      <c r="C26" s="578">
        <v>0</v>
      </c>
      <c r="D26" s="730">
        <f>+'Progress (2)'!I14</f>
        <v>0</v>
      </c>
      <c r="E26" s="730">
        <f>+'Progress (2)'!J14</f>
        <v>0</v>
      </c>
      <c r="F26" s="730">
        <f>+'Progress (2)'!K14</f>
        <v>0</v>
      </c>
      <c r="G26" s="730">
        <f>+'Progress (2)'!L14</f>
        <v>0</v>
      </c>
      <c r="H26" s="730">
        <f>+'Progress (2)'!M14</f>
        <v>0</v>
      </c>
      <c r="J26" s="730">
        <v>9820</v>
      </c>
      <c r="K26" s="575">
        <f t="shared" si="1"/>
        <v>1.9918904500820487E-2</v>
      </c>
      <c r="L26" s="729">
        <f>+'Progress (2)'!O14</f>
        <v>0</v>
      </c>
      <c r="M26" s="729">
        <f>+'Progress (2)'!P14</f>
        <v>0</v>
      </c>
      <c r="N26" s="729">
        <f>+'Progress (2)'!Q14</f>
        <v>0</v>
      </c>
      <c r="O26" s="830">
        <f>+'Progress (2)'!R14</f>
        <v>0</v>
      </c>
      <c r="Q26" s="731"/>
      <c r="R26" s="734"/>
      <c r="S26" s="734"/>
      <c r="T26" s="732"/>
      <c r="U26" s="734"/>
      <c r="V26" s="732"/>
    </row>
    <row r="27" spans="1:22" ht="16.2" thickBot="1">
      <c r="A27" s="819" t="s">
        <v>84</v>
      </c>
      <c r="B27" s="820">
        <f>+SUM(B9,B11,B13,B15,B17,B19,B21,B23)</f>
        <v>52025516.000000007</v>
      </c>
      <c r="C27" s="821">
        <f>+SUM(C9,C11,C13,C15,C17,C19,C21,C23)</f>
        <v>0.99999999999999989</v>
      </c>
      <c r="D27" s="820">
        <f>+SUM(D7,D9,D11,D13,D15,D17,D19,D21,D23)</f>
        <v>642969.3199999982</v>
      </c>
      <c r="E27" s="820">
        <f>+SUM(E7,E9,E11,E13,E15,E17,E19,E21,E23)</f>
        <v>916464.08000000007</v>
      </c>
      <c r="F27" s="820">
        <f>+SUM(F7,F9,F11,F13,F15,F17,F19,F21,F23)</f>
        <v>28740257.599999998</v>
      </c>
      <c r="G27" s="820">
        <f>+SUM(G7,G9,G11,G13,G15,G17,G19,G21,G23)</f>
        <v>28740257.599999998</v>
      </c>
      <c r="H27" s="820">
        <f>+SUM(H7,H9,H11,H13,H15,H17,H19,H21,H23)</f>
        <v>40099753.100000001</v>
      </c>
      <c r="I27" s="1243">
        <f>+SUM(I9,I11,I13,I15,I17,I19,I21,I23)</f>
        <v>0</v>
      </c>
      <c r="J27" s="820">
        <v>492999</v>
      </c>
      <c r="K27" s="821">
        <f>+SUM(K7,K9,K11,K13,K15,K17,K19,K21,K23,K25)</f>
        <v>0.99657605796360649</v>
      </c>
      <c r="L27" s="820">
        <f>+SUM(L7,L9,L11,L13,L15,L17,L19,L21,L23,L25)</f>
        <v>7890</v>
      </c>
      <c r="M27" s="820">
        <f>+SUM(M7,M9,M11,M13,M15,M17,M19,M21,M23,M25)</f>
        <v>6645</v>
      </c>
      <c r="N27" s="820">
        <f>+SUM(N7,N9,N11,N13,N15,N17,N19,N21,N23,N25)</f>
        <v>239911</v>
      </c>
      <c r="O27" s="831">
        <f>+SUM(O7,O9,O11,O13,O15,O17,O19,O21,O23,O25)</f>
        <v>391007</v>
      </c>
      <c r="Q27" s="731"/>
      <c r="R27" s="731"/>
      <c r="S27" s="731"/>
      <c r="T27" s="732"/>
      <c r="U27" s="731"/>
      <c r="V27" s="732"/>
    </row>
    <row r="28" spans="1:22">
      <c r="D28" s="580">
        <f>D27/$B$27</f>
        <v>1.2358730281502603E-2</v>
      </c>
      <c r="E28" s="580">
        <f>E27/$B$27</f>
        <v>1.7615665359282547E-2</v>
      </c>
      <c r="F28" s="580">
        <f>F27/$B$27</f>
        <v>0.55242619025633488</v>
      </c>
      <c r="G28" s="580">
        <f>G27/$B$27</f>
        <v>0.55242619025633488</v>
      </c>
      <c r="H28" s="580">
        <f>H27/$B$27</f>
        <v>0.77077088673181049</v>
      </c>
      <c r="L28" s="580">
        <f>L27/$J$27</f>
        <v>1.600408925778754E-2</v>
      </c>
      <c r="M28" s="580">
        <f>M27/$J$27</f>
        <v>1.3478729165779241E-2</v>
      </c>
      <c r="N28" s="580">
        <f>N27/$J$27</f>
        <v>0.48663587552915927</v>
      </c>
      <c r="O28" s="580">
        <f>O27/$J$27</f>
        <v>0.79311925581999154</v>
      </c>
      <c r="Q28" s="731"/>
      <c r="R28" s="731"/>
      <c r="S28" s="731"/>
      <c r="T28" s="732"/>
      <c r="U28" s="731"/>
      <c r="V28" s="732"/>
    </row>
    <row r="29" spans="1:22">
      <c r="D29" s="580"/>
      <c r="E29" s="580"/>
      <c r="H29" s="580"/>
      <c r="Q29" s="731"/>
      <c r="R29" s="731"/>
      <c r="S29" s="731"/>
      <c r="T29" s="732"/>
      <c r="U29" s="731"/>
      <c r="V29" s="732"/>
    </row>
    <row r="30" spans="1:22">
      <c r="H30" s="615"/>
      <c r="Q30" s="731"/>
      <c r="R30" s="733"/>
      <c r="S30" s="733"/>
      <c r="T30" s="732"/>
      <c r="U30" s="731"/>
      <c r="V30" s="732"/>
    </row>
    <row r="31" spans="1:22">
      <c r="H31" s="823"/>
      <c r="Q31" s="731"/>
      <c r="R31" s="735"/>
      <c r="S31" s="735"/>
      <c r="T31" s="732"/>
      <c r="U31" s="735"/>
      <c r="V31" s="732"/>
    </row>
    <row r="32" spans="1:22">
      <c r="Q32" s="731"/>
      <c r="R32" s="735"/>
      <c r="S32" s="735"/>
      <c r="T32" s="732"/>
      <c r="U32" s="735"/>
      <c r="V32" s="732"/>
    </row>
    <row r="33" spans="2:22">
      <c r="Q33" s="731"/>
      <c r="R33" s="735"/>
      <c r="S33" s="735"/>
      <c r="T33" s="732"/>
      <c r="U33" s="735"/>
      <c r="V33" s="732"/>
    </row>
    <row r="34" spans="2:22">
      <c r="Q34" s="731"/>
      <c r="R34" s="735"/>
      <c r="S34" s="735"/>
      <c r="T34" s="732"/>
      <c r="U34" s="735"/>
      <c r="V34" s="732"/>
    </row>
    <row r="35" spans="2:22">
      <c r="Q35" s="731"/>
      <c r="R35" s="735"/>
      <c r="S35" s="735"/>
      <c r="T35" s="732"/>
      <c r="U35" s="735"/>
      <c r="V35" s="732"/>
    </row>
    <row r="36" spans="2:22">
      <c r="Q36" s="731"/>
      <c r="R36" s="735"/>
      <c r="S36" s="735"/>
      <c r="T36" s="732"/>
      <c r="U36" s="735"/>
      <c r="V36" s="732"/>
    </row>
    <row r="37" spans="2:22">
      <c r="H37" s="702"/>
      <c r="Q37" s="731"/>
      <c r="R37" s="735"/>
      <c r="S37" s="735"/>
      <c r="T37" s="732"/>
      <c r="U37" s="735"/>
      <c r="V37" s="732"/>
    </row>
    <row r="38" spans="2:22">
      <c r="Q38" s="731"/>
      <c r="R38" s="735"/>
      <c r="S38" s="735"/>
      <c r="T38" s="732"/>
      <c r="U38" s="735"/>
      <c r="V38" s="732"/>
    </row>
    <row r="39" spans="2:22">
      <c r="Q39" s="731"/>
      <c r="R39" s="13"/>
      <c r="S39" s="13"/>
      <c r="T39" s="732"/>
      <c r="U39" s="735"/>
      <c r="V39" s="732"/>
    </row>
    <row r="40" spans="2:22">
      <c r="Q40" s="731"/>
      <c r="R40" s="735"/>
      <c r="S40" s="735"/>
      <c r="T40" s="732"/>
      <c r="U40" s="735"/>
      <c r="V40" s="732"/>
    </row>
    <row r="41" spans="2:22">
      <c r="B41" s="702"/>
      <c r="C41" s="702"/>
      <c r="D41" s="702"/>
      <c r="E41" s="702"/>
      <c r="F41" s="702"/>
      <c r="G41" s="702"/>
      <c r="H41" s="702"/>
      <c r="L41" s="615"/>
      <c r="Q41" s="732"/>
      <c r="R41" s="732"/>
      <c r="S41" s="732"/>
      <c r="T41" s="732"/>
      <c r="U41" s="731"/>
      <c r="V41" s="732"/>
    </row>
    <row r="42" spans="2:22">
      <c r="B42" s="702"/>
      <c r="C42" s="702"/>
      <c r="D42" s="702"/>
      <c r="E42" s="702"/>
      <c r="F42" s="702"/>
      <c r="G42" s="702"/>
      <c r="H42" s="702"/>
      <c r="I42" s="702"/>
    </row>
    <row r="43" spans="2:22">
      <c r="B43" s="702"/>
      <c r="C43" s="702"/>
      <c r="D43" s="702"/>
      <c r="E43" s="702"/>
      <c r="F43" s="702"/>
      <c r="G43" s="702"/>
      <c r="H43" s="580"/>
      <c r="I43" s="702"/>
    </row>
    <row r="44" spans="2:22">
      <c r="G44" s="580"/>
      <c r="H44" s="580"/>
    </row>
    <row r="45" spans="2:22">
      <c r="L45" s="594"/>
    </row>
    <row r="47" spans="2:22">
      <c r="L47" s="580"/>
    </row>
    <row r="48" spans="2:22">
      <c r="H48" s="702"/>
    </row>
    <row r="49" spans="8:8">
      <c r="H49" s="903"/>
    </row>
  </sheetData>
  <autoFilter ref="A6:T28" xr:uid="{EBE865A7-182A-462D-BBC3-AF1328AD11B1}"/>
  <mergeCells count="11">
    <mergeCell ref="A1:O3"/>
    <mergeCell ref="K5:K6"/>
    <mergeCell ref="L5:M5"/>
    <mergeCell ref="N5:O5"/>
    <mergeCell ref="J4:O4"/>
    <mergeCell ref="A5:A6"/>
    <mergeCell ref="B5:B6"/>
    <mergeCell ref="C5:C6"/>
    <mergeCell ref="D5:E5"/>
    <mergeCell ref="G5:H5"/>
    <mergeCell ref="A4:H4"/>
  </mergeCells>
  <dataValidations disablePrompts="1" xWindow="157" yWindow="386" count="1">
    <dataValidation type="list" allowBlank="1" showInputMessage="1" showErrorMessage="1" prompt="Select as loaded in P6 Schedule" sqref="J6" xr:uid="{91755590-5D3F-4117-8E30-1933EAA65DDC}">
      <formula1>"(Manhours),(Mandays)"</formula1>
    </dataValidation>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AL81"/>
  <sheetViews>
    <sheetView topLeftCell="Q46" zoomScale="70" zoomScaleNormal="70" workbookViewId="0">
      <selection activeCell="AD87" sqref="AD87"/>
    </sheetView>
  </sheetViews>
  <sheetFormatPr defaultRowHeight="14.4"/>
  <cols>
    <col min="1" max="1" width="14.6640625" customWidth="1"/>
    <col min="2" max="2" width="17.6640625" customWidth="1"/>
    <col min="3" max="3" width="14.77734375" customWidth="1"/>
    <col min="4" max="4" width="12.88671875" customWidth="1"/>
    <col min="5" max="5" width="13.88671875" customWidth="1"/>
    <col min="6" max="7" width="10.6640625" customWidth="1"/>
    <col min="8" max="8" width="24" customWidth="1"/>
    <col min="9" max="10" width="17" customWidth="1"/>
    <col min="11" max="13" width="15.109375" customWidth="1"/>
    <col min="14" max="14" width="2.6640625" customWidth="1"/>
    <col min="15" max="18" width="16.44140625" customWidth="1"/>
    <col min="20" max="20" width="36.44140625" customWidth="1"/>
    <col min="21" max="21" width="13" bestFit="1" customWidth="1"/>
    <col min="22" max="22" width="16.77734375" bestFit="1" customWidth="1"/>
    <col min="23" max="23" width="12" bestFit="1" customWidth="1"/>
    <col min="24" max="24" width="13.88671875" customWidth="1"/>
    <col min="25" max="25" width="10.44140625" customWidth="1"/>
    <col min="26" max="26" width="18.33203125" bestFit="1" customWidth="1"/>
    <col min="27" max="27" width="19.6640625" bestFit="1" customWidth="1"/>
    <col min="28" max="28" width="23" bestFit="1" customWidth="1"/>
    <col min="29" max="29" width="19.77734375" bestFit="1" customWidth="1"/>
    <col min="30" max="30" width="24.5546875" bestFit="1" customWidth="1"/>
    <col min="31" max="31" width="23.33203125" bestFit="1" customWidth="1"/>
    <col min="32" max="32" width="18" bestFit="1" customWidth="1"/>
    <col min="33" max="33" width="16.88671875" bestFit="1" customWidth="1"/>
    <col min="34" max="34" width="8.88671875" customWidth="1"/>
  </cols>
  <sheetData>
    <row r="1" spans="1:18" ht="15" thickBot="1">
      <c r="A1" s="1626" t="s">
        <v>817</v>
      </c>
      <c r="B1" s="1626"/>
      <c r="C1" s="1626"/>
      <c r="D1" s="1626"/>
      <c r="E1" s="1626"/>
      <c r="F1" s="1626"/>
      <c r="G1" s="1626"/>
      <c r="I1" s="1627" t="s">
        <v>815</v>
      </c>
      <c r="J1" s="1628"/>
      <c r="K1" s="1627" t="s">
        <v>818</v>
      </c>
      <c r="L1" s="1628"/>
      <c r="M1" s="1629"/>
      <c r="O1" s="1627" t="s">
        <v>815</v>
      </c>
      <c r="P1" s="1629"/>
      <c r="Q1" s="1625" t="s">
        <v>818</v>
      </c>
      <c r="R1" s="1626"/>
    </row>
    <row r="2" spans="1:18" s="523" customFormat="1" ht="53.25" customHeight="1">
      <c r="A2" s="835" t="s">
        <v>819</v>
      </c>
      <c r="B2" s="836" t="s">
        <v>820</v>
      </c>
      <c r="C2" s="836" t="s">
        <v>821</v>
      </c>
      <c r="D2" s="836" t="s">
        <v>822</v>
      </c>
      <c r="E2" s="836" t="s">
        <v>823</v>
      </c>
      <c r="F2" s="836" t="s">
        <v>824</v>
      </c>
      <c r="G2" s="837" t="s">
        <v>825</v>
      </c>
      <c r="H2" s="835" t="s">
        <v>819</v>
      </c>
      <c r="I2" s="835" t="s">
        <v>820</v>
      </c>
      <c r="J2" s="837" t="s">
        <v>821</v>
      </c>
      <c r="K2" s="837" t="s">
        <v>826</v>
      </c>
      <c r="L2" s="837" t="s">
        <v>827</v>
      </c>
      <c r="M2" s="837" t="s">
        <v>828</v>
      </c>
      <c r="N2" s="838"/>
      <c r="O2" s="835" t="s">
        <v>822</v>
      </c>
      <c r="P2" s="837" t="s">
        <v>823</v>
      </c>
      <c r="Q2" s="835" t="s">
        <v>829</v>
      </c>
      <c r="R2" s="837" t="s">
        <v>830</v>
      </c>
    </row>
    <row r="3" spans="1:18">
      <c r="A3" s="839" t="s">
        <v>84</v>
      </c>
      <c r="B3" s="840">
        <f>+B35</f>
        <v>28740257.59</v>
      </c>
      <c r="C3" s="1186">
        <v>2319038.88</v>
      </c>
      <c r="D3" s="1187">
        <f t="shared" ref="D3:G4" si="0">+D35</f>
        <v>239911</v>
      </c>
      <c r="E3" s="1187">
        <f t="shared" si="0"/>
        <v>391007</v>
      </c>
      <c r="F3" s="841">
        <f t="shared" si="0"/>
        <v>0.5524</v>
      </c>
      <c r="G3" s="1188">
        <f t="shared" si="0"/>
        <v>0.77080000000000004</v>
      </c>
      <c r="H3" s="842" t="s">
        <v>84</v>
      </c>
      <c r="I3" s="843">
        <f t="shared" ref="I3:I13" si="1">+B3-B16</f>
        <v>642969.30999999866</v>
      </c>
      <c r="J3" s="844">
        <f t="shared" ref="J3:J13" si="2">+C3-C16</f>
        <v>0</v>
      </c>
      <c r="K3" s="844">
        <f t="shared" ref="K3:K9" si="3">B35</f>
        <v>28740257.59</v>
      </c>
      <c r="L3" s="844">
        <f t="shared" ref="L3:L13" si="4">+B3</f>
        <v>28740257.59</v>
      </c>
      <c r="M3" s="844">
        <f t="shared" ref="M3:M13" si="5">+C3</f>
        <v>2319038.88</v>
      </c>
      <c r="O3" s="843">
        <f t="shared" ref="O3:O13" si="6">+D3-D16</f>
        <v>7890</v>
      </c>
      <c r="P3" s="844">
        <f t="shared" ref="P3:P13" si="7">+E3-E16</f>
        <v>6646</v>
      </c>
      <c r="Q3" s="844">
        <f t="shared" ref="Q3:Q13" si="8">+D3</f>
        <v>239911</v>
      </c>
      <c r="R3" s="844">
        <f t="shared" ref="R3:R13" si="9">+E3</f>
        <v>391007</v>
      </c>
    </row>
    <row r="4" spans="1:18">
      <c r="A4" s="845" t="s">
        <v>877</v>
      </c>
      <c r="B4" s="851">
        <f>+B36</f>
        <v>0</v>
      </c>
      <c r="C4" s="851">
        <f>+C35</f>
        <v>40099753.079999998</v>
      </c>
      <c r="D4" s="1189">
        <f t="shared" si="0"/>
        <v>14738</v>
      </c>
      <c r="E4" s="1189">
        <f t="shared" si="0"/>
        <v>14738</v>
      </c>
      <c r="F4" s="846">
        <f t="shared" si="0"/>
        <v>0</v>
      </c>
      <c r="G4" s="847">
        <f t="shared" si="0"/>
        <v>0</v>
      </c>
      <c r="H4" s="842" t="s">
        <v>877</v>
      </c>
      <c r="I4" s="842">
        <f t="shared" si="1"/>
        <v>0</v>
      </c>
      <c r="J4" s="848">
        <f t="shared" si="2"/>
        <v>916464.07999999821</v>
      </c>
      <c r="K4" s="848">
        <f t="shared" si="3"/>
        <v>0</v>
      </c>
      <c r="L4" s="848">
        <f t="shared" si="4"/>
        <v>0</v>
      </c>
      <c r="M4" s="848">
        <f t="shared" si="5"/>
        <v>40099753.079999998</v>
      </c>
      <c r="O4" s="849">
        <f t="shared" si="6"/>
        <v>0</v>
      </c>
      <c r="P4" s="850">
        <f t="shared" si="7"/>
        <v>0</v>
      </c>
      <c r="Q4" s="850">
        <f t="shared" si="8"/>
        <v>14738</v>
      </c>
      <c r="R4" s="850">
        <f t="shared" si="9"/>
        <v>14738</v>
      </c>
    </row>
    <row r="5" spans="1:18">
      <c r="A5" s="845" t="s">
        <v>878</v>
      </c>
      <c r="B5" s="851">
        <f>+B37</f>
        <v>1560765.48</v>
      </c>
      <c r="C5" s="851">
        <f>+C37</f>
        <v>1560765.48</v>
      </c>
      <c r="D5" s="1189">
        <f t="shared" ref="D5:G12" si="10">+D37</f>
        <v>24562</v>
      </c>
      <c r="E5" s="1189">
        <f t="shared" si="10"/>
        <v>24562</v>
      </c>
      <c r="F5" s="846">
        <f t="shared" si="10"/>
        <v>1</v>
      </c>
      <c r="G5" s="847">
        <f t="shared" si="10"/>
        <v>1</v>
      </c>
      <c r="H5" s="842" t="s">
        <v>878</v>
      </c>
      <c r="I5" s="852">
        <f t="shared" si="1"/>
        <v>0</v>
      </c>
      <c r="J5" s="853">
        <f t="shared" si="2"/>
        <v>0</v>
      </c>
      <c r="K5" s="853">
        <f t="shared" si="3"/>
        <v>1560765.48</v>
      </c>
      <c r="L5" s="853">
        <f t="shared" si="4"/>
        <v>1560765.48</v>
      </c>
      <c r="M5" s="853">
        <f t="shared" si="5"/>
        <v>1560765.48</v>
      </c>
      <c r="O5" s="852">
        <f t="shared" si="6"/>
        <v>0</v>
      </c>
      <c r="P5" s="854">
        <f t="shared" si="7"/>
        <v>0</v>
      </c>
      <c r="Q5" s="854">
        <f t="shared" si="8"/>
        <v>24562</v>
      </c>
      <c r="R5" s="854">
        <f t="shared" si="9"/>
        <v>24562</v>
      </c>
    </row>
    <row r="6" spans="1:18">
      <c r="A6" s="845" t="s">
        <v>879</v>
      </c>
      <c r="B6" s="851">
        <f t="shared" ref="B6:C11" si="11">+B38</f>
        <v>10405103.199999999</v>
      </c>
      <c r="C6" s="851">
        <f>+C38</f>
        <v>10060816.75</v>
      </c>
      <c r="D6" s="1189">
        <f t="shared" si="10"/>
        <v>58936</v>
      </c>
      <c r="E6" s="1189">
        <f t="shared" si="10"/>
        <v>53310</v>
      </c>
      <c r="F6" s="846">
        <f t="shared" si="10"/>
        <v>1</v>
      </c>
      <c r="G6" s="847">
        <f t="shared" si="10"/>
        <v>0.96689999999999998</v>
      </c>
      <c r="H6" s="842" t="s">
        <v>879</v>
      </c>
      <c r="I6" s="856">
        <f t="shared" si="1"/>
        <v>0</v>
      </c>
      <c r="J6" s="857">
        <f t="shared" si="2"/>
        <v>25502.699999999255</v>
      </c>
      <c r="K6" s="857">
        <f t="shared" si="3"/>
        <v>10405103.199999999</v>
      </c>
      <c r="L6" s="857">
        <f t="shared" si="4"/>
        <v>10405103.199999999</v>
      </c>
      <c r="M6" s="857">
        <f t="shared" si="5"/>
        <v>10060816.75</v>
      </c>
      <c r="O6" s="858">
        <f t="shared" si="6"/>
        <v>0</v>
      </c>
      <c r="P6" s="859">
        <f t="shared" si="7"/>
        <v>152</v>
      </c>
      <c r="Q6" s="859">
        <f t="shared" si="8"/>
        <v>58936</v>
      </c>
      <c r="R6" s="859">
        <f t="shared" si="9"/>
        <v>53310</v>
      </c>
    </row>
    <row r="7" spans="1:18">
      <c r="A7" s="845" t="s">
        <v>880</v>
      </c>
      <c r="B7" s="851">
        <f t="shared" si="11"/>
        <v>10120547.769999998</v>
      </c>
      <c r="C7" s="851">
        <f>+C39</f>
        <v>13145824.129999999</v>
      </c>
      <c r="D7" s="1189">
        <f t="shared" si="10"/>
        <v>55810</v>
      </c>
      <c r="E7" s="1189">
        <f t="shared" si="10"/>
        <v>69355</v>
      </c>
      <c r="F7" s="846">
        <f t="shared" si="10"/>
        <v>2.6989999999999998</v>
      </c>
      <c r="G7" s="847">
        <f t="shared" si="10"/>
        <v>3.2506000000000004</v>
      </c>
      <c r="H7" s="842" t="s">
        <v>880</v>
      </c>
      <c r="I7" s="860">
        <f t="shared" si="1"/>
        <v>470222.40999999829</v>
      </c>
      <c r="J7" s="861">
        <f t="shared" si="2"/>
        <v>846741.38000000082</v>
      </c>
      <c r="K7" s="861">
        <f t="shared" si="3"/>
        <v>10120547.769999998</v>
      </c>
      <c r="L7" s="861">
        <f t="shared" si="4"/>
        <v>10120547.769999998</v>
      </c>
      <c r="M7" s="861">
        <f t="shared" si="5"/>
        <v>13145824.129999999</v>
      </c>
      <c r="O7" s="862">
        <f t="shared" si="6"/>
        <v>3390</v>
      </c>
      <c r="P7" s="863">
        <f t="shared" si="7"/>
        <v>5197</v>
      </c>
      <c r="Q7" s="863">
        <f t="shared" si="8"/>
        <v>55810</v>
      </c>
      <c r="R7" s="863">
        <f t="shared" si="9"/>
        <v>69355</v>
      </c>
    </row>
    <row r="8" spans="1:18">
      <c r="A8" s="845" t="s">
        <v>881</v>
      </c>
      <c r="B8" s="851">
        <f t="shared" si="11"/>
        <v>291254.26</v>
      </c>
      <c r="C8" s="851">
        <f t="shared" si="11"/>
        <v>1886038.1700000002</v>
      </c>
      <c r="D8" s="1189">
        <f t="shared" si="10"/>
        <v>9100</v>
      </c>
      <c r="E8" s="1189">
        <f t="shared" si="10"/>
        <v>29080</v>
      </c>
      <c r="F8" s="846">
        <f t="shared" si="10"/>
        <v>0.2487</v>
      </c>
      <c r="G8" s="847">
        <f t="shared" si="10"/>
        <v>2.2185000000000001</v>
      </c>
      <c r="H8" s="842" t="s">
        <v>881</v>
      </c>
      <c r="I8" s="864">
        <f t="shared" si="1"/>
        <v>51053.040000000037</v>
      </c>
      <c r="J8" s="865">
        <f t="shared" si="2"/>
        <v>44220</v>
      </c>
      <c r="K8" s="865">
        <f t="shared" si="3"/>
        <v>291254.26</v>
      </c>
      <c r="L8" s="865">
        <f t="shared" si="4"/>
        <v>291254.26</v>
      </c>
      <c r="M8" s="865">
        <f t="shared" si="5"/>
        <v>1886038.1700000002</v>
      </c>
      <c r="O8" s="866">
        <f t="shared" si="6"/>
        <v>1320</v>
      </c>
      <c r="P8" s="867">
        <f t="shared" si="7"/>
        <v>1296</v>
      </c>
      <c r="Q8" s="867">
        <f t="shared" si="8"/>
        <v>9100</v>
      </c>
      <c r="R8" s="867">
        <f t="shared" si="9"/>
        <v>29080</v>
      </c>
    </row>
    <row r="9" spans="1:18">
      <c r="A9" s="845" t="s">
        <v>882</v>
      </c>
      <c r="B9" s="851">
        <f t="shared" si="11"/>
        <v>189275</v>
      </c>
      <c r="C9" s="851">
        <f t="shared" si="11"/>
        <v>155775</v>
      </c>
      <c r="D9" s="1189">
        <f t="shared" si="10"/>
        <v>6490</v>
      </c>
      <c r="E9" s="1189">
        <f t="shared" si="10"/>
        <v>4390</v>
      </c>
      <c r="F9" s="846">
        <f t="shared" si="10"/>
        <v>1</v>
      </c>
      <c r="G9" s="847">
        <f t="shared" si="10"/>
        <v>0.82299999999999995</v>
      </c>
      <c r="H9" s="842" t="s">
        <v>882</v>
      </c>
      <c r="I9" s="868">
        <f t="shared" si="1"/>
        <v>0</v>
      </c>
      <c r="J9" s="869">
        <f t="shared" si="2"/>
        <v>0</v>
      </c>
      <c r="K9" s="869">
        <f t="shared" si="3"/>
        <v>189275</v>
      </c>
      <c r="L9" s="869">
        <f t="shared" si="4"/>
        <v>189275</v>
      </c>
      <c r="M9" s="869">
        <f t="shared" si="5"/>
        <v>155775</v>
      </c>
      <c r="O9" s="870">
        <f t="shared" si="6"/>
        <v>0</v>
      </c>
      <c r="P9" s="871">
        <f t="shared" si="7"/>
        <v>0</v>
      </c>
      <c r="Q9" s="871">
        <f t="shared" si="8"/>
        <v>6490</v>
      </c>
      <c r="R9" s="871">
        <f t="shared" si="9"/>
        <v>4390</v>
      </c>
    </row>
    <row r="10" spans="1:18">
      <c r="A10" s="845" t="s">
        <v>883</v>
      </c>
      <c r="B10" s="851">
        <f t="shared" si="11"/>
        <v>3959941.2</v>
      </c>
      <c r="C10" s="851">
        <f t="shared" si="11"/>
        <v>3959941.2</v>
      </c>
      <c r="D10" s="1189">
        <f t="shared" si="10"/>
        <v>17395</v>
      </c>
      <c r="E10" s="1189">
        <f t="shared" si="10"/>
        <v>17395</v>
      </c>
      <c r="F10" s="846">
        <f t="shared" si="10"/>
        <v>2</v>
      </c>
      <c r="G10" s="847">
        <f t="shared" si="10"/>
        <v>2</v>
      </c>
      <c r="H10" s="842" t="s">
        <v>883</v>
      </c>
      <c r="I10" s="872">
        <f t="shared" si="1"/>
        <v>0</v>
      </c>
      <c r="J10" s="873">
        <f t="shared" si="2"/>
        <v>0</v>
      </c>
      <c r="K10" s="873">
        <f>B42</f>
        <v>3959941.2</v>
      </c>
      <c r="L10" s="873">
        <f t="shared" si="4"/>
        <v>3959941.2</v>
      </c>
      <c r="M10" s="873">
        <f t="shared" si="5"/>
        <v>3959941.2</v>
      </c>
      <c r="N10" s="874"/>
      <c r="O10" s="875">
        <f t="shared" si="6"/>
        <v>0</v>
      </c>
      <c r="P10" s="876">
        <f t="shared" si="7"/>
        <v>0</v>
      </c>
      <c r="Q10" s="876">
        <f t="shared" si="8"/>
        <v>17395</v>
      </c>
      <c r="R10" s="876">
        <f t="shared" si="9"/>
        <v>17395</v>
      </c>
    </row>
    <row r="11" spans="1:18">
      <c r="A11" s="845" t="s">
        <v>884</v>
      </c>
      <c r="B11" s="851">
        <f t="shared" si="11"/>
        <v>2213370.69</v>
      </c>
      <c r="C11" s="851">
        <f t="shared" si="11"/>
        <v>9330592.3699999992</v>
      </c>
      <c r="D11" s="1189">
        <f t="shared" si="10"/>
        <v>52880</v>
      </c>
      <c r="E11" s="1189">
        <f t="shared" si="10"/>
        <v>178177</v>
      </c>
      <c r="F11" s="846">
        <f t="shared" si="10"/>
        <v>0.21510000000000001</v>
      </c>
      <c r="G11" s="847">
        <f t="shared" si="10"/>
        <v>0.90669999999999995</v>
      </c>
      <c r="H11" s="842" t="s">
        <v>884</v>
      </c>
      <c r="I11" s="877">
        <f t="shared" si="1"/>
        <v>121693.86999999988</v>
      </c>
      <c r="J11" s="878">
        <f t="shared" si="2"/>
        <v>0</v>
      </c>
      <c r="K11" s="878">
        <f>B43</f>
        <v>2213370.69</v>
      </c>
      <c r="L11" s="878">
        <f t="shared" si="4"/>
        <v>2213370.69</v>
      </c>
      <c r="M11" s="878">
        <f t="shared" si="5"/>
        <v>9330592.3699999992</v>
      </c>
      <c r="N11" s="879"/>
      <c r="O11" s="880">
        <f t="shared" si="6"/>
        <v>3180</v>
      </c>
      <c r="P11" s="881">
        <f t="shared" si="7"/>
        <v>0</v>
      </c>
      <c r="Q11" s="881">
        <f t="shared" si="8"/>
        <v>52880</v>
      </c>
      <c r="R11" s="881">
        <f t="shared" si="9"/>
        <v>178177</v>
      </c>
    </row>
    <row r="12" spans="1:18">
      <c r="A12" s="845" t="s">
        <v>885</v>
      </c>
      <c r="B12" s="851">
        <f>+B44</f>
        <v>0</v>
      </c>
      <c r="C12" s="851">
        <f>+C44</f>
        <v>0</v>
      </c>
      <c r="D12" s="1189">
        <f t="shared" si="10"/>
        <v>0</v>
      </c>
      <c r="E12" s="1189">
        <f t="shared" si="10"/>
        <v>0</v>
      </c>
      <c r="F12" s="846">
        <f t="shared" si="10"/>
        <v>0</v>
      </c>
      <c r="G12" s="847">
        <f t="shared" si="10"/>
        <v>0</v>
      </c>
      <c r="H12" s="842" t="s">
        <v>885</v>
      </c>
      <c r="I12" s="882">
        <f t="shared" si="1"/>
        <v>0</v>
      </c>
      <c r="J12" s="883">
        <f t="shared" si="2"/>
        <v>0</v>
      </c>
      <c r="K12" s="883">
        <f>B44</f>
        <v>0</v>
      </c>
      <c r="L12" s="883">
        <f t="shared" si="4"/>
        <v>0</v>
      </c>
      <c r="M12" s="883">
        <f t="shared" si="5"/>
        <v>0</v>
      </c>
      <c r="N12" s="884"/>
      <c r="O12" s="885">
        <f t="shared" si="6"/>
        <v>0</v>
      </c>
      <c r="P12" s="886">
        <f t="shared" si="7"/>
        <v>0</v>
      </c>
      <c r="Q12" s="886">
        <f t="shared" si="8"/>
        <v>0</v>
      </c>
      <c r="R12" s="886">
        <f t="shared" si="9"/>
        <v>0</v>
      </c>
    </row>
    <row r="13" spans="1:18" ht="15" thickBot="1">
      <c r="A13" s="887" t="s">
        <v>886</v>
      </c>
      <c r="B13" s="1110">
        <v>0</v>
      </c>
      <c r="C13" s="1110">
        <v>0</v>
      </c>
      <c r="D13" s="888">
        <v>0</v>
      </c>
      <c r="E13" s="888">
        <v>0</v>
      </c>
      <c r="F13" s="889">
        <v>0</v>
      </c>
      <c r="G13" s="890">
        <v>0</v>
      </c>
      <c r="H13" s="891" t="s">
        <v>886</v>
      </c>
      <c r="I13" s="892">
        <f t="shared" si="1"/>
        <v>0</v>
      </c>
      <c r="J13" s="893">
        <f t="shared" si="2"/>
        <v>0</v>
      </c>
      <c r="K13" s="893">
        <f>B45</f>
        <v>0</v>
      </c>
      <c r="L13" s="893">
        <f t="shared" si="4"/>
        <v>0</v>
      </c>
      <c r="M13" s="893">
        <f t="shared" si="5"/>
        <v>0</v>
      </c>
      <c r="N13" s="894"/>
      <c r="O13" s="895">
        <f t="shared" si="6"/>
        <v>0</v>
      </c>
      <c r="P13" s="896">
        <f t="shared" si="7"/>
        <v>0</v>
      </c>
      <c r="Q13" s="896">
        <f t="shared" si="8"/>
        <v>0</v>
      </c>
      <c r="R13" s="896">
        <f t="shared" si="9"/>
        <v>0</v>
      </c>
    </row>
    <row r="14" spans="1:18" ht="15" thickBot="1">
      <c r="A14" s="1626" t="s">
        <v>831</v>
      </c>
      <c r="B14" s="1626"/>
      <c r="C14" s="1626"/>
      <c r="D14" s="1626"/>
      <c r="E14" s="1626"/>
      <c r="F14" s="1626"/>
      <c r="G14" s="1626"/>
    </row>
    <row r="15" spans="1:18" s="523" customFormat="1" ht="14.4" customHeight="1">
      <c r="A15" s="835" t="s">
        <v>819</v>
      </c>
      <c r="B15" s="836" t="s">
        <v>820</v>
      </c>
      <c r="C15" s="836" t="s">
        <v>821</v>
      </c>
      <c r="D15" s="836" t="s">
        <v>822</v>
      </c>
      <c r="E15" s="836" t="s">
        <v>823</v>
      </c>
      <c r="F15" s="836" t="s">
        <v>824</v>
      </c>
      <c r="G15" s="837" t="s">
        <v>825</v>
      </c>
    </row>
    <row r="16" spans="1:18">
      <c r="A16" s="839" t="s">
        <v>84</v>
      </c>
      <c r="B16" s="840">
        <v>28097288.280000001</v>
      </c>
      <c r="C16" s="573">
        <v>2319038.88</v>
      </c>
      <c r="D16">
        <v>232021</v>
      </c>
      <c r="E16">
        <v>384361</v>
      </c>
      <c r="F16" s="841">
        <v>0.54010000000000002</v>
      </c>
      <c r="G16" s="1151">
        <v>0.75319999999999998</v>
      </c>
    </row>
    <row r="17" spans="1:17">
      <c r="A17" s="845" t="s">
        <v>877</v>
      </c>
      <c r="B17" s="851">
        <v>0</v>
      </c>
      <c r="C17" s="851">
        <v>39183289</v>
      </c>
      <c r="D17">
        <v>14738</v>
      </c>
      <c r="E17">
        <v>14738</v>
      </c>
      <c r="F17" s="846">
        <v>0</v>
      </c>
      <c r="G17" s="1152">
        <v>0</v>
      </c>
    </row>
    <row r="18" spans="1:17">
      <c r="A18" s="845" t="s">
        <v>878</v>
      </c>
      <c r="B18" s="851">
        <v>1560765.48</v>
      </c>
      <c r="C18" s="851">
        <v>1560765.48</v>
      </c>
      <c r="D18">
        <v>24562</v>
      </c>
      <c r="E18">
        <v>24562</v>
      </c>
      <c r="F18" s="846">
        <v>1</v>
      </c>
      <c r="G18" s="1153">
        <v>1</v>
      </c>
    </row>
    <row r="19" spans="1:17">
      <c r="A19" s="845" t="s">
        <v>879</v>
      </c>
      <c r="B19" s="851">
        <v>10405103.199999999</v>
      </c>
      <c r="C19" s="851">
        <v>10035314.050000001</v>
      </c>
      <c r="D19" s="851">
        <v>58936</v>
      </c>
      <c r="E19" s="851">
        <v>53158</v>
      </c>
      <c r="F19" s="855">
        <v>1</v>
      </c>
      <c r="G19" s="1153">
        <v>0.96450000000000002</v>
      </c>
    </row>
    <row r="20" spans="1:17">
      <c r="A20" s="845" t="s">
        <v>880</v>
      </c>
      <c r="B20" s="851">
        <v>9650325.3599999994</v>
      </c>
      <c r="C20" s="573">
        <v>12299082.749999998</v>
      </c>
      <c r="D20" s="851">
        <v>52420</v>
      </c>
      <c r="E20">
        <v>64158</v>
      </c>
      <c r="F20" s="855">
        <v>2.6101000000000001</v>
      </c>
      <c r="G20" s="1154">
        <v>2.7739000000000003</v>
      </c>
    </row>
    <row r="21" spans="1:17">
      <c r="A21" s="845" t="s">
        <v>881</v>
      </c>
      <c r="B21" s="851">
        <v>240201.21999999997</v>
      </c>
      <c r="C21" s="851">
        <v>1841818.1700000002</v>
      </c>
      <c r="D21" s="851">
        <v>7780</v>
      </c>
      <c r="E21" s="851">
        <v>27784</v>
      </c>
      <c r="F21" s="855">
        <v>0.20380000000000001</v>
      </c>
      <c r="G21" s="1153">
        <v>2.1705999999999999</v>
      </c>
    </row>
    <row r="22" spans="1:17">
      <c r="A22" s="845" t="s">
        <v>882</v>
      </c>
      <c r="B22" s="851">
        <v>189275</v>
      </c>
      <c r="C22" s="851">
        <v>155775</v>
      </c>
      <c r="D22" s="851">
        <v>6490</v>
      </c>
      <c r="E22" s="851">
        <v>4390</v>
      </c>
      <c r="F22" s="855">
        <v>1</v>
      </c>
      <c r="G22" s="1153">
        <v>0.82299999999999995</v>
      </c>
      <c r="M22" s="573"/>
      <c r="P22" s="597"/>
      <c r="Q22" s="597"/>
    </row>
    <row r="23" spans="1:17">
      <c r="A23" s="845" t="s">
        <v>883</v>
      </c>
      <c r="B23" s="851">
        <v>3959941.2</v>
      </c>
      <c r="C23" s="851">
        <v>3959941.2</v>
      </c>
      <c r="D23" s="851">
        <v>17395</v>
      </c>
      <c r="E23" s="851">
        <v>17395</v>
      </c>
      <c r="F23" s="846">
        <v>2</v>
      </c>
      <c r="G23" s="1152">
        <v>2</v>
      </c>
      <c r="P23" s="597"/>
      <c r="Q23" s="597"/>
    </row>
    <row r="24" spans="1:17">
      <c r="A24" s="845" t="s">
        <v>884</v>
      </c>
      <c r="B24" s="851">
        <v>2091676.82</v>
      </c>
      <c r="C24" s="851">
        <v>9330592.3699999992</v>
      </c>
      <c r="D24" s="851">
        <v>49700</v>
      </c>
      <c r="E24" s="851">
        <v>178177</v>
      </c>
      <c r="F24" s="846">
        <v>0.20319999999999999</v>
      </c>
      <c r="G24" s="1152">
        <v>0.90669999999999995</v>
      </c>
      <c r="P24" s="597"/>
      <c r="Q24" s="597"/>
    </row>
    <row r="25" spans="1:17">
      <c r="A25" s="845" t="s">
        <v>885</v>
      </c>
      <c r="B25" s="851">
        <v>0</v>
      </c>
      <c r="C25" s="851">
        <v>0</v>
      </c>
      <c r="D25" s="851">
        <v>0</v>
      </c>
      <c r="E25" s="851">
        <v>0</v>
      </c>
      <c r="F25" s="846">
        <v>0</v>
      </c>
      <c r="G25" s="1152">
        <v>0</v>
      </c>
      <c r="P25" s="597"/>
      <c r="Q25" s="597"/>
    </row>
    <row r="26" spans="1:17" ht="15" thickBot="1">
      <c r="A26" s="887" t="s">
        <v>886</v>
      </c>
      <c r="B26" s="1110">
        <v>0</v>
      </c>
      <c r="C26" s="1110">
        <v>0</v>
      </c>
      <c r="D26" s="888">
        <v>0</v>
      </c>
      <c r="E26" s="888">
        <v>0</v>
      </c>
      <c r="F26" s="889">
        <v>0</v>
      </c>
      <c r="G26" s="1155">
        <v>0</v>
      </c>
      <c r="M26" s="573"/>
      <c r="P26" s="597"/>
      <c r="Q26" s="615"/>
    </row>
    <row r="27" spans="1:17">
      <c r="B27" s="573"/>
      <c r="C27" s="573"/>
      <c r="F27" s="615"/>
      <c r="G27" s="615"/>
      <c r="M27" s="573"/>
      <c r="P27" s="597"/>
      <c r="Q27" s="615"/>
    </row>
    <row r="28" spans="1:17">
      <c r="B28" s="573"/>
      <c r="C28" s="573"/>
      <c r="F28" s="615"/>
      <c r="G28" s="615"/>
      <c r="M28" s="573"/>
      <c r="P28" s="597"/>
      <c r="Q28" s="597"/>
    </row>
    <row r="29" spans="1:17">
      <c r="F29" s="597"/>
      <c r="G29" s="597"/>
      <c r="P29" s="597"/>
      <c r="Q29" s="597"/>
    </row>
    <row r="30" spans="1:17">
      <c r="F30" s="597"/>
      <c r="G30" s="597"/>
      <c r="P30" s="597"/>
      <c r="Q30" s="597"/>
    </row>
    <row r="31" spans="1:17">
      <c r="F31" s="597"/>
      <c r="G31" s="597"/>
      <c r="P31" s="597"/>
      <c r="Q31" s="597"/>
    </row>
    <row r="32" spans="1:17">
      <c r="F32" s="597"/>
      <c r="G32" s="597"/>
      <c r="P32" s="597"/>
      <c r="Q32" s="597"/>
    </row>
    <row r="33" spans="1:38">
      <c r="F33" s="597"/>
      <c r="G33" s="597"/>
    </row>
    <row r="34" spans="1:38" ht="58.2" customHeight="1">
      <c r="A34" t="s">
        <v>819</v>
      </c>
      <c r="B34" s="45" t="s">
        <v>820</v>
      </c>
      <c r="C34" s="45" t="s">
        <v>821</v>
      </c>
      <c r="D34" s="45" t="s">
        <v>822</v>
      </c>
      <c r="E34" s="45" t="s">
        <v>823</v>
      </c>
      <c r="F34" s="619" t="s">
        <v>824</v>
      </c>
      <c r="G34" s="619" t="s">
        <v>825</v>
      </c>
      <c r="H34" s="45"/>
    </row>
    <row r="35" spans="1:38">
      <c r="A35" t="s">
        <v>84</v>
      </c>
      <c r="B35" s="573">
        <f>+AF51</f>
        <v>28740257.59</v>
      </c>
      <c r="C35" s="573">
        <f>+AG51</f>
        <v>40099753.079999998</v>
      </c>
      <c r="D35">
        <f>+AD51</f>
        <v>239911</v>
      </c>
      <c r="E35">
        <f>+AE51</f>
        <v>391007</v>
      </c>
      <c r="F35" s="597">
        <f>+AA51</f>
        <v>0.5524</v>
      </c>
      <c r="G35" s="597">
        <f>+AB51</f>
        <v>0.77080000000000004</v>
      </c>
    </row>
    <row r="36" spans="1:38">
      <c r="A36" t="s">
        <v>877</v>
      </c>
      <c r="B36">
        <f t="shared" ref="B36:C38" si="12">AF53</f>
        <v>0</v>
      </c>
      <c r="C36">
        <f t="shared" si="12"/>
        <v>0</v>
      </c>
      <c r="D36">
        <f t="shared" ref="D36:E38" si="13">AD53</f>
        <v>14738</v>
      </c>
      <c r="E36">
        <f t="shared" si="13"/>
        <v>14738</v>
      </c>
      <c r="F36" s="597">
        <f t="shared" ref="F36:G38" si="14">AA53</f>
        <v>0</v>
      </c>
      <c r="G36" s="597">
        <f t="shared" si="14"/>
        <v>0</v>
      </c>
      <c r="Q36" s="573"/>
      <c r="T36" s="597"/>
      <c r="U36" s="597"/>
    </row>
    <row r="37" spans="1:38">
      <c r="A37" t="s">
        <v>878</v>
      </c>
      <c r="B37" s="573">
        <f t="shared" si="12"/>
        <v>1560765.48</v>
      </c>
      <c r="C37" s="573">
        <f t="shared" si="12"/>
        <v>1560765.48</v>
      </c>
      <c r="D37">
        <f t="shared" si="13"/>
        <v>24562</v>
      </c>
      <c r="E37">
        <f t="shared" si="13"/>
        <v>24562</v>
      </c>
      <c r="F37" s="597">
        <f t="shared" si="14"/>
        <v>1</v>
      </c>
      <c r="G37" s="597">
        <f t="shared" si="14"/>
        <v>1</v>
      </c>
      <c r="T37" s="597"/>
      <c r="U37" s="597"/>
    </row>
    <row r="38" spans="1:38">
      <c r="A38" s="1161" t="s">
        <v>879</v>
      </c>
      <c r="B38" s="1169">
        <f t="shared" si="12"/>
        <v>10405103.199999999</v>
      </c>
      <c r="C38" s="1169">
        <f t="shared" si="12"/>
        <v>10060816.75</v>
      </c>
      <c r="D38" s="1161">
        <f t="shared" si="13"/>
        <v>58936</v>
      </c>
      <c r="E38" s="1161">
        <f t="shared" si="13"/>
        <v>53310</v>
      </c>
      <c r="F38" s="1163">
        <f t="shared" si="14"/>
        <v>1</v>
      </c>
      <c r="G38" s="1163">
        <f t="shared" si="14"/>
        <v>0.96689999999999998</v>
      </c>
      <c r="T38" s="597"/>
      <c r="U38" s="597"/>
      <c r="AC38" s="93"/>
      <c r="AE38" s="573"/>
      <c r="AF38" s="597"/>
      <c r="AG38" s="615"/>
      <c r="AL38" s="573"/>
    </row>
    <row r="39" spans="1:38">
      <c r="A39" s="1179" t="s">
        <v>880</v>
      </c>
      <c r="B39" s="1181">
        <f>AF61+AF66+AF69+AF70+AF71+AF73+AF76</f>
        <v>10120547.769999998</v>
      </c>
      <c r="C39" s="1181">
        <f>AG61+AG66+AG69+AG70+AG71+AG73+AG76</f>
        <v>13145824.129999999</v>
      </c>
      <c r="D39" s="1179">
        <f>AD61+AD66+AD69+AD70+AD71+AD73+AD76</f>
        <v>55810</v>
      </c>
      <c r="E39" s="1179">
        <f>AE61+AE66+AE69+AE70+AE71++AE73+AE76</f>
        <v>69355</v>
      </c>
      <c r="F39" s="1182">
        <f>AA61+AA66+AA69+AA70+AA71+AA73+AA76</f>
        <v>2.6989999999999998</v>
      </c>
      <c r="G39" s="1182">
        <f>AB61+AB66+AB69+AB70+AB71+AB73+AB76</f>
        <v>3.2506000000000004</v>
      </c>
      <c r="T39" s="597"/>
      <c r="U39" s="597"/>
    </row>
    <row r="40" spans="1:38">
      <c r="A40" s="1184" t="s">
        <v>881</v>
      </c>
      <c r="B40" s="1184">
        <f>AF62+AF67+AF74+AF77</f>
        <v>291254.26</v>
      </c>
      <c r="C40" s="1184">
        <f>AG62+AG67+AG74+AG77</f>
        <v>1886038.1700000002</v>
      </c>
      <c r="D40" s="1184">
        <f>AD62+AD67+AD74+AD77</f>
        <v>9100</v>
      </c>
      <c r="E40" s="1184">
        <f>AE62+AE67+AE74+AE77</f>
        <v>29080</v>
      </c>
      <c r="F40" s="1185">
        <f>AA62+AA67+AA74+AA77</f>
        <v>0.2487</v>
      </c>
      <c r="G40" s="1185">
        <f>AB62+AB67+AB74+AB77</f>
        <v>2.2185000000000001</v>
      </c>
      <c r="Q40" s="573"/>
      <c r="T40" s="597"/>
      <c r="U40" s="615"/>
    </row>
    <row r="41" spans="1:38">
      <c r="A41" s="1164" t="s">
        <v>882</v>
      </c>
      <c r="B41" s="1166">
        <f>AF78</f>
        <v>189275</v>
      </c>
      <c r="C41" s="1166">
        <f>AG78</f>
        <v>155775</v>
      </c>
      <c r="D41" s="1164">
        <f>AD78</f>
        <v>6490</v>
      </c>
      <c r="E41" s="1164">
        <f>AE78</f>
        <v>4390</v>
      </c>
      <c r="F41" s="1168">
        <f>AA78</f>
        <v>1</v>
      </c>
      <c r="G41" s="1168">
        <f>AB78</f>
        <v>0.82299999999999995</v>
      </c>
      <c r="Q41" s="573"/>
      <c r="T41" s="597"/>
      <c r="U41" s="615"/>
    </row>
    <row r="42" spans="1:38">
      <c r="A42" s="1164" t="s">
        <v>883</v>
      </c>
      <c r="B42" s="1166">
        <f>AF59+AF64</f>
        <v>3959941.2</v>
      </c>
      <c r="C42" s="1166">
        <f>AG59+AG64</f>
        <v>3959941.2</v>
      </c>
      <c r="D42" s="1164">
        <f>AD59+AD64</f>
        <v>17395</v>
      </c>
      <c r="E42" s="1164">
        <f>AE59+AE64</f>
        <v>17395</v>
      </c>
      <c r="F42" s="1168">
        <f>AA59+AA64</f>
        <v>2</v>
      </c>
      <c r="G42" s="1168">
        <f>AB59+AB64</f>
        <v>2</v>
      </c>
    </row>
    <row r="43" spans="1:38">
      <c r="A43" s="1157" t="s">
        <v>884</v>
      </c>
      <c r="B43" s="1157">
        <f>AF79</f>
        <v>2213370.69</v>
      </c>
      <c r="C43" s="1158">
        <f>AG79</f>
        <v>9330592.3699999992</v>
      </c>
      <c r="D43" s="1157">
        <f>AD79</f>
        <v>52880</v>
      </c>
      <c r="E43" s="1157">
        <f>AE79</f>
        <v>178177</v>
      </c>
      <c r="F43" s="1159">
        <f>AA79</f>
        <v>0.21510000000000001</v>
      </c>
      <c r="G43" s="1159">
        <f>AB79</f>
        <v>0.90669999999999995</v>
      </c>
    </row>
    <row r="44" spans="1:38">
      <c r="A44" s="1164" t="s">
        <v>885</v>
      </c>
      <c r="B44" s="1164">
        <f>AF80</f>
        <v>0</v>
      </c>
      <c r="C44" s="1164">
        <f>AG80</f>
        <v>0</v>
      </c>
      <c r="D44" s="1164">
        <f>AD80</f>
        <v>0</v>
      </c>
      <c r="E44" s="1164">
        <f>AE80</f>
        <v>0</v>
      </c>
      <c r="F44" s="1167">
        <f>AA80</f>
        <v>0</v>
      </c>
      <c r="G44" s="1167">
        <f>AB80</f>
        <v>0</v>
      </c>
    </row>
    <row r="45" spans="1:38">
      <c r="A45" t="s">
        <v>886</v>
      </c>
      <c r="F45" s="597"/>
      <c r="G45" s="597"/>
    </row>
    <row r="50" spans="4:33">
      <c r="T50" t="s">
        <v>819</v>
      </c>
      <c r="U50" t="s">
        <v>1029</v>
      </c>
      <c r="V50" t="s">
        <v>1030</v>
      </c>
      <c r="W50" t="s">
        <v>589</v>
      </c>
      <c r="X50" t="s">
        <v>1033</v>
      </c>
      <c r="Y50" t="s">
        <v>1035</v>
      </c>
      <c r="Z50" t="s">
        <v>1146</v>
      </c>
      <c r="AA50" s="1157" t="s">
        <v>824</v>
      </c>
      <c r="AB50" s="1157" t="s">
        <v>825</v>
      </c>
      <c r="AC50" t="s">
        <v>1147</v>
      </c>
      <c r="AD50" s="1157" t="s">
        <v>822</v>
      </c>
      <c r="AE50" s="1157" t="s">
        <v>823</v>
      </c>
      <c r="AF50" s="1157" t="s">
        <v>820</v>
      </c>
      <c r="AG50" s="1157" t="s">
        <v>821</v>
      </c>
    </row>
    <row r="51" spans="4:33">
      <c r="T51" t="s">
        <v>1391</v>
      </c>
      <c r="V51">
        <v>478</v>
      </c>
      <c r="W51" t="s">
        <v>1214</v>
      </c>
      <c r="X51" s="93">
        <v>46642</v>
      </c>
      <c r="Y51">
        <v>-25</v>
      </c>
      <c r="Z51" s="573">
        <v>52025516</v>
      </c>
      <c r="AA51" s="1159">
        <v>0.5524</v>
      </c>
      <c r="AB51" s="1160">
        <v>0.77080000000000004</v>
      </c>
      <c r="AC51">
        <v>491311</v>
      </c>
      <c r="AD51" s="1157">
        <v>239911</v>
      </c>
      <c r="AE51" s="1157">
        <v>391007</v>
      </c>
      <c r="AF51" s="1158">
        <v>28740257.59</v>
      </c>
      <c r="AG51" s="1158">
        <v>40099753.079999998</v>
      </c>
    </row>
    <row r="52" spans="4:33">
      <c r="E52" s="93"/>
      <c r="H52" s="597"/>
      <c r="I52" s="597"/>
      <c r="T52" t="s">
        <v>1213</v>
      </c>
      <c r="V52">
        <v>478</v>
      </c>
      <c r="W52" t="s">
        <v>1214</v>
      </c>
      <c r="X52" s="93">
        <v>46642</v>
      </c>
      <c r="Y52">
        <v>-25</v>
      </c>
      <c r="Z52">
        <v>0</v>
      </c>
      <c r="AA52" s="1159">
        <v>0</v>
      </c>
      <c r="AB52" s="1159">
        <v>0</v>
      </c>
      <c r="AC52">
        <v>0</v>
      </c>
      <c r="AD52" s="1157">
        <v>0</v>
      </c>
      <c r="AE52" s="1157">
        <v>0</v>
      </c>
      <c r="AF52" s="1157">
        <v>0</v>
      </c>
      <c r="AG52" s="1157">
        <v>0</v>
      </c>
    </row>
    <row r="53" spans="4:33">
      <c r="E53" s="93"/>
      <c r="H53" s="597"/>
      <c r="I53" s="597"/>
      <c r="T53" s="1161" t="s">
        <v>1164</v>
      </c>
      <c r="U53" s="1161"/>
      <c r="V53" s="1161">
        <v>99</v>
      </c>
      <c r="W53" s="1161" t="s">
        <v>1214</v>
      </c>
      <c r="X53" s="1162" t="s">
        <v>1273</v>
      </c>
      <c r="Y53" s="1161"/>
      <c r="Z53" s="1161">
        <v>0</v>
      </c>
      <c r="AA53" s="1163">
        <v>0</v>
      </c>
      <c r="AB53" s="1163">
        <v>0</v>
      </c>
      <c r="AC53" s="1161">
        <v>14738</v>
      </c>
      <c r="AD53" s="1161">
        <v>14738</v>
      </c>
      <c r="AE53" s="1161">
        <v>14738</v>
      </c>
      <c r="AF53" s="1161">
        <v>0</v>
      </c>
      <c r="AG53" s="1161">
        <v>0</v>
      </c>
    </row>
    <row r="54" spans="4:33">
      <c r="E54" s="93"/>
      <c r="G54" s="573"/>
      <c r="H54" s="597"/>
      <c r="I54" s="615"/>
      <c r="N54" s="573"/>
      <c r="T54" s="1164" t="s">
        <v>1165</v>
      </c>
      <c r="U54" s="1164"/>
      <c r="V54" s="1164">
        <v>133</v>
      </c>
      <c r="W54" s="1164" t="s">
        <v>1215</v>
      </c>
      <c r="X54" s="1165" t="s">
        <v>1300</v>
      </c>
      <c r="Y54" s="1164"/>
      <c r="Z54" s="1166">
        <v>1560765.48</v>
      </c>
      <c r="AA54" s="1167">
        <v>1</v>
      </c>
      <c r="AB54" s="1168">
        <v>1</v>
      </c>
      <c r="AC54" s="1164">
        <v>24562</v>
      </c>
      <c r="AD54" s="1164">
        <v>24562</v>
      </c>
      <c r="AE54" s="1164">
        <v>24562</v>
      </c>
      <c r="AF54" s="1166">
        <v>1560765.48</v>
      </c>
      <c r="AG54" s="1166">
        <v>1560765.48</v>
      </c>
    </row>
    <row r="55" spans="4:33">
      <c r="D55" s="93"/>
      <c r="E55" s="93"/>
      <c r="G55" s="573"/>
      <c r="H55" s="597"/>
      <c r="I55" s="597"/>
      <c r="T55" s="1161" t="s">
        <v>1166</v>
      </c>
      <c r="U55" s="1161"/>
      <c r="V55" s="1161">
        <v>198</v>
      </c>
      <c r="W55" s="1162" t="s">
        <v>1223</v>
      </c>
      <c r="X55" s="1162">
        <v>46383</v>
      </c>
      <c r="Y55" s="1161">
        <v>-16</v>
      </c>
      <c r="Z55" s="1169">
        <v>10405103.199999999</v>
      </c>
      <c r="AA55" s="1163">
        <v>1</v>
      </c>
      <c r="AB55" s="1163">
        <v>0.96689999999999998</v>
      </c>
      <c r="AC55" s="1161">
        <v>58936</v>
      </c>
      <c r="AD55" s="1161">
        <v>58936</v>
      </c>
      <c r="AE55" s="1161">
        <v>53310</v>
      </c>
      <c r="AF55" s="1169">
        <v>10405103.199999999</v>
      </c>
      <c r="AG55" s="1169">
        <v>10060816.75</v>
      </c>
    </row>
    <row r="56" spans="4:33">
      <c r="E56" s="93"/>
      <c r="G56" s="573"/>
      <c r="H56" s="597"/>
      <c r="I56" s="615"/>
      <c r="N56" s="573"/>
      <c r="T56" t="s">
        <v>1167</v>
      </c>
      <c r="V56">
        <v>396</v>
      </c>
      <c r="W56" t="s">
        <v>1216</v>
      </c>
      <c r="X56" s="93">
        <v>46582</v>
      </c>
      <c r="Y56">
        <v>-16</v>
      </c>
      <c r="Z56" s="573">
        <v>34857095.719999999</v>
      </c>
      <c r="AA56" s="1159">
        <v>0.48120000000000002</v>
      </c>
      <c r="AB56" s="1160">
        <v>0.81699999999999995</v>
      </c>
      <c r="AC56">
        <v>368515</v>
      </c>
      <c r="AD56" s="1157">
        <v>141675</v>
      </c>
      <c r="AE56" s="1157">
        <v>298396</v>
      </c>
      <c r="AF56" s="1158">
        <v>16774388.91</v>
      </c>
      <c r="AG56" s="1158">
        <v>28478170.850000001</v>
      </c>
    </row>
    <row r="57" spans="4:33">
      <c r="E57" s="93"/>
      <c r="G57" s="573"/>
      <c r="H57" s="597"/>
      <c r="I57" s="615"/>
      <c r="N57" s="573"/>
      <c r="T57" t="s">
        <v>1168</v>
      </c>
      <c r="V57">
        <v>379</v>
      </c>
      <c r="W57" t="s">
        <v>1216</v>
      </c>
      <c r="X57" s="93">
        <v>46582</v>
      </c>
      <c r="Y57">
        <v>-16</v>
      </c>
      <c r="Z57" s="573">
        <v>24376620.719999999</v>
      </c>
      <c r="AA57" s="1159">
        <v>0.58960000000000001</v>
      </c>
      <c r="AB57" s="1160">
        <v>0.77910000000000001</v>
      </c>
      <c r="AC57">
        <v>176805</v>
      </c>
      <c r="AD57" s="1157">
        <v>82305</v>
      </c>
      <c r="AE57" s="1157">
        <v>115830</v>
      </c>
      <c r="AF57" s="1158">
        <v>14371743.220000001</v>
      </c>
      <c r="AG57" s="1158">
        <v>18991803.489999998</v>
      </c>
    </row>
    <row r="58" spans="4:33">
      <c r="E58" s="93"/>
      <c r="G58" s="573"/>
      <c r="H58" s="597"/>
      <c r="I58" s="615"/>
      <c r="N58" s="573"/>
      <c r="T58" t="s">
        <v>1217</v>
      </c>
      <c r="V58">
        <v>295</v>
      </c>
      <c r="W58" t="s">
        <v>1216</v>
      </c>
      <c r="X58" s="93">
        <v>46460</v>
      </c>
      <c r="Y58">
        <v>24</v>
      </c>
      <c r="Z58" s="573">
        <v>11737666.140000001</v>
      </c>
      <c r="AA58" s="1159">
        <v>0.7248</v>
      </c>
      <c r="AB58" s="1160">
        <v>0.91620000000000001</v>
      </c>
      <c r="AC58">
        <v>62760</v>
      </c>
      <c r="AD58" s="1157">
        <v>45870</v>
      </c>
      <c r="AE58" s="1157">
        <v>56850</v>
      </c>
      <c r="AF58" s="1158">
        <v>8507174.0399999991</v>
      </c>
      <c r="AG58" s="1158">
        <v>10754186.539999999</v>
      </c>
    </row>
    <row r="59" spans="4:33">
      <c r="D59" s="93"/>
      <c r="E59" s="93"/>
      <c r="G59" s="573"/>
      <c r="H59" s="597"/>
      <c r="I59" s="597"/>
      <c r="T59" s="1164" t="s">
        <v>1218</v>
      </c>
      <c r="U59" s="1164"/>
      <c r="V59" s="1164">
        <v>105</v>
      </c>
      <c r="W59" s="1165" t="s">
        <v>1239</v>
      </c>
      <c r="X59" s="1165" t="s">
        <v>1307</v>
      </c>
      <c r="Y59" s="1164"/>
      <c r="Z59" s="1166">
        <v>2986578.6</v>
      </c>
      <c r="AA59" s="1167">
        <v>1</v>
      </c>
      <c r="AB59" s="1167">
        <v>1</v>
      </c>
      <c r="AC59" s="1164">
        <v>13850</v>
      </c>
      <c r="AD59" s="1164">
        <v>13850</v>
      </c>
      <c r="AE59" s="1164">
        <v>13850</v>
      </c>
      <c r="AF59" s="1166">
        <v>2986578.6</v>
      </c>
      <c r="AG59" s="1166">
        <v>2986578.6</v>
      </c>
    </row>
    <row r="60" spans="4:33">
      <c r="E60" s="93"/>
      <c r="G60" s="573"/>
      <c r="H60" s="597"/>
      <c r="I60" s="615"/>
      <c r="N60" s="573"/>
      <c r="T60" t="s">
        <v>1219</v>
      </c>
      <c r="V60">
        <v>289</v>
      </c>
      <c r="W60" t="s">
        <v>1216</v>
      </c>
      <c r="X60" s="93">
        <v>46460</v>
      </c>
      <c r="Y60">
        <v>24</v>
      </c>
      <c r="Z60" s="573">
        <v>8751087.5399999991</v>
      </c>
      <c r="AA60" s="1159">
        <v>0.63080000000000003</v>
      </c>
      <c r="AB60" s="1160">
        <v>0.88759999999999994</v>
      </c>
      <c r="AC60">
        <v>48910</v>
      </c>
      <c r="AD60" s="1157">
        <v>32020</v>
      </c>
      <c r="AE60" s="1157">
        <v>43000</v>
      </c>
      <c r="AF60" s="1158">
        <v>5520595.4400000004</v>
      </c>
      <c r="AG60" s="1158">
        <v>7767607.9400000004</v>
      </c>
    </row>
    <row r="61" spans="4:33">
      <c r="E61" s="93"/>
      <c r="G61" s="573"/>
      <c r="H61" s="597"/>
      <c r="I61" s="615"/>
      <c r="N61" s="573"/>
      <c r="T61" s="1179" t="s">
        <v>1220</v>
      </c>
      <c r="U61" s="1179"/>
      <c r="V61" s="1179">
        <v>289</v>
      </c>
      <c r="W61" s="1179" t="s">
        <v>1216</v>
      </c>
      <c r="X61" s="1180">
        <v>46460</v>
      </c>
      <c r="Y61" s="1179">
        <v>18</v>
      </c>
      <c r="Z61" s="1181">
        <v>7533911.9400000004</v>
      </c>
      <c r="AA61" s="1182">
        <v>0.69579999999999997</v>
      </c>
      <c r="AB61" s="1183">
        <v>0.86950000000000005</v>
      </c>
      <c r="AC61" s="1179">
        <v>33030</v>
      </c>
      <c r="AD61" s="1179">
        <v>24440</v>
      </c>
      <c r="AE61" s="1179">
        <v>27120</v>
      </c>
      <c r="AF61" s="1181">
        <v>5242434.8899999997</v>
      </c>
      <c r="AG61" s="1181">
        <v>6550432.3399999999</v>
      </c>
    </row>
    <row r="62" spans="4:33">
      <c r="D62" s="93"/>
      <c r="E62" s="93"/>
      <c r="G62" s="573"/>
      <c r="H62" s="597"/>
      <c r="I62" s="597"/>
      <c r="T62" s="1170" t="s">
        <v>1221</v>
      </c>
      <c r="U62" s="1170"/>
      <c r="V62" s="1170">
        <v>142</v>
      </c>
      <c r="W62" s="1171" t="s">
        <v>1240</v>
      </c>
      <c r="X62" s="1171" t="s">
        <v>1392</v>
      </c>
      <c r="Y62" s="1170"/>
      <c r="Z62" s="1172">
        <v>1217175.6000000001</v>
      </c>
      <c r="AA62" s="1173">
        <v>0.22850000000000001</v>
      </c>
      <c r="AB62" s="1173">
        <v>1</v>
      </c>
      <c r="AC62" s="1170">
        <v>15880</v>
      </c>
      <c r="AD62" s="1170">
        <v>7580</v>
      </c>
      <c r="AE62" s="1170">
        <v>15880</v>
      </c>
      <c r="AF62" s="1172">
        <v>278160.55</v>
      </c>
      <c r="AG62" s="1172">
        <v>1217175.6000000001</v>
      </c>
    </row>
    <row r="63" spans="4:33">
      <c r="E63" s="93"/>
      <c r="G63" s="573"/>
      <c r="H63" s="597"/>
      <c r="I63" s="615"/>
      <c r="N63" s="573"/>
      <c r="T63" t="s">
        <v>1222</v>
      </c>
      <c r="V63">
        <v>338</v>
      </c>
      <c r="W63" t="s">
        <v>1223</v>
      </c>
      <c r="X63" s="93">
        <v>46538</v>
      </c>
      <c r="Y63">
        <v>-9</v>
      </c>
      <c r="Z63" s="573">
        <v>7559557.2999999998</v>
      </c>
      <c r="AA63" s="1159">
        <v>0.53349999999999997</v>
      </c>
      <c r="AB63" s="1160">
        <v>0.84460000000000002</v>
      </c>
      <c r="AC63">
        <v>39845</v>
      </c>
      <c r="AD63" s="1157">
        <v>16065</v>
      </c>
      <c r="AE63" s="1157">
        <v>31694</v>
      </c>
      <c r="AF63" s="1158">
        <v>4033142.18</v>
      </c>
      <c r="AG63" s="1158">
        <v>6384977.5199999996</v>
      </c>
    </row>
    <row r="64" spans="4:33">
      <c r="D64" s="93"/>
      <c r="E64" s="93"/>
      <c r="G64" s="573"/>
      <c r="H64" s="597"/>
      <c r="I64" s="597"/>
      <c r="T64" s="1164" t="s">
        <v>1224</v>
      </c>
      <c r="U64" s="1164"/>
      <c r="V64" s="1164">
        <v>134</v>
      </c>
      <c r="W64" s="1165" t="s">
        <v>1238</v>
      </c>
      <c r="X64" s="1165" t="s">
        <v>1303</v>
      </c>
      <c r="Y64" s="1164"/>
      <c r="Z64" s="1166">
        <v>973362.6</v>
      </c>
      <c r="AA64" s="1167">
        <v>1</v>
      </c>
      <c r="AB64" s="1167">
        <v>1</v>
      </c>
      <c r="AC64" s="1164">
        <v>3545</v>
      </c>
      <c r="AD64" s="1164">
        <v>3545</v>
      </c>
      <c r="AE64" s="1164">
        <v>3545</v>
      </c>
      <c r="AF64" s="1166">
        <v>973362.6</v>
      </c>
      <c r="AG64" s="1166">
        <v>973362.6</v>
      </c>
    </row>
    <row r="65" spans="4:33">
      <c r="E65" s="93"/>
      <c r="G65" s="573"/>
      <c r="H65" s="597"/>
      <c r="I65" s="615"/>
      <c r="N65" s="573"/>
      <c r="T65" t="s">
        <v>1225</v>
      </c>
      <c r="V65">
        <v>304</v>
      </c>
      <c r="W65" t="s">
        <v>1223</v>
      </c>
      <c r="X65" s="93">
        <v>46538</v>
      </c>
      <c r="Y65">
        <v>-9</v>
      </c>
      <c r="Z65" s="573">
        <v>6586194.7000000002</v>
      </c>
      <c r="AA65" s="1159">
        <v>0.46460000000000001</v>
      </c>
      <c r="AB65" s="1160">
        <v>0.82169999999999999</v>
      </c>
      <c r="AC65">
        <v>36300</v>
      </c>
      <c r="AD65" s="1157">
        <v>12520</v>
      </c>
      <c r="AE65" s="1157">
        <v>28149</v>
      </c>
      <c r="AF65" s="1158">
        <v>3059779.58</v>
      </c>
      <c r="AG65" s="1158">
        <v>5411614.9199999999</v>
      </c>
    </row>
    <row r="66" spans="4:33">
      <c r="E66" s="93"/>
      <c r="G66" s="573"/>
      <c r="H66" s="597"/>
      <c r="I66" s="615"/>
      <c r="N66" s="573"/>
      <c r="T66" s="1179" t="s">
        <v>1226</v>
      </c>
      <c r="U66" s="1179"/>
      <c r="V66" s="1179">
        <v>260</v>
      </c>
      <c r="W66" s="1179" t="s">
        <v>1223</v>
      </c>
      <c r="X66" s="1180">
        <v>46497</v>
      </c>
      <c r="Y66" s="1179">
        <v>-9</v>
      </c>
      <c r="Z66" s="1181">
        <v>5938291.2999999998</v>
      </c>
      <c r="AA66" s="1182">
        <v>0.5131</v>
      </c>
      <c r="AB66" s="1183">
        <v>0.81100000000000005</v>
      </c>
      <c r="AC66" s="1179">
        <v>23180</v>
      </c>
      <c r="AD66" s="1179">
        <v>11000</v>
      </c>
      <c r="AE66" s="1179">
        <v>16461</v>
      </c>
      <c r="AF66" s="1181">
        <v>3046685.87</v>
      </c>
      <c r="AG66" s="1181">
        <v>4815747.74</v>
      </c>
    </row>
    <row r="67" spans="4:33">
      <c r="D67" s="93"/>
      <c r="E67" s="93"/>
      <c r="G67" s="573"/>
      <c r="H67" s="597"/>
      <c r="I67" s="597"/>
      <c r="T67" s="1170" t="s">
        <v>1227</v>
      </c>
      <c r="U67" s="1170"/>
      <c r="V67" s="1170">
        <v>221</v>
      </c>
      <c r="W67" s="1171" t="s">
        <v>1274</v>
      </c>
      <c r="X67" s="1171">
        <v>46538</v>
      </c>
      <c r="Y67" s="1170">
        <v>-9</v>
      </c>
      <c r="Z67" s="1172">
        <v>647903.4</v>
      </c>
      <c r="AA67" s="1173">
        <v>2.0199999999999999E-2</v>
      </c>
      <c r="AB67" s="1173">
        <v>0.91969999999999996</v>
      </c>
      <c r="AC67" s="1170">
        <v>13120</v>
      </c>
      <c r="AD67" s="1170">
        <v>1520</v>
      </c>
      <c r="AE67" s="1170">
        <v>11688</v>
      </c>
      <c r="AF67" s="1172">
        <v>13093.71</v>
      </c>
      <c r="AG67" s="1172">
        <v>595867.18000000005</v>
      </c>
    </row>
    <row r="68" spans="4:33">
      <c r="D68" s="93"/>
      <c r="E68" s="93"/>
      <c r="G68" s="573"/>
      <c r="H68" s="597"/>
      <c r="I68" s="597"/>
      <c r="T68" t="s">
        <v>1228</v>
      </c>
      <c r="V68">
        <v>240</v>
      </c>
      <c r="W68" s="93" t="s">
        <v>1313</v>
      </c>
      <c r="X68" s="93">
        <v>46582</v>
      </c>
      <c r="Y68">
        <v>-16</v>
      </c>
      <c r="Z68" s="573">
        <v>3573515.75</v>
      </c>
      <c r="AA68" s="1159">
        <v>0.43990000000000001</v>
      </c>
      <c r="AB68" s="1159">
        <v>0.40310000000000001</v>
      </c>
      <c r="AC68">
        <v>23370</v>
      </c>
      <c r="AD68" s="1157">
        <v>9730</v>
      </c>
      <c r="AE68" s="1157">
        <v>9315</v>
      </c>
      <c r="AF68" s="1158">
        <v>1571835.2</v>
      </c>
      <c r="AG68" s="1158">
        <v>1440380.85</v>
      </c>
    </row>
    <row r="69" spans="4:33">
      <c r="D69" s="93"/>
      <c r="E69" s="93"/>
      <c r="G69" s="573"/>
      <c r="H69" s="597"/>
      <c r="I69" s="597"/>
      <c r="T69" s="1179" t="s">
        <v>1229</v>
      </c>
      <c r="U69" s="1179"/>
      <c r="V69" s="1179">
        <v>76</v>
      </c>
      <c r="W69" s="1180" t="s">
        <v>1313</v>
      </c>
      <c r="X69" s="1180">
        <v>46354</v>
      </c>
      <c r="Y69" s="1179">
        <v>-21</v>
      </c>
      <c r="Z69" s="1181">
        <v>1604369.67</v>
      </c>
      <c r="AA69" s="1182">
        <v>0.97970000000000002</v>
      </c>
      <c r="AB69" s="1182">
        <v>0.8609</v>
      </c>
      <c r="AC69" s="1179">
        <v>10500</v>
      </c>
      <c r="AD69" s="1179">
        <v>9730</v>
      </c>
      <c r="AE69" s="1179">
        <v>8883</v>
      </c>
      <c r="AF69" s="1181">
        <v>1571835.2</v>
      </c>
      <c r="AG69" s="1181">
        <v>1381233.25</v>
      </c>
    </row>
    <row r="70" spans="4:33">
      <c r="D70" s="93"/>
      <c r="E70" s="93"/>
      <c r="G70" s="573"/>
      <c r="H70" s="597"/>
      <c r="I70" s="597"/>
      <c r="T70" s="1179" t="s">
        <v>1230</v>
      </c>
      <c r="U70" s="1179"/>
      <c r="V70" s="1179">
        <v>124</v>
      </c>
      <c r="W70" s="1180" t="s">
        <v>1393</v>
      </c>
      <c r="X70" s="1180">
        <v>46527</v>
      </c>
      <c r="Y70" s="1179">
        <v>-16</v>
      </c>
      <c r="Z70" s="1181">
        <v>1405325</v>
      </c>
      <c r="AA70" s="1182">
        <v>0</v>
      </c>
      <c r="AB70" s="1182">
        <v>4.2099999999999999E-2</v>
      </c>
      <c r="AC70" s="1179">
        <v>10830</v>
      </c>
      <c r="AD70" s="1179">
        <v>0</v>
      </c>
      <c r="AE70" s="1179">
        <v>432</v>
      </c>
      <c r="AF70" s="1179">
        <v>0</v>
      </c>
      <c r="AG70" s="1181">
        <v>59147.6</v>
      </c>
    </row>
    <row r="71" spans="4:33">
      <c r="D71" s="93"/>
      <c r="E71" s="93"/>
      <c r="G71" s="573"/>
      <c r="H71" s="597"/>
      <c r="I71" s="597"/>
      <c r="T71" s="1179" t="s">
        <v>1231</v>
      </c>
      <c r="U71" s="1179"/>
      <c r="V71" s="1179">
        <v>47</v>
      </c>
      <c r="W71" s="1180">
        <v>46529</v>
      </c>
      <c r="X71" s="1180">
        <v>46582</v>
      </c>
      <c r="Y71" s="1179">
        <v>-16</v>
      </c>
      <c r="Z71" s="1181">
        <v>563821.07999999996</v>
      </c>
      <c r="AA71" s="1182">
        <v>0</v>
      </c>
      <c r="AB71" s="1182">
        <v>0</v>
      </c>
      <c r="AC71" s="1179">
        <v>2040</v>
      </c>
      <c r="AD71" s="1179">
        <v>0</v>
      </c>
      <c r="AE71" s="1179">
        <v>0</v>
      </c>
      <c r="AF71" s="1179">
        <v>0</v>
      </c>
      <c r="AG71" s="1179">
        <v>0</v>
      </c>
    </row>
    <row r="72" spans="4:33">
      <c r="D72" s="93"/>
      <c r="E72" s="93"/>
      <c r="G72" s="573"/>
      <c r="H72" s="597"/>
      <c r="I72" s="597"/>
      <c r="T72" t="s">
        <v>1232</v>
      </c>
      <c r="V72">
        <v>238</v>
      </c>
      <c r="W72" s="93" t="s">
        <v>1303</v>
      </c>
      <c r="X72" s="93">
        <v>46557</v>
      </c>
      <c r="Y72">
        <v>-25</v>
      </c>
      <c r="Z72" s="573">
        <v>752969.25</v>
      </c>
      <c r="AA72" s="1159">
        <v>0.17519999999999999</v>
      </c>
      <c r="AB72" s="1159">
        <v>0.2094</v>
      </c>
      <c r="AC72">
        <v>27080</v>
      </c>
      <c r="AD72" s="1157">
        <v>6650</v>
      </c>
      <c r="AE72" s="1157">
        <v>8214</v>
      </c>
      <c r="AF72" s="1158">
        <v>131938.12</v>
      </c>
      <c r="AG72" s="1158">
        <v>157644.57999999999</v>
      </c>
    </row>
    <row r="73" spans="4:33">
      <c r="D73" s="93"/>
      <c r="E73" s="93"/>
      <c r="G73" s="573"/>
      <c r="H73" s="597"/>
      <c r="I73" s="597"/>
      <c r="T73" s="1179" t="s">
        <v>1233</v>
      </c>
      <c r="U73" s="1179"/>
      <c r="V73" s="1179">
        <v>178</v>
      </c>
      <c r="W73" s="1180" t="s">
        <v>1303</v>
      </c>
      <c r="X73" s="1180">
        <v>46483</v>
      </c>
      <c r="Y73" s="1179">
        <v>11</v>
      </c>
      <c r="Z73" s="1181">
        <v>508589.34</v>
      </c>
      <c r="AA73" s="1182">
        <v>0.25940000000000002</v>
      </c>
      <c r="AB73" s="1182">
        <v>0.31</v>
      </c>
      <c r="AC73" s="1179">
        <v>20450</v>
      </c>
      <c r="AD73" s="1179">
        <v>6650</v>
      </c>
      <c r="AE73" s="1179">
        <v>8214</v>
      </c>
      <c r="AF73" s="1181">
        <v>131938.12</v>
      </c>
      <c r="AG73" s="1181">
        <v>157644.57999999999</v>
      </c>
    </row>
    <row r="74" spans="4:33">
      <c r="D74" s="93"/>
      <c r="E74" s="93"/>
      <c r="G74" s="573"/>
      <c r="H74" s="597"/>
      <c r="I74" s="597"/>
      <c r="T74" s="1170" t="s">
        <v>1234</v>
      </c>
      <c r="U74" s="1170"/>
      <c r="V74" s="1170">
        <v>83</v>
      </c>
      <c r="W74" s="1171">
        <v>46454</v>
      </c>
      <c r="X74" s="1171">
        <v>46557</v>
      </c>
      <c r="Y74" s="1170">
        <v>-25</v>
      </c>
      <c r="Z74" s="1172">
        <v>244379.92</v>
      </c>
      <c r="AA74" s="1173">
        <v>0</v>
      </c>
      <c r="AB74" s="1173">
        <v>0</v>
      </c>
      <c r="AC74" s="1170">
        <v>6630</v>
      </c>
      <c r="AD74" s="1170">
        <v>0</v>
      </c>
      <c r="AE74" s="1170">
        <v>0</v>
      </c>
      <c r="AF74" s="1170">
        <v>0</v>
      </c>
      <c r="AG74" s="1170">
        <v>0</v>
      </c>
    </row>
    <row r="75" spans="4:33">
      <c r="D75" s="93"/>
      <c r="E75" s="93"/>
      <c r="G75" s="573"/>
      <c r="H75" s="597"/>
      <c r="I75" s="597"/>
      <c r="T75" t="s">
        <v>1235</v>
      </c>
      <c r="V75">
        <v>181</v>
      </c>
      <c r="W75" s="93" t="s">
        <v>1303</v>
      </c>
      <c r="X75" s="93">
        <v>46511</v>
      </c>
      <c r="Y75">
        <v>11</v>
      </c>
      <c r="Z75" s="573">
        <v>752912.29</v>
      </c>
      <c r="AA75" s="1159">
        <v>0.16950000000000001</v>
      </c>
      <c r="AB75" s="1159">
        <v>0.3382</v>
      </c>
      <c r="AC75">
        <v>23750</v>
      </c>
      <c r="AD75" s="1157">
        <v>3990</v>
      </c>
      <c r="AE75" s="1157">
        <v>9757</v>
      </c>
      <c r="AF75" s="1158">
        <v>127653.69</v>
      </c>
      <c r="AG75" s="1158">
        <v>254614</v>
      </c>
    </row>
    <row r="76" spans="4:33">
      <c r="D76" s="93"/>
      <c r="E76" s="93"/>
      <c r="G76" s="573"/>
      <c r="H76" s="597"/>
      <c r="I76" s="597"/>
      <c r="T76" s="1179" t="s">
        <v>1233</v>
      </c>
      <c r="U76" s="1179"/>
      <c r="V76" s="1179">
        <v>177</v>
      </c>
      <c r="W76" s="1180" t="s">
        <v>1303</v>
      </c>
      <c r="X76" s="1180">
        <v>46506</v>
      </c>
      <c r="Y76" s="1179">
        <v>-5</v>
      </c>
      <c r="Z76" s="1181">
        <v>508589.34</v>
      </c>
      <c r="AA76" s="1182">
        <v>0.251</v>
      </c>
      <c r="AB76" s="1182">
        <v>0.35709999999999997</v>
      </c>
      <c r="AC76" s="1179">
        <v>18350</v>
      </c>
      <c r="AD76" s="1179">
        <v>3990</v>
      </c>
      <c r="AE76" s="1179">
        <v>8245</v>
      </c>
      <c r="AF76" s="1181">
        <v>127653.69</v>
      </c>
      <c r="AG76" s="1181">
        <v>181618.62</v>
      </c>
    </row>
    <row r="77" spans="4:33">
      <c r="D77" s="93"/>
      <c r="E77" s="93"/>
      <c r="G77" s="573"/>
      <c r="H77" s="597"/>
      <c r="I77" s="597"/>
      <c r="T77" s="1170" t="s">
        <v>1234</v>
      </c>
      <c r="U77" s="1170"/>
      <c r="V77" s="1170">
        <v>146</v>
      </c>
      <c r="W77" s="1171" t="s">
        <v>1309</v>
      </c>
      <c r="X77" s="1171">
        <v>46511</v>
      </c>
      <c r="Y77" s="1170">
        <v>11</v>
      </c>
      <c r="Z77" s="1172">
        <v>244322.95</v>
      </c>
      <c r="AA77" s="1173">
        <v>0</v>
      </c>
      <c r="AB77" s="1173">
        <v>0.29880000000000001</v>
      </c>
      <c r="AC77" s="1170">
        <v>5400</v>
      </c>
      <c r="AD77" s="1170">
        <v>0</v>
      </c>
      <c r="AE77" s="1170">
        <v>1512</v>
      </c>
      <c r="AF77" s="1170">
        <v>0</v>
      </c>
      <c r="AG77" s="1172">
        <v>72995.39</v>
      </c>
    </row>
    <row r="78" spans="4:33">
      <c r="D78" s="93"/>
      <c r="E78" s="93"/>
      <c r="G78" s="573"/>
      <c r="H78" s="597"/>
      <c r="I78" s="597"/>
      <c r="T78" s="1164" t="s">
        <v>1169</v>
      </c>
      <c r="U78" s="1164"/>
      <c r="V78" s="1164">
        <v>122</v>
      </c>
      <c r="W78" s="1165" t="s">
        <v>1241</v>
      </c>
      <c r="X78" s="1165">
        <v>46324</v>
      </c>
      <c r="Y78" s="1164">
        <v>136</v>
      </c>
      <c r="Z78" s="1166">
        <v>189275</v>
      </c>
      <c r="AA78" s="1167">
        <v>1</v>
      </c>
      <c r="AB78" s="1167">
        <v>0.82299999999999995</v>
      </c>
      <c r="AC78" s="1164">
        <v>6490</v>
      </c>
      <c r="AD78" s="1164">
        <v>6490</v>
      </c>
      <c r="AE78" s="1164">
        <v>4390</v>
      </c>
      <c r="AF78" s="1166">
        <v>189275</v>
      </c>
      <c r="AG78" s="1166">
        <v>155775</v>
      </c>
    </row>
    <row r="79" spans="4:33">
      <c r="E79" s="93"/>
      <c r="G79" s="573"/>
      <c r="H79" s="597"/>
      <c r="I79" s="615"/>
      <c r="N79" s="573"/>
      <c r="T79" s="1157" t="s">
        <v>1170</v>
      </c>
      <c r="U79" s="1157"/>
      <c r="V79" s="1157">
        <v>366</v>
      </c>
      <c r="W79" s="1157" t="s">
        <v>1236</v>
      </c>
      <c r="X79" s="1174">
        <v>46581</v>
      </c>
      <c r="Y79" s="1157">
        <v>-25</v>
      </c>
      <c r="Z79" s="1158">
        <v>10291200</v>
      </c>
      <c r="AA79" s="1159">
        <v>0.21510000000000001</v>
      </c>
      <c r="AB79" s="1160">
        <v>0.90669999999999995</v>
      </c>
      <c r="AC79" s="1157">
        <v>185220</v>
      </c>
      <c r="AD79" s="1157">
        <v>52880</v>
      </c>
      <c r="AE79" s="1157">
        <v>178177</v>
      </c>
      <c r="AF79" s="1158">
        <v>2213370.69</v>
      </c>
      <c r="AG79" s="1158">
        <v>9330592.3699999992</v>
      </c>
    </row>
    <row r="80" spans="4:33">
      <c r="D80" s="93"/>
      <c r="E80" s="93"/>
      <c r="G80" s="573"/>
      <c r="H80" s="597"/>
      <c r="I80" s="597"/>
      <c r="T80" s="1175" t="s">
        <v>1171</v>
      </c>
      <c r="U80" s="1175"/>
      <c r="V80" s="1175">
        <v>71</v>
      </c>
      <c r="W80" s="1176">
        <v>46508</v>
      </c>
      <c r="X80" s="1176">
        <v>46593</v>
      </c>
      <c r="Y80" s="1175">
        <v>-19</v>
      </c>
      <c r="Z80" s="1177">
        <v>5202551.5999999996</v>
      </c>
      <c r="AA80" s="1178">
        <v>0</v>
      </c>
      <c r="AB80" s="1178">
        <v>0</v>
      </c>
      <c r="AC80" s="1175">
        <v>14740</v>
      </c>
      <c r="AD80" s="1175">
        <v>0</v>
      </c>
      <c r="AE80" s="1175">
        <v>0</v>
      </c>
      <c r="AF80" s="1175">
        <v>0</v>
      </c>
      <c r="AG80" s="1175">
        <v>0</v>
      </c>
    </row>
    <row r="81" spans="4:33">
      <c r="D81" s="93"/>
      <c r="E81" s="93"/>
      <c r="H81" s="597"/>
      <c r="I81" s="597"/>
      <c r="T81" t="s">
        <v>1172</v>
      </c>
      <c r="V81">
        <v>107</v>
      </c>
      <c r="W81" s="93">
        <v>46515</v>
      </c>
      <c r="X81" s="93">
        <v>46642</v>
      </c>
      <c r="Y81">
        <v>-25</v>
      </c>
      <c r="Z81">
        <v>0</v>
      </c>
      <c r="AA81" s="1159">
        <v>0</v>
      </c>
      <c r="AB81" s="1159">
        <v>0</v>
      </c>
      <c r="AC81">
        <v>9820</v>
      </c>
      <c r="AD81" s="1157">
        <v>0</v>
      </c>
      <c r="AE81" s="1157">
        <v>0</v>
      </c>
      <c r="AF81" s="1157">
        <v>0</v>
      </c>
      <c r="AG81" s="1157">
        <v>0</v>
      </c>
    </row>
  </sheetData>
  <mergeCells count="6">
    <mergeCell ref="Q1:R1"/>
    <mergeCell ref="A14:G14"/>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zoomScale="70" zoomScaleNormal="70" workbookViewId="0">
      <selection activeCell="Y23" sqref="Y23"/>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520" customFormat="1" ht="32.25" customHeight="1">
      <c r="B1" s="579" t="s">
        <v>267</v>
      </c>
      <c r="C1" s="1632">
        <f>'Weekly Progress Report'!AF1</f>
        <v>46308</v>
      </c>
      <c r="D1" s="1632"/>
    </row>
    <row r="2" spans="2:20" ht="27.6" customHeight="1"/>
    <row r="4" spans="2:20" s="441" customFormat="1" ht="33.75" customHeight="1" thickBot="1">
      <c r="B4" s="1630" t="s">
        <v>1324</v>
      </c>
      <c r="C4" s="1631"/>
      <c r="D4" s="1631"/>
      <c r="E4" s="1631"/>
      <c r="F4" s="1631"/>
      <c r="G4" s="1631"/>
      <c r="H4" s="1631"/>
      <c r="I4" s="1631"/>
      <c r="J4" s="1631"/>
      <c r="L4" s="1630" t="s">
        <v>1311</v>
      </c>
      <c r="M4" s="1631"/>
      <c r="N4" s="1631"/>
      <c r="O4" s="1631"/>
      <c r="P4" s="1631"/>
      <c r="Q4" s="1631"/>
      <c r="R4" s="1631"/>
      <c r="S4" s="1631"/>
      <c r="T4" s="1631"/>
    </row>
    <row r="5" spans="2:20">
      <c r="B5" s="107"/>
      <c r="C5" s="108"/>
      <c r="D5" s="108"/>
      <c r="E5" s="108"/>
      <c r="F5" s="108"/>
      <c r="G5" s="108"/>
      <c r="H5" s="108"/>
      <c r="I5" s="108"/>
      <c r="J5" s="109"/>
      <c r="L5" s="107"/>
      <c r="M5" s="108"/>
      <c r="N5" s="108"/>
      <c r="O5" s="108"/>
      <c r="P5" s="108"/>
      <c r="Q5" s="108"/>
      <c r="R5" s="108"/>
      <c r="S5" s="108"/>
      <c r="T5" s="109"/>
    </row>
    <row r="6" spans="2:20">
      <c r="B6" s="110"/>
      <c r="J6" s="111"/>
      <c r="L6" s="110"/>
      <c r="T6" s="111"/>
    </row>
    <row r="7" spans="2:20">
      <c r="B7" s="110"/>
      <c r="J7" s="111"/>
      <c r="L7" s="110"/>
      <c r="T7" s="111"/>
    </row>
    <row r="8" spans="2:20">
      <c r="B8" s="110"/>
      <c r="J8" s="111"/>
      <c r="L8" s="110"/>
      <c r="T8" s="111"/>
    </row>
    <row r="9" spans="2:20">
      <c r="B9" s="110"/>
      <c r="J9" s="111"/>
      <c r="L9" s="110"/>
      <c r="T9" s="111"/>
    </row>
    <row r="10" spans="2:20">
      <c r="B10" s="110"/>
      <c r="J10" s="111"/>
      <c r="L10" s="110"/>
      <c r="T10" s="111"/>
    </row>
    <row r="11" spans="2:20">
      <c r="B11" s="110"/>
      <c r="J11" s="111"/>
      <c r="L11" s="110"/>
      <c r="T11" s="111"/>
    </row>
    <row r="12" spans="2:20">
      <c r="B12" s="110"/>
      <c r="J12" s="111"/>
      <c r="L12" s="110"/>
      <c r="T12" s="111"/>
    </row>
    <row r="13" spans="2:20">
      <c r="B13" s="110"/>
      <c r="J13" s="111"/>
      <c r="L13" s="110"/>
      <c r="T13" s="111"/>
    </row>
    <row r="14" spans="2:20">
      <c r="B14" s="110"/>
      <c r="J14" s="111"/>
      <c r="L14" s="110"/>
      <c r="T14" s="111"/>
    </row>
    <row r="15" spans="2:20">
      <c r="B15" s="110"/>
      <c r="J15" s="111"/>
      <c r="L15" s="110"/>
      <c r="T15" s="111"/>
    </row>
    <row r="16" spans="2:20">
      <c r="B16" s="110"/>
      <c r="J16" s="111"/>
      <c r="L16" s="110"/>
      <c r="T16" s="111"/>
    </row>
    <row r="17" spans="2:33">
      <c r="B17" s="110"/>
      <c r="J17" s="111"/>
      <c r="L17" s="110"/>
      <c r="T17" s="111"/>
    </row>
    <row r="18" spans="2:33">
      <c r="B18" s="110"/>
      <c r="J18" s="111"/>
      <c r="L18" s="110"/>
      <c r="T18" s="111"/>
    </row>
    <row r="19" spans="2:33">
      <c r="B19" s="110"/>
      <c r="J19" s="111"/>
      <c r="L19" s="110"/>
      <c r="T19" s="111"/>
    </row>
    <row r="20" spans="2:33">
      <c r="B20" s="110"/>
      <c r="J20" s="111"/>
      <c r="L20" s="110"/>
      <c r="T20" s="111"/>
    </row>
    <row r="21" spans="2:33" ht="15" thickBot="1">
      <c r="B21" s="151"/>
      <c r="C21" s="152"/>
      <c r="D21" s="152"/>
      <c r="E21" s="152"/>
      <c r="F21" s="152"/>
      <c r="G21" s="152"/>
      <c r="H21" s="152"/>
      <c r="I21" s="152"/>
      <c r="J21" s="153"/>
      <c r="L21" s="151"/>
      <c r="M21" s="152"/>
      <c r="N21" s="152"/>
      <c r="O21" s="152"/>
      <c r="P21" s="152"/>
      <c r="Q21" s="152"/>
      <c r="R21" s="152"/>
      <c r="S21" s="152"/>
      <c r="T21" s="153"/>
    </row>
    <row r="23" spans="2:33" s="441" customFormat="1" ht="33.75" customHeight="1" thickBot="1">
      <c r="B23" s="1630" t="s">
        <v>1394</v>
      </c>
      <c r="C23" s="1631"/>
      <c r="D23" s="1631"/>
      <c r="E23" s="1631"/>
      <c r="F23" s="1631"/>
      <c r="G23" s="1631"/>
      <c r="H23" s="1631"/>
      <c r="I23" s="1631"/>
      <c r="J23" s="1631"/>
      <c r="L23" s="1630" t="s">
        <v>1314</v>
      </c>
      <c r="M23" s="1631"/>
      <c r="N23" s="1631"/>
      <c r="O23" s="1631"/>
      <c r="P23" s="1631"/>
      <c r="Q23" s="1631"/>
      <c r="R23" s="1631"/>
      <c r="S23" s="1631"/>
      <c r="T23" s="1631"/>
      <c r="V23"/>
      <c r="W23"/>
      <c r="X23"/>
      <c r="Y23"/>
      <c r="Z23"/>
      <c r="AA23"/>
      <c r="AB23"/>
      <c r="AC23"/>
      <c r="AD23"/>
      <c r="AE23"/>
      <c r="AG23"/>
    </row>
    <row r="24" spans="2:33">
      <c r="B24" s="107"/>
      <c r="C24" s="108"/>
      <c r="D24" s="108"/>
      <c r="E24" s="108"/>
      <c r="F24" s="108"/>
      <c r="G24" s="108"/>
      <c r="H24" s="108"/>
      <c r="I24" s="108"/>
      <c r="J24" s="109"/>
      <c r="L24" s="107"/>
      <c r="M24" s="108"/>
      <c r="N24" s="108"/>
      <c r="O24" s="108"/>
      <c r="P24" s="108"/>
      <c r="Q24" s="108"/>
      <c r="R24" s="108"/>
      <c r="S24" s="108"/>
      <c r="T24" s="109"/>
    </row>
    <row r="25" spans="2:33">
      <c r="B25" s="110"/>
      <c r="J25" s="111"/>
      <c r="K25" s="1149"/>
      <c r="T25" s="111"/>
    </row>
    <row r="26" spans="2:33">
      <c r="B26" s="110"/>
      <c r="J26" s="111"/>
      <c r="L26" s="110"/>
      <c r="T26" s="111"/>
    </row>
    <row r="27" spans="2:33">
      <c r="B27" s="110"/>
      <c r="J27" s="111"/>
      <c r="L27" s="110"/>
      <c r="T27" s="111"/>
    </row>
    <row r="28" spans="2:33">
      <c r="B28" s="110"/>
      <c r="J28" s="111"/>
      <c r="L28" s="110"/>
      <c r="T28" s="111"/>
    </row>
    <row r="29" spans="2:33">
      <c r="B29" s="110"/>
      <c r="J29" s="111"/>
      <c r="L29" s="110"/>
      <c r="T29" s="111"/>
    </row>
    <row r="30" spans="2:33">
      <c r="B30" s="110"/>
      <c r="J30" s="111"/>
      <c r="L30" s="110"/>
      <c r="T30" s="111"/>
    </row>
    <row r="31" spans="2:33">
      <c r="B31" s="110"/>
      <c r="J31" s="111"/>
      <c r="L31" s="110"/>
      <c r="T31" s="111"/>
    </row>
    <row r="32" spans="2:33">
      <c r="B32" s="110"/>
      <c r="J32" s="111"/>
      <c r="L32" s="110"/>
      <c r="T32" s="111"/>
    </row>
    <row r="33" spans="2:20">
      <c r="B33" s="110"/>
      <c r="J33" s="111"/>
      <c r="L33" s="110"/>
      <c r="T33" s="111"/>
    </row>
    <row r="34" spans="2:20">
      <c r="B34" s="110"/>
      <c r="J34" s="111"/>
      <c r="L34" s="110"/>
      <c r="T34" s="111"/>
    </row>
    <row r="35" spans="2:20">
      <c r="B35" s="110"/>
      <c r="J35" s="111"/>
      <c r="L35" s="110"/>
      <c r="T35" s="111"/>
    </row>
    <row r="36" spans="2:20">
      <c r="B36" s="110"/>
      <c r="J36" s="111"/>
      <c r="L36" s="110"/>
      <c r="T36" s="111"/>
    </row>
    <row r="37" spans="2:20">
      <c r="B37" s="110"/>
      <c r="J37" s="111"/>
      <c r="L37" s="110"/>
      <c r="T37" s="111"/>
    </row>
    <row r="38" spans="2:20">
      <c r="B38" s="110"/>
      <c r="J38" s="111"/>
      <c r="L38" s="110"/>
      <c r="T38" s="111"/>
    </row>
    <row r="39" spans="2:20">
      <c r="B39" s="110"/>
      <c r="J39" s="111"/>
      <c r="L39" s="110"/>
      <c r="T39" s="111"/>
    </row>
    <row r="40" spans="2:20" ht="15" thickBot="1">
      <c r="B40" s="151"/>
      <c r="C40" s="152"/>
      <c r="D40" s="152"/>
      <c r="E40" s="152"/>
      <c r="F40" s="152"/>
      <c r="G40" s="152"/>
      <c r="H40" s="152"/>
      <c r="I40" s="152"/>
      <c r="J40" s="153"/>
      <c r="L40" s="151"/>
      <c r="M40" s="152"/>
      <c r="N40" s="152"/>
      <c r="O40" s="152"/>
      <c r="P40" s="152"/>
      <c r="Q40" s="152"/>
      <c r="R40" s="152"/>
      <c r="S40" s="152"/>
      <c r="T40" s="15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topLeftCell="A4" zoomScale="85" zoomScaleNormal="85" zoomScaleSheetLayoutView="50" workbookViewId="0">
      <selection activeCell="BG18" sqref="BG18"/>
    </sheetView>
  </sheetViews>
  <sheetFormatPr defaultColWidth="9.109375" defaultRowHeight="13.2"/>
  <cols>
    <col min="1" max="1" width="1.6640625" style="154" customWidth="1"/>
    <col min="2" max="9" width="3.88671875" style="154" customWidth="1"/>
    <col min="10" max="10" width="2.109375" style="154" customWidth="1"/>
    <col min="11" max="15" width="4.33203125" style="154" customWidth="1"/>
    <col min="16" max="16" width="2.44140625" style="154" customWidth="1"/>
    <col min="17" max="25" width="3.88671875" style="154" customWidth="1"/>
    <col min="26" max="28" width="4.33203125" style="154" customWidth="1"/>
    <col min="29" max="30" width="4.44140625" style="154" bestFit="1" customWidth="1"/>
    <col min="31" max="31" width="3.44140625" style="155" customWidth="1"/>
    <col min="32" max="32" width="7.21875" style="155" hidden="1" customWidth="1"/>
    <col min="33" max="33" width="5.109375" style="155" hidden="1" customWidth="1"/>
    <col min="34" max="37" width="3.44140625" style="155" hidden="1" customWidth="1"/>
    <col min="38" max="38" width="1.77734375" style="155" hidden="1" customWidth="1"/>
    <col min="39" max="39" width="2" style="155" hidden="1" customWidth="1"/>
    <col min="40" max="40" width="3.6640625" style="154" hidden="1" customWidth="1"/>
    <col min="41" max="41" width="6.33203125" style="154" hidden="1" customWidth="1"/>
    <col min="42" max="42" width="12.44140625" style="154" hidden="1" customWidth="1"/>
    <col min="43" max="43" width="1.6640625" style="154" hidden="1" customWidth="1"/>
    <col min="44" max="47" width="9.109375" style="154" hidden="1" customWidth="1"/>
    <col min="48" max="48" width="18.33203125" style="154" hidden="1" customWidth="1"/>
    <col min="49" max="49" width="6.21875" style="154" hidden="1" customWidth="1"/>
    <col min="50" max="50" width="19.109375" style="154" hidden="1" customWidth="1"/>
    <col min="51" max="51" width="9.109375" style="154" hidden="1" customWidth="1"/>
    <col min="52" max="52" width="11.44140625" style="154" hidden="1" customWidth="1"/>
    <col min="53" max="53" width="0" style="154" hidden="1" customWidth="1"/>
    <col min="54" max="54" width="10.5546875" style="154" hidden="1" customWidth="1"/>
    <col min="55" max="55" width="35.77734375" style="154" hidden="1" customWidth="1"/>
    <col min="56" max="67" width="9.109375" style="154"/>
    <col min="68" max="68" width="0" style="154" hidden="1" customWidth="1"/>
    <col min="69" max="16384" width="9.109375" style="154"/>
  </cols>
  <sheetData>
    <row r="1" spans="2:72" ht="7.2" customHeight="1" thickBot="1"/>
    <row r="2" spans="2:72" ht="13.95" customHeight="1">
      <c r="B2" s="1633" t="s">
        <v>268</v>
      </c>
      <c r="C2" s="1634"/>
      <c r="D2" s="1635"/>
      <c r="E2" s="1635"/>
      <c r="F2" s="1635"/>
      <c r="G2" s="1635"/>
      <c r="H2" s="1635"/>
      <c r="I2" s="1635"/>
      <c r="J2" s="1635"/>
      <c r="K2" s="1635"/>
      <c r="L2" s="1635"/>
      <c r="M2" s="1636"/>
      <c r="N2" s="1636"/>
      <c r="O2" s="1636"/>
      <c r="P2" s="1636"/>
      <c r="Q2" s="1636"/>
      <c r="R2" s="1636"/>
      <c r="S2" s="1636"/>
      <c r="T2" s="1636"/>
      <c r="U2" s="1636"/>
      <c r="V2" s="1636"/>
      <c r="W2" s="1636"/>
      <c r="X2" s="1636"/>
      <c r="Y2" s="1636"/>
      <c r="Z2" s="1636"/>
      <c r="AA2" s="1636"/>
      <c r="AB2" s="1636"/>
      <c r="AC2" s="1636"/>
      <c r="AD2" s="1637"/>
      <c r="AE2" s="154"/>
      <c r="AF2" s="154"/>
      <c r="AG2" s="154"/>
      <c r="AH2" s="154"/>
      <c r="AI2" s="154"/>
      <c r="AJ2" s="154"/>
      <c r="AK2" s="154"/>
      <c r="AL2" s="154"/>
      <c r="AM2" s="154"/>
    </row>
    <row r="3" spans="2:72" ht="13.95" customHeight="1">
      <c r="B3" s="1638"/>
      <c r="C3" s="1639"/>
      <c r="D3" s="1639"/>
      <c r="E3" s="1639"/>
      <c r="F3" s="1639"/>
      <c r="G3" s="1639"/>
      <c r="H3" s="1639"/>
      <c r="I3" s="1639"/>
      <c r="J3" s="1639"/>
      <c r="K3" s="1639"/>
      <c r="L3" s="1639"/>
      <c r="M3" s="1640"/>
      <c r="N3" s="1640"/>
      <c r="O3" s="1640"/>
      <c r="P3" s="1640"/>
      <c r="Q3" s="1640"/>
      <c r="R3" s="1640"/>
      <c r="S3" s="1640"/>
      <c r="T3" s="1640"/>
      <c r="U3" s="1640"/>
      <c r="V3" s="1640"/>
      <c r="W3" s="1640"/>
      <c r="X3" s="1640"/>
      <c r="Y3" s="1640"/>
      <c r="Z3" s="1640"/>
      <c r="AA3" s="1640"/>
      <c r="AB3" s="1640"/>
      <c r="AC3" s="1640"/>
      <c r="AD3" s="1641"/>
      <c r="AE3" s="154"/>
      <c r="AF3" s="154"/>
      <c r="AG3" s="154"/>
      <c r="AH3" s="154"/>
      <c r="AI3" s="154"/>
      <c r="AJ3" s="154"/>
      <c r="AK3" s="154"/>
      <c r="AL3" s="154"/>
      <c r="AM3" s="154"/>
    </row>
    <row r="4" spans="2:72" ht="14.4" customHeight="1" thickBot="1">
      <c r="B4" s="1642"/>
      <c r="C4" s="1643"/>
      <c r="D4" s="1643"/>
      <c r="E4" s="1643"/>
      <c r="F4" s="1643"/>
      <c r="G4" s="1643"/>
      <c r="H4" s="1643"/>
      <c r="I4" s="1643"/>
      <c r="J4" s="1643"/>
      <c r="K4" s="1643"/>
      <c r="L4" s="1643"/>
      <c r="M4" s="1644"/>
      <c r="N4" s="1644"/>
      <c r="O4" s="1644"/>
      <c r="P4" s="1644"/>
      <c r="Q4" s="1644"/>
      <c r="R4" s="1644"/>
      <c r="S4" s="1644"/>
      <c r="T4" s="1644"/>
      <c r="U4" s="1644"/>
      <c r="V4" s="1644"/>
      <c r="W4" s="1644"/>
      <c r="X4" s="1644"/>
      <c r="Y4" s="1644"/>
      <c r="Z4" s="1644"/>
      <c r="AA4" s="1644"/>
      <c r="AB4" s="1644"/>
      <c r="AC4" s="1644"/>
      <c r="AD4" s="1645"/>
      <c r="AE4" s="154"/>
      <c r="AF4" s="154"/>
      <c r="AG4" s="154"/>
      <c r="AH4" s="154"/>
      <c r="AI4" s="154"/>
      <c r="AJ4" s="154"/>
      <c r="AK4" s="154"/>
      <c r="AL4" s="154"/>
      <c r="AM4" s="154"/>
      <c r="BB4" s="625">
        <f>'General Information'!C14</f>
        <v>46068</v>
      </c>
    </row>
    <row r="5" spans="2:72" ht="5.0999999999999996" customHeight="1" thickBot="1">
      <c r="B5" s="1646"/>
      <c r="C5" s="1646"/>
      <c r="D5" s="1646"/>
      <c r="E5" s="1646"/>
      <c r="F5" s="1646"/>
      <c r="G5" s="1646"/>
      <c r="H5" s="1646"/>
      <c r="I5" s="1646"/>
      <c r="J5" s="1646"/>
      <c r="K5" s="1646"/>
      <c r="L5" s="1646"/>
      <c r="M5" s="1646"/>
      <c r="N5" s="1646"/>
      <c r="O5" s="1646"/>
      <c r="P5" s="1646"/>
      <c r="Q5" s="1646"/>
      <c r="R5" s="1646"/>
      <c r="S5" s="1646"/>
      <c r="T5" s="1646"/>
      <c r="U5" s="1646"/>
      <c r="V5" s="1646"/>
      <c r="W5" s="1646"/>
      <c r="X5" s="1646"/>
      <c r="Y5" s="1646"/>
      <c r="Z5" s="1646"/>
      <c r="AA5" s="1646"/>
      <c r="AB5" s="1646"/>
      <c r="AC5" s="1646"/>
      <c r="AD5" s="1646"/>
      <c r="AE5" s="154"/>
      <c r="AF5" s="154"/>
      <c r="AG5" s="154"/>
      <c r="AH5" s="154"/>
      <c r="AI5" s="154"/>
      <c r="AJ5" s="154"/>
      <c r="AK5" s="154"/>
      <c r="AL5" s="154"/>
      <c r="AM5" s="154"/>
    </row>
    <row r="6" spans="2:72" ht="35.1" customHeight="1" thickBot="1">
      <c r="B6" s="1647" t="s">
        <v>269</v>
      </c>
      <c r="C6" s="1648"/>
      <c r="D6" s="1649"/>
      <c r="E6" s="1650" t="str">
        <f>'General Information'!C4</f>
        <v>MKH2-02-003</v>
      </c>
      <c r="F6" s="1651"/>
      <c r="G6" s="1651"/>
      <c r="H6" s="1651"/>
      <c r="I6" s="1651"/>
      <c r="J6" s="1652"/>
      <c r="K6" s="1647" t="s">
        <v>270</v>
      </c>
      <c r="L6" s="1648"/>
      <c r="M6" s="1648"/>
      <c r="N6" s="1649"/>
      <c r="O6" s="1653">
        <f>'General Information'!O1</f>
        <v>35</v>
      </c>
      <c r="P6" s="1654"/>
      <c r="Q6" s="1654"/>
      <c r="R6" s="1654"/>
      <c r="S6" s="1654"/>
      <c r="T6" s="1655"/>
      <c r="U6" s="1647" t="s">
        <v>271</v>
      </c>
      <c r="V6" s="1648"/>
      <c r="W6" s="1649"/>
      <c r="X6" s="1656">
        <f>'General Information'!L1</f>
        <v>46308</v>
      </c>
      <c r="Y6" s="1657"/>
      <c r="Z6" s="1657"/>
      <c r="AA6" s="1657"/>
      <c r="AB6" s="1657"/>
      <c r="AC6" s="1657"/>
      <c r="AD6" s="1658"/>
    </row>
    <row r="7" spans="2:72" ht="5.0999999999999996" customHeight="1" thickBot="1">
      <c r="B7" s="1679"/>
      <c r="C7" s="1679"/>
      <c r="D7" s="1679"/>
      <c r="E7" s="1679"/>
      <c r="F7" s="1679"/>
      <c r="G7" s="1679"/>
      <c r="H7" s="1679"/>
      <c r="I7" s="1679"/>
      <c r="J7" s="1679"/>
      <c r="K7" s="1679"/>
      <c r="L7" s="1679"/>
      <c r="M7" s="1679"/>
      <c r="N7" s="1679"/>
      <c r="O7" s="1679"/>
      <c r="P7" s="1679"/>
      <c r="Q7" s="1679"/>
      <c r="R7" s="1679"/>
      <c r="S7" s="1679"/>
      <c r="T7" s="1679"/>
      <c r="U7" s="1679"/>
      <c r="V7" s="1679"/>
      <c r="W7" s="1679"/>
      <c r="X7" s="1679"/>
      <c r="Y7" s="1679"/>
      <c r="Z7" s="1679"/>
      <c r="AA7" s="1679"/>
      <c r="AB7" s="1679"/>
      <c r="AC7" s="1679"/>
      <c r="AD7" s="1679"/>
    </row>
    <row r="8" spans="2:72" ht="35.1" customHeight="1" thickBot="1">
      <c r="B8" s="1680" t="s">
        <v>272</v>
      </c>
      <c r="C8" s="1681"/>
      <c r="D8" s="1682"/>
      <c r="E8" s="1683" t="str">
        <f>'General Information'!C3</f>
        <v>Completion of Infrastructure Works in The Second Industrial City in Makkah Al-Mukarramah</v>
      </c>
      <c r="F8" s="1684"/>
      <c r="G8" s="1684"/>
      <c r="H8" s="1684"/>
      <c r="I8" s="1684"/>
      <c r="J8" s="1684"/>
      <c r="K8" s="1684"/>
      <c r="L8" s="1684"/>
      <c r="M8" s="1684"/>
      <c r="N8" s="1685"/>
      <c r="O8" s="1647" t="s">
        <v>273</v>
      </c>
      <c r="P8" s="1648"/>
      <c r="Q8" s="1648"/>
      <c r="R8" s="1648"/>
      <c r="S8" s="1648"/>
      <c r="T8" s="1649"/>
      <c r="U8" s="1683" t="str">
        <f>'General Information'!C5&amp;" "&amp;'General Information'!C6</f>
        <v>Al Enjaz Trading &amp; Contracting Co.  Saudi Arabia Consulting Engineering Company "EGIS"</v>
      </c>
      <c r="V8" s="1684"/>
      <c r="W8" s="1684"/>
      <c r="X8" s="1684"/>
      <c r="Y8" s="1684"/>
      <c r="Z8" s="1684"/>
      <c r="AA8" s="1684"/>
      <c r="AB8" s="1684"/>
      <c r="AC8" s="1684"/>
      <c r="AD8" s="1685"/>
    </row>
    <row r="9" spans="2:72" ht="5.0999999999999996" customHeight="1" thickBot="1">
      <c r="B9" s="1686"/>
      <c r="C9" s="1686"/>
      <c r="D9" s="1687"/>
      <c r="E9" s="1687"/>
      <c r="F9" s="1687"/>
      <c r="G9" s="1687"/>
      <c r="H9" s="1687"/>
      <c r="I9" s="1687"/>
      <c r="J9" s="1687"/>
      <c r="K9" s="1687"/>
      <c r="L9" s="1687"/>
      <c r="M9" s="1687"/>
      <c r="N9" s="1687"/>
      <c r="O9" s="1687"/>
      <c r="P9" s="1687"/>
      <c r="Q9" s="1687"/>
      <c r="R9" s="1687"/>
      <c r="S9" s="1687"/>
      <c r="T9" s="1687"/>
      <c r="U9" s="1687"/>
      <c r="V9" s="1687"/>
      <c r="W9" s="1687"/>
      <c r="X9" s="1687"/>
      <c r="Y9" s="1687"/>
      <c r="Z9" s="1686"/>
      <c r="AA9" s="1686"/>
      <c r="AB9" s="1686"/>
      <c r="AC9" s="1686"/>
      <c r="AD9" s="1686"/>
    </row>
    <row r="10" spans="2:72" ht="20.100000000000001" customHeight="1">
      <c r="B10" s="1659">
        <v>4</v>
      </c>
      <c r="C10" s="1660"/>
      <c r="D10" s="1661" t="s">
        <v>274</v>
      </c>
      <c r="E10" s="1662"/>
      <c r="F10" s="1663"/>
      <c r="G10" s="1664" t="s">
        <v>275</v>
      </c>
      <c r="H10" s="1665"/>
      <c r="I10" s="1665"/>
      <c r="J10" s="1665"/>
      <c r="K10" s="1665"/>
      <c r="L10" s="1665"/>
      <c r="M10" s="1665"/>
      <c r="N10" s="1665"/>
      <c r="O10" s="1665"/>
      <c r="P10" s="1665"/>
      <c r="Q10" s="1665"/>
      <c r="R10" s="1665"/>
      <c r="S10" s="1665"/>
      <c r="T10" s="1665"/>
      <c r="U10" s="1665"/>
      <c r="V10" s="1665"/>
      <c r="W10" s="1665"/>
      <c r="X10" s="1665"/>
      <c r="Y10" s="1666"/>
      <c r="Z10" s="1667" t="s">
        <v>276</v>
      </c>
      <c r="AA10" s="1668"/>
      <c r="AB10" s="1710" t="s">
        <v>277</v>
      </c>
      <c r="AC10" s="1713">
        <f>Q49</f>
        <v>0.90120689655172415</v>
      </c>
      <c r="AD10" s="1714"/>
      <c r="AE10" s="154"/>
      <c r="AF10" s="154"/>
      <c r="AG10" s="154"/>
      <c r="AH10" s="154"/>
      <c r="AI10" s="154"/>
      <c r="AJ10" s="154"/>
      <c r="AK10" s="154"/>
      <c r="AL10" s="154"/>
      <c r="AN10" s="156">
        <f>SUM(Z10:Z13)</f>
        <v>0</v>
      </c>
      <c r="AO10" s="154">
        <v>100</v>
      </c>
      <c r="AP10" s="154">
        <v>0.2288329519450801</v>
      </c>
    </row>
    <row r="11" spans="2:72" ht="20.100000000000001" customHeight="1">
      <c r="B11" s="1669">
        <v>3</v>
      </c>
      <c r="C11" s="1670"/>
      <c r="D11" s="1671" t="s">
        <v>278</v>
      </c>
      <c r="E11" s="1672"/>
      <c r="F11" s="1673"/>
      <c r="G11" s="1674" t="s">
        <v>279</v>
      </c>
      <c r="H11" s="1675"/>
      <c r="I11" s="1675"/>
      <c r="J11" s="1675"/>
      <c r="K11" s="1675"/>
      <c r="L11" s="1675"/>
      <c r="M11" s="1675"/>
      <c r="N11" s="1675"/>
      <c r="O11" s="1675"/>
      <c r="P11" s="1675"/>
      <c r="Q11" s="1675"/>
      <c r="R11" s="1675"/>
      <c r="S11" s="1675"/>
      <c r="T11" s="1675"/>
      <c r="U11" s="1675"/>
      <c r="V11" s="1675"/>
      <c r="W11" s="1675"/>
      <c r="X11" s="1675"/>
      <c r="Y11" s="1676"/>
      <c r="Z11" s="1677" t="s">
        <v>280</v>
      </c>
      <c r="AA11" s="1678"/>
      <c r="AB11" s="1711"/>
      <c r="AC11" s="1715"/>
      <c r="AD11" s="1716"/>
      <c r="AE11" s="154"/>
      <c r="AF11" s="154"/>
      <c r="AG11" s="154"/>
      <c r="AH11" s="154"/>
      <c r="AI11" s="154"/>
      <c r="AJ11" s="154"/>
      <c r="AK11" s="154"/>
      <c r="AL11" s="154"/>
      <c r="AN11" s="157">
        <f>SUM(Y10:Y14)</f>
        <v>0</v>
      </c>
      <c r="AO11" s="154">
        <v>89</v>
      </c>
      <c r="AP11" s="154">
        <v>0.20366132723112129</v>
      </c>
    </row>
    <row r="12" spans="2:72" ht="20.100000000000001" customHeight="1">
      <c r="B12" s="1669">
        <v>2</v>
      </c>
      <c r="C12" s="1670"/>
      <c r="D12" s="1671" t="s">
        <v>281</v>
      </c>
      <c r="E12" s="1672"/>
      <c r="F12" s="1673"/>
      <c r="G12" s="1674" t="s">
        <v>282</v>
      </c>
      <c r="H12" s="1675"/>
      <c r="I12" s="1675"/>
      <c r="J12" s="1675"/>
      <c r="K12" s="1675"/>
      <c r="L12" s="1675"/>
      <c r="M12" s="1675"/>
      <c r="N12" s="1675"/>
      <c r="O12" s="1675"/>
      <c r="P12" s="1675"/>
      <c r="Q12" s="1675"/>
      <c r="R12" s="1675"/>
      <c r="S12" s="1675"/>
      <c r="T12" s="1675"/>
      <c r="U12" s="1675"/>
      <c r="V12" s="1675"/>
      <c r="W12" s="1675"/>
      <c r="X12" s="1675"/>
      <c r="Y12" s="1676"/>
      <c r="Z12" s="1677" t="s">
        <v>283</v>
      </c>
      <c r="AA12" s="1678"/>
      <c r="AB12" s="1711"/>
      <c r="AC12" s="1715"/>
      <c r="AD12" s="1716"/>
      <c r="AE12" s="154"/>
      <c r="AF12" s="154"/>
      <c r="AG12" s="154"/>
      <c r="AH12" s="154"/>
      <c r="AI12" s="154"/>
      <c r="AJ12" s="154"/>
      <c r="AK12" s="154"/>
      <c r="AL12" s="154"/>
      <c r="AO12" s="154">
        <v>79</v>
      </c>
      <c r="AP12" s="154">
        <v>0.18077803203661327</v>
      </c>
    </row>
    <row r="13" spans="2:72" ht="20.100000000000001" customHeight="1">
      <c r="B13" s="1669">
        <v>1</v>
      </c>
      <c r="C13" s="1670"/>
      <c r="D13" s="1671" t="s">
        <v>284</v>
      </c>
      <c r="E13" s="1672"/>
      <c r="F13" s="1673"/>
      <c r="G13" s="1674" t="s">
        <v>285</v>
      </c>
      <c r="H13" s="1675"/>
      <c r="I13" s="1675"/>
      <c r="J13" s="1675"/>
      <c r="K13" s="1675"/>
      <c r="L13" s="1675"/>
      <c r="M13" s="1675"/>
      <c r="N13" s="1675"/>
      <c r="O13" s="1675"/>
      <c r="P13" s="1675"/>
      <c r="Q13" s="1675"/>
      <c r="R13" s="1675"/>
      <c r="S13" s="1675"/>
      <c r="T13" s="1675"/>
      <c r="U13" s="1675"/>
      <c r="V13" s="1675"/>
      <c r="W13" s="1675"/>
      <c r="X13" s="1675"/>
      <c r="Y13" s="1676"/>
      <c r="Z13" s="1719" t="s">
        <v>286</v>
      </c>
      <c r="AA13" s="1720"/>
      <c r="AB13" s="1711"/>
      <c r="AC13" s="1715"/>
      <c r="AD13" s="1716"/>
      <c r="AE13" s="154"/>
      <c r="AF13" s="154"/>
      <c r="AG13" s="154"/>
      <c r="AH13" s="154"/>
      <c r="AI13" s="154"/>
      <c r="AJ13" s="154"/>
      <c r="AK13" s="154"/>
      <c r="AL13" s="154"/>
      <c r="AM13" s="154"/>
      <c r="AO13" s="154">
        <v>69</v>
      </c>
      <c r="AP13" s="154">
        <v>0.15789473684210525</v>
      </c>
    </row>
    <row r="14" spans="2:72" ht="20.100000000000001" customHeight="1" thickBot="1">
      <c r="B14" s="1695">
        <v>0</v>
      </c>
      <c r="C14" s="1696"/>
      <c r="D14" s="1697" t="s">
        <v>287</v>
      </c>
      <c r="E14" s="1698"/>
      <c r="F14" s="1699"/>
      <c r="G14" s="1700" t="s">
        <v>288</v>
      </c>
      <c r="H14" s="1701"/>
      <c r="I14" s="1701"/>
      <c r="J14" s="1701"/>
      <c r="K14" s="1701"/>
      <c r="L14" s="1701"/>
      <c r="M14" s="1701"/>
      <c r="N14" s="1701"/>
      <c r="O14" s="1701"/>
      <c r="P14" s="1701"/>
      <c r="Q14" s="1701"/>
      <c r="R14" s="1701"/>
      <c r="S14" s="1701"/>
      <c r="T14" s="1701"/>
      <c r="U14" s="1701"/>
      <c r="V14" s="1701"/>
      <c r="W14" s="1701"/>
      <c r="X14" s="1701"/>
      <c r="Y14" s="1702"/>
      <c r="Z14" s="1703" t="s">
        <v>289</v>
      </c>
      <c r="AA14" s="1704"/>
      <c r="AB14" s="1712"/>
      <c r="AC14" s="1717"/>
      <c r="AD14" s="1718"/>
      <c r="AO14" s="154">
        <v>100</v>
      </c>
      <c r="AP14" s="154">
        <v>0.2288329519450801</v>
      </c>
    </row>
    <row r="15" spans="2:72" ht="5.0999999999999996" customHeight="1" thickBot="1">
      <c r="B15" s="1686"/>
      <c r="C15" s="1686"/>
      <c r="D15" s="1705"/>
      <c r="E15" s="1705"/>
      <c r="F15" s="1705"/>
      <c r="G15" s="1705"/>
      <c r="H15" s="1705"/>
      <c r="I15" s="1705"/>
      <c r="J15" s="1705"/>
      <c r="K15" s="1705"/>
      <c r="L15" s="1705"/>
      <c r="M15" s="1705"/>
      <c r="N15" s="1705"/>
      <c r="O15" s="1705"/>
      <c r="P15" s="1705"/>
      <c r="Q15" s="1705"/>
      <c r="R15" s="1705"/>
      <c r="S15" s="1705"/>
      <c r="T15" s="1705"/>
      <c r="U15" s="1705"/>
      <c r="V15" s="1705"/>
      <c r="W15" s="1705"/>
      <c r="X15" s="1705"/>
      <c r="Y15" s="1705"/>
      <c r="Z15" s="1686"/>
      <c r="AA15" s="1686"/>
      <c r="AB15" s="1686"/>
      <c r="AC15" s="1686"/>
      <c r="AD15" s="1686"/>
    </row>
    <row r="16" spans="2:72" ht="20.399999999999999">
      <c r="B16" s="158" t="s">
        <v>290</v>
      </c>
      <c r="C16" s="1706" t="s">
        <v>291</v>
      </c>
      <c r="D16" s="1706"/>
      <c r="E16" s="1706"/>
      <c r="F16" s="1706"/>
      <c r="G16" s="1706"/>
      <c r="H16" s="1706"/>
      <c r="I16" s="1706"/>
      <c r="J16" s="1706"/>
      <c r="K16" s="159" t="s">
        <v>292</v>
      </c>
      <c r="L16" s="159" t="s">
        <v>293</v>
      </c>
      <c r="M16" s="159" t="s">
        <v>294</v>
      </c>
      <c r="N16" s="159" t="s">
        <v>295</v>
      </c>
      <c r="O16" s="160" t="s">
        <v>296</v>
      </c>
      <c r="P16" s="161"/>
      <c r="Q16" s="162" t="s">
        <v>290</v>
      </c>
      <c r="R16" s="1707" t="s">
        <v>291</v>
      </c>
      <c r="S16" s="1708"/>
      <c r="T16" s="1708"/>
      <c r="U16" s="1708"/>
      <c r="V16" s="1708"/>
      <c r="W16" s="1708"/>
      <c r="X16" s="1708"/>
      <c r="Y16" s="1709"/>
      <c r="Z16" s="159" t="s">
        <v>292</v>
      </c>
      <c r="AA16" s="159" t="s">
        <v>293</v>
      </c>
      <c r="AB16" s="159" t="s">
        <v>294</v>
      </c>
      <c r="AC16" s="159" t="s">
        <v>295</v>
      </c>
      <c r="AD16" s="160" t="s">
        <v>296</v>
      </c>
      <c r="AE16" s="154"/>
      <c r="AF16" s="154"/>
      <c r="AG16" s="154"/>
      <c r="AH16" s="154"/>
      <c r="AI16" s="154"/>
      <c r="AJ16" s="154"/>
      <c r="AK16" s="154"/>
      <c r="AL16" s="154"/>
      <c r="AO16" s="154">
        <f>SUM(AO10:AO15)</f>
        <v>437</v>
      </c>
      <c r="BQ16" s="163"/>
      <c r="BR16" s="163"/>
      <c r="BS16" s="163"/>
      <c r="BT16" s="163"/>
    </row>
    <row r="17" spans="1:127" ht="21" customHeight="1" thickBot="1">
      <c r="B17" s="915"/>
      <c r="C17" s="916"/>
      <c r="D17" s="917"/>
      <c r="E17" s="917"/>
      <c r="F17" s="917"/>
      <c r="G17" s="917"/>
      <c r="H17" s="917"/>
      <c r="I17" s="917"/>
      <c r="J17" s="918"/>
      <c r="K17" s="919">
        <v>1</v>
      </c>
      <c r="L17" s="919">
        <v>0.89</v>
      </c>
      <c r="M17" s="919">
        <v>0.79</v>
      </c>
      <c r="N17" s="920">
        <v>0.69</v>
      </c>
      <c r="O17" s="921">
        <v>1</v>
      </c>
      <c r="P17" s="164"/>
      <c r="Q17" s="922"/>
      <c r="R17" s="923"/>
      <c r="S17" s="924"/>
      <c r="T17" s="924"/>
      <c r="U17" s="924"/>
      <c r="V17" s="924"/>
      <c r="W17" s="924"/>
      <c r="X17" s="924"/>
      <c r="Y17" s="925"/>
      <c r="Z17" s="919">
        <v>1</v>
      </c>
      <c r="AA17" s="919">
        <v>0.89</v>
      </c>
      <c r="AB17" s="919">
        <v>0.79</v>
      </c>
      <c r="AC17" s="920">
        <v>0.69</v>
      </c>
      <c r="AD17" s="921">
        <v>1</v>
      </c>
      <c r="AE17" s="154"/>
      <c r="AF17" s="1305">
        <f>SUM(AF18:AG46)/COUNT(AF18:AG46)</f>
        <v>0.90120689655172415</v>
      </c>
      <c r="AG17" s="154"/>
      <c r="AH17" s="154"/>
      <c r="AI17" s="154"/>
      <c r="AJ17" s="154"/>
      <c r="AK17" s="154"/>
      <c r="AL17" s="154"/>
      <c r="AV17" s="165"/>
      <c r="AW17" s="165"/>
      <c r="AX17" s="165"/>
      <c r="AY17" s="165"/>
      <c r="BQ17" s="166"/>
      <c r="BR17" s="166"/>
      <c r="BS17" s="166"/>
      <c r="BT17" s="166"/>
    </row>
    <row r="18" spans="1:127" ht="21" customHeight="1">
      <c r="B18" s="926">
        <v>1</v>
      </c>
      <c r="C18" s="1688" t="s">
        <v>297</v>
      </c>
      <c r="D18" s="1688"/>
      <c r="E18" s="1688"/>
      <c r="F18" s="1688"/>
      <c r="G18" s="1688"/>
      <c r="H18" s="1688"/>
      <c r="I18" s="1688"/>
      <c r="J18" s="1688"/>
      <c r="K18" s="973"/>
      <c r="L18" s="972">
        <v>1</v>
      </c>
      <c r="M18" s="972"/>
      <c r="N18" s="972"/>
      <c r="O18" s="974"/>
      <c r="P18" s="161"/>
      <c r="Q18" s="926">
        <v>30</v>
      </c>
      <c r="R18" s="1688" t="s">
        <v>298</v>
      </c>
      <c r="S18" s="1688"/>
      <c r="T18" s="1688"/>
      <c r="U18" s="1688"/>
      <c r="V18" s="1688"/>
      <c r="W18" s="1688"/>
      <c r="X18" s="1688"/>
      <c r="Y18" s="1688"/>
      <c r="Z18" s="1306"/>
      <c r="AA18" s="972">
        <v>1</v>
      </c>
      <c r="AB18" s="972"/>
      <c r="AC18" s="973"/>
      <c r="AD18" s="974"/>
      <c r="AE18" s="154"/>
      <c r="AF18" s="167">
        <f>SUMPRODUCT($K$17:$O$17,K18:O18)</f>
        <v>0.89</v>
      </c>
      <c r="AG18" s="167">
        <f>SUMPRODUCT($Z$17:$AD$17,Z18:AD18)</f>
        <v>0.89</v>
      </c>
      <c r="AH18" s="154"/>
      <c r="AI18" s="154"/>
      <c r="AJ18" s="154"/>
      <c r="AK18" s="154"/>
      <c r="AL18" s="154"/>
      <c r="AV18" s="1689" t="s">
        <v>299</v>
      </c>
      <c r="AW18" s="1689" t="s">
        <v>300</v>
      </c>
      <c r="AX18" s="1691" t="s">
        <v>301</v>
      </c>
      <c r="AY18" s="1692"/>
      <c r="BQ18" s="166"/>
      <c r="BR18" s="166"/>
      <c r="BS18" s="166"/>
      <c r="BT18" s="166"/>
    </row>
    <row r="19" spans="1:127" s="168" customFormat="1" ht="21" customHeight="1">
      <c r="A19" s="154"/>
      <c r="B19" s="971">
        <v>2</v>
      </c>
      <c r="C19" s="1693" t="s">
        <v>302</v>
      </c>
      <c r="D19" s="1693"/>
      <c r="E19" s="1693"/>
      <c r="F19" s="1693"/>
      <c r="G19" s="1693"/>
      <c r="H19" s="1693"/>
      <c r="I19" s="1693"/>
      <c r="J19" s="1693"/>
      <c r="K19" s="975"/>
      <c r="L19" s="975">
        <v>1</v>
      </c>
      <c r="M19" s="976"/>
      <c r="N19" s="975"/>
      <c r="O19" s="977"/>
      <c r="P19" s="161"/>
      <c r="Q19" s="971">
        <v>31</v>
      </c>
      <c r="R19" s="1694" t="s">
        <v>303</v>
      </c>
      <c r="S19" s="1694"/>
      <c r="T19" s="1694"/>
      <c r="U19" s="1694"/>
      <c r="V19" s="1694"/>
      <c r="W19" s="1694"/>
      <c r="X19" s="1694"/>
      <c r="Y19" s="1694"/>
      <c r="Z19" s="1307"/>
      <c r="AA19" s="975">
        <v>1</v>
      </c>
      <c r="AB19" s="975"/>
      <c r="AC19" s="976"/>
      <c r="AD19" s="977"/>
      <c r="AE19" s="154"/>
      <c r="AF19" s="167">
        <f t="shared" ref="AF19:AF46" si="0">SUMPRODUCT($K$17:$O$17,K19:O19)</f>
        <v>0.89</v>
      </c>
      <c r="AG19" s="167">
        <f t="shared" ref="AG19:AG46" si="1">SUMPRODUCT($Z$17:$AD$17,Z19:AD19)</f>
        <v>0.89</v>
      </c>
      <c r="AH19" s="154"/>
      <c r="AI19" s="154"/>
      <c r="AJ19" s="154"/>
      <c r="AK19" s="154"/>
      <c r="AL19" s="154"/>
      <c r="AM19" s="154"/>
      <c r="AN19" s="154"/>
      <c r="AO19" s="154"/>
      <c r="AP19" s="166"/>
      <c r="AQ19" s="166"/>
      <c r="AR19" s="166"/>
      <c r="AS19" s="166"/>
      <c r="AT19" s="166"/>
      <c r="AU19" s="166"/>
      <c r="AV19" s="1690"/>
      <c r="AW19" s="1690"/>
      <c r="AX19" s="1192" t="s">
        <v>304</v>
      </c>
      <c r="AY19" s="1192" t="s">
        <v>305</v>
      </c>
      <c r="AZ19" s="154"/>
      <c r="BA19" s="154"/>
      <c r="BB19" s="154"/>
      <c r="BC19" s="154"/>
      <c r="BD19" s="154"/>
      <c r="BE19" s="154"/>
      <c r="BF19" s="154"/>
      <c r="BG19" s="154"/>
      <c r="BH19" s="154"/>
      <c r="BI19" s="154"/>
      <c r="BJ19" s="154"/>
      <c r="BK19" s="154"/>
      <c r="BL19" s="154"/>
      <c r="BM19" s="154"/>
      <c r="BN19" s="154"/>
      <c r="BO19" s="154"/>
      <c r="BP19" s="154"/>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row>
    <row r="20" spans="1:127" s="168" customFormat="1" ht="21" customHeight="1">
      <c r="A20" s="154"/>
      <c r="B20" s="971">
        <v>3</v>
      </c>
      <c r="C20" s="1693" t="s">
        <v>306</v>
      </c>
      <c r="D20" s="1693"/>
      <c r="E20" s="1693"/>
      <c r="F20" s="1693"/>
      <c r="G20" s="1693"/>
      <c r="H20" s="1693"/>
      <c r="I20" s="1693"/>
      <c r="J20" s="1693"/>
      <c r="K20" s="975"/>
      <c r="L20" s="975">
        <v>1</v>
      </c>
      <c r="M20" s="976"/>
      <c r="N20" s="975"/>
      <c r="O20" s="977"/>
      <c r="P20" s="161"/>
      <c r="Q20" s="971">
        <v>32</v>
      </c>
      <c r="R20" s="1694" t="s">
        <v>307</v>
      </c>
      <c r="S20" s="1694"/>
      <c r="T20" s="1694"/>
      <c r="U20" s="1694"/>
      <c r="V20" s="1694"/>
      <c r="W20" s="1694"/>
      <c r="X20" s="1694"/>
      <c r="Y20" s="1694"/>
      <c r="Z20" s="1307"/>
      <c r="AA20" s="975">
        <v>1</v>
      </c>
      <c r="AB20" s="975"/>
      <c r="AC20" s="976"/>
      <c r="AD20" s="977"/>
      <c r="AE20" s="154"/>
      <c r="AF20" s="167">
        <f t="shared" si="0"/>
        <v>0.89</v>
      </c>
      <c r="AG20" s="167">
        <f t="shared" si="1"/>
        <v>0.89</v>
      </c>
      <c r="AH20" s="154"/>
      <c r="AI20" s="154"/>
      <c r="AJ20" s="154"/>
      <c r="AK20" s="154"/>
      <c r="AL20" s="154"/>
      <c r="AM20" s="169">
        <v>4</v>
      </c>
      <c r="AN20" s="169">
        <f>58</f>
        <v>58</v>
      </c>
      <c r="AO20" s="169" t="s">
        <v>308</v>
      </c>
      <c r="AP20" s="166"/>
      <c r="AQ20" s="170">
        <v>4</v>
      </c>
      <c r="AR20" s="1721" t="s">
        <v>274</v>
      </c>
      <c r="AS20" s="1721"/>
      <c r="AT20" s="1721"/>
      <c r="AU20" s="1721"/>
      <c r="AV20" s="1193">
        <f>SUM(Z18:Z46,K18:K46)</f>
        <v>0</v>
      </c>
      <c r="AW20" s="1193">
        <f>AQ20*AV20</f>
        <v>0</v>
      </c>
      <c r="AX20" s="1194">
        <f>AV20/$AV$25</f>
        <v>0</v>
      </c>
      <c r="AY20" s="1194">
        <f>AV20/SUM($AV$20:$AV$23)</f>
        <v>0</v>
      </c>
      <c r="AZ20" s="171"/>
      <c r="BA20" s="154"/>
      <c r="BB20" s="154"/>
      <c r="BC20" s="154"/>
      <c r="BD20" s="154"/>
      <c r="BE20" s="154"/>
      <c r="BF20" s="154"/>
      <c r="BG20" s="154"/>
      <c r="BH20" s="154"/>
      <c r="BI20" s="154"/>
      <c r="BJ20" s="154"/>
      <c r="BK20" s="154"/>
      <c r="BL20" s="154"/>
      <c r="BM20" s="154"/>
      <c r="BN20" s="154"/>
      <c r="BO20" s="154"/>
      <c r="BP20" s="154"/>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row>
    <row r="21" spans="1:127" s="168" customFormat="1" ht="21" customHeight="1">
      <c r="A21" s="154"/>
      <c r="B21" s="971">
        <v>4</v>
      </c>
      <c r="C21" s="1694" t="s">
        <v>309</v>
      </c>
      <c r="D21" s="1694"/>
      <c r="E21" s="1694"/>
      <c r="F21" s="1694"/>
      <c r="G21" s="1694"/>
      <c r="H21" s="1694"/>
      <c r="I21" s="1694"/>
      <c r="J21" s="1694"/>
      <c r="K21" s="975"/>
      <c r="L21" s="976">
        <v>1</v>
      </c>
      <c r="M21" s="975"/>
      <c r="N21" s="975"/>
      <c r="O21" s="977"/>
      <c r="P21" s="161"/>
      <c r="Q21" s="971">
        <v>33</v>
      </c>
      <c r="R21" s="1722" t="s">
        <v>310</v>
      </c>
      <c r="S21" s="1722"/>
      <c r="T21" s="1722"/>
      <c r="U21" s="1722"/>
      <c r="V21" s="1722"/>
      <c r="W21" s="1722"/>
      <c r="X21" s="1722"/>
      <c r="Y21" s="1722"/>
      <c r="Z21" s="1307"/>
      <c r="AA21" s="975">
        <v>1</v>
      </c>
      <c r="AB21" s="975"/>
      <c r="AC21" s="975"/>
      <c r="AD21" s="977"/>
      <c r="AE21" s="154"/>
      <c r="AF21" s="167">
        <f t="shared" si="0"/>
        <v>0.89</v>
      </c>
      <c r="AG21" s="167">
        <f t="shared" si="1"/>
        <v>0.89</v>
      </c>
      <c r="AH21" s="154"/>
      <c r="AI21" s="154"/>
      <c r="AJ21" s="154"/>
      <c r="AK21" s="154"/>
      <c r="AL21" s="154"/>
      <c r="AM21" s="169">
        <v>3</v>
      </c>
      <c r="AN21" s="169">
        <f>58</f>
        <v>58</v>
      </c>
      <c r="AO21" s="169" t="s">
        <v>308</v>
      </c>
      <c r="AP21" s="169"/>
      <c r="AQ21" s="170">
        <v>3</v>
      </c>
      <c r="AR21" s="1721" t="s">
        <v>311</v>
      </c>
      <c r="AS21" s="1721"/>
      <c r="AT21" s="1721"/>
      <c r="AU21" s="1721"/>
      <c r="AV21" s="1193">
        <f>SUM(L18:L46,AA18:AA46)</f>
        <v>34</v>
      </c>
      <c r="AW21" s="1193">
        <f>AQ21*AV21</f>
        <v>102</v>
      </c>
      <c r="AX21" s="1194">
        <f>AV21/$AV$25</f>
        <v>0.58620689655172409</v>
      </c>
      <c r="AY21" s="1194">
        <f>AV21/SUM($AV$20:$AV$23)</f>
        <v>0.79069767441860461</v>
      </c>
      <c r="AZ21" s="171"/>
      <c r="BA21" s="154"/>
      <c r="BB21" s="154"/>
      <c r="BC21" s="154"/>
      <c r="BD21" s="154"/>
      <c r="BE21" s="154"/>
      <c r="BF21" s="154"/>
      <c r="BG21" s="154"/>
      <c r="BH21" s="154"/>
      <c r="BI21" s="154"/>
      <c r="BJ21" s="154"/>
      <c r="BK21" s="154"/>
      <c r="BL21" s="154"/>
      <c r="BM21" s="154"/>
      <c r="BN21" s="154"/>
      <c r="BO21" s="154"/>
      <c r="BP21" s="154"/>
      <c r="BQ21" s="166"/>
      <c r="BR21" s="172"/>
      <c r="BS21" s="172"/>
      <c r="BT21" s="172"/>
      <c r="BU21" s="172"/>
      <c r="BV21" s="172"/>
      <c r="BW21" s="172"/>
      <c r="BX21" s="172"/>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row>
    <row r="22" spans="1:127" s="168" customFormat="1" ht="21" customHeight="1">
      <c r="A22" s="154"/>
      <c r="B22" s="971">
        <v>5</v>
      </c>
      <c r="C22" s="1694" t="s">
        <v>312</v>
      </c>
      <c r="D22" s="1694"/>
      <c r="E22" s="1694"/>
      <c r="F22" s="1694"/>
      <c r="G22" s="1694"/>
      <c r="H22" s="1694"/>
      <c r="I22" s="1694"/>
      <c r="J22" s="1694"/>
      <c r="K22" s="975"/>
      <c r="L22" s="975">
        <v>1</v>
      </c>
      <c r="M22" s="975"/>
      <c r="N22" s="975"/>
      <c r="O22" s="977"/>
      <c r="P22" s="161"/>
      <c r="Q22" s="971">
        <v>34</v>
      </c>
      <c r="R22" s="1694" t="s">
        <v>313</v>
      </c>
      <c r="S22" s="1694"/>
      <c r="T22" s="1694"/>
      <c r="U22" s="1694"/>
      <c r="V22" s="1694"/>
      <c r="W22" s="1694"/>
      <c r="X22" s="1694"/>
      <c r="Y22" s="1694"/>
      <c r="Z22" s="1307"/>
      <c r="AA22" s="975"/>
      <c r="AB22" s="976"/>
      <c r="AC22" s="975"/>
      <c r="AD22" s="977">
        <v>1</v>
      </c>
      <c r="AE22" s="154"/>
      <c r="AF22" s="167">
        <f t="shared" si="0"/>
        <v>0.89</v>
      </c>
      <c r="AG22" s="167">
        <f t="shared" si="1"/>
        <v>1</v>
      </c>
      <c r="AH22" s="154"/>
      <c r="AI22" s="154"/>
      <c r="AJ22" s="154"/>
      <c r="AK22" s="154"/>
      <c r="AL22" s="154"/>
      <c r="AM22" s="169">
        <v>2</v>
      </c>
      <c r="AN22" s="169">
        <f>58</f>
        <v>58</v>
      </c>
      <c r="AO22" s="169" t="s">
        <v>308</v>
      </c>
      <c r="AP22" s="170"/>
      <c r="AQ22" s="170">
        <v>2</v>
      </c>
      <c r="AR22" s="1721" t="s">
        <v>281</v>
      </c>
      <c r="AS22" s="1721"/>
      <c r="AT22" s="1721"/>
      <c r="AU22" s="1721"/>
      <c r="AV22" s="1193">
        <f>SUM(M18:M46,AB18:AB46)</f>
        <v>8</v>
      </c>
      <c r="AW22" s="1193">
        <f>AQ22*AV22</f>
        <v>16</v>
      </c>
      <c r="AX22" s="1194">
        <f>AV22/$AV$25</f>
        <v>0.13793103448275862</v>
      </c>
      <c r="AY22" s="1194">
        <f>AV22/SUM($AV$20:$AV$23)</f>
        <v>0.18604651162790697</v>
      </c>
      <c r="AZ22" s="171"/>
      <c r="BA22" s="154"/>
      <c r="BB22" s="154"/>
      <c r="BC22" s="154" t="s">
        <v>314</v>
      </c>
      <c r="BD22" s="154"/>
      <c r="BE22" s="154"/>
      <c r="BF22" s="154"/>
      <c r="BG22" s="154"/>
      <c r="BH22" s="154"/>
      <c r="BI22" s="154"/>
      <c r="BJ22" s="154"/>
      <c r="BK22" s="154"/>
      <c r="BL22" s="154"/>
      <c r="BM22" s="154"/>
      <c r="BN22" s="154"/>
      <c r="BO22" s="154"/>
      <c r="BP22" s="154"/>
      <c r="BQ22" s="166"/>
      <c r="BR22" s="172"/>
      <c r="BS22" s="172"/>
      <c r="BT22" s="172"/>
      <c r="BU22" s="172"/>
      <c r="BV22" s="172"/>
      <c r="BW22" s="172"/>
      <c r="BX22" s="172"/>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row>
    <row r="23" spans="1:127" s="168" customFormat="1" ht="21" customHeight="1">
      <c r="A23" s="154"/>
      <c r="B23" s="971">
        <v>6</v>
      </c>
      <c r="C23" s="1694" t="s">
        <v>315</v>
      </c>
      <c r="D23" s="1694"/>
      <c r="E23" s="1694"/>
      <c r="F23" s="1694"/>
      <c r="G23" s="1694"/>
      <c r="H23" s="1694"/>
      <c r="I23" s="1694"/>
      <c r="J23" s="1694"/>
      <c r="K23" s="975"/>
      <c r="L23" s="975">
        <v>1</v>
      </c>
      <c r="M23" s="975"/>
      <c r="N23" s="975"/>
      <c r="O23" s="977"/>
      <c r="P23" s="161"/>
      <c r="Q23" s="971">
        <v>35</v>
      </c>
      <c r="R23" s="1722" t="s">
        <v>316</v>
      </c>
      <c r="S23" s="1722"/>
      <c r="T23" s="1722"/>
      <c r="U23" s="1722"/>
      <c r="V23" s="1722"/>
      <c r="W23" s="1722"/>
      <c r="X23" s="1722"/>
      <c r="Y23" s="1722"/>
      <c r="Z23" s="1307"/>
      <c r="AA23" s="975">
        <v>1</v>
      </c>
      <c r="AB23" s="976"/>
      <c r="AC23" s="975"/>
      <c r="AD23" s="977"/>
      <c r="AE23" s="154"/>
      <c r="AF23" s="167">
        <f t="shared" si="0"/>
        <v>0.89</v>
      </c>
      <c r="AG23" s="167">
        <f t="shared" si="1"/>
        <v>0.89</v>
      </c>
      <c r="AH23" s="154"/>
      <c r="AI23" s="154"/>
      <c r="AJ23" s="154"/>
      <c r="AK23" s="154"/>
      <c r="AL23" s="154"/>
      <c r="AM23" s="169">
        <v>1</v>
      </c>
      <c r="AN23" s="169">
        <f>58</f>
        <v>58</v>
      </c>
      <c r="AO23" s="169" t="s">
        <v>308</v>
      </c>
      <c r="AP23" s="170"/>
      <c r="AQ23" s="170">
        <v>1</v>
      </c>
      <c r="AR23" s="1721" t="s">
        <v>284</v>
      </c>
      <c r="AS23" s="1721"/>
      <c r="AT23" s="1721"/>
      <c r="AU23" s="1721"/>
      <c r="AV23" s="1193">
        <f>SUM(N18:N46,AC18:AC46)</f>
        <v>1</v>
      </c>
      <c r="AW23" s="1193">
        <f>AQ23*AV23</f>
        <v>1</v>
      </c>
      <c r="AX23" s="1194">
        <f>AV23/$AV$25</f>
        <v>1.7241379310344827E-2</v>
      </c>
      <c r="AY23" s="1194">
        <f>AV23/SUM($AV$20:$AV$23)</f>
        <v>2.3255813953488372E-2</v>
      </c>
      <c r="AZ23" s="171"/>
      <c r="BA23" s="154"/>
      <c r="BB23" s="154"/>
      <c r="BC23" s="154"/>
      <c r="BD23" s="154"/>
      <c r="BE23" s="154"/>
      <c r="BF23" s="154"/>
      <c r="BG23" s="154"/>
      <c r="BH23" s="154"/>
      <c r="BI23" s="154"/>
      <c r="BJ23" s="154"/>
      <c r="BK23" s="154"/>
      <c r="BL23" s="154"/>
      <c r="BM23" s="154"/>
      <c r="BN23" s="154"/>
      <c r="BO23" s="154"/>
      <c r="BP23" s="154"/>
      <c r="BQ23" s="166"/>
      <c r="BR23" s="172"/>
      <c r="BS23" s="172"/>
      <c r="BT23" s="172"/>
      <c r="BU23" s="172"/>
      <c r="BV23" s="172"/>
      <c r="BW23" s="172"/>
      <c r="BX23" s="172"/>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row>
    <row r="24" spans="1:127" s="168" customFormat="1" ht="21" customHeight="1" thickBot="1">
      <c r="A24" s="154"/>
      <c r="B24" s="971">
        <v>7</v>
      </c>
      <c r="C24" s="1694" t="s">
        <v>317</v>
      </c>
      <c r="D24" s="1694"/>
      <c r="E24" s="1694"/>
      <c r="F24" s="1694"/>
      <c r="G24" s="1694"/>
      <c r="H24" s="1694"/>
      <c r="I24" s="1694"/>
      <c r="J24" s="1694"/>
      <c r="K24" s="975"/>
      <c r="L24" s="975">
        <v>1</v>
      </c>
      <c r="M24" s="975"/>
      <c r="N24" s="975"/>
      <c r="O24" s="977"/>
      <c r="P24" s="161"/>
      <c r="Q24" s="971">
        <v>36</v>
      </c>
      <c r="R24" s="1694" t="s">
        <v>318</v>
      </c>
      <c r="S24" s="1694"/>
      <c r="T24" s="1694"/>
      <c r="U24" s="1694"/>
      <c r="V24" s="1694"/>
      <c r="W24" s="1694"/>
      <c r="X24" s="1694"/>
      <c r="Y24" s="1694"/>
      <c r="Z24" s="1307"/>
      <c r="AA24" s="976"/>
      <c r="AB24" s="975"/>
      <c r="AC24" s="975"/>
      <c r="AD24" s="977">
        <v>1</v>
      </c>
      <c r="AE24" s="154"/>
      <c r="AF24" s="167">
        <f t="shared" si="0"/>
        <v>0.89</v>
      </c>
      <c r="AG24" s="167">
        <f t="shared" si="1"/>
        <v>1</v>
      </c>
      <c r="AH24" s="154"/>
      <c r="AI24" s="154"/>
      <c r="AJ24" s="154"/>
      <c r="AK24" s="154"/>
      <c r="AL24" s="154"/>
      <c r="AM24" s="169">
        <v>0</v>
      </c>
      <c r="AN24" s="169">
        <f>58</f>
        <v>58</v>
      </c>
      <c r="AO24" s="169" t="s">
        <v>308</v>
      </c>
      <c r="AP24" s="170"/>
      <c r="AQ24" s="170">
        <v>0</v>
      </c>
      <c r="AR24" s="1723" t="s">
        <v>287</v>
      </c>
      <c r="AS24" s="1723"/>
      <c r="AT24" s="1723"/>
      <c r="AU24" s="1723"/>
      <c r="AV24" s="173">
        <f>SUM(O18:O46,AD18:AD46)</f>
        <v>15</v>
      </c>
      <c r="AW24" s="173">
        <f>AQ24*AV24</f>
        <v>0</v>
      </c>
      <c r="AX24" s="174">
        <f>AV24/$AV$25</f>
        <v>0.25862068965517243</v>
      </c>
      <c r="AY24" s="174" t="s">
        <v>319</v>
      </c>
      <c r="AZ24" s="171"/>
      <c r="BA24" s="154"/>
      <c r="BB24" s="154"/>
      <c r="BC24" s="154"/>
      <c r="BD24" s="154"/>
      <c r="BE24" s="154"/>
      <c r="BF24" s="154"/>
      <c r="BG24" s="154"/>
      <c r="BH24" s="154"/>
      <c r="BI24" s="154"/>
      <c r="BJ24" s="154"/>
      <c r="BK24" s="154"/>
      <c r="BL24" s="154"/>
      <c r="BM24" s="154"/>
      <c r="BN24" s="154"/>
      <c r="BO24" s="154"/>
      <c r="BP24" s="154"/>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row>
    <row r="25" spans="1:127" s="168" customFormat="1" ht="21" customHeight="1" thickTop="1">
      <c r="A25" s="154"/>
      <c r="B25" s="971">
        <v>8</v>
      </c>
      <c r="C25" s="1694" t="s">
        <v>320</v>
      </c>
      <c r="D25" s="1694"/>
      <c r="E25" s="1694"/>
      <c r="F25" s="1694"/>
      <c r="G25" s="1694"/>
      <c r="H25" s="1694"/>
      <c r="I25" s="1694"/>
      <c r="J25" s="1694"/>
      <c r="K25" s="975"/>
      <c r="L25" s="975">
        <v>1</v>
      </c>
      <c r="M25" s="975"/>
      <c r="N25" s="976"/>
      <c r="O25" s="977"/>
      <c r="P25" s="161"/>
      <c r="Q25" s="971">
        <v>37</v>
      </c>
      <c r="R25" s="1694" t="s">
        <v>321</v>
      </c>
      <c r="S25" s="1694"/>
      <c r="T25" s="1694"/>
      <c r="U25" s="1694"/>
      <c r="V25" s="1694"/>
      <c r="W25" s="1694"/>
      <c r="X25" s="1694"/>
      <c r="Y25" s="1694"/>
      <c r="Z25" s="1307"/>
      <c r="AA25" s="976">
        <v>1</v>
      </c>
      <c r="AB25" s="975"/>
      <c r="AC25" s="975"/>
      <c r="AD25" s="977"/>
      <c r="AE25" s="154"/>
      <c r="AF25" s="167">
        <f t="shared" si="0"/>
        <v>0.89</v>
      </c>
      <c r="AG25" s="167">
        <f t="shared" si="1"/>
        <v>0.89</v>
      </c>
      <c r="AH25" s="154"/>
      <c r="AI25" s="154"/>
      <c r="AJ25" s="154"/>
      <c r="AK25" s="154"/>
      <c r="AL25" s="154"/>
      <c r="AM25" s="171"/>
      <c r="AN25" s="171"/>
      <c r="AO25" s="171"/>
      <c r="AP25" s="171"/>
      <c r="AQ25" s="171"/>
      <c r="AR25" s="1724" t="s">
        <v>84</v>
      </c>
      <c r="AS25" s="1724"/>
      <c r="AT25" s="1724"/>
      <c r="AU25" s="1724"/>
      <c r="AV25" s="176">
        <f>SUM(AV20:AV24)</f>
        <v>58</v>
      </c>
      <c r="AW25" s="176">
        <f>SUM(AW20:AW24)</f>
        <v>119</v>
      </c>
      <c r="AX25" s="177">
        <f>SUM(AX20:AX24)</f>
        <v>1</v>
      </c>
      <c r="AY25" s="177">
        <f>SUM(AY20:AY24)</f>
        <v>1</v>
      </c>
      <c r="AZ25" s="171"/>
      <c r="BA25" s="154"/>
      <c r="BB25" s="154"/>
      <c r="BC25" s="154"/>
      <c r="BD25" s="154"/>
      <c r="BE25" s="154"/>
      <c r="BF25" s="154"/>
      <c r="BG25" s="154"/>
      <c r="BH25" s="154"/>
      <c r="BI25" s="154"/>
      <c r="BJ25" s="154"/>
      <c r="BK25" s="154"/>
      <c r="BL25" s="154"/>
      <c r="BM25" s="154"/>
      <c r="BN25" s="154"/>
      <c r="BO25" s="154"/>
      <c r="BP25" s="154"/>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row>
    <row r="26" spans="1:127" s="168" customFormat="1" ht="21" customHeight="1">
      <c r="A26" s="154"/>
      <c r="B26" s="971">
        <v>9</v>
      </c>
      <c r="C26" s="1693" t="s">
        <v>322</v>
      </c>
      <c r="D26" s="1693"/>
      <c r="E26" s="1693"/>
      <c r="F26" s="1693"/>
      <c r="G26" s="1693"/>
      <c r="H26" s="1693"/>
      <c r="I26" s="1693"/>
      <c r="J26" s="1693"/>
      <c r="K26" s="975"/>
      <c r="L26" s="975">
        <v>1</v>
      </c>
      <c r="M26" s="975"/>
      <c r="N26" s="976"/>
      <c r="O26" s="977"/>
      <c r="P26" s="161"/>
      <c r="Q26" s="971">
        <v>38</v>
      </c>
      <c r="R26" s="1694" t="s">
        <v>323</v>
      </c>
      <c r="S26" s="1694"/>
      <c r="T26" s="1694"/>
      <c r="U26" s="1694"/>
      <c r="V26" s="1694"/>
      <c r="W26" s="1694"/>
      <c r="X26" s="1694"/>
      <c r="Y26" s="1694"/>
      <c r="Z26" s="1307"/>
      <c r="AA26" s="975">
        <v>1</v>
      </c>
      <c r="AB26" s="976"/>
      <c r="AC26" s="975"/>
      <c r="AD26" s="977"/>
      <c r="AE26" s="154"/>
      <c r="AF26" s="167">
        <f t="shared" si="0"/>
        <v>0.89</v>
      </c>
      <c r="AG26" s="167">
        <f t="shared" si="1"/>
        <v>0.89</v>
      </c>
      <c r="AH26" s="154"/>
      <c r="AI26" s="154"/>
      <c r="AJ26" s="154"/>
      <c r="AK26" s="154"/>
      <c r="AL26" s="154"/>
      <c r="AM26" s="171"/>
      <c r="AN26" s="171"/>
      <c r="AO26" s="171"/>
      <c r="AP26" s="171"/>
      <c r="AQ26" s="171"/>
      <c r="AR26" s="171"/>
      <c r="AS26" s="171"/>
      <c r="AT26" s="171"/>
      <c r="AU26" s="171"/>
      <c r="AX26" s="171"/>
      <c r="AY26" s="171"/>
      <c r="AZ26" s="171"/>
      <c r="BA26" s="154"/>
      <c r="BB26" s="154"/>
      <c r="BC26" s="154"/>
      <c r="BD26" s="154"/>
      <c r="BE26" s="154"/>
      <c r="BF26" s="154"/>
      <c r="BG26" s="154"/>
      <c r="BH26" s="154"/>
      <c r="BI26" s="154"/>
      <c r="BJ26" s="154"/>
      <c r="BK26" s="154"/>
      <c r="BL26" s="154"/>
      <c r="BM26" s="154"/>
      <c r="BN26" s="154"/>
      <c r="BO26" s="154"/>
      <c r="BP26" s="154"/>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row>
    <row r="27" spans="1:127" s="168" customFormat="1" ht="21" customHeight="1">
      <c r="A27" s="154"/>
      <c r="B27" s="971">
        <v>10</v>
      </c>
      <c r="C27" s="1693" t="s">
        <v>324</v>
      </c>
      <c r="D27" s="1693"/>
      <c r="E27" s="1693"/>
      <c r="F27" s="1693"/>
      <c r="G27" s="1693"/>
      <c r="H27" s="1693"/>
      <c r="I27" s="1693"/>
      <c r="J27" s="1693"/>
      <c r="K27" s="975"/>
      <c r="L27" s="975">
        <v>1</v>
      </c>
      <c r="M27" s="975"/>
      <c r="N27" s="975"/>
      <c r="O27" s="977"/>
      <c r="P27" s="161"/>
      <c r="Q27" s="971">
        <v>39</v>
      </c>
      <c r="R27" s="1694" t="s">
        <v>325</v>
      </c>
      <c r="S27" s="1694"/>
      <c r="T27" s="1694"/>
      <c r="U27" s="1694"/>
      <c r="V27" s="1694"/>
      <c r="W27" s="1694"/>
      <c r="X27" s="1694"/>
      <c r="Y27" s="1694"/>
      <c r="Z27" s="1307"/>
      <c r="AA27" s="975"/>
      <c r="AB27" s="975"/>
      <c r="AC27" s="976"/>
      <c r="AD27" s="978">
        <v>1</v>
      </c>
      <c r="AE27" s="154"/>
      <c r="AF27" s="167">
        <f t="shared" si="0"/>
        <v>0.89</v>
      </c>
      <c r="AG27" s="167">
        <f t="shared" si="1"/>
        <v>1</v>
      </c>
      <c r="AH27" s="154"/>
      <c r="AI27" s="154"/>
      <c r="AJ27" s="154"/>
      <c r="AK27" s="154"/>
      <c r="AL27" s="154"/>
      <c r="AM27" s="171"/>
      <c r="AN27" s="171"/>
      <c r="AO27" s="171"/>
      <c r="AP27" s="171"/>
      <c r="AQ27" s="171"/>
      <c r="AR27" s="171"/>
      <c r="AS27" s="171"/>
      <c r="AT27" s="171"/>
      <c r="AU27" s="171"/>
      <c r="AV27" s="178" t="s">
        <v>326</v>
      </c>
      <c r="AW27" s="169">
        <f>SUM(AV20:AV23)*AQ20</f>
        <v>172</v>
      </c>
      <c r="AX27" s="171" t="s">
        <v>327</v>
      </c>
      <c r="AY27" s="171"/>
      <c r="AZ27" s="171"/>
      <c r="BA27" s="154"/>
      <c r="BB27" s="154"/>
      <c r="BC27" s="154"/>
      <c r="BD27" s="154"/>
      <c r="BE27" s="154"/>
      <c r="BF27" s="154"/>
      <c r="BG27" s="154"/>
      <c r="BH27" s="154"/>
      <c r="BI27" s="154"/>
      <c r="BJ27" s="154"/>
      <c r="BK27" s="154"/>
      <c r="BL27" s="154"/>
      <c r="BM27" s="154"/>
      <c r="BN27" s="154"/>
      <c r="BO27" s="154"/>
      <c r="BP27" s="154"/>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row>
    <row r="28" spans="1:127" s="168" customFormat="1" ht="21" customHeight="1">
      <c r="A28" s="154"/>
      <c r="B28" s="971">
        <v>11</v>
      </c>
      <c r="C28" s="1694" t="s">
        <v>328</v>
      </c>
      <c r="D28" s="1694"/>
      <c r="E28" s="1694"/>
      <c r="F28" s="1694"/>
      <c r="G28" s="1694"/>
      <c r="H28" s="1694"/>
      <c r="I28" s="1694"/>
      <c r="J28" s="1694"/>
      <c r="K28" s="975"/>
      <c r="L28" s="975"/>
      <c r="M28" s="975">
        <v>1</v>
      </c>
      <c r="N28" s="976"/>
      <c r="O28" s="977"/>
      <c r="P28" s="161"/>
      <c r="Q28" s="971">
        <v>40</v>
      </c>
      <c r="R28" s="1694" t="s">
        <v>329</v>
      </c>
      <c r="S28" s="1694"/>
      <c r="T28" s="1694"/>
      <c r="U28" s="1694"/>
      <c r="V28" s="1694"/>
      <c r="W28" s="1694"/>
      <c r="X28" s="1694"/>
      <c r="Y28" s="1694"/>
      <c r="Z28" s="1307"/>
      <c r="AA28" s="975"/>
      <c r="AB28" s="975"/>
      <c r="AC28" s="976"/>
      <c r="AD28" s="978">
        <v>1</v>
      </c>
      <c r="AE28" s="154"/>
      <c r="AF28" s="167">
        <f t="shared" si="0"/>
        <v>0.79</v>
      </c>
      <c r="AG28" s="167">
        <f t="shared" si="1"/>
        <v>1</v>
      </c>
      <c r="AH28" s="154"/>
      <c r="AI28" s="154"/>
      <c r="AJ28" s="154"/>
      <c r="AK28" s="154"/>
      <c r="AL28" s="154"/>
      <c r="AM28" s="171"/>
      <c r="AN28" s="171"/>
      <c r="AO28" s="171"/>
      <c r="AP28" s="171"/>
      <c r="AQ28" s="171"/>
      <c r="AR28" s="171"/>
      <c r="AS28" s="171"/>
      <c r="AT28" s="171"/>
      <c r="AU28" s="178"/>
      <c r="AV28" s="171"/>
      <c r="AW28" s="171"/>
      <c r="AX28" s="171"/>
      <c r="AY28" s="171"/>
      <c r="AZ28" s="171"/>
      <c r="BA28" s="154"/>
      <c r="BB28" s="154"/>
      <c r="BC28" s="154"/>
      <c r="BD28" s="154"/>
      <c r="BE28" s="154"/>
      <c r="BF28" s="154"/>
      <c r="BG28" s="154"/>
      <c r="BH28" s="154"/>
      <c r="BI28" s="154"/>
      <c r="BJ28" s="154"/>
      <c r="BK28" s="154"/>
      <c r="BL28" s="154"/>
      <c r="BM28" s="154"/>
      <c r="BN28" s="154"/>
      <c r="BO28" s="154"/>
      <c r="BP28" s="154"/>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row>
    <row r="29" spans="1:127" s="168" customFormat="1" ht="21" customHeight="1" thickBot="1">
      <c r="A29" s="154"/>
      <c r="B29" s="971">
        <v>12</v>
      </c>
      <c r="C29" s="1694" t="s">
        <v>330</v>
      </c>
      <c r="D29" s="1694"/>
      <c r="E29" s="1694"/>
      <c r="F29" s="1694"/>
      <c r="G29" s="1694"/>
      <c r="H29" s="1694"/>
      <c r="I29" s="1694"/>
      <c r="J29" s="1694"/>
      <c r="K29" s="975"/>
      <c r="L29" s="975">
        <v>1</v>
      </c>
      <c r="M29" s="975"/>
      <c r="N29" s="976"/>
      <c r="O29" s="977"/>
      <c r="P29" s="161"/>
      <c r="Q29" s="971">
        <v>41</v>
      </c>
      <c r="R29" s="1694" t="s">
        <v>331</v>
      </c>
      <c r="S29" s="1694"/>
      <c r="T29" s="1694"/>
      <c r="U29" s="1694"/>
      <c r="V29" s="1694"/>
      <c r="W29" s="1694"/>
      <c r="X29" s="1694"/>
      <c r="Y29" s="1694"/>
      <c r="Z29" s="1307"/>
      <c r="AA29" s="975"/>
      <c r="AB29" s="975"/>
      <c r="AC29" s="975"/>
      <c r="AD29" s="977">
        <v>1</v>
      </c>
      <c r="AE29" s="154"/>
      <c r="AF29" s="167">
        <f t="shared" si="0"/>
        <v>0.89</v>
      </c>
      <c r="AG29" s="167">
        <f t="shared" si="1"/>
        <v>1</v>
      </c>
      <c r="AH29" s="154"/>
      <c r="AI29" s="154"/>
      <c r="AJ29" s="154"/>
      <c r="AK29" s="154"/>
      <c r="AL29" s="154"/>
      <c r="AM29" s="171"/>
      <c r="AN29" s="171"/>
      <c r="AO29" s="169"/>
      <c r="AP29" s="170"/>
      <c r="AQ29" s="166"/>
      <c r="AR29" s="166"/>
      <c r="AS29" s="166"/>
      <c r="AT29" s="166"/>
      <c r="AU29" s="166"/>
      <c r="AV29" s="166"/>
      <c r="AW29" s="166"/>
      <c r="AX29" s="171"/>
      <c r="AY29" s="171"/>
      <c r="AZ29" s="171"/>
      <c r="BA29" s="154"/>
      <c r="BB29" s="154"/>
      <c r="BC29" s="154"/>
      <c r="BD29" s="154"/>
      <c r="BE29" s="154"/>
      <c r="BF29" s="154"/>
      <c r="BG29" s="154"/>
      <c r="BH29" s="154"/>
      <c r="BI29" s="154"/>
      <c r="BJ29" s="154"/>
      <c r="BK29" s="154"/>
      <c r="BL29" s="154"/>
      <c r="BM29" s="154"/>
      <c r="BN29" s="154"/>
      <c r="BO29" s="154"/>
      <c r="BP29" s="154"/>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row>
    <row r="30" spans="1:127" s="168" customFormat="1" ht="21" customHeight="1" thickBot="1">
      <c r="A30" s="154"/>
      <c r="B30" s="971">
        <v>13</v>
      </c>
      <c r="C30" s="1693" t="s">
        <v>332</v>
      </c>
      <c r="D30" s="1693"/>
      <c r="E30" s="1693"/>
      <c r="F30" s="1693"/>
      <c r="G30" s="1693"/>
      <c r="H30" s="1693"/>
      <c r="I30" s="1693"/>
      <c r="J30" s="1693"/>
      <c r="K30" s="975"/>
      <c r="L30" s="975">
        <v>1</v>
      </c>
      <c r="M30" s="975"/>
      <c r="N30" s="975"/>
      <c r="O30" s="977"/>
      <c r="P30" s="161"/>
      <c r="Q30" s="971">
        <v>42</v>
      </c>
      <c r="R30" s="1694" t="s">
        <v>333</v>
      </c>
      <c r="S30" s="1694"/>
      <c r="T30" s="1694"/>
      <c r="U30" s="1694"/>
      <c r="V30" s="1694"/>
      <c r="W30" s="1694"/>
      <c r="X30" s="1694"/>
      <c r="Y30" s="1694"/>
      <c r="Z30" s="1307"/>
      <c r="AA30" s="975"/>
      <c r="AB30" s="975"/>
      <c r="AC30" s="975"/>
      <c r="AD30" s="977">
        <v>1</v>
      </c>
      <c r="AE30" s="154"/>
      <c r="AF30" s="167">
        <f t="shared" si="0"/>
        <v>0.89</v>
      </c>
      <c r="AG30" s="167">
        <f t="shared" si="1"/>
        <v>1</v>
      </c>
      <c r="AH30" s="154"/>
      <c r="AI30" s="154"/>
      <c r="AJ30" s="154"/>
      <c r="AK30" s="154"/>
      <c r="AL30" s="154"/>
      <c r="AM30" s="171"/>
      <c r="AN30" s="171"/>
      <c r="AO30" s="169"/>
      <c r="AP30" s="166"/>
      <c r="AQ30" s="166"/>
      <c r="AR30" s="1733" t="s">
        <v>334</v>
      </c>
      <c r="AS30" s="1734"/>
      <c r="AT30" s="1734"/>
      <c r="AU30" s="1734"/>
      <c r="AV30" s="1735"/>
      <c r="AW30" s="1736" t="s">
        <v>335</v>
      </c>
      <c r="AX30" s="1737"/>
      <c r="AY30" s="1738"/>
      <c r="AZ30" s="163"/>
      <c r="BA30" s="154"/>
      <c r="BB30" s="154"/>
      <c r="BC30" s="154"/>
      <c r="BD30" s="154"/>
      <c r="BE30" s="154"/>
      <c r="BF30" s="154"/>
      <c r="BG30" s="154"/>
      <c r="BH30" s="154"/>
      <c r="BI30" s="154"/>
      <c r="BJ30" s="154"/>
      <c r="BK30" s="154"/>
      <c r="BL30" s="154"/>
      <c r="BM30" s="154"/>
      <c r="BN30" s="154"/>
      <c r="BO30" s="154"/>
      <c r="BP30" s="154"/>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row>
    <row r="31" spans="1:127" s="168" customFormat="1" ht="21" customHeight="1" thickBot="1">
      <c r="A31" s="154"/>
      <c r="B31" s="971">
        <v>14</v>
      </c>
      <c r="C31" s="1693" t="s">
        <v>336</v>
      </c>
      <c r="D31" s="1693"/>
      <c r="E31" s="1693"/>
      <c r="F31" s="1693"/>
      <c r="G31" s="1693"/>
      <c r="H31" s="1693"/>
      <c r="I31" s="1693"/>
      <c r="J31" s="1693"/>
      <c r="K31" s="975"/>
      <c r="L31" s="975">
        <v>1</v>
      </c>
      <c r="M31" s="975"/>
      <c r="N31" s="975"/>
      <c r="O31" s="977"/>
      <c r="P31" s="161"/>
      <c r="Q31" s="971">
        <v>43</v>
      </c>
      <c r="R31" s="1694" t="s">
        <v>337</v>
      </c>
      <c r="S31" s="1694"/>
      <c r="T31" s="1694"/>
      <c r="U31" s="1694"/>
      <c r="V31" s="1694"/>
      <c r="W31" s="1694"/>
      <c r="X31" s="1694"/>
      <c r="Y31" s="1694"/>
      <c r="Z31" s="1307"/>
      <c r="AA31" s="975"/>
      <c r="AB31" s="975">
        <v>1</v>
      </c>
      <c r="AC31" s="975"/>
      <c r="AD31" s="977"/>
      <c r="AE31" s="154"/>
      <c r="AF31" s="167">
        <f t="shared" si="0"/>
        <v>0.89</v>
      </c>
      <c r="AG31" s="167">
        <f t="shared" si="1"/>
        <v>0.79</v>
      </c>
      <c r="AH31" s="154"/>
      <c r="AI31" s="154"/>
      <c r="AJ31" s="154"/>
      <c r="AK31" s="154"/>
      <c r="AL31" s="154"/>
      <c r="AM31" s="171"/>
      <c r="AN31" s="169">
        <f>MAX(AN20:AN24)</f>
        <v>58</v>
      </c>
      <c r="AO31" s="171"/>
      <c r="AP31" s="166"/>
      <c r="AQ31" s="166"/>
      <c r="AR31" s="1739">
        <f>AW25</f>
        <v>119</v>
      </c>
      <c r="AS31" s="1740"/>
      <c r="AT31" s="1740"/>
      <c r="AU31" s="1740"/>
      <c r="AV31" s="1741"/>
      <c r="AW31" s="1725">
        <f>SUM(100/AR33*AR31)</f>
        <v>69.186046511627907</v>
      </c>
      <c r="AX31" s="1726"/>
      <c r="AY31" s="1729" t="s">
        <v>338</v>
      </c>
      <c r="AZ31" s="179"/>
      <c r="BA31" s="154"/>
      <c r="BB31" s="154"/>
      <c r="BC31" s="154"/>
      <c r="BD31" s="154"/>
      <c r="BE31" s="154"/>
      <c r="BF31" s="154"/>
      <c r="BG31" s="154"/>
      <c r="BH31" s="154"/>
      <c r="BI31" s="154"/>
      <c r="BJ31" s="154"/>
      <c r="BK31" s="154"/>
      <c r="BL31" s="154"/>
      <c r="BM31" s="154"/>
      <c r="BN31" s="154"/>
      <c r="BO31" s="154"/>
      <c r="BP31" s="154"/>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row>
    <row r="32" spans="1:127" s="168" customFormat="1" ht="21" customHeight="1">
      <c r="A32" s="154"/>
      <c r="B32" s="971">
        <v>15</v>
      </c>
      <c r="C32" s="1694" t="s">
        <v>339</v>
      </c>
      <c r="D32" s="1732"/>
      <c r="E32" s="1732"/>
      <c r="F32" s="1732"/>
      <c r="G32" s="1732"/>
      <c r="H32" s="1732"/>
      <c r="I32" s="1732"/>
      <c r="J32" s="1732"/>
      <c r="K32" s="975"/>
      <c r="L32" s="975"/>
      <c r="M32" s="976"/>
      <c r="N32" s="975"/>
      <c r="O32" s="977">
        <v>1</v>
      </c>
      <c r="P32" s="161"/>
      <c r="Q32" s="971">
        <v>44</v>
      </c>
      <c r="R32" s="1722" t="s">
        <v>340</v>
      </c>
      <c r="S32" s="1722"/>
      <c r="T32" s="1722"/>
      <c r="U32" s="1722"/>
      <c r="V32" s="1722"/>
      <c r="W32" s="1722"/>
      <c r="X32" s="1722"/>
      <c r="Y32" s="1722"/>
      <c r="Z32" s="1307"/>
      <c r="AA32" s="975"/>
      <c r="AB32" s="975">
        <v>1</v>
      </c>
      <c r="AC32" s="975"/>
      <c r="AD32" s="977"/>
      <c r="AE32" s="154"/>
      <c r="AF32" s="167">
        <f t="shared" si="0"/>
        <v>1</v>
      </c>
      <c r="AG32" s="167">
        <f t="shared" si="1"/>
        <v>0.79</v>
      </c>
      <c r="AH32" s="154"/>
      <c r="AI32" s="154"/>
      <c r="AJ32" s="154"/>
      <c r="AK32" s="154"/>
      <c r="AL32" s="154"/>
      <c r="AM32" s="171"/>
      <c r="AN32" s="171"/>
      <c r="AO32" s="171"/>
      <c r="AP32" s="166"/>
      <c r="AQ32" s="166"/>
      <c r="AR32" s="1733" t="s">
        <v>341</v>
      </c>
      <c r="AS32" s="1734"/>
      <c r="AT32" s="1734"/>
      <c r="AU32" s="1734"/>
      <c r="AV32" s="1735"/>
      <c r="AW32" s="1725"/>
      <c r="AX32" s="1726"/>
      <c r="AY32" s="1730"/>
      <c r="AZ32" s="179"/>
      <c r="BA32" s="154"/>
      <c r="BB32" s="180"/>
      <c r="BC32" s="166"/>
      <c r="BD32" s="166"/>
      <c r="BE32" s="166"/>
      <c r="BF32" s="166"/>
      <c r="BG32" s="166"/>
      <c r="BH32" s="166"/>
      <c r="BI32" s="166"/>
      <c r="BJ32" s="166"/>
      <c r="BK32" s="166"/>
      <c r="BL32" s="166"/>
      <c r="BM32" s="166"/>
      <c r="BN32" s="166"/>
      <c r="BO32" s="171"/>
      <c r="BP32" s="181">
        <v>31</v>
      </c>
      <c r="BQ32" s="166"/>
      <c r="BR32" s="166"/>
      <c r="BS32" s="166"/>
      <c r="BT32" s="166"/>
      <c r="BU32" s="166"/>
      <c r="BV32" s="166"/>
      <c r="BW32" s="166"/>
      <c r="BX32" s="166"/>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row>
    <row r="33" spans="1:127" s="168" customFormat="1" ht="21" customHeight="1" thickBot="1">
      <c r="A33" s="154"/>
      <c r="B33" s="971">
        <v>16</v>
      </c>
      <c r="C33" s="1693" t="s">
        <v>342</v>
      </c>
      <c r="D33" s="1693"/>
      <c r="E33" s="1693"/>
      <c r="F33" s="1693"/>
      <c r="G33" s="1693"/>
      <c r="H33" s="1693"/>
      <c r="I33" s="1693"/>
      <c r="J33" s="1693"/>
      <c r="K33" s="975"/>
      <c r="L33" s="975"/>
      <c r="M33" s="976"/>
      <c r="N33" s="975"/>
      <c r="O33" s="977">
        <v>1</v>
      </c>
      <c r="P33" s="161"/>
      <c r="Q33" s="971">
        <v>45</v>
      </c>
      <c r="R33" s="1693" t="s">
        <v>343</v>
      </c>
      <c r="S33" s="1693"/>
      <c r="T33" s="1693"/>
      <c r="U33" s="1693"/>
      <c r="V33" s="1693"/>
      <c r="W33" s="1693"/>
      <c r="X33" s="1693"/>
      <c r="Y33" s="1693"/>
      <c r="Z33" s="1307"/>
      <c r="AA33" s="975"/>
      <c r="AB33" s="975"/>
      <c r="AC33" s="975"/>
      <c r="AD33" s="978">
        <v>1</v>
      </c>
      <c r="AE33" s="154"/>
      <c r="AF33" s="167">
        <f t="shared" si="0"/>
        <v>1</v>
      </c>
      <c r="AG33" s="167">
        <f t="shared" si="1"/>
        <v>1</v>
      </c>
      <c r="AH33" s="154"/>
      <c r="AI33" s="154"/>
      <c r="AJ33" s="154"/>
      <c r="AK33" s="154"/>
      <c r="AL33" s="154"/>
      <c r="AM33" s="171"/>
      <c r="AN33" s="171"/>
      <c r="AO33" s="171"/>
      <c r="AP33" s="166"/>
      <c r="AQ33" s="166"/>
      <c r="AR33" s="1739">
        <f>AW27</f>
        <v>172</v>
      </c>
      <c r="AS33" s="1740"/>
      <c r="AT33" s="1740"/>
      <c r="AU33" s="1740"/>
      <c r="AV33" s="1741"/>
      <c r="AW33" s="1727"/>
      <c r="AX33" s="1728"/>
      <c r="AY33" s="1731"/>
      <c r="AZ33" s="182"/>
      <c r="BA33" s="154"/>
      <c r="BB33" s="180"/>
      <c r="BC33" s="166"/>
      <c r="BD33" s="166"/>
      <c r="BE33" s="166"/>
      <c r="BF33" s="166"/>
      <c r="BG33" s="166"/>
      <c r="BH33" s="166"/>
      <c r="BI33" s="166"/>
      <c r="BJ33" s="166"/>
      <c r="BK33" s="166"/>
      <c r="BL33" s="166"/>
      <c r="BM33" s="166"/>
      <c r="BN33" s="166"/>
      <c r="BO33" s="171"/>
      <c r="BP33" s="181">
        <v>32</v>
      </c>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row>
    <row r="34" spans="1:127" s="168" customFormat="1" ht="21" customHeight="1">
      <c r="A34" s="154"/>
      <c r="B34" s="971">
        <v>17</v>
      </c>
      <c r="C34" s="1694" t="s">
        <v>344</v>
      </c>
      <c r="D34" s="1694"/>
      <c r="E34" s="1694"/>
      <c r="F34" s="1694"/>
      <c r="G34" s="1694"/>
      <c r="H34" s="1694"/>
      <c r="I34" s="1694"/>
      <c r="J34" s="1694"/>
      <c r="K34" s="975"/>
      <c r="L34" s="975">
        <v>1</v>
      </c>
      <c r="M34" s="976"/>
      <c r="N34" s="975"/>
      <c r="O34" s="977"/>
      <c r="P34" s="161"/>
      <c r="Q34" s="971">
        <v>46</v>
      </c>
      <c r="R34" s="1694" t="s">
        <v>345</v>
      </c>
      <c r="S34" s="1694"/>
      <c r="T34" s="1694"/>
      <c r="U34" s="1694"/>
      <c r="V34" s="1694"/>
      <c r="W34" s="1694"/>
      <c r="X34" s="1694"/>
      <c r="Y34" s="1694"/>
      <c r="Z34" s="1307"/>
      <c r="AA34" s="975"/>
      <c r="AB34" s="975"/>
      <c r="AC34" s="975"/>
      <c r="AD34" s="978">
        <v>1</v>
      </c>
      <c r="AE34" s="154"/>
      <c r="AF34" s="167">
        <f t="shared" si="0"/>
        <v>0.89</v>
      </c>
      <c r="AG34" s="167">
        <f t="shared" si="1"/>
        <v>1</v>
      </c>
      <c r="AH34" s="154"/>
      <c r="AI34" s="154"/>
      <c r="AJ34" s="154"/>
      <c r="AK34" s="154"/>
      <c r="AL34" s="154"/>
      <c r="AM34" s="154"/>
      <c r="AN34" s="154"/>
      <c r="AO34" s="154"/>
      <c r="AP34" s="154"/>
      <c r="AQ34" s="154"/>
      <c r="AR34" s="154"/>
      <c r="AS34" s="154"/>
      <c r="AT34" s="183"/>
      <c r="AU34" s="154"/>
      <c r="AV34" s="154"/>
      <c r="AW34" s="154"/>
      <c r="AX34" s="154"/>
      <c r="AY34" s="154"/>
      <c r="AZ34" s="154"/>
      <c r="BA34" s="154"/>
      <c r="BB34" s="180"/>
      <c r="BC34" s="166"/>
      <c r="BD34" s="166"/>
      <c r="BE34" s="166"/>
      <c r="BF34" s="166"/>
      <c r="BG34" s="166"/>
      <c r="BH34" s="166"/>
      <c r="BI34" s="166"/>
      <c r="BJ34" s="166"/>
      <c r="BK34" s="166"/>
      <c r="BL34" s="166"/>
      <c r="BM34" s="166"/>
      <c r="BN34" s="166"/>
      <c r="BO34" s="171"/>
      <c r="BP34" s="181">
        <v>33</v>
      </c>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row>
    <row r="35" spans="1:127" s="168" customFormat="1" ht="21" customHeight="1">
      <c r="A35" s="154"/>
      <c r="B35" s="971">
        <v>18</v>
      </c>
      <c r="C35" s="1694" t="s">
        <v>346</v>
      </c>
      <c r="D35" s="1694"/>
      <c r="E35" s="1694"/>
      <c r="F35" s="1694"/>
      <c r="G35" s="1694"/>
      <c r="H35" s="1694"/>
      <c r="I35" s="1694"/>
      <c r="J35" s="1694"/>
      <c r="K35" s="975"/>
      <c r="L35" s="975">
        <v>1</v>
      </c>
      <c r="M35" s="976"/>
      <c r="N35" s="975"/>
      <c r="O35" s="977"/>
      <c r="P35" s="161"/>
      <c r="Q35" s="971">
        <v>47</v>
      </c>
      <c r="R35" s="1694" t="s">
        <v>347</v>
      </c>
      <c r="S35" s="1694"/>
      <c r="T35" s="1694"/>
      <c r="U35" s="1694"/>
      <c r="V35" s="1694"/>
      <c r="W35" s="1694"/>
      <c r="X35" s="1694"/>
      <c r="Y35" s="1694"/>
      <c r="Z35" s="1307"/>
      <c r="AA35" s="975"/>
      <c r="AB35" s="975"/>
      <c r="AC35" s="975"/>
      <c r="AD35" s="978">
        <v>1</v>
      </c>
      <c r="AE35" s="154"/>
      <c r="AF35" s="167">
        <f t="shared" si="0"/>
        <v>0.89</v>
      </c>
      <c r="AG35" s="167">
        <f t="shared" si="1"/>
        <v>1</v>
      </c>
      <c r="AH35" s="154"/>
      <c r="AI35" s="154"/>
      <c r="AJ35" s="154"/>
      <c r="AK35" s="154"/>
      <c r="AL35" s="154"/>
      <c r="AM35" s="154"/>
      <c r="AN35" s="154"/>
      <c r="AO35" s="154"/>
      <c r="AP35" s="154"/>
      <c r="AQ35" s="154"/>
      <c r="AR35" s="154"/>
      <c r="AS35" s="154"/>
      <c r="AT35" s="154"/>
      <c r="AU35" s="154"/>
      <c r="AV35" s="154"/>
      <c r="AW35" s="154"/>
      <c r="AX35" s="154"/>
      <c r="AY35" s="154"/>
      <c r="AZ35" s="154"/>
      <c r="BA35" s="154"/>
      <c r="BB35" s="180"/>
      <c r="BC35" s="166"/>
      <c r="BD35" s="166"/>
      <c r="BE35" s="166"/>
      <c r="BF35" s="166"/>
      <c r="BG35" s="166"/>
      <c r="BH35" s="166"/>
      <c r="BI35" s="166"/>
      <c r="BJ35" s="166"/>
      <c r="BK35" s="166"/>
      <c r="BL35" s="166"/>
      <c r="BM35" s="166"/>
      <c r="BN35" s="166"/>
      <c r="BO35" s="171"/>
      <c r="BP35" s="181">
        <v>34</v>
      </c>
      <c r="BQ35" s="166"/>
      <c r="BR35" s="166"/>
      <c r="BS35" s="166"/>
      <c r="BT35" s="166"/>
      <c r="BU35" s="166"/>
      <c r="BV35" s="166"/>
      <c r="BW35" s="166"/>
      <c r="BX35" s="166"/>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row>
    <row r="36" spans="1:127" s="168" customFormat="1" ht="21" customHeight="1">
      <c r="A36" s="154"/>
      <c r="B36" s="971">
        <v>19</v>
      </c>
      <c r="C36" s="1694" t="s">
        <v>348</v>
      </c>
      <c r="D36" s="1694"/>
      <c r="E36" s="1694"/>
      <c r="F36" s="1694"/>
      <c r="G36" s="1694"/>
      <c r="H36" s="1694"/>
      <c r="I36" s="1694"/>
      <c r="J36" s="1694"/>
      <c r="K36" s="975"/>
      <c r="L36" s="975"/>
      <c r="M36" s="975">
        <v>1</v>
      </c>
      <c r="N36" s="975"/>
      <c r="O36" s="978"/>
      <c r="P36" s="161"/>
      <c r="Q36" s="971">
        <v>48</v>
      </c>
      <c r="R36" s="1694" t="s">
        <v>349</v>
      </c>
      <c r="S36" s="1694"/>
      <c r="T36" s="1694"/>
      <c r="U36" s="1694"/>
      <c r="V36" s="1694"/>
      <c r="W36" s="1694"/>
      <c r="X36" s="1694"/>
      <c r="Y36" s="1694"/>
      <c r="Z36" s="1307"/>
      <c r="AA36" s="975"/>
      <c r="AB36" s="975"/>
      <c r="AC36" s="975"/>
      <c r="AD36" s="978">
        <v>1</v>
      </c>
      <c r="AE36" s="154"/>
      <c r="AF36" s="167">
        <f t="shared" si="0"/>
        <v>0.79</v>
      </c>
      <c r="AG36" s="167">
        <f t="shared" si="1"/>
        <v>1</v>
      </c>
      <c r="AH36" s="154"/>
      <c r="AI36" s="154"/>
      <c r="AJ36" s="154"/>
      <c r="AK36" s="154"/>
      <c r="AL36" s="154"/>
      <c r="AM36" s="154"/>
      <c r="AN36" s="154"/>
      <c r="AO36" s="154"/>
      <c r="AP36" s="154"/>
      <c r="AQ36" s="154"/>
      <c r="AR36" s="154"/>
      <c r="AS36" s="154"/>
      <c r="AT36" s="154"/>
      <c r="AU36" s="154"/>
      <c r="AV36" s="154"/>
      <c r="AW36" s="154"/>
      <c r="AX36" s="154"/>
      <c r="AY36" s="154"/>
      <c r="AZ36" s="154"/>
      <c r="BA36" s="154"/>
      <c r="BB36" s="180"/>
      <c r="BC36" s="166"/>
      <c r="BD36" s="166"/>
      <c r="BE36" s="166"/>
      <c r="BF36" s="166"/>
      <c r="BG36" s="166"/>
      <c r="BH36" s="166"/>
      <c r="BI36" s="166"/>
      <c r="BJ36" s="166"/>
      <c r="BK36" s="166"/>
      <c r="BL36" s="166"/>
      <c r="BM36" s="166"/>
      <c r="BN36" s="166"/>
      <c r="BO36" s="171"/>
      <c r="BP36" s="181">
        <v>35</v>
      </c>
      <c r="BQ36" s="166"/>
      <c r="BR36" s="166"/>
      <c r="BS36" s="166"/>
      <c r="BT36" s="166"/>
      <c r="BU36" s="166"/>
      <c r="BV36" s="166"/>
      <c r="BW36" s="166"/>
      <c r="BX36" s="166"/>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row>
    <row r="37" spans="1:127" s="168" customFormat="1" ht="21" customHeight="1">
      <c r="A37" s="154"/>
      <c r="B37" s="971">
        <v>20</v>
      </c>
      <c r="C37" s="1694" t="s">
        <v>350</v>
      </c>
      <c r="D37" s="1694"/>
      <c r="E37" s="1694"/>
      <c r="F37" s="1694"/>
      <c r="G37" s="1694"/>
      <c r="H37" s="1694"/>
      <c r="I37" s="1694"/>
      <c r="J37" s="1694"/>
      <c r="K37" s="975"/>
      <c r="L37" s="976">
        <v>1</v>
      </c>
      <c r="M37" s="975"/>
      <c r="N37" s="975"/>
      <c r="O37" s="977"/>
      <c r="P37" s="161"/>
      <c r="Q37" s="971">
        <v>49</v>
      </c>
      <c r="R37" s="1694" t="s">
        <v>351</v>
      </c>
      <c r="S37" s="1694"/>
      <c r="T37" s="1694"/>
      <c r="U37" s="1694"/>
      <c r="V37" s="1694"/>
      <c r="W37" s="1694"/>
      <c r="X37" s="1694"/>
      <c r="Y37" s="1694"/>
      <c r="Z37" s="1307"/>
      <c r="AA37" s="975"/>
      <c r="AB37" s="975"/>
      <c r="AC37" s="975"/>
      <c r="AD37" s="978">
        <v>1</v>
      </c>
      <c r="AE37" s="154"/>
      <c r="AF37" s="167">
        <f t="shared" si="0"/>
        <v>0.89</v>
      </c>
      <c r="AG37" s="167">
        <f t="shared" si="1"/>
        <v>1</v>
      </c>
      <c r="AH37" s="154"/>
      <c r="AI37" s="154"/>
      <c r="AJ37" s="154"/>
      <c r="AK37" s="154"/>
      <c r="AL37" s="154"/>
      <c r="AM37" s="154"/>
      <c r="AN37" s="154"/>
      <c r="AO37" s="154"/>
      <c r="AP37" s="154"/>
      <c r="AQ37" s="154"/>
      <c r="AR37" s="154"/>
      <c r="AS37" s="154"/>
      <c r="AT37" s="154"/>
      <c r="AU37" s="154"/>
      <c r="AV37" s="154"/>
      <c r="AW37" s="154"/>
      <c r="AX37" s="154"/>
      <c r="AY37" s="154"/>
      <c r="AZ37" s="154"/>
      <c r="BA37" s="154"/>
      <c r="BB37" s="180"/>
      <c r="BC37" s="166"/>
      <c r="BD37" s="166"/>
      <c r="BE37" s="166"/>
      <c r="BF37" s="166"/>
      <c r="BG37" s="166"/>
      <c r="BH37" s="166"/>
      <c r="BI37" s="166"/>
      <c r="BJ37" s="166"/>
      <c r="BK37" s="166"/>
      <c r="BL37" s="166"/>
      <c r="BM37" s="166"/>
      <c r="BN37" s="166"/>
      <c r="BO37" s="171"/>
      <c r="BP37" s="181">
        <v>36</v>
      </c>
      <c r="BQ37" s="166"/>
      <c r="BR37" s="166"/>
      <c r="BS37" s="166"/>
      <c r="BT37" s="166"/>
      <c r="BU37" s="166"/>
      <c r="BV37" s="166"/>
      <c r="BW37" s="166"/>
      <c r="BX37" s="166"/>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row>
    <row r="38" spans="1:127" s="168" customFormat="1" ht="21" customHeight="1">
      <c r="A38" s="154"/>
      <c r="B38" s="971">
        <v>21</v>
      </c>
      <c r="C38" s="1694" t="s">
        <v>352</v>
      </c>
      <c r="D38" s="1694"/>
      <c r="E38" s="1694"/>
      <c r="F38" s="1694"/>
      <c r="G38" s="1694"/>
      <c r="H38" s="1694"/>
      <c r="I38" s="1694"/>
      <c r="J38" s="1694"/>
      <c r="K38" s="975"/>
      <c r="L38" s="976"/>
      <c r="M38" s="975">
        <v>1</v>
      </c>
      <c r="N38" s="975"/>
      <c r="O38" s="977"/>
      <c r="P38" s="161"/>
      <c r="Q38" s="971">
        <v>50</v>
      </c>
      <c r="R38" s="1694" t="s">
        <v>353</v>
      </c>
      <c r="S38" s="1694"/>
      <c r="T38" s="1694"/>
      <c r="U38" s="1694"/>
      <c r="V38" s="1694"/>
      <c r="W38" s="1694"/>
      <c r="X38" s="1694"/>
      <c r="Y38" s="1694"/>
      <c r="Z38" s="1307"/>
      <c r="AA38" s="975">
        <v>1</v>
      </c>
      <c r="AB38" s="975"/>
      <c r="AC38" s="975"/>
      <c r="AD38" s="977"/>
      <c r="AE38" s="154"/>
      <c r="AF38" s="167">
        <f t="shared" si="0"/>
        <v>0.79</v>
      </c>
      <c r="AG38" s="167">
        <f t="shared" si="1"/>
        <v>0.89</v>
      </c>
      <c r="AH38" s="154"/>
      <c r="AI38" s="154"/>
      <c r="AJ38" s="154"/>
      <c r="AK38" s="154"/>
      <c r="AL38" s="154"/>
      <c r="AM38" s="154"/>
      <c r="AN38" s="154"/>
      <c r="AO38" s="154"/>
      <c r="AP38" s="154"/>
      <c r="AQ38" s="154"/>
      <c r="AR38" s="154"/>
      <c r="AS38" s="154"/>
      <c r="AT38" s="154"/>
      <c r="AU38" s="154"/>
      <c r="AV38" s="154"/>
      <c r="AW38" s="154"/>
      <c r="AX38" s="154"/>
      <c r="AY38" s="154"/>
      <c r="AZ38" s="154"/>
      <c r="BA38" s="154"/>
      <c r="BB38" s="180"/>
      <c r="BC38" s="166"/>
      <c r="BD38" s="166"/>
      <c r="BE38" s="166"/>
      <c r="BF38" s="166"/>
      <c r="BG38" s="166"/>
      <c r="BH38" s="166"/>
      <c r="BI38" s="166"/>
      <c r="BJ38" s="166"/>
      <c r="BK38" s="166"/>
      <c r="BL38" s="166"/>
      <c r="BM38" s="166"/>
      <c r="BN38" s="166"/>
      <c r="BO38" s="171"/>
      <c r="BP38" s="181">
        <v>37</v>
      </c>
      <c r="BQ38" s="166"/>
      <c r="BR38" s="166"/>
      <c r="BS38" s="166"/>
      <c r="BT38" s="166"/>
      <c r="BU38" s="166"/>
      <c r="BV38" s="166"/>
      <c r="BW38" s="166"/>
      <c r="BX38" s="166"/>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row>
    <row r="39" spans="1:127" s="168" customFormat="1" ht="21" customHeight="1">
      <c r="A39" s="154"/>
      <c r="B39" s="971">
        <v>22</v>
      </c>
      <c r="C39" s="1694" t="s">
        <v>354</v>
      </c>
      <c r="D39" s="1694"/>
      <c r="E39" s="1694"/>
      <c r="F39" s="1694"/>
      <c r="G39" s="1694"/>
      <c r="H39" s="1694"/>
      <c r="I39" s="1694"/>
      <c r="J39" s="1694"/>
      <c r="K39" s="975"/>
      <c r="L39" s="975"/>
      <c r="M39" s="975"/>
      <c r="N39" s="975"/>
      <c r="O39" s="978">
        <v>1</v>
      </c>
      <c r="P39" s="161"/>
      <c r="Q39" s="971">
        <v>51</v>
      </c>
      <c r="R39" s="1722" t="s">
        <v>355</v>
      </c>
      <c r="S39" s="1722"/>
      <c r="T39" s="1722"/>
      <c r="U39" s="1722"/>
      <c r="V39" s="1722"/>
      <c r="W39" s="1722"/>
      <c r="X39" s="1722"/>
      <c r="Y39" s="1722"/>
      <c r="Z39" s="1307"/>
      <c r="AA39" s="975"/>
      <c r="AB39" s="975">
        <v>1</v>
      </c>
      <c r="AC39" s="975"/>
      <c r="AD39" s="977"/>
      <c r="AE39" s="154"/>
      <c r="AF39" s="167">
        <f t="shared" si="0"/>
        <v>1</v>
      </c>
      <c r="AG39" s="167">
        <f t="shared" si="1"/>
        <v>0.79</v>
      </c>
      <c r="AH39" s="154"/>
      <c r="AI39" s="154"/>
      <c r="AJ39" s="154"/>
      <c r="AK39" s="154"/>
      <c r="AL39" s="154"/>
      <c r="AM39" s="154"/>
      <c r="AN39" s="154"/>
      <c r="AO39" s="154"/>
      <c r="AP39" s="154"/>
      <c r="AQ39" s="154"/>
      <c r="AR39" s="154"/>
      <c r="AS39" s="154"/>
      <c r="AT39" s="154"/>
      <c r="AU39" s="154"/>
      <c r="AV39" s="154"/>
      <c r="AW39" s="154"/>
      <c r="AX39" s="154"/>
      <c r="AY39" s="154"/>
      <c r="AZ39" s="154"/>
      <c r="BA39" s="154"/>
      <c r="BB39" s="180"/>
      <c r="BC39" s="166"/>
      <c r="BD39" s="166"/>
      <c r="BE39" s="166"/>
      <c r="BF39" s="166"/>
      <c r="BG39" s="166"/>
      <c r="BH39" s="166"/>
      <c r="BI39" s="166"/>
      <c r="BJ39" s="166"/>
      <c r="BK39" s="166"/>
      <c r="BL39" s="166"/>
      <c r="BM39" s="166"/>
      <c r="BN39" s="166"/>
      <c r="BO39" s="171"/>
      <c r="BP39" s="181">
        <v>38</v>
      </c>
      <c r="BQ39" s="166"/>
      <c r="BR39" s="166"/>
      <c r="BS39" s="166"/>
      <c r="BT39" s="166"/>
      <c r="BU39" s="166"/>
      <c r="BV39" s="166"/>
      <c r="BW39" s="166"/>
      <c r="BX39" s="166"/>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row>
    <row r="40" spans="1:127" s="168" customFormat="1" ht="21" customHeight="1">
      <c r="A40" s="154"/>
      <c r="B40" s="971">
        <v>23</v>
      </c>
      <c r="C40" s="1694" t="s">
        <v>356</v>
      </c>
      <c r="D40" s="1694"/>
      <c r="E40" s="1694"/>
      <c r="F40" s="1694"/>
      <c r="G40" s="1694"/>
      <c r="H40" s="1694"/>
      <c r="I40" s="1694"/>
      <c r="J40" s="1694"/>
      <c r="K40" s="975"/>
      <c r="L40" s="976">
        <v>1</v>
      </c>
      <c r="M40" s="975"/>
      <c r="N40" s="975"/>
      <c r="O40" s="977"/>
      <c r="P40" s="161"/>
      <c r="Q40" s="971">
        <v>52</v>
      </c>
      <c r="R40" s="1693" t="s">
        <v>357</v>
      </c>
      <c r="S40" s="1693"/>
      <c r="T40" s="1693"/>
      <c r="U40" s="1693"/>
      <c r="V40" s="1693"/>
      <c r="W40" s="1693"/>
      <c r="X40" s="1693"/>
      <c r="Y40" s="1693"/>
      <c r="Z40" s="1308"/>
      <c r="AA40" s="975"/>
      <c r="AB40" s="975"/>
      <c r="AC40" s="975">
        <v>1</v>
      </c>
      <c r="AD40" s="977"/>
      <c r="AE40" s="154"/>
      <c r="AF40" s="167">
        <f t="shared" si="0"/>
        <v>0.89</v>
      </c>
      <c r="AG40" s="167">
        <f t="shared" si="1"/>
        <v>0.69</v>
      </c>
      <c r="AH40" s="154"/>
      <c r="AI40" s="154"/>
      <c r="AJ40" s="154"/>
      <c r="AK40" s="154"/>
      <c r="AL40" s="154"/>
      <c r="AM40" s="154"/>
      <c r="AN40" s="154"/>
      <c r="AO40" s="154"/>
      <c r="AP40" s="154"/>
      <c r="AQ40" s="154"/>
      <c r="AR40" s="154"/>
      <c r="AS40" s="154"/>
      <c r="AT40" s="154"/>
      <c r="AU40" s="154"/>
      <c r="AV40" s="154"/>
      <c r="AW40" s="154"/>
      <c r="AX40" s="154"/>
      <c r="AY40" s="154"/>
      <c r="AZ40" s="154"/>
      <c r="BA40" s="154"/>
      <c r="BB40" s="180"/>
      <c r="BC40" s="184"/>
      <c r="BD40" s="184"/>
      <c r="BE40" s="184"/>
      <c r="BF40" s="184"/>
      <c r="BG40" s="184"/>
      <c r="BH40" s="184"/>
      <c r="BI40" s="184"/>
      <c r="BJ40" s="184"/>
      <c r="BK40" s="171"/>
      <c r="BL40" s="180"/>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row>
    <row r="41" spans="1:127" s="168" customFormat="1" ht="21" customHeight="1">
      <c r="A41" s="154"/>
      <c r="B41" s="971">
        <v>24</v>
      </c>
      <c r="C41" s="1694" t="s">
        <v>358</v>
      </c>
      <c r="D41" s="1694"/>
      <c r="E41" s="1694"/>
      <c r="F41" s="1694"/>
      <c r="G41" s="1694"/>
      <c r="H41" s="1694"/>
      <c r="I41" s="1694"/>
      <c r="J41" s="1694"/>
      <c r="K41" s="975"/>
      <c r="L41" s="975"/>
      <c r="M41" s="975">
        <v>1</v>
      </c>
      <c r="N41" s="975"/>
      <c r="O41" s="978"/>
      <c r="P41" s="161"/>
      <c r="Q41" s="971">
        <v>53</v>
      </c>
      <c r="R41" s="1694" t="s">
        <v>359</v>
      </c>
      <c r="S41" s="1694"/>
      <c r="T41" s="1694"/>
      <c r="U41" s="1694"/>
      <c r="V41" s="1694"/>
      <c r="W41" s="1694"/>
      <c r="X41" s="1694"/>
      <c r="Y41" s="1694"/>
      <c r="Z41" s="1308"/>
      <c r="AA41" s="975">
        <v>1</v>
      </c>
      <c r="AB41" s="975"/>
      <c r="AC41" s="975"/>
      <c r="AD41" s="977"/>
      <c r="AE41" s="154"/>
      <c r="AF41" s="167">
        <f t="shared" si="0"/>
        <v>0.79</v>
      </c>
      <c r="AG41" s="167">
        <f t="shared" si="1"/>
        <v>0.89</v>
      </c>
      <c r="AH41" s="154"/>
      <c r="AI41" s="154"/>
      <c r="AJ41" s="154"/>
      <c r="AK41" s="154"/>
      <c r="AL41" s="154"/>
      <c r="AM41" s="154"/>
      <c r="AN41" s="154"/>
      <c r="AO41" s="154"/>
      <c r="AP41" s="154"/>
      <c r="AQ41" s="154"/>
      <c r="AR41" s="154"/>
      <c r="AS41" s="154"/>
      <c r="AT41" s="154"/>
      <c r="AU41" s="154"/>
      <c r="AV41" s="154"/>
      <c r="AW41" s="154"/>
      <c r="AX41" s="154"/>
      <c r="AY41" s="154"/>
      <c r="AZ41" s="154"/>
      <c r="BA41" s="154"/>
      <c r="BB41" s="180"/>
      <c r="BC41" s="184"/>
      <c r="BD41" s="184"/>
      <c r="BE41" s="184"/>
      <c r="BF41" s="184"/>
      <c r="BG41" s="184"/>
      <c r="BH41" s="184"/>
      <c r="BI41" s="184"/>
      <c r="BJ41" s="184"/>
      <c r="BK41" s="171"/>
      <c r="BL41" s="180"/>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row>
    <row r="42" spans="1:127" s="168" customFormat="1" ht="21" customHeight="1">
      <c r="A42" s="154"/>
      <c r="B42" s="971">
        <v>25</v>
      </c>
      <c r="C42" s="1694" t="s">
        <v>360</v>
      </c>
      <c r="D42" s="1694"/>
      <c r="E42" s="1694"/>
      <c r="F42" s="1694"/>
      <c r="G42" s="1694"/>
      <c r="H42" s="1694"/>
      <c r="I42" s="1694"/>
      <c r="J42" s="1694"/>
      <c r="K42" s="975"/>
      <c r="L42" s="976">
        <v>1</v>
      </c>
      <c r="M42" s="975"/>
      <c r="N42" s="975"/>
      <c r="O42" s="977"/>
      <c r="P42" s="161"/>
      <c r="Q42" s="971">
        <v>54</v>
      </c>
      <c r="R42" s="1694" t="s">
        <v>361</v>
      </c>
      <c r="S42" s="1694"/>
      <c r="T42" s="1694"/>
      <c r="U42" s="1694"/>
      <c r="V42" s="1694"/>
      <c r="W42" s="1694"/>
      <c r="X42" s="1694"/>
      <c r="Y42" s="1694"/>
      <c r="Z42" s="1307"/>
      <c r="AA42" s="975">
        <v>1</v>
      </c>
      <c r="AB42" s="975"/>
      <c r="AC42" s="975"/>
      <c r="AD42" s="977"/>
      <c r="AE42" s="154"/>
      <c r="AF42" s="167">
        <f t="shared" si="0"/>
        <v>0.89</v>
      </c>
      <c r="AG42" s="167">
        <f t="shared" si="1"/>
        <v>0.89</v>
      </c>
      <c r="AH42" s="154"/>
      <c r="AI42" s="154"/>
      <c r="AJ42" s="154"/>
      <c r="AK42" s="154"/>
      <c r="AL42" s="154"/>
      <c r="AM42" s="154"/>
      <c r="AN42" s="154"/>
      <c r="AO42" s="154"/>
      <c r="AP42" s="154"/>
      <c r="AQ42" s="154"/>
      <c r="AR42" s="154"/>
      <c r="AS42" s="154"/>
      <c r="AT42" s="154"/>
      <c r="AU42" s="154"/>
      <c r="AV42" s="154"/>
      <c r="AW42" s="154"/>
      <c r="AX42" s="154"/>
      <c r="AY42" s="154"/>
      <c r="AZ42" s="154"/>
      <c r="BA42" s="154"/>
      <c r="BB42" s="180"/>
      <c r="BC42" s="184"/>
      <c r="BD42" s="184"/>
      <c r="BE42" s="184"/>
      <c r="BF42" s="184"/>
      <c r="BG42" s="184"/>
      <c r="BH42" s="184"/>
      <c r="BI42" s="184"/>
      <c r="BJ42" s="184"/>
      <c r="BK42" s="171"/>
      <c r="BL42" s="180"/>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row>
    <row r="43" spans="1:127" s="168" customFormat="1" ht="21" customHeight="1">
      <c r="A43" s="154"/>
      <c r="B43" s="971">
        <v>26</v>
      </c>
      <c r="C43" s="1694" t="s">
        <v>362</v>
      </c>
      <c r="D43" s="1694"/>
      <c r="E43" s="1694"/>
      <c r="F43" s="1694"/>
      <c r="G43" s="1694"/>
      <c r="H43" s="1694"/>
      <c r="I43" s="1694"/>
      <c r="J43" s="1694"/>
      <c r="K43" s="975"/>
      <c r="L43" s="976">
        <v>1</v>
      </c>
      <c r="M43" s="975"/>
      <c r="N43" s="975"/>
      <c r="O43" s="977"/>
      <c r="P43" s="161"/>
      <c r="Q43" s="971">
        <v>55</v>
      </c>
      <c r="R43" s="1694" t="s">
        <v>363</v>
      </c>
      <c r="S43" s="1694"/>
      <c r="T43" s="1694"/>
      <c r="U43" s="1694"/>
      <c r="V43" s="1694"/>
      <c r="W43" s="1694"/>
      <c r="X43" s="1694"/>
      <c r="Y43" s="1694"/>
      <c r="Z43" s="1307"/>
      <c r="AA43" s="975"/>
      <c r="AB43" s="975"/>
      <c r="AC43" s="975"/>
      <c r="AD43" s="978">
        <v>1</v>
      </c>
      <c r="AE43" s="154"/>
      <c r="AF43" s="167">
        <f t="shared" si="0"/>
        <v>0.89</v>
      </c>
      <c r="AG43" s="167">
        <f t="shared" si="1"/>
        <v>1</v>
      </c>
      <c r="AH43" s="154"/>
      <c r="AI43" s="154"/>
      <c r="AJ43" s="154"/>
      <c r="AK43" s="154"/>
      <c r="AL43" s="154"/>
      <c r="AM43" s="154"/>
      <c r="AN43" s="154"/>
      <c r="AO43" s="154"/>
      <c r="AP43" s="154"/>
      <c r="AQ43" s="154"/>
      <c r="AR43" s="154"/>
      <c r="AS43" s="154"/>
      <c r="AT43" s="154"/>
      <c r="AU43" s="154"/>
      <c r="AV43" s="154"/>
      <c r="AW43" s="154"/>
      <c r="AX43" s="154"/>
      <c r="AY43" s="154"/>
      <c r="AZ43" s="154"/>
      <c r="BA43" s="154"/>
      <c r="BB43" s="180"/>
      <c r="BC43" s="184"/>
      <c r="BD43" s="184"/>
      <c r="BE43" s="184"/>
      <c r="BF43" s="184"/>
      <c r="BG43" s="184"/>
      <c r="BH43" s="184"/>
      <c r="BI43" s="184"/>
      <c r="BJ43" s="184"/>
      <c r="BK43" s="171"/>
      <c r="BL43" s="180"/>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row>
    <row r="44" spans="1:127" s="168" customFormat="1" ht="21" customHeight="1">
      <c r="A44" s="154"/>
      <c r="B44" s="971">
        <v>27</v>
      </c>
      <c r="C44" s="1694" t="s">
        <v>364</v>
      </c>
      <c r="D44" s="1694"/>
      <c r="E44" s="1694"/>
      <c r="F44" s="1694"/>
      <c r="G44" s="1694"/>
      <c r="H44" s="1694"/>
      <c r="I44" s="1694"/>
      <c r="J44" s="1694"/>
      <c r="K44" s="975"/>
      <c r="L44" s="975"/>
      <c r="M44" s="975">
        <v>1</v>
      </c>
      <c r="N44" s="975"/>
      <c r="O44" s="978"/>
      <c r="P44" s="161"/>
      <c r="Q44" s="971">
        <v>56</v>
      </c>
      <c r="R44" s="1694" t="s">
        <v>365</v>
      </c>
      <c r="S44" s="1694"/>
      <c r="T44" s="1694"/>
      <c r="U44" s="1694"/>
      <c r="V44" s="1694"/>
      <c r="W44" s="1694"/>
      <c r="X44" s="1694"/>
      <c r="Y44" s="1694"/>
      <c r="Z44" s="1307"/>
      <c r="AA44" s="975">
        <v>1</v>
      </c>
      <c r="AB44" s="975"/>
      <c r="AC44" s="975"/>
      <c r="AD44" s="977"/>
      <c r="AE44" s="154"/>
      <c r="AF44" s="167">
        <f t="shared" si="0"/>
        <v>0.79</v>
      </c>
      <c r="AG44" s="167">
        <f t="shared" si="1"/>
        <v>0.89</v>
      </c>
      <c r="AH44" s="154"/>
      <c r="AI44" s="154"/>
      <c r="AJ44" s="154"/>
      <c r="AK44" s="154"/>
      <c r="AL44" s="154"/>
      <c r="AM44" s="154"/>
      <c r="AN44" s="154"/>
      <c r="AO44" s="154"/>
      <c r="AP44" s="154"/>
      <c r="AQ44" s="154"/>
      <c r="AR44" s="154"/>
      <c r="AS44" s="154"/>
      <c r="AT44" s="154"/>
      <c r="AU44" s="154"/>
      <c r="AV44" s="154"/>
      <c r="AW44" s="154"/>
      <c r="AX44" s="154"/>
      <c r="AY44" s="154"/>
      <c r="AZ44" s="154"/>
      <c r="BA44" s="154"/>
      <c r="BB44" s="180"/>
      <c r="BC44" s="184"/>
      <c r="BD44" s="184"/>
      <c r="BE44" s="184"/>
      <c r="BF44" s="184"/>
      <c r="BG44" s="184"/>
      <c r="BH44" s="184"/>
      <c r="BI44" s="184"/>
      <c r="BJ44" s="184"/>
      <c r="BK44" s="171"/>
      <c r="BL44" s="180"/>
      <c r="BM44" s="184"/>
      <c r="BN44" s="184"/>
      <c r="BO44" s="184"/>
      <c r="BP44" s="184"/>
      <c r="BQ44" s="184"/>
      <c r="BR44" s="184"/>
      <c r="BS44" s="184"/>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row>
    <row r="45" spans="1:127" s="168" customFormat="1" ht="21" customHeight="1">
      <c r="A45" s="154"/>
      <c r="B45" s="971">
        <v>28</v>
      </c>
      <c r="C45" s="1694" t="s">
        <v>366</v>
      </c>
      <c r="D45" s="1694"/>
      <c r="E45" s="1694"/>
      <c r="F45" s="1694"/>
      <c r="G45" s="1694"/>
      <c r="H45" s="1694"/>
      <c r="I45" s="1694"/>
      <c r="J45" s="1694"/>
      <c r="K45" s="975"/>
      <c r="L45" s="975">
        <v>1</v>
      </c>
      <c r="M45" s="975"/>
      <c r="N45" s="976"/>
      <c r="O45" s="977"/>
      <c r="P45" s="161"/>
      <c r="Q45" s="971">
        <v>57</v>
      </c>
      <c r="R45" s="1722" t="s">
        <v>367</v>
      </c>
      <c r="S45" s="1722"/>
      <c r="T45" s="1722"/>
      <c r="U45" s="1722"/>
      <c r="V45" s="1722"/>
      <c r="W45" s="1722"/>
      <c r="X45" s="1722"/>
      <c r="Y45" s="1722"/>
      <c r="Z45" s="1307"/>
      <c r="AA45" s="975">
        <v>1</v>
      </c>
      <c r="AB45" s="975"/>
      <c r="AC45" s="975"/>
      <c r="AD45" s="977"/>
      <c r="AE45" s="154"/>
      <c r="AF45" s="167">
        <f t="shared" si="0"/>
        <v>0.89</v>
      </c>
      <c r="AG45" s="167">
        <f t="shared" si="1"/>
        <v>0.89</v>
      </c>
      <c r="AH45" s="154"/>
      <c r="AI45" s="154"/>
      <c r="AJ45" s="154"/>
      <c r="AK45" s="154"/>
      <c r="AL45" s="154"/>
      <c r="AM45" s="154"/>
      <c r="AN45" s="154"/>
      <c r="AO45" s="154"/>
      <c r="AP45" s="154"/>
      <c r="AQ45" s="154"/>
      <c r="AR45" s="154"/>
      <c r="AS45" s="154"/>
      <c r="AT45" s="154"/>
      <c r="AU45" s="154"/>
      <c r="AV45" s="154"/>
      <c r="AW45" s="154"/>
      <c r="AX45" s="154"/>
      <c r="AY45" s="154"/>
      <c r="AZ45" s="154"/>
      <c r="BA45" s="154"/>
      <c r="BB45" s="180"/>
      <c r="BC45" s="184"/>
      <c r="BD45" s="184"/>
      <c r="BE45" s="184"/>
      <c r="BF45" s="184"/>
      <c r="BG45" s="184"/>
      <c r="BH45" s="184"/>
      <c r="BI45" s="184"/>
      <c r="BJ45" s="184"/>
      <c r="BK45" s="171"/>
      <c r="BL45" s="180"/>
      <c r="BM45" s="184"/>
      <c r="BN45" s="184"/>
      <c r="BO45" s="184"/>
      <c r="BP45" s="184"/>
      <c r="BQ45" s="184"/>
      <c r="BR45" s="184"/>
      <c r="BS45" s="184"/>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row>
    <row r="46" spans="1:127" s="168" customFormat="1" ht="21" customHeight="1" thickBot="1">
      <c r="A46" s="154"/>
      <c r="B46" s="185">
        <v>29</v>
      </c>
      <c r="C46" s="1742" t="s">
        <v>368</v>
      </c>
      <c r="D46" s="1742"/>
      <c r="E46" s="1742"/>
      <c r="F46" s="1742"/>
      <c r="G46" s="1742"/>
      <c r="H46" s="1742"/>
      <c r="I46" s="1742"/>
      <c r="J46" s="1742"/>
      <c r="K46" s="979"/>
      <c r="L46" s="979">
        <v>1</v>
      </c>
      <c r="M46" s="980"/>
      <c r="N46" s="979"/>
      <c r="O46" s="981"/>
      <c r="P46" s="161"/>
      <c r="Q46" s="185">
        <v>58</v>
      </c>
      <c r="R46" s="1743" t="s">
        <v>369</v>
      </c>
      <c r="S46" s="1743"/>
      <c r="T46" s="1743"/>
      <c r="U46" s="1743"/>
      <c r="V46" s="1743"/>
      <c r="W46" s="1743"/>
      <c r="X46" s="1743"/>
      <c r="Y46" s="1743"/>
      <c r="Z46" s="1309"/>
      <c r="AA46" s="979">
        <v>1</v>
      </c>
      <c r="AB46" s="979"/>
      <c r="AC46" s="979"/>
      <c r="AD46" s="981"/>
      <c r="AE46" s="154"/>
      <c r="AF46" s="167">
        <f t="shared" si="0"/>
        <v>0.89</v>
      </c>
      <c r="AG46" s="167">
        <f t="shared" si="1"/>
        <v>0.89</v>
      </c>
      <c r="AH46" s="154"/>
      <c r="AI46" s="154"/>
      <c r="AJ46" s="154"/>
      <c r="AK46" s="154"/>
      <c r="AL46" s="154"/>
      <c r="AM46" s="154"/>
      <c r="AN46" s="154"/>
      <c r="AO46" s="154"/>
      <c r="AP46" s="154"/>
      <c r="AQ46" s="154"/>
      <c r="AR46" s="154"/>
      <c r="AS46" s="154"/>
      <c r="AT46" s="154"/>
      <c r="AU46" s="154"/>
      <c r="AV46" s="154"/>
      <c r="AW46" s="154"/>
      <c r="AX46" s="154"/>
      <c r="AY46" s="154"/>
      <c r="AZ46" s="154"/>
      <c r="BA46" s="154"/>
      <c r="BB46" s="180"/>
      <c r="BC46" s="184"/>
      <c r="BD46" s="184"/>
      <c r="BE46" s="184"/>
      <c r="BF46" s="184"/>
      <c r="BG46" s="184"/>
      <c r="BH46" s="184"/>
      <c r="BI46" s="184"/>
      <c r="BJ46" s="184"/>
      <c r="BK46" s="171"/>
      <c r="BL46" s="180"/>
      <c r="BM46" s="184"/>
      <c r="BN46" s="184"/>
      <c r="BO46" s="184"/>
      <c r="BP46" s="184"/>
      <c r="BQ46" s="184"/>
      <c r="BR46" s="184"/>
      <c r="BS46" s="184"/>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row>
    <row r="47" spans="1:127" s="168" customFormat="1">
      <c r="A47" s="154"/>
      <c r="B47" s="1744"/>
      <c r="C47" s="1744"/>
      <c r="D47" s="1744"/>
      <c r="E47" s="186"/>
      <c r="F47" s="186"/>
      <c r="G47" s="186"/>
      <c r="H47" s="186"/>
      <c r="I47" s="187"/>
      <c r="J47" s="187"/>
      <c r="K47" s="187"/>
      <c r="L47" s="188"/>
      <c r="M47" s="187"/>
      <c r="N47" s="187"/>
      <c r="O47" s="187"/>
      <c r="P47" s="187"/>
      <c r="Q47" s="186"/>
      <c r="R47" s="186"/>
      <c r="S47" s="186"/>
      <c r="T47" s="186"/>
      <c r="U47" s="186"/>
      <c r="V47" s="186"/>
      <c r="W47" s="186"/>
      <c r="X47" s="186"/>
      <c r="Y47" s="186"/>
      <c r="Z47" s="189"/>
      <c r="AA47" s="189"/>
      <c r="AB47" s="189"/>
      <c r="AC47" s="189"/>
      <c r="AD47" s="189"/>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row>
    <row r="48" spans="1:127" s="168" customFormat="1" ht="13.8" hidden="1" thickBot="1">
      <c r="A48" s="154"/>
      <c r="B48" s="1744"/>
      <c r="C48" s="1744"/>
      <c r="D48" s="1744"/>
      <c r="E48" s="186"/>
      <c r="F48" s="186"/>
      <c r="G48" s="186"/>
      <c r="H48" s="186"/>
      <c r="I48" s="1745" t="s">
        <v>300</v>
      </c>
      <c r="J48" s="1745"/>
      <c r="K48" s="1745"/>
      <c r="L48" s="1745"/>
      <c r="M48" s="187"/>
      <c r="N48" s="187"/>
      <c r="O48" s="187"/>
      <c r="P48" s="187"/>
      <c r="Q48" s="186"/>
      <c r="R48" s="186"/>
      <c r="S48" s="186"/>
      <c r="T48" s="186"/>
      <c r="U48" s="186"/>
      <c r="V48" s="186"/>
      <c r="W48" s="186"/>
      <c r="X48" s="186"/>
      <c r="Y48" s="186"/>
      <c r="Z48" s="189"/>
      <c r="AA48" s="189"/>
      <c r="AB48" s="189"/>
      <c r="AC48" s="189"/>
      <c r="AD48" s="189"/>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row>
    <row r="49" spans="1:127" s="168" customFormat="1" ht="16.2" hidden="1" thickBot="1">
      <c r="A49" s="154"/>
      <c r="B49" s="190"/>
      <c r="C49" s="190"/>
      <c r="D49" s="190"/>
      <c r="E49" s="190"/>
      <c r="F49" s="190"/>
      <c r="G49" s="191"/>
      <c r="H49" s="191"/>
      <c r="I49" s="191"/>
      <c r="J49" s="191"/>
      <c r="K49" s="191"/>
      <c r="L49" s="191"/>
      <c r="M49" s="1746" t="s">
        <v>370</v>
      </c>
      <c r="N49" s="1747"/>
      <c r="O49" s="1748"/>
      <c r="P49" s="187"/>
      <c r="Q49" s="1749">
        <f>AF17</f>
        <v>0.90120689655172415</v>
      </c>
      <c r="R49" s="1750"/>
      <c r="S49" s="1751"/>
      <c r="T49" s="190"/>
      <c r="U49" s="190"/>
      <c r="V49" s="191"/>
      <c r="W49" s="191"/>
      <c r="X49" s="191"/>
      <c r="Y49" s="191"/>
      <c r="Z49" s="191"/>
      <c r="AA49" s="191"/>
      <c r="AB49" s="191"/>
      <c r="AC49" s="191"/>
      <c r="AD49" s="191"/>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752"/>
      <c r="BC49" s="1752"/>
      <c r="BD49" s="1752"/>
      <c r="BE49" s="1752"/>
      <c r="BF49" s="1752"/>
      <c r="BG49" s="1752"/>
      <c r="BH49" s="1752"/>
      <c r="BI49" s="1752"/>
      <c r="BJ49" s="1753"/>
      <c r="BK49" s="1753"/>
      <c r="BL49" s="1753"/>
      <c r="BM49" s="1753"/>
      <c r="BN49" s="1753"/>
      <c r="BO49" s="1753"/>
      <c r="BP49" s="1753"/>
      <c r="BQ49" s="1753"/>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row>
    <row r="50" spans="1:127" s="168" customFormat="1" ht="13.8" thickBot="1">
      <c r="A50" s="154"/>
      <c r="B50" s="192"/>
      <c r="C50" s="192"/>
      <c r="D50" s="192"/>
      <c r="E50" s="192"/>
      <c r="F50" s="192"/>
      <c r="G50" s="193"/>
      <c r="H50" s="193"/>
      <c r="I50" s="193"/>
      <c r="J50" s="193"/>
      <c r="K50" s="193"/>
      <c r="L50" s="193"/>
      <c r="M50" s="193"/>
      <c r="N50" s="193"/>
      <c r="O50" s="193"/>
      <c r="P50" s="187"/>
      <c r="Q50" s="192"/>
      <c r="R50" s="192"/>
      <c r="S50" s="192"/>
      <c r="T50" s="192"/>
      <c r="U50" s="192"/>
      <c r="V50" s="193"/>
      <c r="W50" s="193"/>
      <c r="X50" s="193"/>
      <c r="Y50" s="193"/>
      <c r="Z50" s="193"/>
      <c r="AA50" s="193"/>
      <c r="AB50" s="193"/>
      <c r="AC50" s="193"/>
      <c r="AD50" s="193"/>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753"/>
      <c r="BC50" s="1754"/>
      <c r="BD50" s="1754"/>
      <c r="BE50" s="1754"/>
      <c r="BF50" s="1754"/>
      <c r="BG50" s="1754"/>
      <c r="BH50" s="1754"/>
      <c r="BI50" s="1754"/>
      <c r="BJ50" s="1753"/>
      <c r="BK50" s="1754"/>
      <c r="BL50" s="1754"/>
      <c r="BM50" s="1754"/>
      <c r="BN50" s="1754"/>
      <c r="BO50" s="1754"/>
      <c r="BP50" s="1754"/>
      <c r="BQ50" s="1754"/>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row>
    <row r="51" spans="1:127" s="168" customFormat="1" ht="15" thickBot="1">
      <c r="A51" s="154"/>
      <c r="B51" s="1755" t="s">
        <v>371</v>
      </c>
      <c r="C51" s="1756"/>
      <c r="D51" s="1756"/>
      <c r="E51" s="1756"/>
      <c r="F51" s="1756"/>
      <c r="G51" s="1757" t="s">
        <v>1304</v>
      </c>
      <c r="H51" s="1757"/>
      <c r="I51" s="1757"/>
      <c r="J51" s="1757"/>
      <c r="K51" s="1757"/>
      <c r="L51" s="1757"/>
      <c r="M51" s="1757"/>
      <c r="N51" s="1757"/>
      <c r="O51" s="1758"/>
      <c r="P51" s="187"/>
      <c r="Q51" s="1755" t="s">
        <v>372</v>
      </c>
      <c r="R51" s="1756"/>
      <c r="S51" s="1756"/>
      <c r="T51" s="1756"/>
      <c r="U51" s="1756"/>
      <c r="V51" s="1759" t="s">
        <v>1209</v>
      </c>
      <c r="W51" s="1760"/>
      <c r="X51" s="1760"/>
      <c r="Y51" s="1760"/>
      <c r="Z51" s="1760"/>
      <c r="AA51" s="1760"/>
      <c r="AB51" s="1760"/>
      <c r="AC51" s="1760"/>
      <c r="AD51" s="1761"/>
      <c r="AE51" s="1210"/>
      <c r="AF51" s="1209"/>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753"/>
      <c r="BC51" s="1753"/>
      <c r="BD51" s="1753"/>
      <c r="BE51" s="1753"/>
      <c r="BF51" s="1753"/>
      <c r="BG51" s="1753"/>
      <c r="BH51" s="1753"/>
      <c r="BI51" s="1753"/>
      <c r="BJ51" s="1753"/>
      <c r="BK51" s="1753"/>
      <c r="BL51" s="1753"/>
      <c r="BM51" s="1753"/>
      <c r="BN51" s="1753"/>
      <c r="BO51" s="1753"/>
      <c r="BP51" s="1753"/>
      <c r="BQ51" s="1753"/>
    </row>
    <row r="52" spans="1:127" s="168" customFormat="1">
      <c r="A52" s="154"/>
      <c r="B52" s="1745"/>
      <c r="C52" s="1745"/>
      <c r="D52" s="1745"/>
      <c r="E52" s="1745"/>
      <c r="F52" s="1745"/>
      <c r="G52" s="1745"/>
      <c r="H52" s="1745"/>
      <c r="I52" s="1745"/>
      <c r="J52" s="1745"/>
      <c r="K52" s="1745"/>
      <c r="L52" s="1745"/>
      <c r="M52" s="1745"/>
      <c r="N52" s="1745"/>
      <c r="O52" s="1745"/>
      <c r="P52" s="1745"/>
      <c r="Q52" s="1745"/>
      <c r="R52" s="1745"/>
      <c r="S52" s="1745"/>
      <c r="T52" s="1745"/>
      <c r="U52" s="1745"/>
      <c r="V52" s="1745"/>
      <c r="W52" s="1745"/>
      <c r="X52" s="1745"/>
      <c r="Y52" s="1745"/>
      <c r="Z52" s="1745"/>
      <c r="AA52" s="1745"/>
      <c r="AB52" s="1745"/>
      <c r="AC52" s="1745"/>
      <c r="AD52" s="1745"/>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753"/>
      <c r="BC52" s="1753"/>
      <c r="BD52" s="1753"/>
      <c r="BE52" s="1753"/>
      <c r="BF52" s="1753"/>
      <c r="BG52" s="1753"/>
      <c r="BH52" s="1753"/>
      <c r="BI52" s="1753"/>
      <c r="BJ52" s="1762"/>
      <c r="BK52" s="1762"/>
      <c r="BL52" s="1762"/>
      <c r="BM52" s="1762"/>
      <c r="BN52" s="1762"/>
      <c r="BO52" s="1762"/>
      <c r="BP52" s="1762"/>
      <c r="BQ52" s="1762"/>
    </row>
    <row r="53" spans="1:127" s="168" customFormat="1" ht="37.200000000000003" customHeight="1">
      <c r="A53" s="154"/>
      <c r="B53" s="1763" t="s">
        <v>373</v>
      </c>
      <c r="C53" s="1763"/>
      <c r="D53" s="1763"/>
      <c r="E53" s="1763"/>
      <c r="F53" s="1763"/>
      <c r="G53" s="1763"/>
      <c r="H53" s="1763"/>
      <c r="I53" s="1763"/>
      <c r="J53" s="1763"/>
      <c r="K53" s="1763"/>
      <c r="L53" s="1763"/>
      <c r="M53" s="1764"/>
      <c r="N53" s="1764"/>
      <c r="O53" s="1764"/>
      <c r="P53" s="1764"/>
      <c r="Q53" s="1764"/>
      <c r="R53" s="1764"/>
      <c r="S53" s="1764"/>
      <c r="T53" s="1764"/>
      <c r="U53" s="1764"/>
      <c r="V53" s="1764"/>
      <c r="W53" s="1764"/>
      <c r="X53" s="1764"/>
      <c r="Y53" s="1764"/>
      <c r="Z53" s="1764"/>
      <c r="AA53" s="1764"/>
      <c r="AB53" s="1764"/>
      <c r="AC53" s="1764"/>
      <c r="AD53" s="1764"/>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752"/>
      <c r="BC53" s="1752"/>
      <c r="BD53" s="1752"/>
      <c r="BE53" s="1752"/>
      <c r="BF53" s="1752"/>
      <c r="BG53" s="1752"/>
      <c r="BH53" s="1752"/>
      <c r="BI53" s="1752"/>
      <c r="BJ53" s="1753"/>
      <c r="BK53" s="1753"/>
      <c r="BL53" s="1753"/>
      <c r="BM53" s="1753"/>
      <c r="BN53" s="1753"/>
      <c r="BO53" s="1753"/>
      <c r="BP53" s="1753"/>
      <c r="BQ53" s="1753"/>
    </row>
    <row r="54" spans="1:127" s="168" customFormat="1">
      <c r="A54" s="154"/>
      <c r="B54" s="194"/>
      <c r="C54" s="195"/>
      <c r="D54" s="195"/>
      <c r="E54" s="195"/>
      <c r="F54" s="195"/>
      <c r="G54" s="195"/>
      <c r="H54" s="195"/>
      <c r="I54" s="195"/>
      <c r="J54" s="195"/>
      <c r="K54" s="195"/>
      <c r="L54" s="195"/>
      <c r="M54" s="196"/>
      <c r="N54" s="196"/>
      <c r="O54" s="196"/>
      <c r="P54" s="196"/>
      <c r="Q54" s="196"/>
      <c r="R54" s="196"/>
      <c r="S54" s="196"/>
      <c r="T54" s="196"/>
      <c r="U54" s="196"/>
      <c r="V54" s="196"/>
      <c r="W54" s="196"/>
      <c r="X54" s="196"/>
      <c r="Y54" s="196"/>
      <c r="Z54" s="196"/>
      <c r="AA54" s="196"/>
      <c r="AB54" s="196"/>
      <c r="AC54" s="196"/>
      <c r="AD54" s="196"/>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752"/>
      <c r="BC54" s="1752"/>
      <c r="BD54" s="1752"/>
      <c r="BE54" s="1752"/>
      <c r="BF54" s="1752"/>
      <c r="BG54" s="1752"/>
      <c r="BH54" s="1752"/>
      <c r="BI54" s="1752"/>
      <c r="BJ54" s="1753"/>
      <c r="BK54" s="1753"/>
      <c r="BL54" s="1753"/>
      <c r="BM54" s="1753"/>
      <c r="BN54" s="1753"/>
      <c r="BO54" s="1753"/>
      <c r="BP54" s="1753"/>
      <c r="BQ54" s="1753"/>
    </row>
    <row r="55" spans="1:12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54"/>
      <c r="AF55" s="154"/>
      <c r="AG55" s="154"/>
      <c r="AH55" s="154"/>
      <c r="AI55" s="154"/>
      <c r="AJ55" s="154"/>
      <c r="AK55" s="154"/>
      <c r="AL55" s="154"/>
      <c r="AM55" s="154"/>
      <c r="BB55" s="1752"/>
      <c r="BC55" s="1752"/>
      <c r="BD55" s="1752"/>
      <c r="BE55" s="1752"/>
      <c r="BF55" s="1752"/>
      <c r="BG55" s="1752"/>
      <c r="BH55" s="1752"/>
      <c r="BI55" s="1752"/>
      <c r="BJ55" s="1753"/>
      <c r="BK55" s="1753"/>
      <c r="BL55" s="1753"/>
      <c r="BM55" s="1753"/>
      <c r="BN55" s="1753"/>
      <c r="BO55" s="1753"/>
      <c r="BP55" s="1753"/>
      <c r="BQ55" s="1753"/>
    </row>
    <row r="56" spans="1:127" ht="27" customHeight="1">
      <c r="B56" s="198"/>
      <c r="C56" s="198"/>
      <c r="D56" s="198"/>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54"/>
      <c r="AF56" s="154"/>
      <c r="AG56" s="154"/>
      <c r="AH56" s="154"/>
      <c r="AI56" s="154"/>
      <c r="AJ56" s="154"/>
      <c r="AK56" s="154"/>
      <c r="AL56" s="154"/>
      <c r="AM56" s="154"/>
      <c r="BB56" s="1753"/>
      <c r="BC56" s="1753"/>
      <c r="BD56" s="1753"/>
      <c r="BE56" s="1753"/>
      <c r="BF56" s="1753"/>
      <c r="BG56" s="1753"/>
      <c r="BH56" s="1753"/>
      <c r="BI56" s="1753"/>
      <c r="BJ56" s="1753"/>
      <c r="BK56" s="1753"/>
      <c r="BL56" s="1753"/>
      <c r="BM56" s="1753"/>
      <c r="BN56" s="1753"/>
      <c r="BO56" s="1753"/>
      <c r="BP56" s="1753"/>
      <c r="BQ56" s="1753"/>
    </row>
    <row r="57" spans="1:127">
      <c r="AE57" s="154"/>
      <c r="AF57" s="154"/>
      <c r="AG57" s="154"/>
      <c r="AH57" s="154"/>
      <c r="AI57" s="154"/>
      <c r="AJ57" s="154"/>
      <c r="AK57" s="154"/>
      <c r="AL57" s="154"/>
      <c r="AM57" s="154"/>
      <c r="BB57" s="1753"/>
      <c r="BC57" s="1753"/>
      <c r="BD57" s="1753"/>
      <c r="BE57" s="1753"/>
      <c r="BF57" s="1753"/>
      <c r="BG57" s="1753"/>
      <c r="BH57" s="1753"/>
      <c r="BI57" s="1753"/>
      <c r="BJ57" s="1753"/>
      <c r="BK57" s="1753"/>
      <c r="BL57" s="1753"/>
      <c r="BM57" s="1753"/>
      <c r="BN57" s="1753"/>
      <c r="BO57" s="1753"/>
      <c r="BP57" s="1753"/>
      <c r="BQ57" s="1753"/>
    </row>
    <row r="58" spans="1:127">
      <c r="AE58" s="154"/>
      <c r="AF58" s="154"/>
      <c r="AG58" s="154"/>
      <c r="AH58" s="154"/>
      <c r="AI58" s="154"/>
      <c r="AJ58" s="154"/>
      <c r="AK58" s="154"/>
      <c r="AL58" s="154"/>
      <c r="AM58" s="154"/>
      <c r="BB58" s="1753"/>
      <c r="BC58" s="1753"/>
      <c r="BD58" s="1753"/>
      <c r="BE58" s="1753"/>
      <c r="BF58" s="1753"/>
      <c r="BG58" s="1753"/>
      <c r="BH58" s="1753"/>
      <c r="BI58" s="1753"/>
      <c r="BJ58" s="1753"/>
      <c r="BK58" s="1753"/>
      <c r="BL58" s="1753"/>
      <c r="BM58" s="1753"/>
      <c r="BN58" s="1753"/>
      <c r="BO58" s="1753"/>
      <c r="BP58" s="1753"/>
      <c r="BQ58" s="1753"/>
    </row>
    <row r="59" spans="1:127">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154"/>
      <c r="AF59" s="154"/>
      <c r="AG59" s="154"/>
      <c r="AH59" s="154"/>
      <c r="AI59" s="154"/>
      <c r="AJ59" s="154"/>
      <c r="AK59" s="154"/>
      <c r="AL59" s="154"/>
      <c r="AM59" s="154"/>
      <c r="BB59" s="1752"/>
      <c r="BC59" s="1752"/>
      <c r="BD59" s="1752"/>
      <c r="BE59" s="1752"/>
      <c r="BF59" s="1752"/>
      <c r="BG59" s="1752"/>
      <c r="BH59" s="1752"/>
      <c r="BI59" s="1752"/>
      <c r="BJ59" s="1753"/>
      <c r="BK59" s="1753"/>
      <c r="BL59" s="1753"/>
      <c r="BM59" s="1753"/>
      <c r="BN59" s="1753"/>
      <c r="BO59" s="1753"/>
      <c r="BP59" s="1753"/>
      <c r="BQ59" s="1753"/>
    </row>
    <row r="60" spans="1:127">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154"/>
      <c r="AF60" s="154"/>
      <c r="AG60" s="154"/>
      <c r="AH60" s="154"/>
      <c r="AI60" s="154"/>
      <c r="AJ60" s="154"/>
      <c r="AK60" s="154"/>
      <c r="AL60" s="154"/>
      <c r="AM60" s="154"/>
      <c r="BB60" s="1753"/>
      <c r="BC60" s="1753"/>
      <c r="BD60" s="1753"/>
      <c r="BE60" s="1753"/>
      <c r="BF60" s="1753"/>
      <c r="BG60" s="1753"/>
      <c r="BH60" s="1753"/>
      <c r="BI60" s="1753"/>
      <c r="BJ60" s="1753"/>
      <c r="BK60" s="1753"/>
      <c r="BL60" s="1753"/>
      <c r="BM60" s="1753"/>
      <c r="BN60" s="1753"/>
      <c r="BO60" s="1753"/>
      <c r="BP60" s="1753"/>
      <c r="BQ60" s="1753"/>
    </row>
    <row r="61" spans="1:127">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154"/>
      <c r="AF61" s="154"/>
      <c r="AG61" s="154"/>
      <c r="AH61" s="154"/>
      <c r="AI61" s="154"/>
      <c r="AJ61" s="154"/>
      <c r="AK61" s="154"/>
      <c r="AL61" s="154"/>
      <c r="AM61" s="154"/>
      <c r="BB61" s="1752"/>
      <c r="BC61" s="1752"/>
      <c r="BD61" s="1752"/>
      <c r="BE61" s="1752"/>
      <c r="BF61" s="1752"/>
      <c r="BG61" s="1752"/>
      <c r="BH61" s="1752"/>
      <c r="BI61" s="1752"/>
      <c r="BJ61" s="1753"/>
      <c r="BK61" s="1754"/>
      <c r="BL61" s="1754"/>
      <c r="BM61" s="1754"/>
      <c r="BN61" s="1754"/>
      <c r="BO61" s="1754"/>
      <c r="BP61" s="1754"/>
      <c r="BQ61" s="1754"/>
    </row>
    <row r="62" spans="1:127">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154"/>
      <c r="AF62" s="154"/>
      <c r="AG62" s="154"/>
      <c r="AH62" s="154"/>
      <c r="AI62" s="154"/>
      <c r="AJ62" s="154"/>
      <c r="AK62" s="154"/>
      <c r="AL62" s="154"/>
      <c r="AM62" s="154"/>
      <c r="BB62" s="1753"/>
      <c r="BC62" s="1753"/>
      <c r="BD62" s="1753"/>
      <c r="BE62" s="1753"/>
      <c r="BF62" s="1753"/>
      <c r="BG62" s="1753"/>
      <c r="BH62" s="1753"/>
      <c r="BI62" s="1753"/>
      <c r="BJ62" s="1753"/>
      <c r="BK62" s="1753"/>
      <c r="BL62" s="1753"/>
      <c r="BM62" s="1753"/>
      <c r="BN62" s="1753"/>
      <c r="BO62" s="1753"/>
      <c r="BP62" s="1753"/>
      <c r="BQ62" s="1753"/>
    </row>
    <row r="63" spans="1:127">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154"/>
      <c r="AF63" s="154"/>
      <c r="AG63" s="154"/>
      <c r="AH63" s="154"/>
      <c r="AI63" s="154"/>
      <c r="AJ63" s="154"/>
      <c r="AK63" s="154"/>
      <c r="AL63" s="154"/>
      <c r="AM63" s="154"/>
      <c r="BB63" s="1753"/>
      <c r="BC63" s="1753"/>
      <c r="BD63" s="1753"/>
      <c r="BE63" s="1753"/>
      <c r="BF63" s="1753"/>
      <c r="BG63" s="1753"/>
      <c r="BH63" s="1753"/>
      <c r="BI63" s="1753"/>
      <c r="BJ63" s="1753"/>
      <c r="BK63" s="1753"/>
      <c r="BL63" s="1753"/>
      <c r="BM63" s="1753"/>
      <c r="BN63" s="1753"/>
      <c r="BO63" s="1753"/>
      <c r="BP63" s="1753"/>
      <c r="BQ63" s="1753"/>
    </row>
    <row r="64" spans="1:127">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154"/>
      <c r="AF64" s="154"/>
      <c r="AG64" s="154"/>
      <c r="AH64" s="154"/>
      <c r="AI64" s="154"/>
      <c r="AJ64" s="154"/>
      <c r="AK64" s="154"/>
      <c r="AL64" s="154"/>
      <c r="AM64" s="154"/>
      <c r="BB64" s="1753"/>
      <c r="BC64" s="1753"/>
      <c r="BD64" s="1753"/>
      <c r="BE64" s="1753"/>
      <c r="BF64" s="1753"/>
      <c r="BG64" s="1753"/>
      <c r="BH64" s="1753"/>
      <c r="BI64" s="1753"/>
      <c r="BJ64" s="1753"/>
      <c r="BK64" s="1753"/>
      <c r="BL64" s="1753"/>
      <c r="BM64" s="1753"/>
      <c r="BN64" s="1753"/>
      <c r="BO64" s="1753"/>
      <c r="BP64" s="1753"/>
      <c r="BQ64" s="1753"/>
    </row>
    <row r="65" spans="31:69">
      <c r="AE65" s="154"/>
      <c r="AF65" s="154"/>
      <c r="AG65" s="154"/>
      <c r="AH65" s="154"/>
      <c r="AI65" s="154"/>
      <c r="AJ65" s="154"/>
      <c r="AK65" s="154"/>
      <c r="AL65" s="154"/>
      <c r="AM65" s="154"/>
      <c r="BB65" s="1753"/>
      <c r="BC65" s="1753"/>
      <c r="BD65" s="1753"/>
      <c r="BE65" s="1753"/>
      <c r="BF65" s="1753"/>
      <c r="BG65" s="1753"/>
      <c r="BH65" s="1753"/>
      <c r="BI65" s="1753"/>
      <c r="BJ65" s="1753"/>
      <c r="BK65" s="1753"/>
      <c r="BL65" s="1753"/>
      <c r="BM65" s="1753"/>
      <c r="BN65" s="1753"/>
      <c r="BO65" s="1753"/>
      <c r="BP65" s="1753"/>
      <c r="BQ65" s="1753"/>
    </row>
    <row r="66" spans="31:69">
      <c r="AE66" s="154"/>
      <c r="AF66" s="154"/>
      <c r="AG66" s="154"/>
      <c r="AH66" s="154"/>
      <c r="AI66" s="154"/>
      <c r="AJ66" s="154"/>
      <c r="AK66" s="154"/>
      <c r="AL66" s="154"/>
      <c r="AM66" s="154"/>
      <c r="BB66" s="1753"/>
      <c r="BC66" s="1753"/>
      <c r="BD66" s="1753"/>
      <c r="BE66" s="1753"/>
      <c r="BF66" s="1753"/>
      <c r="BG66" s="1753"/>
      <c r="BH66" s="1753"/>
      <c r="BI66" s="1753"/>
      <c r="BJ66" s="1753"/>
      <c r="BK66" s="1753"/>
      <c r="BL66" s="1753"/>
      <c r="BM66" s="1753"/>
      <c r="BN66" s="1753"/>
      <c r="BO66" s="1753"/>
      <c r="BP66" s="1753"/>
      <c r="BQ66" s="1753"/>
    </row>
    <row r="67" spans="31:69">
      <c r="AE67" s="154"/>
      <c r="AF67" s="154"/>
      <c r="AG67" s="154"/>
      <c r="AH67" s="154"/>
      <c r="AI67" s="154"/>
      <c r="AJ67" s="154"/>
      <c r="AK67" s="154"/>
      <c r="AL67" s="154"/>
      <c r="AM67" s="154"/>
      <c r="BB67" s="1753"/>
      <c r="BC67" s="1753"/>
      <c r="BD67" s="1753"/>
      <c r="BE67" s="1753"/>
      <c r="BF67" s="1753"/>
      <c r="BG67" s="1753"/>
      <c r="BH67" s="1753"/>
      <c r="BI67" s="1753"/>
      <c r="BJ67" s="1753"/>
      <c r="BK67" s="1753"/>
      <c r="BL67" s="1753"/>
      <c r="BM67" s="1753"/>
      <c r="BN67" s="1753"/>
      <c r="BO67" s="1753"/>
      <c r="BP67" s="1753"/>
      <c r="BQ67" s="1753"/>
    </row>
    <row r="68" spans="31:69">
      <c r="AE68" s="154"/>
      <c r="AF68" s="154"/>
      <c r="AG68" s="154"/>
      <c r="AH68" s="154"/>
      <c r="AI68" s="154"/>
      <c r="AJ68" s="154"/>
      <c r="AK68" s="154"/>
      <c r="AL68" s="154"/>
      <c r="AM68" s="154"/>
    </row>
    <row r="69" spans="31:69">
      <c r="AE69" s="154"/>
      <c r="AF69" s="154"/>
      <c r="AG69" s="154"/>
      <c r="AH69" s="154"/>
      <c r="AI69" s="154"/>
      <c r="AJ69" s="154"/>
      <c r="AK69" s="154"/>
      <c r="AL69" s="154"/>
      <c r="AM69" s="154"/>
    </row>
    <row r="70" spans="31:69">
      <c r="AE70" s="154"/>
      <c r="AF70" s="154"/>
      <c r="AG70" s="154"/>
      <c r="AH70" s="154"/>
      <c r="AI70" s="154"/>
      <c r="AJ70" s="154"/>
      <c r="AK70" s="154"/>
      <c r="AL70" s="154"/>
      <c r="AM70" s="154"/>
    </row>
    <row r="71" spans="31:69">
      <c r="AE71" s="154"/>
      <c r="AF71" s="154"/>
      <c r="AG71" s="154"/>
      <c r="AH71" s="154"/>
      <c r="AI71" s="154"/>
      <c r="AJ71" s="154"/>
      <c r="AK71" s="154"/>
      <c r="AL71" s="154"/>
      <c r="AM71" s="154"/>
    </row>
    <row r="72" spans="31:69">
      <c r="AE72" s="154"/>
      <c r="AF72" s="154"/>
      <c r="AG72" s="154"/>
      <c r="AH72" s="154"/>
      <c r="AI72" s="154"/>
      <c r="AJ72" s="154"/>
      <c r="AK72" s="154"/>
      <c r="AL72" s="154"/>
      <c r="AM72" s="154"/>
    </row>
    <row r="73" spans="31:69">
      <c r="AE73" s="154"/>
      <c r="AF73" s="154"/>
      <c r="AG73" s="154"/>
      <c r="AH73" s="154"/>
      <c r="AI73" s="154"/>
      <c r="AJ73" s="154"/>
      <c r="AK73" s="154"/>
      <c r="AL73" s="154"/>
      <c r="AM73" s="154"/>
    </row>
    <row r="74" spans="31:69">
      <c r="AE74" s="154"/>
      <c r="AF74" s="154"/>
      <c r="AG74" s="154"/>
      <c r="AH74" s="154"/>
      <c r="AI74" s="154"/>
      <c r="AJ74" s="154"/>
      <c r="AK74" s="154"/>
      <c r="AL74" s="154"/>
      <c r="AM74" s="154"/>
    </row>
    <row r="75" spans="31:69">
      <c r="AE75" s="154"/>
      <c r="AF75" s="154"/>
      <c r="AG75" s="154"/>
      <c r="AH75" s="154"/>
      <c r="AI75" s="154"/>
      <c r="AJ75" s="154"/>
      <c r="AK75" s="154"/>
      <c r="AL75" s="154"/>
      <c r="AM75" s="154"/>
    </row>
    <row r="76" spans="31:69">
      <c r="AE76" s="154"/>
      <c r="AF76" s="154"/>
      <c r="AG76" s="154"/>
      <c r="AH76" s="154"/>
      <c r="AI76" s="154"/>
      <c r="AJ76" s="154"/>
      <c r="AK76" s="154"/>
      <c r="AL76" s="154"/>
      <c r="AM76" s="154"/>
    </row>
    <row r="77" spans="31:69">
      <c r="AE77" s="154"/>
      <c r="AF77" s="154"/>
      <c r="AG77" s="154"/>
      <c r="AH77" s="154"/>
      <c r="AI77" s="154"/>
      <c r="AJ77" s="154"/>
      <c r="AK77" s="154"/>
      <c r="AL77" s="154"/>
      <c r="AM77" s="154"/>
    </row>
    <row r="78" spans="31:69">
      <c r="AE78" s="154"/>
      <c r="AF78" s="154"/>
      <c r="AG78" s="154"/>
      <c r="AH78" s="154"/>
      <c r="AI78" s="154"/>
      <c r="AJ78" s="154"/>
      <c r="AK78" s="154"/>
      <c r="AL78" s="154"/>
      <c r="AM78" s="154"/>
    </row>
    <row r="79" spans="31:69">
      <c r="AE79" s="154"/>
      <c r="AF79" s="154"/>
      <c r="AG79" s="154"/>
      <c r="AH79" s="154"/>
      <c r="AI79" s="154"/>
      <c r="AJ79" s="154"/>
      <c r="AK79" s="154"/>
      <c r="AL79" s="154"/>
      <c r="AM79" s="154"/>
    </row>
    <row r="80" spans="31:69">
      <c r="AE80" s="154"/>
      <c r="AF80" s="154"/>
      <c r="AG80" s="154"/>
      <c r="AH80" s="154"/>
      <c r="AI80" s="154"/>
      <c r="AJ80" s="154"/>
      <c r="AK80" s="154"/>
      <c r="AL80" s="154"/>
      <c r="AM80" s="154"/>
    </row>
    <row r="81" s="154" customFormat="1"/>
    <row r="82" s="154" customFormat="1"/>
    <row r="83" s="154" customFormat="1"/>
    <row r="84" s="154" customFormat="1"/>
    <row r="85" s="154" customFormat="1"/>
    <row r="86" s="154" customFormat="1"/>
    <row r="87" s="154" customFormat="1"/>
    <row r="88" s="154" customFormat="1"/>
    <row r="89" s="154" customFormat="1"/>
    <row r="90" s="154" customFormat="1"/>
    <row r="91" s="154" customFormat="1"/>
    <row r="92" s="154" customFormat="1"/>
    <row r="93" s="154" customFormat="1"/>
    <row r="94" s="154" customFormat="1"/>
    <row r="95" s="154" customFormat="1"/>
    <row r="96" s="154" customFormat="1"/>
    <row r="97" s="154" customFormat="1"/>
    <row r="98" s="154" customFormat="1"/>
    <row r="99" s="154" customFormat="1"/>
    <row r="100" s="154" customFormat="1"/>
    <row r="101" s="154" customFormat="1"/>
    <row r="102" s="154" customFormat="1"/>
    <row r="103" s="154" customFormat="1"/>
    <row r="104" s="154" customFormat="1"/>
    <row r="105" s="154" customFormat="1"/>
    <row r="106" s="154" customFormat="1"/>
    <row r="107" s="154" customFormat="1"/>
    <row r="108" s="154" customFormat="1"/>
    <row r="109" s="154" customFormat="1"/>
    <row r="110" s="154" customFormat="1"/>
    <row r="111" s="154" customFormat="1"/>
    <row r="112" s="154" customFormat="1"/>
    <row r="113" s="154" customFormat="1"/>
    <row r="114" s="154" customFormat="1"/>
    <row r="115" s="154" customFormat="1"/>
    <row r="116" s="154" customFormat="1"/>
    <row r="117" s="154" customFormat="1"/>
    <row r="118" s="154" customFormat="1"/>
    <row r="119" s="154" customFormat="1"/>
    <row r="120" s="154" customFormat="1"/>
    <row r="121" s="154" customFormat="1"/>
    <row r="122" s="154" customFormat="1"/>
    <row r="123" s="154" customFormat="1"/>
    <row r="124" s="154" customFormat="1"/>
    <row r="125" s="154" customFormat="1"/>
    <row r="126" s="154" customFormat="1"/>
    <row r="127" s="154" customFormat="1"/>
    <row r="128" s="154" customFormat="1"/>
    <row r="129" s="154" customFormat="1"/>
    <row r="130" s="154" customFormat="1"/>
    <row r="131" s="154" customFormat="1"/>
    <row r="132" s="154" customFormat="1"/>
    <row r="133" s="154" customFormat="1"/>
    <row r="134" s="154" customFormat="1"/>
    <row r="135" s="154" customFormat="1"/>
    <row r="136" s="154" customFormat="1"/>
    <row r="137" s="154" customFormat="1"/>
    <row r="138" s="154" customFormat="1"/>
    <row r="139" s="154" customFormat="1"/>
    <row r="140" s="154" customFormat="1"/>
    <row r="141" s="154" customFormat="1"/>
    <row r="142" s="154" customFormat="1"/>
    <row r="143" s="154" customFormat="1"/>
    <row r="144" s="154" customFormat="1"/>
    <row r="145" s="154" customFormat="1"/>
    <row r="146" s="154" customFormat="1"/>
    <row r="147" s="154"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BB51:BI51"/>
    <mergeCell ref="BJ51:BQ51"/>
    <mergeCell ref="V51:AD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3" priority="22" stopIfTrue="1">
      <formula>$AC$10&gt;=0.9</formula>
    </cfRule>
  </conditionalFormatting>
  <conditionalFormatting sqref="D11:F11">
    <cfRule type="expression" dxfId="42" priority="21">
      <formula>AND(AC10&gt;=0.8,AC10&lt;=0.89)</formula>
    </cfRule>
  </conditionalFormatting>
  <conditionalFormatting sqref="D12:F12">
    <cfRule type="expression" dxfId="41" priority="20">
      <formula>AND(AC10&gt;=0.7,AC10&lt;=0.79)</formula>
    </cfRule>
  </conditionalFormatting>
  <conditionalFormatting sqref="D13:F13">
    <cfRule type="expression" dxfId="40" priority="19">
      <formula>AND(AC10&gt;=0,AC10&lt;=0.69)</formula>
    </cfRule>
  </conditionalFormatting>
  <conditionalFormatting sqref="K18:O46">
    <cfRule type="cellIs" dxfId="39" priority="7" operator="lessThan">
      <formula>1</formula>
    </cfRule>
    <cfRule type="cellIs" dxfId="38" priority="8" operator="greaterThan">
      <formula>0</formula>
    </cfRule>
  </conditionalFormatting>
  <conditionalFormatting sqref="L47">
    <cfRule type="cellIs" dxfId="37" priority="23" stopIfTrue="1" operator="equal">
      <formula>1</formula>
    </cfRule>
    <cfRule type="cellIs" dxfId="36" priority="24" stopIfTrue="1" operator="equal">
      <formula>0</formula>
    </cfRule>
  </conditionalFormatting>
  <conditionalFormatting sqref="Z18:AD46">
    <cfRule type="cellIs" dxfId="35" priority="1" operator="lessThan">
      <formula>1</formula>
    </cfRule>
    <cfRule type="cellIs" dxfId="34" priority="2" operator="greaterThan">
      <formula>0</formula>
    </cfRule>
  </conditionalFormatting>
  <dataValidations disablePrompts="1" count="4">
    <dataValidation type="whole" allowBlank="1" showInputMessage="1" showErrorMessage="1" error="You can only enter a value between 1 or 0" promptTitle="ENTER 1 or 0" sqref="AV33 L47" xr:uid="{EB6ADA2F-6E70-4968-A664-E37B92719162}">
      <formula1>0</formula1>
      <formula2>1</formula2>
    </dataValidation>
    <dataValidation operator="equal" allowBlank="1" showInputMessage="1" showErrorMessage="1" sqref="AV20:AV25 Z10:Z14 AW25:AY25 AC10" xr:uid="{29DE3C28-CC7F-46F7-AAD7-183064CE575D}"/>
    <dataValidation type="whole" errorStyle="information" operator="greaterThan" showInputMessage="1" showErrorMessage="1" errorTitle="Error - review score" error="Only one score can be given for each subject, please revise." sqref="BK40:BK46 BO32:BO39 P18:P46" xr:uid="{8A6F89D7-9B21-4D40-A750-0D7BD1B1204B}">
      <formula1>1</formula1>
    </dataValidation>
    <dataValidation allowBlank="1" sqref="K17:AD17" xr:uid="{F8BD577D-C627-4122-8A59-6019304A672A}"/>
  </dataValidations>
  <pageMargins left="0.7" right="0.7" top="0.75" bottom="0.75" header="0.3" footer="0.3"/>
  <pageSetup paperSize="9" scale="74"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4"/>
  <sheetViews>
    <sheetView topLeftCell="A55" zoomScale="80" zoomScaleNormal="80" workbookViewId="0">
      <selection activeCell="U3" sqref="U3"/>
    </sheetView>
  </sheetViews>
  <sheetFormatPr defaultRowHeight="14.4"/>
  <cols>
    <col min="1" max="1" width="15.109375" customWidth="1"/>
    <col min="2" max="2" width="16" bestFit="1" customWidth="1"/>
    <col min="3" max="3" width="14.88671875" bestFit="1" customWidth="1"/>
    <col min="4" max="4" width="13.6640625" bestFit="1" customWidth="1"/>
    <col min="5" max="5" width="13" customWidth="1"/>
    <col min="6" max="6" width="15"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1820" t="s">
        <v>96</v>
      </c>
      <c r="B1" s="1821"/>
      <c r="C1" s="1821"/>
      <c r="D1" s="1821"/>
      <c r="E1" s="1821"/>
      <c r="F1" s="1821"/>
      <c r="G1" s="1821"/>
      <c r="H1" s="1821"/>
      <c r="I1" s="1821"/>
      <c r="J1" s="1821"/>
      <c r="K1" s="1821"/>
      <c r="L1" s="1822"/>
    </row>
    <row r="2" spans="1:26" ht="15.45" customHeight="1">
      <c r="A2" s="1834" t="s">
        <v>109</v>
      </c>
      <c r="B2" s="1835"/>
      <c r="C2" s="1836"/>
      <c r="D2" s="1823" t="s">
        <v>104</v>
      </c>
      <c r="E2" s="1823" t="s">
        <v>105</v>
      </c>
      <c r="F2" s="1823" t="s">
        <v>106</v>
      </c>
      <c r="G2" s="1826" t="s">
        <v>107</v>
      </c>
      <c r="H2" s="1806" t="s">
        <v>102</v>
      </c>
      <c r="I2" s="1807"/>
      <c r="J2" s="1807"/>
      <c r="K2" s="1807"/>
      <c r="L2" s="1829"/>
    </row>
    <row r="3" spans="1:26">
      <c r="A3" s="1837"/>
      <c r="B3" s="1838"/>
      <c r="C3" s="1839"/>
      <c r="D3" s="1824"/>
      <c r="E3" s="1824"/>
      <c r="F3" s="1824"/>
      <c r="G3" s="1827"/>
      <c r="H3" s="1830" t="s">
        <v>119</v>
      </c>
      <c r="I3" s="1830" t="s">
        <v>120</v>
      </c>
      <c r="J3" s="1830" t="s">
        <v>121</v>
      </c>
      <c r="K3" s="1830" t="s">
        <v>122</v>
      </c>
      <c r="L3" s="1843" t="s">
        <v>123</v>
      </c>
    </row>
    <row r="4" spans="1:26" ht="22.2" customHeight="1">
      <c r="A4" s="1840"/>
      <c r="B4" s="1841"/>
      <c r="C4" s="1842"/>
      <c r="D4" s="1825"/>
      <c r="E4" s="1825"/>
      <c r="F4" s="1825"/>
      <c r="G4" s="1828"/>
      <c r="H4" s="1830"/>
      <c r="I4" s="1830"/>
      <c r="J4" s="1830"/>
      <c r="K4" s="1830"/>
      <c r="L4" s="1843"/>
    </row>
    <row r="5" spans="1:26">
      <c r="A5" s="1844" t="s">
        <v>374</v>
      </c>
      <c r="B5" s="1845"/>
      <c r="C5" s="1846"/>
      <c r="D5" s="764">
        <v>2</v>
      </c>
      <c r="E5" s="764">
        <v>2</v>
      </c>
      <c r="F5" s="764">
        <f>+D5-E5</f>
        <v>0</v>
      </c>
      <c r="G5" s="764">
        <v>3</v>
      </c>
      <c r="H5" s="764">
        <v>0</v>
      </c>
      <c r="I5" s="765">
        <v>0</v>
      </c>
      <c r="J5" s="764">
        <v>0</v>
      </c>
      <c r="K5" s="764">
        <v>0</v>
      </c>
      <c r="L5" s="766">
        <v>0</v>
      </c>
      <c r="M5" s="702"/>
    </row>
    <row r="6" spans="1:26">
      <c r="A6" s="1847" t="s">
        <v>128</v>
      </c>
      <c r="B6" s="1848"/>
      <c r="C6" s="1849"/>
      <c r="D6" s="764">
        <v>25</v>
      </c>
      <c r="E6" s="764">
        <v>24</v>
      </c>
      <c r="F6" s="764">
        <f>+D6-E6</f>
        <v>1</v>
      </c>
      <c r="G6" s="764">
        <v>3</v>
      </c>
      <c r="H6" s="764">
        <v>1</v>
      </c>
      <c r="I6" s="765">
        <v>0</v>
      </c>
      <c r="J6" s="764">
        <v>0</v>
      </c>
      <c r="K6" s="764">
        <v>0</v>
      </c>
      <c r="L6" s="766">
        <v>0</v>
      </c>
      <c r="M6" s="702"/>
    </row>
    <row r="7" spans="1:26">
      <c r="A7" s="1847" t="s">
        <v>375</v>
      </c>
      <c r="B7" s="1848"/>
      <c r="C7" s="1849"/>
      <c r="D7" s="764">
        <v>31</v>
      </c>
      <c r="E7" s="764">
        <v>31</v>
      </c>
      <c r="F7" s="764">
        <f>+D7-E7</f>
        <v>0</v>
      </c>
      <c r="G7" s="764">
        <v>5</v>
      </c>
      <c r="H7" s="764">
        <v>0</v>
      </c>
      <c r="I7" s="765">
        <v>0</v>
      </c>
      <c r="J7" s="764">
        <v>0</v>
      </c>
      <c r="K7" s="764">
        <v>0</v>
      </c>
      <c r="L7" s="766">
        <v>0</v>
      </c>
      <c r="M7" s="702"/>
    </row>
    <row r="8" spans="1:26">
      <c r="A8" s="1850" t="s">
        <v>376</v>
      </c>
      <c r="B8" s="1851"/>
      <c r="C8" s="1852"/>
      <c r="D8" s="767">
        <v>910</v>
      </c>
      <c r="E8" s="767">
        <v>901</v>
      </c>
      <c r="F8" s="767">
        <f>+D8-E8</f>
        <v>9</v>
      </c>
      <c r="G8" s="768">
        <v>4</v>
      </c>
      <c r="H8" s="768">
        <v>2</v>
      </c>
      <c r="I8" s="768">
        <v>0</v>
      </c>
      <c r="J8" s="767">
        <v>0</v>
      </c>
      <c r="K8" s="767">
        <v>0</v>
      </c>
      <c r="L8" s="769">
        <v>0</v>
      </c>
      <c r="M8" s="702"/>
    </row>
    <row r="10" spans="1:26" ht="22.2" customHeight="1">
      <c r="A10" s="1769" t="s">
        <v>95</v>
      </c>
      <c r="B10" s="1770"/>
      <c r="C10" s="1771"/>
      <c r="D10" s="1771"/>
      <c r="E10" s="1771"/>
      <c r="F10" s="1771"/>
      <c r="G10" s="1771"/>
      <c r="H10" s="1771"/>
      <c r="I10" s="1771"/>
      <c r="J10" s="1771"/>
      <c r="K10" s="1772"/>
      <c r="L10" s="1773"/>
    </row>
    <row r="11" spans="1:26" ht="22.2" customHeight="1">
      <c r="A11" s="1774" t="s">
        <v>99</v>
      </c>
      <c r="B11" s="1775"/>
      <c r="C11" s="1776"/>
      <c r="D11" s="1785" t="s">
        <v>377</v>
      </c>
      <c r="E11" s="1831" t="s">
        <v>378</v>
      </c>
      <c r="F11" s="1832"/>
      <c r="G11" s="1832"/>
      <c r="H11" s="1832"/>
      <c r="I11" s="1833"/>
      <c r="J11" s="1787" t="s">
        <v>379</v>
      </c>
      <c r="K11" s="701" t="s">
        <v>102</v>
      </c>
      <c r="L11" s="1789" t="s">
        <v>103</v>
      </c>
    </row>
    <row r="12" spans="1:26" ht="30.6" customHeight="1">
      <c r="A12" s="1777"/>
      <c r="B12" s="1778"/>
      <c r="C12" s="1779"/>
      <c r="D12" s="1786"/>
      <c r="E12" s="1089" t="s">
        <v>114</v>
      </c>
      <c r="F12" s="1089" t="s">
        <v>115</v>
      </c>
      <c r="G12" s="1089" t="s">
        <v>116</v>
      </c>
      <c r="H12" s="1089" t="s">
        <v>117</v>
      </c>
      <c r="I12" s="1089" t="s">
        <v>118</v>
      </c>
      <c r="J12" s="1788" t="s">
        <v>141</v>
      </c>
      <c r="K12" s="1090" t="s">
        <v>380</v>
      </c>
      <c r="L12" s="1790"/>
    </row>
    <row r="13" spans="1:26" ht="22.2" customHeight="1">
      <c r="A13" s="1767" t="s">
        <v>124</v>
      </c>
      <c r="B13" s="1768"/>
      <c r="C13" s="1768"/>
      <c r="D13" s="1091">
        <v>0</v>
      </c>
      <c r="E13" s="1091">
        <v>0</v>
      </c>
      <c r="F13" s="1091">
        <v>0</v>
      </c>
      <c r="G13" s="1091">
        <v>0</v>
      </c>
      <c r="H13" s="1091">
        <v>0</v>
      </c>
      <c r="I13" s="1091">
        <v>0</v>
      </c>
      <c r="J13" s="1092">
        <f>D13-I13</f>
        <v>0</v>
      </c>
      <c r="K13" s="1092">
        <v>0</v>
      </c>
      <c r="L13" s="1093">
        <f t="shared" ref="L13:L23" si="0">E13+F13+G13+H13+K13+J13</f>
        <v>0</v>
      </c>
      <c r="M13" s="823" t="e">
        <f>+I13/D13</f>
        <v>#DIV/0!</v>
      </c>
      <c r="N13" s="823" t="e">
        <f>+L13/D13</f>
        <v>#DIV/0!</v>
      </c>
      <c r="R13" s="702">
        <f t="shared" ref="R13:W13" si="1">+D13</f>
        <v>0</v>
      </c>
      <c r="S13" s="702">
        <f t="shared" si="1"/>
        <v>0</v>
      </c>
      <c r="T13" s="702">
        <f t="shared" si="1"/>
        <v>0</v>
      </c>
      <c r="U13" s="702">
        <f t="shared" si="1"/>
        <v>0</v>
      </c>
      <c r="V13" s="702">
        <f t="shared" si="1"/>
        <v>0</v>
      </c>
      <c r="W13" s="702">
        <f t="shared" si="1"/>
        <v>0</v>
      </c>
      <c r="X13" s="702">
        <f>+J1+3</f>
        <v>3</v>
      </c>
      <c r="Y13" s="702">
        <f>+K13</f>
        <v>0</v>
      </c>
      <c r="Z13" s="702"/>
    </row>
    <row r="14" spans="1:26" ht="22.2" customHeight="1">
      <c r="A14" s="1780" t="s">
        <v>381</v>
      </c>
      <c r="B14" s="1781"/>
      <c r="C14" s="1781"/>
      <c r="D14" s="1094">
        <v>25</v>
      </c>
      <c r="E14" s="1094">
        <v>0</v>
      </c>
      <c r="F14" s="1094">
        <v>17</v>
      </c>
      <c r="G14" s="1094">
        <v>0</v>
      </c>
      <c r="H14" s="1094">
        <v>0</v>
      </c>
      <c r="I14" s="1094">
        <v>17</v>
      </c>
      <c r="J14" s="1095">
        <f>D14-I14</f>
        <v>8</v>
      </c>
      <c r="K14" s="1095">
        <v>8</v>
      </c>
      <c r="L14" s="1096">
        <f>E14+F14+G14+H14+K14</f>
        <v>25</v>
      </c>
      <c r="M14" s="823">
        <f>+I14/D14</f>
        <v>0.68</v>
      </c>
      <c r="N14" s="823">
        <f>+L14/D14</f>
        <v>1</v>
      </c>
      <c r="O14" s="702"/>
      <c r="P14" s="702"/>
      <c r="Q14" s="702"/>
      <c r="R14" s="702">
        <f t="shared" ref="R14:Y14" si="2">+D14+D15</f>
        <v>25</v>
      </c>
      <c r="S14" s="702">
        <f t="shared" si="2"/>
        <v>0</v>
      </c>
      <c r="T14" s="702">
        <f t="shared" si="2"/>
        <v>17</v>
      </c>
      <c r="U14" s="702">
        <f t="shared" si="2"/>
        <v>0</v>
      </c>
      <c r="V14" s="702">
        <f t="shared" si="2"/>
        <v>0</v>
      </c>
      <c r="W14" s="702">
        <f t="shared" si="2"/>
        <v>17</v>
      </c>
      <c r="X14" s="702">
        <f t="shared" si="2"/>
        <v>8</v>
      </c>
      <c r="Y14" s="702">
        <f t="shared" si="2"/>
        <v>8</v>
      </c>
      <c r="Z14" s="702"/>
    </row>
    <row r="15" spans="1:26" ht="22.2" customHeight="1">
      <c r="A15" s="1780" t="s">
        <v>382</v>
      </c>
      <c r="B15" s="1781"/>
      <c r="C15" s="1781"/>
      <c r="D15" s="1094">
        <v>0</v>
      </c>
      <c r="E15" s="1094">
        <v>0</v>
      </c>
      <c r="F15" s="1094">
        <v>0</v>
      </c>
      <c r="G15" s="1094">
        <v>0</v>
      </c>
      <c r="H15" s="1094">
        <v>0</v>
      </c>
      <c r="I15" s="1094">
        <v>0</v>
      </c>
      <c r="J15" s="1095">
        <f t="shared" ref="J15:J23" si="3">D15-I15</f>
        <v>0</v>
      </c>
      <c r="K15" s="1095">
        <v>0</v>
      </c>
      <c r="L15" s="1096">
        <f t="shared" si="0"/>
        <v>0</v>
      </c>
      <c r="M15" s="823"/>
      <c r="N15" s="823"/>
      <c r="R15" s="702">
        <f t="shared" ref="R15:Y16" si="4">+D16</f>
        <v>0</v>
      </c>
      <c r="S15" s="702">
        <f t="shared" si="4"/>
        <v>0</v>
      </c>
      <c r="T15" s="702">
        <f t="shared" si="4"/>
        <v>0</v>
      </c>
      <c r="U15" s="702">
        <f>+G16</f>
        <v>0</v>
      </c>
      <c r="V15" s="702">
        <f t="shared" si="4"/>
        <v>0</v>
      </c>
      <c r="W15" s="702">
        <f t="shared" si="4"/>
        <v>0</v>
      </c>
      <c r="X15" s="702">
        <f>+J16</f>
        <v>0</v>
      </c>
      <c r="Y15" s="702">
        <f>+K16</f>
        <v>0</v>
      </c>
    </row>
    <row r="16" spans="1:26" ht="22.2" customHeight="1">
      <c r="A16" s="1780" t="s">
        <v>383</v>
      </c>
      <c r="B16" s="1781"/>
      <c r="C16" s="1781"/>
      <c r="D16" s="1094">
        <v>0</v>
      </c>
      <c r="E16" s="1094">
        <v>0</v>
      </c>
      <c r="F16" s="1094">
        <v>0</v>
      </c>
      <c r="G16" s="1094">
        <v>0</v>
      </c>
      <c r="H16" s="1094">
        <v>0</v>
      </c>
      <c r="I16" s="1207">
        <f t="shared" ref="I16:I23" si="5">E16+F16+G16+H16+K16</f>
        <v>0</v>
      </c>
      <c r="J16" s="1095">
        <f t="shared" si="3"/>
        <v>0</v>
      </c>
      <c r="K16" s="1095">
        <v>0</v>
      </c>
      <c r="L16" s="1096">
        <f>E16+F16+G16+H16+K16+J16</f>
        <v>0</v>
      </c>
      <c r="M16" s="823" t="e">
        <f>+I16/D16</f>
        <v>#DIV/0!</v>
      </c>
      <c r="N16" s="823" t="e">
        <f>+L16/D16</f>
        <v>#DIV/0!</v>
      </c>
      <c r="Q16" s="702"/>
      <c r="R16" s="702">
        <f t="shared" si="4"/>
        <v>11</v>
      </c>
      <c r="S16" s="702">
        <f t="shared" si="4"/>
        <v>0</v>
      </c>
      <c r="T16" s="702">
        <f t="shared" si="4"/>
        <v>11</v>
      </c>
      <c r="U16" s="702">
        <f t="shared" si="4"/>
        <v>0</v>
      </c>
      <c r="V16" s="702">
        <f t="shared" si="4"/>
        <v>0</v>
      </c>
      <c r="W16" s="702">
        <f t="shared" si="4"/>
        <v>11</v>
      </c>
      <c r="X16" s="702">
        <f t="shared" si="4"/>
        <v>0</v>
      </c>
      <c r="Y16" s="702">
        <f t="shared" si="4"/>
        <v>0</v>
      </c>
    </row>
    <row r="17" spans="1:25" ht="22.2" customHeight="1">
      <c r="A17" s="1780" t="s">
        <v>384</v>
      </c>
      <c r="B17" s="1781"/>
      <c r="C17" s="1781"/>
      <c r="D17" s="1094">
        <v>11</v>
      </c>
      <c r="E17" s="1094">
        <v>0</v>
      </c>
      <c r="F17" s="1094">
        <v>11</v>
      </c>
      <c r="G17" s="1094">
        <v>0</v>
      </c>
      <c r="H17" s="1094">
        <v>0</v>
      </c>
      <c r="I17" s="1208">
        <f>E17+F17+G17+H17+K17</f>
        <v>11</v>
      </c>
      <c r="J17" s="1095">
        <f>D17-I17</f>
        <v>0</v>
      </c>
      <c r="K17" s="1095">
        <v>0</v>
      </c>
      <c r="L17" s="1096">
        <f>E17+F17+G17+H17+K17</f>
        <v>11</v>
      </c>
      <c r="M17" s="823">
        <f>+I17/D17</f>
        <v>1</v>
      </c>
      <c r="N17" s="823">
        <f>+L17/D17</f>
        <v>1</v>
      </c>
      <c r="Q17" s="702"/>
      <c r="R17" s="702">
        <f t="shared" ref="R17:Y17" si="6">+D35</f>
        <v>65</v>
      </c>
      <c r="S17" s="702">
        <f t="shared" si="6"/>
        <v>0</v>
      </c>
      <c r="T17" s="702">
        <f t="shared" si="6"/>
        <v>63</v>
      </c>
      <c r="U17" s="702">
        <f t="shared" si="6"/>
        <v>0</v>
      </c>
      <c r="V17" s="702">
        <f t="shared" si="6"/>
        <v>2</v>
      </c>
      <c r="W17" s="702">
        <f t="shared" si="6"/>
        <v>63</v>
      </c>
      <c r="X17" s="702">
        <f t="shared" si="6"/>
        <v>0</v>
      </c>
      <c r="Y17" s="702">
        <f t="shared" si="6"/>
        <v>0</v>
      </c>
    </row>
    <row r="18" spans="1:25" ht="22.2" customHeight="1">
      <c r="A18" s="1791" t="s">
        <v>1019</v>
      </c>
      <c r="B18" s="1792"/>
      <c r="C18" s="1793"/>
      <c r="D18" s="1094">
        <v>0</v>
      </c>
      <c r="E18" s="1094">
        <v>0</v>
      </c>
      <c r="F18" s="1094">
        <v>0</v>
      </c>
      <c r="G18" s="1094">
        <v>0</v>
      </c>
      <c r="H18" s="1094"/>
      <c r="I18" s="1094">
        <f t="shared" si="5"/>
        <v>0</v>
      </c>
      <c r="J18" s="1095">
        <f t="shared" si="3"/>
        <v>0</v>
      </c>
      <c r="K18" s="1095">
        <v>0</v>
      </c>
      <c r="L18" s="1096">
        <f t="shared" si="0"/>
        <v>0</v>
      </c>
      <c r="M18" s="823" t="e">
        <f>+I18/D18</f>
        <v>#DIV/0!</v>
      </c>
      <c r="N18" s="823"/>
      <c r="Q18" s="702"/>
      <c r="R18" s="702"/>
      <c r="S18" s="702"/>
      <c r="T18" s="702"/>
      <c r="U18" s="702"/>
      <c r="V18" s="702"/>
      <c r="W18" s="702"/>
      <c r="X18" s="702"/>
      <c r="Y18" s="702"/>
    </row>
    <row r="19" spans="1:25" ht="22.2" customHeight="1">
      <c r="A19" s="1791" t="s">
        <v>1020</v>
      </c>
      <c r="B19" s="1792"/>
      <c r="C19" s="1793"/>
      <c r="D19" s="1094">
        <v>0</v>
      </c>
      <c r="E19" s="1094">
        <v>0</v>
      </c>
      <c r="F19" s="1094">
        <v>0</v>
      </c>
      <c r="G19" s="1094">
        <v>0</v>
      </c>
      <c r="H19" s="1094">
        <v>0</v>
      </c>
      <c r="I19" s="1094">
        <f t="shared" si="5"/>
        <v>0</v>
      </c>
      <c r="J19" s="1095">
        <f t="shared" si="3"/>
        <v>0</v>
      </c>
      <c r="K19" s="1095">
        <v>0</v>
      </c>
      <c r="L19" s="1096">
        <f t="shared" si="0"/>
        <v>0</v>
      </c>
      <c r="M19" s="823"/>
      <c r="N19" s="823"/>
      <c r="Q19" s="702"/>
      <c r="R19" s="702"/>
      <c r="S19" s="702"/>
      <c r="T19" s="702"/>
      <c r="U19" s="702"/>
      <c r="V19" s="702"/>
      <c r="W19" s="702"/>
      <c r="X19" s="702"/>
      <c r="Y19" s="702"/>
    </row>
    <row r="20" spans="1:25" ht="22.2" customHeight="1">
      <c r="A20" s="1791" t="s">
        <v>1021</v>
      </c>
      <c r="B20" s="1792"/>
      <c r="C20" s="1793"/>
      <c r="D20" s="1094">
        <v>0</v>
      </c>
      <c r="E20" s="1094">
        <v>0</v>
      </c>
      <c r="F20" s="1094">
        <v>0</v>
      </c>
      <c r="G20" s="1094">
        <v>0</v>
      </c>
      <c r="H20" s="1094">
        <v>0</v>
      </c>
      <c r="I20" s="1094">
        <f t="shared" si="5"/>
        <v>0</v>
      </c>
      <c r="J20" s="1095">
        <f t="shared" si="3"/>
        <v>0</v>
      </c>
      <c r="K20" s="1095"/>
      <c r="L20" s="1096">
        <f t="shared" si="0"/>
        <v>0</v>
      </c>
      <c r="M20" s="823"/>
      <c r="N20" s="823"/>
      <c r="Q20" s="702"/>
      <c r="R20" s="702"/>
      <c r="S20" s="702"/>
      <c r="T20" s="702"/>
      <c r="U20" s="702"/>
      <c r="V20" s="702"/>
      <c r="W20" s="702"/>
      <c r="X20" s="702"/>
      <c r="Y20" s="702"/>
    </row>
    <row r="21" spans="1:25" ht="22.2" customHeight="1">
      <c r="A21" s="1791" t="s">
        <v>1024</v>
      </c>
      <c r="B21" s="1792"/>
      <c r="C21" s="1793"/>
      <c r="D21" s="1094">
        <v>0</v>
      </c>
      <c r="E21" s="1094">
        <v>0</v>
      </c>
      <c r="F21" s="1094">
        <v>0</v>
      </c>
      <c r="G21" s="1094">
        <v>0</v>
      </c>
      <c r="H21" s="1094">
        <v>0</v>
      </c>
      <c r="I21" s="1094">
        <v>0</v>
      </c>
      <c r="J21" s="1095">
        <f t="shared" si="3"/>
        <v>0</v>
      </c>
      <c r="K21" s="1095">
        <v>0</v>
      </c>
      <c r="L21" s="1096">
        <f t="shared" si="0"/>
        <v>0</v>
      </c>
      <c r="M21" s="823"/>
      <c r="N21" s="823"/>
      <c r="Q21" s="702"/>
      <c r="R21" s="702"/>
      <c r="S21" s="702"/>
      <c r="T21" s="702"/>
      <c r="U21" s="702"/>
      <c r="V21" s="702"/>
      <c r="W21" s="702"/>
      <c r="X21" s="702"/>
      <c r="Y21" s="702"/>
    </row>
    <row r="22" spans="1:25" ht="22.2" customHeight="1">
      <c r="A22" s="1791" t="s">
        <v>1022</v>
      </c>
      <c r="B22" s="1792"/>
      <c r="C22" s="1793"/>
      <c r="D22" s="1094">
        <v>21</v>
      </c>
      <c r="E22" s="1094">
        <v>1</v>
      </c>
      <c r="F22" s="1094">
        <v>19</v>
      </c>
      <c r="G22" s="1094">
        <v>0</v>
      </c>
      <c r="H22" s="1094">
        <v>1</v>
      </c>
      <c r="I22" s="1094">
        <f>+E22+F22+G22</f>
        <v>20</v>
      </c>
      <c r="J22" s="1095">
        <v>0</v>
      </c>
      <c r="K22" s="1095">
        <v>0</v>
      </c>
      <c r="L22" s="1096">
        <f t="shared" si="0"/>
        <v>21</v>
      </c>
      <c r="M22" s="823">
        <f>+I22/D22</f>
        <v>0.95238095238095233</v>
      </c>
      <c r="N22" s="823"/>
      <c r="Q22" s="702"/>
      <c r="R22" s="702"/>
      <c r="S22" s="702"/>
      <c r="T22" s="702"/>
      <c r="U22" s="702"/>
      <c r="V22" s="702"/>
      <c r="W22" s="702"/>
      <c r="X22" s="702"/>
      <c r="Y22" s="702"/>
    </row>
    <row r="23" spans="1:25" ht="22.2" customHeight="1">
      <c r="A23" s="1791" t="s">
        <v>1023</v>
      </c>
      <c r="B23" s="1792"/>
      <c r="C23" s="1793"/>
      <c r="D23" s="1097">
        <v>0</v>
      </c>
      <c r="E23" s="1097">
        <v>0</v>
      </c>
      <c r="F23" s="1097">
        <v>0</v>
      </c>
      <c r="G23" s="1097">
        <v>0</v>
      </c>
      <c r="H23" s="1097">
        <v>0</v>
      </c>
      <c r="I23" s="1097">
        <f t="shared" si="5"/>
        <v>0</v>
      </c>
      <c r="J23" s="1098">
        <f t="shared" si="3"/>
        <v>0</v>
      </c>
      <c r="K23" s="1098"/>
      <c r="L23" s="1099">
        <f t="shared" si="0"/>
        <v>0</v>
      </c>
      <c r="M23" s="823"/>
      <c r="N23" s="823"/>
      <c r="Q23" s="702"/>
      <c r="R23" s="702"/>
      <c r="S23" s="702"/>
      <c r="T23" s="702"/>
      <c r="U23" s="702"/>
      <c r="V23" s="702"/>
      <c r="W23" s="702"/>
      <c r="X23" s="702"/>
      <c r="Y23" s="702"/>
    </row>
    <row r="24" spans="1:25" ht="22.2" customHeight="1">
      <c r="A24" s="1782" t="s">
        <v>131</v>
      </c>
      <c r="B24" s="1783"/>
      <c r="C24" s="1784"/>
      <c r="D24" s="1100">
        <f>SUM(D13:D23)</f>
        <v>57</v>
      </c>
      <c r="E24" s="1100">
        <f t="shared" ref="E24:K24" si="7">SUM(E13:E23)</f>
        <v>1</v>
      </c>
      <c r="F24" s="1100">
        <f>SUM(F13:F23)</f>
        <v>47</v>
      </c>
      <c r="G24" s="1100">
        <f t="shared" si="7"/>
        <v>0</v>
      </c>
      <c r="H24" s="1100">
        <f t="shared" si="7"/>
        <v>1</v>
      </c>
      <c r="I24" s="1100">
        <f>SUM(I13:I23)</f>
        <v>48</v>
      </c>
      <c r="J24" s="1100">
        <f t="shared" si="7"/>
        <v>8</v>
      </c>
      <c r="K24" s="1100">
        <f t="shared" si="7"/>
        <v>8</v>
      </c>
      <c r="L24" s="1100">
        <f>SUM(L13:L23)</f>
        <v>57</v>
      </c>
      <c r="M24" s="823">
        <f>+I24/D24</f>
        <v>0.84210526315789469</v>
      </c>
      <c r="N24" s="823">
        <f>+L24/D24</f>
        <v>1</v>
      </c>
    </row>
    <row r="25" spans="1:25">
      <c r="I25" s="480">
        <f>+I24/D24</f>
        <v>0.84210526315789469</v>
      </c>
    </row>
    <row r="26" spans="1:25">
      <c r="D26" s="702"/>
      <c r="E26" s="702"/>
    </row>
    <row r="27" spans="1:25" ht="15.6">
      <c r="A27" s="1769" t="s">
        <v>133</v>
      </c>
      <c r="B27" s="1770"/>
      <c r="C27" s="1771"/>
      <c r="D27" s="1771"/>
      <c r="E27" s="1771"/>
      <c r="F27" s="1771"/>
      <c r="G27" s="1771"/>
      <c r="H27" s="1771"/>
      <c r="I27" s="1771"/>
      <c r="J27" s="1771"/>
      <c r="K27" s="1772"/>
      <c r="L27" s="1773"/>
    </row>
    <row r="28" spans="1:25">
      <c r="A28" s="1774" t="s">
        <v>99</v>
      </c>
      <c r="B28" s="1775"/>
      <c r="C28" s="1776"/>
      <c r="D28" s="1785" t="s">
        <v>377</v>
      </c>
      <c r="E28" s="700" t="s">
        <v>385</v>
      </c>
      <c r="F28" s="700"/>
      <c r="G28" s="700"/>
      <c r="H28" s="700"/>
      <c r="I28" s="700"/>
      <c r="J28" s="1787" t="s">
        <v>101</v>
      </c>
      <c r="K28" s="701" t="s">
        <v>102</v>
      </c>
      <c r="L28" s="1789" t="s">
        <v>103</v>
      </c>
    </row>
    <row r="29" spans="1:25" ht="42" customHeight="1">
      <c r="A29" s="1777"/>
      <c r="B29" s="1778"/>
      <c r="C29" s="1779"/>
      <c r="D29" s="1786"/>
      <c r="E29" s="1089" t="s">
        <v>114</v>
      </c>
      <c r="F29" s="1089" t="s">
        <v>115</v>
      </c>
      <c r="G29" s="1089" t="s">
        <v>116</v>
      </c>
      <c r="H29" s="1089" t="s">
        <v>117</v>
      </c>
      <c r="I29" s="1089" t="s">
        <v>717</v>
      </c>
      <c r="J29" s="1788" t="s">
        <v>141</v>
      </c>
      <c r="K29" s="1090" t="s">
        <v>380</v>
      </c>
      <c r="L29" s="1790"/>
    </row>
    <row r="30" spans="1:25" ht="19.2" customHeight="1">
      <c r="A30" s="1765" t="s">
        <v>124</v>
      </c>
      <c r="B30" s="1766"/>
      <c r="C30" s="1766"/>
      <c r="D30" s="1203">
        <v>0</v>
      </c>
      <c r="E30" s="1101">
        <v>0</v>
      </c>
      <c r="F30" s="1101">
        <v>0</v>
      </c>
      <c r="G30" s="1101">
        <v>0</v>
      </c>
      <c r="H30" s="1101">
        <v>0</v>
      </c>
      <c r="I30" s="1101">
        <v>0</v>
      </c>
      <c r="J30" s="1102">
        <f>+D30-L30</f>
        <v>0</v>
      </c>
      <c r="K30" s="1102">
        <v>0</v>
      </c>
      <c r="L30" s="1196">
        <f>+E30+F30+G30+H30+K30</f>
        <v>0</v>
      </c>
    </row>
    <row r="31" spans="1:25" ht="19.2" customHeight="1">
      <c r="A31" s="1813" t="s">
        <v>381</v>
      </c>
      <c r="B31" s="1814"/>
      <c r="C31" s="1814"/>
      <c r="D31" s="1204">
        <v>15</v>
      </c>
      <c r="E31" s="1103">
        <v>0</v>
      </c>
      <c r="F31" s="1103">
        <v>14</v>
      </c>
      <c r="G31" s="1103">
        <v>0</v>
      </c>
      <c r="H31" s="1103">
        <v>1</v>
      </c>
      <c r="I31" s="1103">
        <f>+E31+F31</f>
        <v>14</v>
      </c>
      <c r="J31" s="1104">
        <f>+D31-L31</f>
        <v>0</v>
      </c>
      <c r="K31" s="1104">
        <v>0</v>
      </c>
      <c r="L31" s="1200">
        <f>+E31+F31+G31+H31+K31</f>
        <v>15</v>
      </c>
    </row>
    <row r="32" spans="1:25" ht="19.2" customHeight="1">
      <c r="A32" s="1813" t="s">
        <v>382</v>
      </c>
      <c r="B32" s="1814"/>
      <c r="C32" s="1814"/>
      <c r="D32" s="1204">
        <v>33</v>
      </c>
      <c r="E32" s="1103">
        <v>0</v>
      </c>
      <c r="F32" s="1103">
        <v>32</v>
      </c>
      <c r="G32" s="1103">
        <v>0</v>
      </c>
      <c r="H32" s="1103">
        <v>1</v>
      </c>
      <c r="I32" s="1103">
        <f>+E32+F32</f>
        <v>32</v>
      </c>
      <c r="J32" s="1104">
        <f>+D32-L32</f>
        <v>0</v>
      </c>
      <c r="K32" s="1104">
        <v>0</v>
      </c>
      <c r="L32" s="1201">
        <f>+E32+F32+G32+H32+K32</f>
        <v>33</v>
      </c>
    </row>
    <row r="33" spans="1:14" ht="19.2" customHeight="1">
      <c r="A33" s="1813" t="s">
        <v>383</v>
      </c>
      <c r="B33" s="1814"/>
      <c r="C33" s="1814"/>
      <c r="D33" s="1204">
        <v>0</v>
      </c>
      <c r="E33" s="1103">
        <v>0</v>
      </c>
      <c r="F33" s="1103">
        <v>0</v>
      </c>
      <c r="G33" s="1103">
        <v>0</v>
      </c>
      <c r="H33" s="1103">
        <v>0</v>
      </c>
      <c r="I33" s="1103">
        <v>0</v>
      </c>
      <c r="J33" s="1104">
        <f>+D33-L33</f>
        <v>0</v>
      </c>
      <c r="K33" s="1104">
        <v>0</v>
      </c>
      <c r="L33" s="1201">
        <f>+E33+F33+G33+H33+K33</f>
        <v>0</v>
      </c>
    </row>
    <row r="34" spans="1:14" ht="19.2" customHeight="1">
      <c r="A34" s="1815" t="s">
        <v>384</v>
      </c>
      <c r="B34" s="1816"/>
      <c r="C34" s="1816"/>
      <c r="D34" s="1205">
        <v>17</v>
      </c>
      <c r="E34" s="1105">
        <v>0</v>
      </c>
      <c r="F34" s="1105">
        <v>17</v>
      </c>
      <c r="G34" s="1105">
        <v>0</v>
      </c>
      <c r="H34" s="1105">
        <v>0</v>
      </c>
      <c r="I34" s="1105">
        <v>17</v>
      </c>
      <c r="J34" s="1106">
        <f>+D34-L34</f>
        <v>0</v>
      </c>
      <c r="K34" s="1106">
        <v>0</v>
      </c>
      <c r="L34" s="1202">
        <f>+E34+F34+G34+H34+K34</f>
        <v>17</v>
      </c>
    </row>
    <row r="35" spans="1:14" ht="19.2" customHeight="1">
      <c r="A35" s="1817" t="s">
        <v>131</v>
      </c>
      <c r="B35" s="1818"/>
      <c r="C35" s="1819"/>
      <c r="D35" s="1206">
        <f>SUM(D30:D34)</f>
        <v>65</v>
      </c>
      <c r="E35" s="1107">
        <f t="shared" ref="E35:K35" si="8">SUM(E30:E34)</f>
        <v>0</v>
      </c>
      <c r="F35" s="1107">
        <f t="shared" si="8"/>
        <v>63</v>
      </c>
      <c r="G35" s="1107">
        <f t="shared" si="8"/>
        <v>0</v>
      </c>
      <c r="H35" s="1107">
        <f t="shared" si="8"/>
        <v>2</v>
      </c>
      <c r="I35" s="1107">
        <f t="shared" si="8"/>
        <v>63</v>
      </c>
      <c r="J35" s="1107">
        <f t="shared" si="8"/>
        <v>0</v>
      </c>
      <c r="K35" s="1107">
        <f t="shared" si="8"/>
        <v>0</v>
      </c>
      <c r="L35" s="1108">
        <f>SUM(L30:L34)</f>
        <v>65</v>
      </c>
      <c r="N35" s="823">
        <f>+L35/D35</f>
        <v>1</v>
      </c>
    </row>
    <row r="37" spans="1:14" ht="15">
      <c r="A37" s="1820" t="s">
        <v>157</v>
      </c>
      <c r="B37" s="1821"/>
      <c r="C37" s="1821"/>
      <c r="D37" s="1821"/>
      <c r="E37" s="1821"/>
      <c r="F37" s="1821"/>
      <c r="G37" s="1821"/>
      <c r="H37" s="1821"/>
      <c r="I37" s="1821"/>
      <c r="J37" s="1821"/>
      <c r="K37" s="1821"/>
      <c r="L37" s="1822"/>
    </row>
    <row r="38" spans="1:14" ht="14.7" customHeight="1">
      <c r="A38" s="1774" t="s">
        <v>99</v>
      </c>
      <c r="B38" s="1775"/>
      <c r="C38" s="1776"/>
      <c r="D38" s="1808" t="s">
        <v>386</v>
      </c>
      <c r="E38" s="1808" t="s">
        <v>162</v>
      </c>
      <c r="F38" s="1808" t="s">
        <v>163</v>
      </c>
      <c r="G38" s="1808" t="s">
        <v>164</v>
      </c>
      <c r="H38" s="1808" t="s">
        <v>387</v>
      </c>
      <c r="I38" s="1808" t="s">
        <v>166</v>
      </c>
      <c r="J38" s="1788" t="s">
        <v>167</v>
      </c>
      <c r="K38" s="1809"/>
      <c r="L38" s="1790"/>
    </row>
    <row r="39" spans="1:14" ht="42" customHeight="1">
      <c r="A39" s="1774"/>
      <c r="B39" s="1775"/>
      <c r="C39" s="1776"/>
      <c r="D39" s="1808"/>
      <c r="E39" s="1808" t="s">
        <v>114</v>
      </c>
      <c r="F39" s="1808" t="s">
        <v>115</v>
      </c>
      <c r="G39" s="1808" t="s">
        <v>116</v>
      </c>
      <c r="H39" s="1808" t="s">
        <v>117</v>
      </c>
      <c r="I39" s="1808" t="s">
        <v>118</v>
      </c>
      <c r="J39" s="1810"/>
      <c r="K39" s="1811"/>
      <c r="L39" s="1812"/>
    </row>
    <row r="40" spans="1:14" ht="14.7" customHeight="1">
      <c r="A40" s="1794" t="s">
        <v>124</v>
      </c>
      <c r="B40" s="1795"/>
      <c r="C40" s="1796"/>
      <c r="D40" s="770">
        <v>0</v>
      </c>
      <c r="E40" s="770">
        <v>0</v>
      </c>
      <c r="F40" s="770"/>
      <c r="G40" s="771">
        <v>0</v>
      </c>
      <c r="H40" s="771">
        <v>0</v>
      </c>
      <c r="I40" s="770">
        <v>0</v>
      </c>
      <c r="J40" s="1797"/>
      <c r="K40" s="1798"/>
      <c r="L40" s="1799"/>
    </row>
    <row r="41" spans="1:14" ht="24" customHeight="1">
      <c r="A41" s="1794" t="s">
        <v>381</v>
      </c>
      <c r="B41" s="1795"/>
      <c r="C41" s="1796"/>
      <c r="D41" s="770">
        <v>9</v>
      </c>
      <c r="E41" s="770">
        <v>9</v>
      </c>
      <c r="F41" s="771">
        <v>9</v>
      </c>
      <c r="G41" s="771">
        <f>+E41-F41</f>
        <v>0</v>
      </c>
      <c r="H41" s="771">
        <v>8</v>
      </c>
      <c r="I41" s="771">
        <f>+D41-H41</f>
        <v>1</v>
      </c>
      <c r="J41" s="1797">
        <v>46336</v>
      </c>
      <c r="K41" s="1798"/>
      <c r="L41" s="1799"/>
    </row>
    <row r="42" spans="1:14">
      <c r="A42" s="1794" t="s">
        <v>382</v>
      </c>
      <c r="B42" s="1795"/>
      <c r="C42" s="1796"/>
      <c r="D42" s="771">
        <v>2</v>
      </c>
      <c r="E42" s="770">
        <v>2</v>
      </c>
      <c r="F42" s="771">
        <v>2</v>
      </c>
      <c r="G42" s="771">
        <v>0</v>
      </c>
      <c r="H42" s="771">
        <v>2</v>
      </c>
      <c r="I42" s="771">
        <f>+D42-H42</f>
        <v>0</v>
      </c>
      <c r="J42" s="1797">
        <v>46172</v>
      </c>
      <c r="K42" s="1798"/>
      <c r="L42" s="1799"/>
    </row>
    <row r="43" spans="1:14">
      <c r="A43" s="1794" t="s">
        <v>383</v>
      </c>
      <c r="B43" s="1795"/>
      <c r="C43" s="1796"/>
      <c r="D43" s="771">
        <v>0</v>
      </c>
      <c r="E43" s="770">
        <v>0</v>
      </c>
      <c r="F43" s="771">
        <v>0</v>
      </c>
      <c r="G43" s="771">
        <v>0</v>
      </c>
      <c r="H43" s="771">
        <v>0</v>
      </c>
      <c r="I43" s="771">
        <f>+D43-H43</f>
        <v>0</v>
      </c>
      <c r="J43" s="1797"/>
      <c r="K43" s="1798"/>
      <c r="L43" s="1799"/>
    </row>
    <row r="44" spans="1:14">
      <c r="A44" s="1794" t="s">
        <v>384</v>
      </c>
      <c r="B44" s="1795"/>
      <c r="C44" s="1796"/>
      <c r="D44" s="771">
        <v>7</v>
      </c>
      <c r="E44" s="770">
        <v>7</v>
      </c>
      <c r="F44" s="771">
        <v>7</v>
      </c>
      <c r="G44" s="771">
        <f>+E44-F44</f>
        <v>0</v>
      </c>
      <c r="H44" s="771">
        <v>7</v>
      </c>
      <c r="I44" s="771">
        <f>+D44-H44</f>
        <v>0</v>
      </c>
      <c r="J44" s="1797">
        <v>46263</v>
      </c>
      <c r="K44" s="1798"/>
      <c r="L44" s="1799"/>
      <c r="N44" s="702"/>
    </row>
    <row r="45" spans="1:14">
      <c r="A45" s="1800" t="s">
        <v>131</v>
      </c>
      <c r="B45" s="1801"/>
      <c r="C45" s="1802"/>
      <c r="D45" s="698">
        <f t="shared" ref="D45:I45" si="9">SUM(D40:D44)</f>
        <v>18</v>
      </c>
      <c r="E45" s="698">
        <f>SUM(E40:E44)</f>
        <v>18</v>
      </c>
      <c r="F45" s="698">
        <f t="shared" si="9"/>
        <v>18</v>
      </c>
      <c r="G45" s="698">
        <f t="shared" si="9"/>
        <v>0</v>
      </c>
      <c r="H45" s="698">
        <f t="shared" si="9"/>
        <v>17</v>
      </c>
      <c r="I45" s="698">
        <f t="shared" si="9"/>
        <v>1</v>
      </c>
      <c r="J45" s="1803">
        <f>MAX(J40:J44)</f>
        <v>46336</v>
      </c>
      <c r="K45" s="1804"/>
      <c r="L45" s="1805"/>
    </row>
    <row r="47" spans="1:14" ht="49.95" customHeight="1">
      <c r="A47" s="1806" t="s">
        <v>388</v>
      </c>
      <c r="B47" s="1807"/>
      <c r="C47" s="1807"/>
      <c r="D47" s="1807"/>
      <c r="E47" s="1807"/>
      <c r="F47" s="1807"/>
      <c r="G47" s="1807"/>
      <c r="I47" s="46" t="s">
        <v>389</v>
      </c>
      <c r="J47" s="825">
        <f>AVERAGE(E49:E123)</f>
        <v>0.84522903225806445</v>
      </c>
      <c r="L47" s="705" t="s">
        <v>390</v>
      </c>
      <c r="M47" s="704">
        <f>AVERAGE(G49:G123)</f>
        <v>1.75</v>
      </c>
    </row>
    <row r="48" spans="1:14" s="45" customFormat="1" ht="42" customHeight="1">
      <c r="A48" s="42" t="s">
        <v>391</v>
      </c>
      <c r="B48" s="42" t="s">
        <v>392</v>
      </c>
      <c r="C48" s="42" t="s">
        <v>393</v>
      </c>
      <c r="D48" s="42" t="s">
        <v>394</v>
      </c>
      <c r="E48" s="42" t="s">
        <v>38</v>
      </c>
      <c r="F48" s="42" t="s">
        <v>395</v>
      </c>
      <c r="G48" s="42" t="s">
        <v>396</v>
      </c>
      <c r="H48"/>
      <c r="I48" s="46" t="s">
        <v>397</v>
      </c>
      <c r="J48" s="826">
        <f>Quality!AC10</f>
        <v>0.90120689655172415</v>
      </c>
      <c r="K48"/>
      <c r="L48" s="705" t="s">
        <v>398</v>
      </c>
      <c r="M48" s="704">
        <f>AVERAGE(D49:D123)</f>
        <v>2.806451612903226</v>
      </c>
    </row>
    <row r="49" spans="1:7">
      <c r="A49" s="1227" t="s">
        <v>399</v>
      </c>
      <c r="B49" s="1252"/>
      <c r="C49" s="1233"/>
      <c r="D49" s="1231"/>
      <c r="E49" s="1232"/>
      <c r="F49" s="1234"/>
      <c r="G49" s="1228"/>
    </row>
    <row r="50" spans="1:7">
      <c r="A50" s="1227" t="s">
        <v>400</v>
      </c>
      <c r="B50" s="1252"/>
      <c r="C50" s="1233"/>
      <c r="D50" s="1231"/>
      <c r="E50" s="1232"/>
      <c r="F50" s="1234"/>
      <c r="G50" s="1228"/>
    </row>
    <row r="51" spans="1:7">
      <c r="A51" s="1227" t="s">
        <v>401</v>
      </c>
      <c r="B51" s="1252"/>
      <c r="C51" s="1233"/>
      <c r="D51" s="1231"/>
      <c r="E51" s="1232"/>
      <c r="F51" s="1234"/>
      <c r="G51" s="1228"/>
    </row>
    <row r="52" spans="1:7" ht="17.399999999999999" customHeight="1">
      <c r="A52" s="1235" t="s">
        <v>402</v>
      </c>
      <c r="B52" s="1310">
        <v>46091</v>
      </c>
      <c r="C52" s="1310">
        <v>46090</v>
      </c>
      <c r="D52" s="1229">
        <v>3</v>
      </c>
      <c r="E52" s="1230">
        <v>0.8</v>
      </c>
      <c r="F52" s="1310">
        <v>46091</v>
      </c>
      <c r="G52" s="1236">
        <f>F52-C52</f>
        <v>1</v>
      </c>
    </row>
    <row r="53" spans="1:7">
      <c r="A53" s="1235" t="s">
        <v>403</v>
      </c>
      <c r="B53" s="1310">
        <v>46098</v>
      </c>
      <c r="C53" s="1310">
        <v>46097</v>
      </c>
      <c r="D53" s="1229">
        <v>3</v>
      </c>
      <c r="E53" s="1230">
        <v>0.8</v>
      </c>
      <c r="F53" s="1310">
        <v>46099</v>
      </c>
      <c r="G53" s="1236">
        <f t="shared" ref="G53:G83" si="10">F53-C53</f>
        <v>2</v>
      </c>
    </row>
    <row r="54" spans="1:7">
      <c r="A54" s="1235" t="s">
        <v>404</v>
      </c>
      <c r="B54" s="1310">
        <v>46105</v>
      </c>
      <c r="C54" s="1310">
        <v>46104</v>
      </c>
      <c r="D54" s="1229">
        <v>2</v>
      </c>
      <c r="E54" s="1230">
        <v>0.75</v>
      </c>
      <c r="F54" s="1310">
        <v>46105</v>
      </c>
      <c r="G54" s="1236">
        <f t="shared" si="10"/>
        <v>1</v>
      </c>
    </row>
    <row r="55" spans="1:7">
      <c r="A55" s="1235" t="s">
        <v>405</v>
      </c>
      <c r="B55" s="1310">
        <v>46112</v>
      </c>
      <c r="C55" s="1310">
        <v>46111</v>
      </c>
      <c r="D55" s="1229">
        <v>3</v>
      </c>
      <c r="E55" s="1230">
        <v>0.78</v>
      </c>
      <c r="F55" s="1310">
        <v>46112</v>
      </c>
      <c r="G55" s="1236">
        <f t="shared" si="10"/>
        <v>1</v>
      </c>
    </row>
    <row r="56" spans="1:7">
      <c r="A56" s="1235" t="s">
        <v>406</v>
      </c>
      <c r="B56" s="1310">
        <v>46119</v>
      </c>
      <c r="C56" s="1310">
        <v>46118</v>
      </c>
      <c r="D56" s="1229">
        <v>3</v>
      </c>
      <c r="E56" s="1230">
        <v>0.78</v>
      </c>
      <c r="F56" s="1310">
        <v>46120</v>
      </c>
      <c r="G56" s="1236">
        <f t="shared" si="10"/>
        <v>2</v>
      </c>
    </row>
    <row r="57" spans="1:7">
      <c r="A57" s="1235" t="s">
        <v>407</v>
      </c>
      <c r="B57" s="1310">
        <v>46126</v>
      </c>
      <c r="C57" s="1310">
        <v>46124</v>
      </c>
      <c r="D57" s="1229">
        <v>2</v>
      </c>
      <c r="E57" s="1230">
        <v>0.75</v>
      </c>
      <c r="F57" s="1310">
        <v>46127</v>
      </c>
      <c r="G57" s="1236">
        <f t="shared" si="10"/>
        <v>3</v>
      </c>
    </row>
    <row r="58" spans="1:7">
      <c r="A58" s="1235" t="s">
        <v>408</v>
      </c>
      <c r="B58" s="1310">
        <v>46133</v>
      </c>
      <c r="C58" s="1310">
        <v>46131</v>
      </c>
      <c r="D58" s="1229">
        <v>3</v>
      </c>
      <c r="E58" s="1230">
        <v>0.79</v>
      </c>
      <c r="F58" s="1310">
        <v>46133</v>
      </c>
      <c r="G58" s="1236">
        <f t="shared" si="10"/>
        <v>2</v>
      </c>
    </row>
    <row r="59" spans="1:7">
      <c r="A59" s="1235" t="s">
        <v>409</v>
      </c>
      <c r="B59" s="1310">
        <v>46140</v>
      </c>
      <c r="C59" s="1310">
        <v>46138</v>
      </c>
      <c r="D59" s="1229">
        <v>2</v>
      </c>
      <c r="E59" s="1230">
        <v>0.8</v>
      </c>
      <c r="F59" s="1310">
        <v>46138</v>
      </c>
      <c r="G59" s="1236">
        <f t="shared" si="10"/>
        <v>0</v>
      </c>
    </row>
    <row r="60" spans="1:7">
      <c r="A60" s="1235" t="s">
        <v>410</v>
      </c>
      <c r="B60" s="1310">
        <v>46147</v>
      </c>
      <c r="C60" s="1310">
        <v>46145</v>
      </c>
      <c r="D60" s="1229">
        <v>3</v>
      </c>
      <c r="E60" s="1230">
        <v>0.78</v>
      </c>
      <c r="F60" s="1310">
        <v>46146</v>
      </c>
      <c r="G60" s="1236">
        <f t="shared" si="10"/>
        <v>1</v>
      </c>
    </row>
    <row r="61" spans="1:7">
      <c r="A61" s="1235" t="s">
        <v>411</v>
      </c>
      <c r="B61" s="1310">
        <v>46154</v>
      </c>
      <c r="C61" s="1310">
        <v>46152</v>
      </c>
      <c r="D61" s="1229">
        <v>4</v>
      </c>
      <c r="E61" s="1230">
        <v>0.79</v>
      </c>
      <c r="F61" s="1310">
        <v>46154</v>
      </c>
      <c r="G61" s="1236">
        <f t="shared" si="10"/>
        <v>2</v>
      </c>
    </row>
    <row r="62" spans="1:7">
      <c r="A62" s="1235" t="s">
        <v>412</v>
      </c>
      <c r="B62" s="1310">
        <v>46161</v>
      </c>
      <c r="C62" s="1310">
        <v>46159</v>
      </c>
      <c r="D62" s="1229">
        <v>3</v>
      </c>
      <c r="E62" s="1230">
        <v>0.79</v>
      </c>
      <c r="F62" s="1310">
        <v>46161</v>
      </c>
      <c r="G62" s="1236">
        <f t="shared" si="10"/>
        <v>2</v>
      </c>
    </row>
    <row r="63" spans="1:7">
      <c r="A63" s="1235" t="s">
        <v>413</v>
      </c>
      <c r="B63" s="1310">
        <v>46168</v>
      </c>
      <c r="C63" s="1310">
        <v>46166</v>
      </c>
      <c r="D63" s="1229">
        <v>3</v>
      </c>
      <c r="E63" s="1230">
        <v>0.8</v>
      </c>
      <c r="F63" s="1310">
        <v>46168</v>
      </c>
      <c r="G63" s="1236">
        <f t="shared" si="10"/>
        <v>2</v>
      </c>
    </row>
    <row r="64" spans="1:7">
      <c r="A64" s="1227" t="s">
        <v>414</v>
      </c>
      <c r="B64" s="1252"/>
      <c r="C64" s="1233"/>
      <c r="D64" s="1231"/>
      <c r="E64" s="1232"/>
      <c r="F64" s="1234"/>
      <c r="G64" s="1228">
        <f t="shared" si="10"/>
        <v>0</v>
      </c>
    </row>
    <row r="65" spans="1:7">
      <c r="A65" s="1235" t="s">
        <v>415</v>
      </c>
      <c r="B65" s="1310">
        <v>46182</v>
      </c>
      <c r="C65" s="1310">
        <v>46179</v>
      </c>
      <c r="D65" s="1229">
        <v>3</v>
      </c>
      <c r="E65" s="1230">
        <v>0.8</v>
      </c>
      <c r="F65" s="1310">
        <v>46180</v>
      </c>
      <c r="G65" s="1236">
        <f t="shared" si="10"/>
        <v>1</v>
      </c>
    </row>
    <row r="66" spans="1:7">
      <c r="A66" s="1235" t="s">
        <v>416</v>
      </c>
      <c r="B66" s="1310">
        <v>46189</v>
      </c>
      <c r="C66" s="1310">
        <v>46186</v>
      </c>
      <c r="D66" s="1229">
        <v>3</v>
      </c>
      <c r="E66" s="1230">
        <v>0.85</v>
      </c>
      <c r="F66" s="1310">
        <v>46188</v>
      </c>
      <c r="G66" s="1236">
        <f t="shared" si="10"/>
        <v>2</v>
      </c>
    </row>
    <row r="67" spans="1:7">
      <c r="A67" s="1235" t="s">
        <v>417</v>
      </c>
      <c r="B67" s="1310">
        <v>46196</v>
      </c>
      <c r="C67" s="1310">
        <v>46193</v>
      </c>
      <c r="D67" s="1229">
        <v>3</v>
      </c>
      <c r="E67" s="1230">
        <v>0.85</v>
      </c>
      <c r="F67" s="1310">
        <v>46196</v>
      </c>
      <c r="G67" s="1236">
        <f t="shared" si="10"/>
        <v>3</v>
      </c>
    </row>
    <row r="68" spans="1:7">
      <c r="A68" s="1235" t="s">
        <v>418</v>
      </c>
      <c r="B68" s="1310">
        <v>46203</v>
      </c>
      <c r="C68" s="1310">
        <v>46200</v>
      </c>
      <c r="D68" s="1229">
        <v>3</v>
      </c>
      <c r="E68" s="1230">
        <v>0.87</v>
      </c>
      <c r="F68" s="1310">
        <v>46201</v>
      </c>
      <c r="G68" s="1236">
        <f t="shared" si="10"/>
        <v>1</v>
      </c>
    </row>
    <row r="69" spans="1:7">
      <c r="A69" s="1235" t="s">
        <v>419</v>
      </c>
      <c r="B69" s="1310">
        <v>46210</v>
      </c>
      <c r="C69" s="1310">
        <v>46207</v>
      </c>
      <c r="D69" s="1229">
        <v>3</v>
      </c>
      <c r="E69" s="1230">
        <v>0.875</v>
      </c>
      <c r="F69" s="1310">
        <v>46207</v>
      </c>
      <c r="G69" s="1236">
        <f t="shared" si="10"/>
        <v>0</v>
      </c>
    </row>
    <row r="70" spans="1:7">
      <c r="A70" s="1235" t="s">
        <v>420</v>
      </c>
      <c r="B70" s="1310">
        <v>46217</v>
      </c>
      <c r="C70" s="1310">
        <v>46216</v>
      </c>
      <c r="D70" s="1229">
        <v>3</v>
      </c>
      <c r="E70" s="1230">
        <v>0.875</v>
      </c>
      <c r="F70" s="1310">
        <v>46217</v>
      </c>
      <c r="G70" s="1236">
        <f t="shared" si="10"/>
        <v>1</v>
      </c>
    </row>
    <row r="71" spans="1:7">
      <c r="A71" s="1235" t="s">
        <v>421</v>
      </c>
      <c r="B71" s="1310">
        <v>46224</v>
      </c>
      <c r="C71" s="1310">
        <v>46221</v>
      </c>
      <c r="D71" s="1229">
        <v>3</v>
      </c>
      <c r="E71" s="1230">
        <v>0.89</v>
      </c>
      <c r="F71" s="1310">
        <v>46223</v>
      </c>
      <c r="G71" s="1236">
        <f t="shared" si="10"/>
        <v>2</v>
      </c>
    </row>
    <row r="72" spans="1:7">
      <c r="A72" s="1235" t="s">
        <v>422</v>
      </c>
      <c r="B72" s="1310">
        <v>46231</v>
      </c>
      <c r="C72" s="1310">
        <v>46229</v>
      </c>
      <c r="D72" s="1229">
        <v>3</v>
      </c>
      <c r="E72" s="1230">
        <v>0.89200000000000002</v>
      </c>
      <c r="F72" s="1310">
        <v>46232</v>
      </c>
      <c r="G72" s="1236">
        <f t="shared" si="10"/>
        <v>3</v>
      </c>
    </row>
    <row r="73" spans="1:7">
      <c r="A73" s="1235" t="s">
        <v>423</v>
      </c>
      <c r="B73" s="1310">
        <v>46238</v>
      </c>
      <c r="C73" s="1310">
        <v>46236</v>
      </c>
      <c r="D73" s="1229">
        <v>2</v>
      </c>
      <c r="E73" s="1230">
        <v>0.89300000000000002</v>
      </c>
      <c r="F73" s="1310">
        <v>46239</v>
      </c>
      <c r="G73" s="1236">
        <f t="shared" si="10"/>
        <v>3</v>
      </c>
    </row>
    <row r="74" spans="1:7">
      <c r="A74" s="1235" t="s">
        <v>424</v>
      </c>
      <c r="B74" s="1310">
        <v>46245</v>
      </c>
      <c r="C74" s="1310">
        <v>46243</v>
      </c>
      <c r="D74" s="1229">
        <v>4</v>
      </c>
      <c r="E74" s="1230">
        <v>0.89700000000000002</v>
      </c>
      <c r="F74" s="1310">
        <v>46244</v>
      </c>
      <c r="G74" s="1236">
        <f t="shared" si="10"/>
        <v>1</v>
      </c>
    </row>
    <row r="75" spans="1:7">
      <c r="A75" s="1249" t="s">
        <v>425</v>
      </c>
      <c r="B75" s="1310">
        <v>46252</v>
      </c>
      <c r="C75" s="1310">
        <v>46247</v>
      </c>
      <c r="D75" s="1250">
        <v>3</v>
      </c>
      <c r="E75" s="1251">
        <v>0.89900000000000002</v>
      </c>
      <c r="F75" s="1310">
        <v>46250</v>
      </c>
      <c r="G75" s="1236">
        <f t="shared" si="10"/>
        <v>3</v>
      </c>
    </row>
    <row r="76" spans="1:7">
      <c r="A76" s="707" t="s">
        <v>426</v>
      </c>
      <c r="B76" s="1310">
        <v>46259</v>
      </c>
      <c r="C76" s="1310">
        <v>46255</v>
      </c>
      <c r="D76" s="1250">
        <v>2</v>
      </c>
      <c r="E76" s="1251">
        <v>0.89949999999999997</v>
      </c>
      <c r="F76" s="1310">
        <v>46257</v>
      </c>
      <c r="G76" s="1236">
        <f t="shared" si="10"/>
        <v>2</v>
      </c>
    </row>
    <row r="77" spans="1:7">
      <c r="A77" s="707" t="s">
        <v>427</v>
      </c>
      <c r="B77" s="1310">
        <v>46266</v>
      </c>
      <c r="C77" s="1310">
        <v>46259</v>
      </c>
      <c r="D77" s="1250">
        <v>2</v>
      </c>
      <c r="E77" s="1251">
        <v>0.89949999999999997</v>
      </c>
      <c r="F77" s="1310">
        <v>46262</v>
      </c>
      <c r="G77" s="1236">
        <f t="shared" si="10"/>
        <v>3</v>
      </c>
    </row>
    <row r="78" spans="1:7">
      <c r="A78" s="707" t="s">
        <v>428</v>
      </c>
      <c r="B78" s="1310">
        <v>46273</v>
      </c>
      <c r="C78" s="1310">
        <v>46268</v>
      </c>
      <c r="D78" s="1250">
        <v>3</v>
      </c>
      <c r="E78" s="1251">
        <v>0.9012</v>
      </c>
      <c r="F78" s="1310">
        <v>46271</v>
      </c>
      <c r="G78" s="1236">
        <f t="shared" si="10"/>
        <v>3</v>
      </c>
    </row>
    <row r="79" spans="1:7">
      <c r="A79" s="707" t="s">
        <v>429</v>
      </c>
      <c r="B79" s="1310">
        <v>46280</v>
      </c>
      <c r="C79" s="1310">
        <v>46276</v>
      </c>
      <c r="D79" s="1250">
        <v>3</v>
      </c>
      <c r="E79" s="1251">
        <v>0.89949999999999997</v>
      </c>
      <c r="F79" s="1310">
        <v>46278</v>
      </c>
      <c r="G79" s="1236">
        <f t="shared" si="10"/>
        <v>2</v>
      </c>
    </row>
    <row r="80" spans="1:7">
      <c r="A80" s="707" t="s">
        <v>430</v>
      </c>
      <c r="B80" s="1310">
        <v>46287</v>
      </c>
      <c r="C80" s="1310">
        <v>46284</v>
      </c>
      <c r="D80" s="1250">
        <v>3</v>
      </c>
      <c r="E80" s="1251">
        <v>0.9012</v>
      </c>
      <c r="F80" s="1310">
        <v>46286</v>
      </c>
      <c r="G80" s="1236">
        <f t="shared" si="10"/>
        <v>2</v>
      </c>
    </row>
    <row r="81" spans="1:7">
      <c r="A81" s="707" t="s">
        <v>431</v>
      </c>
      <c r="B81" s="1310">
        <v>46294</v>
      </c>
      <c r="C81" s="1310">
        <v>46292</v>
      </c>
      <c r="D81" s="1250">
        <v>2</v>
      </c>
      <c r="E81" s="1251">
        <v>0.89949999999999997</v>
      </c>
      <c r="F81" s="1310">
        <v>46293</v>
      </c>
      <c r="G81" s="1236">
        <f t="shared" si="10"/>
        <v>1</v>
      </c>
    </row>
    <row r="82" spans="1:7">
      <c r="A82" s="707" t="s">
        <v>432</v>
      </c>
      <c r="B82" s="1310">
        <v>46301</v>
      </c>
      <c r="C82" s="1310">
        <v>46296</v>
      </c>
      <c r="D82" s="1250">
        <v>3</v>
      </c>
      <c r="E82" s="1251">
        <v>0.89949999999999997</v>
      </c>
      <c r="F82" s="1310">
        <v>46298</v>
      </c>
      <c r="G82" s="1236">
        <f t="shared" si="10"/>
        <v>2</v>
      </c>
    </row>
    <row r="83" spans="1:7">
      <c r="A83" s="707" t="s">
        <v>433</v>
      </c>
      <c r="B83" s="1310">
        <v>46308</v>
      </c>
      <c r="C83" s="1310">
        <v>46303</v>
      </c>
      <c r="D83" s="1250">
        <v>2</v>
      </c>
      <c r="E83" s="1251">
        <v>0.9012</v>
      </c>
      <c r="F83" s="1310">
        <v>46305</v>
      </c>
      <c r="G83" s="1236">
        <f t="shared" si="10"/>
        <v>2</v>
      </c>
    </row>
    <row r="84" spans="1:7">
      <c r="A84" s="707" t="s">
        <v>434</v>
      </c>
      <c r="B84" s="716"/>
      <c r="C84" s="716"/>
      <c r="D84" s="712"/>
      <c r="E84" s="824"/>
      <c r="F84" s="716"/>
      <c r="G84" s="713"/>
    </row>
    <row r="85" spans="1:7">
      <c r="A85" s="707" t="s">
        <v>435</v>
      </c>
      <c r="B85" s="716"/>
      <c r="C85" s="716"/>
      <c r="D85" s="712"/>
      <c r="E85" s="824"/>
      <c r="F85" s="716"/>
      <c r="G85" s="713"/>
    </row>
    <row r="86" spans="1:7">
      <c r="A86" s="707" t="s">
        <v>436</v>
      </c>
      <c r="B86" s="716"/>
      <c r="C86" s="716"/>
      <c r="D86" s="712"/>
      <c r="E86" s="824"/>
      <c r="F86" s="716"/>
      <c r="G86" s="713"/>
    </row>
    <row r="87" spans="1:7">
      <c r="A87" s="707" t="s">
        <v>437</v>
      </c>
      <c r="B87" s="716"/>
      <c r="C87" s="716"/>
      <c r="D87" s="712"/>
      <c r="E87" s="824"/>
      <c r="F87" s="716"/>
      <c r="G87" s="713"/>
    </row>
    <row r="88" spans="1:7">
      <c r="A88" s="707" t="s">
        <v>438</v>
      </c>
      <c r="B88" s="716"/>
      <c r="C88" s="716"/>
      <c r="D88" s="712"/>
      <c r="E88" s="824"/>
      <c r="F88" s="716"/>
      <c r="G88" s="713"/>
    </row>
    <row r="89" spans="1:7">
      <c r="A89" s="707" t="s">
        <v>439</v>
      </c>
      <c r="B89" s="716"/>
      <c r="C89" s="716"/>
      <c r="D89" s="712"/>
      <c r="E89" s="824"/>
      <c r="F89" s="716"/>
      <c r="G89" s="713"/>
    </row>
    <row r="90" spans="1:7">
      <c r="A90" s="707" t="s">
        <v>440</v>
      </c>
      <c r="B90" s="716"/>
      <c r="C90" s="716"/>
      <c r="D90" s="712"/>
      <c r="E90" s="824"/>
      <c r="F90" s="716"/>
      <c r="G90" s="713"/>
    </row>
    <row r="91" spans="1:7">
      <c r="A91" s="707" t="s">
        <v>441</v>
      </c>
      <c r="B91" s="716"/>
      <c r="C91" s="716"/>
      <c r="D91" s="712"/>
      <c r="E91" s="824"/>
      <c r="F91" s="716"/>
      <c r="G91" s="713"/>
    </row>
    <row r="92" spans="1:7">
      <c r="A92" s="707" t="s">
        <v>442</v>
      </c>
      <c r="B92" s="716"/>
      <c r="C92" s="716"/>
      <c r="D92" s="712"/>
      <c r="E92" s="824"/>
      <c r="F92" s="716"/>
      <c r="G92" s="713"/>
    </row>
    <row r="93" spans="1:7">
      <c r="A93" s="707" t="s">
        <v>443</v>
      </c>
      <c r="B93" s="716"/>
      <c r="C93" s="716"/>
      <c r="D93" s="712"/>
      <c r="E93" s="824"/>
      <c r="F93" s="716"/>
      <c r="G93" s="713"/>
    </row>
    <row r="94" spans="1:7">
      <c r="A94" s="707" t="s">
        <v>444</v>
      </c>
      <c r="B94" s="716"/>
      <c r="C94" s="716"/>
      <c r="D94" s="712"/>
      <c r="E94" s="824"/>
      <c r="F94" s="716"/>
      <c r="G94" s="713"/>
    </row>
    <row r="95" spans="1:7">
      <c r="A95" s="707" t="s">
        <v>445</v>
      </c>
      <c r="B95" s="716"/>
      <c r="C95" s="716"/>
      <c r="D95" s="712"/>
      <c r="E95" s="824"/>
      <c r="F95" s="716"/>
      <c r="G95" s="713"/>
    </row>
    <row r="96" spans="1:7">
      <c r="A96" s="707" t="s">
        <v>446</v>
      </c>
      <c r="B96" s="716"/>
      <c r="C96" s="716"/>
      <c r="D96" s="712"/>
      <c r="E96" s="824"/>
      <c r="F96" s="716"/>
      <c r="G96" s="713"/>
    </row>
    <row r="97" spans="1:7">
      <c r="A97" s="707" t="s">
        <v>447</v>
      </c>
      <c r="B97" s="716"/>
      <c r="C97" s="716"/>
      <c r="D97" s="712"/>
      <c r="E97" s="824"/>
      <c r="F97" s="716"/>
      <c r="G97" s="713"/>
    </row>
    <row r="98" spans="1:7">
      <c r="A98" s="707" t="s">
        <v>448</v>
      </c>
      <c r="B98" s="716"/>
      <c r="C98" s="716"/>
      <c r="D98" s="712"/>
      <c r="E98" s="824"/>
      <c r="F98" s="716"/>
      <c r="G98" s="713"/>
    </row>
    <row r="99" spans="1:7">
      <c r="A99" s="707" t="s">
        <v>449</v>
      </c>
      <c r="B99" s="716"/>
      <c r="C99" s="716"/>
      <c r="D99" s="712"/>
      <c r="E99" s="824"/>
      <c r="F99" s="716"/>
      <c r="G99" s="713"/>
    </row>
    <row r="100" spans="1:7">
      <c r="A100" s="707" t="s">
        <v>450</v>
      </c>
      <c r="B100" s="716"/>
      <c r="C100" s="716"/>
      <c r="D100" s="712"/>
      <c r="E100" s="824"/>
      <c r="F100" s="716"/>
      <c r="G100" s="713"/>
    </row>
    <row r="101" spans="1:7">
      <c r="A101" s="707" t="s">
        <v>451</v>
      </c>
      <c r="B101" s="716"/>
      <c r="C101" s="716"/>
      <c r="D101" s="712"/>
      <c r="E101" s="824"/>
      <c r="F101" s="716"/>
      <c r="G101" s="713"/>
    </row>
    <row r="102" spans="1:7">
      <c r="A102" s="707" t="s">
        <v>452</v>
      </c>
      <c r="B102" s="716"/>
      <c r="C102" s="716"/>
      <c r="D102" s="712"/>
      <c r="E102" s="824"/>
      <c r="F102" s="716"/>
      <c r="G102" s="713"/>
    </row>
    <row r="103" spans="1:7">
      <c r="A103" s="707" t="s">
        <v>453</v>
      </c>
      <c r="B103" s="716"/>
      <c r="C103" s="716"/>
      <c r="D103" s="712"/>
      <c r="F103" s="716"/>
      <c r="G103" s="713"/>
    </row>
    <row r="104" spans="1:7">
      <c r="A104" s="707" t="s">
        <v>454</v>
      </c>
      <c r="B104" s="716"/>
      <c r="C104" s="708"/>
      <c r="D104" s="712"/>
      <c r="E104" s="900"/>
      <c r="F104" s="716"/>
      <c r="G104" s="713"/>
    </row>
    <row r="105" spans="1:7">
      <c r="A105" s="707" t="s">
        <v>455</v>
      </c>
      <c r="B105" s="716"/>
      <c r="C105" s="708"/>
      <c r="D105" s="712"/>
      <c r="E105" s="900"/>
      <c r="F105" s="716"/>
      <c r="G105" s="713"/>
    </row>
    <row r="106" spans="1:7">
      <c r="A106" s="707" t="s">
        <v>456</v>
      </c>
      <c r="B106" s="716"/>
      <c r="C106" s="708"/>
      <c r="D106" s="712"/>
      <c r="E106" s="900"/>
      <c r="F106" s="716"/>
      <c r="G106" s="713"/>
    </row>
    <row r="107" spans="1:7">
      <c r="A107" s="707" t="s">
        <v>457</v>
      </c>
      <c r="B107" s="716"/>
      <c r="C107" s="708"/>
      <c r="D107" s="712"/>
      <c r="E107" s="900"/>
      <c r="F107" s="716"/>
      <c r="G107" s="713"/>
    </row>
    <row r="108" spans="1:7">
      <c r="A108" s="707" t="s">
        <v>458</v>
      </c>
      <c r="B108" s="716"/>
      <c r="C108" s="708"/>
      <c r="D108" s="712"/>
      <c r="E108" s="900"/>
      <c r="F108" s="716"/>
      <c r="G108" s="713"/>
    </row>
    <row r="109" spans="1:7">
      <c r="A109" s="707" t="s">
        <v>459</v>
      </c>
      <c r="B109" s="716"/>
      <c r="C109" s="708"/>
      <c r="D109" s="712"/>
      <c r="E109" s="900"/>
      <c r="F109" s="712"/>
      <c r="G109" s="713"/>
    </row>
    <row r="110" spans="1:7">
      <c r="A110" s="707" t="s">
        <v>460</v>
      </c>
      <c r="B110" s="716"/>
      <c r="C110" s="708"/>
      <c r="D110" s="712"/>
      <c r="E110" s="900"/>
      <c r="F110" s="712"/>
      <c r="G110" s="713"/>
    </row>
    <row r="111" spans="1:7">
      <c r="A111" s="707" t="s">
        <v>461</v>
      </c>
      <c r="B111" s="716"/>
      <c r="C111" s="708"/>
      <c r="D111" s="712"/>
      <c r="E111" s="900"/>
      <c r="F111" s="712"/>
      <c r="G111" s="713"/>
    </row>
    <row r="112" spans="1:7">
      <c r="A112" s="707" t="s">
        <v>462</v>
      </c>
      <c r="B112" s="716"/>
      <c r="C112" s="708"/>
      <c r="D112" s="712"/>
      <c r="E112" s="900"/>
      <c r="F112" s="712"/>
      <c r="G112" s="713"/>
    </row>
    <row r="113" spans="1:7">
      <c r="A113" s="707" t="s">
        <v>463</v>
      </c>
      <c r="B113" s="716"/>
      <c r="C113" s="708"/>
      <c r="D113" s="712"/>
      <c r="E113" s="900"/>
      <c r="F113" s="712"/>
      <c r="G113" s="713"/>
    </row>
    <row r="114" spans="1:7">
      <c r="A114" s="707" t="s">
        <v>464</v>
      </c>
      <c r="B114" s="716"/>
      <c r="C114" s="708"/>
      <c r="D114" s="712"/>
      <c r="E114" s="900"/>
      <c r="F114" s="712"/>
      <c r="G114" s="713"/>
    </row>
    <row r="115" spans="1:7">
      <c r="A115" s="707" t="s">
        <v>465</v>
      </c>
      <c r="B115" s="716"/>
      <c r="C115" s="708"/>
      <c r="D115" s="712"/>
      <c r="E115" s="900"/>
      <c r="F115" s="712"/>
      <c r="G115" s="713"/>
    </row>
    <row r="116" spans="1:7">
      <c r="A116" s="707" t="s">
        <v>466</v>
      </c>
      <c r="B116" s="709"/>
      <c r="C116" s="708"/>
      <c r="D116" s="712"/>
      <c r="E116" s="900"/>
      <c r="F116" s="712"/>
      <c r="G116" s="713"/>
    </row>
    <row r="117" spans="1:7">
      <c r="A117" s="707" t="s">
        <v>467</v>
      </c>
      <c r="B117" s="709"/>
      <c r="C117" s="708"/>
      <c r="D117" s="712"/>
      <c r="E117" s="900"/>
      <c r="F117" s="712"/>
      <c r="G117" s="713"/>
    </row>
    <row r="118" spans="1:7">
      <c r="A118" s="707" t="s">
        <v>468</v>
      </c>
      <c r="B118" s="709"/>
      <c r="C118" s="708"/>
      <c r="D118" s="712"/>
      <c r="E118" s="900"/>
      <c r="F118" s="712"/>
      <c r="G118" s="713"/>
    </row>
    <row r="119" spans="1:7">
      <c r="A119" s="707" t="s">
        <v>469</v>
      </c>
      <c r="B119" s="709"/>
      <c r="C119" s="708"/>
      <c r="D119" s="712"/>
      <c r="E119" s="900"/>
      <c r="F119" s="712"/>
      <c r="G119" s="713"/>
    </row>
    <row r="120" spans="1:7">
      <c r="A120" s="707" t="s">
        <v>470</v>
      </c>
      <c r="B120" s="709"/>
      <c r="C120" s="708"/>
      <c r="D120" s="712"/>
      <c r="E120" s="900"/>
      <c r="F120" s="712"/>
      <c r="G120" s="713"/>
    </row>
    <row r="121" spans="1:7">
      <c r="A121" s="707" t="s">
        <v>471</v>
      </c>
      <c r="B121" s="709"/>
      <c r="C121" s="708"/>
      <c r="D121" s="712"/>
      <c r="E121" s="900"/>
      <c r="F121" s="712"/>
      <c r="G121" s="713"/>
    </row>
    <row r="122" spans="1:7">
      <c r="A122" s="707" t="s">
        <v>472</v>
      </c>
      <c r="B122" s="709"/>
      <c r="C122" s="708"/>
      <c r="D122" s="712"/>
      <c r="E122" s="900"/>
      <c r="F122" s="712"/>
      <c r="G122" s="713"/>
    </row>
    <row r="123" spans="1:7">
      <c r="A123" s="710" t="s">
        <v>473</v>
      </c>
      <c r="B123" s="711"/>
      <c r="C123" s="827"/>
      <c r="D123" s="714"/>
      <c r="E123" s="913"/>
      <c r="F123" s="714"/>
      <c r="G123" s="715"/>
    </row>
    <row r="124" spans="1:7">
      <c r="A124" s="703"/>
      <c r="B124" s="703"/>
      <c r="C124" s="703"/>
      <c r="D124" s="703"/>
      <c r="E124" s="703"/>
      <c r="F124" s="703"/>
      <c r="G124" s="703"/>
    </row>
  </sheetData>
  <mergeCells count="67">
    <mergeCell ref="A22:C22"/>
    <mergeCell ref="A23:C23"/>
    <mergeCell ref="E11:I11"/>
    <mergeCell ref="A1:L1"/>
    <mergeCell ref="A2:C4"/>
    <mergeCell ref="K3:K4"/>
    <mergeCell ref="L3:L4"/>
    <mergeCell ref="A11:C12"/>
    <mergeCell ref="D11:D12"/>
    <mergeCell ref="J11:J12"/>
    <mergeCell ref="L11:L12"/>
    <mergeCell ref="A5:C5"/>
    <mergeCell ref="A6:C6"/>
    <mergeCell ref="A7:C7"/>
    <mergeCell ref="A8:C8"/>
    <mergeCell ref="D2:D4"/>
    <mergeCell ref="E2:E4"/>
    <mergeCell ref="F2:F4"/>
    <mergeCell ref="G2:G4"/>
    <mergeCell ref="A10:L10"/>
    <mergeCell ref="H2:L2"/>
    <mergeCell ref="H3:H4"/>
    <mergeCell ref="I3:I4"/>
    <mergeCell ref="J3:J4"/>
    <mergeCell ref="H38:H39"/>
    <mergeCell ref="I38:I39"/>
    <mergeCell ref="J38:L39"/>
    <mergeCell ref="A40:C40"/>
    <mergeCell ref="A31:C31"/>
    <mergeCell ref="A38:C39"/>
    <mergeCell ref="D38:D39"/>
    <mergeCell ref="E38:E39"/>
    <mergeCell ref="F38:F39"/>
    <mergeCell ref="G38:G39"/>
    <mergeCell ref="A32:C32"/>
    <mergeCell ref="A33:C33"/>
    <mergeCell ref="A34:C34"/>
    <mergeCell ref="A35:C35"/>
    <mergeCell ref="J40:L40"/>
    <mergeCell ref="A37:L37"/>
    <mergeCell ref="A41:C41"/>
    <mergeCell ref="J41:L41"/>
    <mergeCell ref="A45:C45"/>
    <mergeCell ref="J45:L45"/>
    <mergeCell ref="A47:G47"/>
    <mergeCell ref="A42:C42"/>
    <mergeCell ref="J42:L42"/>
    <mergeCell ref="A43:C43"/>
    <mergeCell ref="J43:L43"/>
    <mergeCell ref="A44:C44"/>
    <mergeCell ref="J44:L44"/>
    <mergeCell ref="A30:C30"/>
    <mergeCell ref="A13:C13"/>
    <mergeCell ref="A27:L27"/>
    <mergeCell ref="A28:C29"/>
    <mergeCell ref="A14:C14"/>
    <mergeCell ref="A15:C15"/>
    <mergeCell ref="A16:C16"/>
    <mergeCell ref="A17:C17"/>
    <mergeCell ref="A24:C24"/>
    <mergeCell ref="D28:D29"/>
    <mergeCell ref="J28:J29"/>
    <mergeCell ref="L28:L29"/>
    <mergeCell ref="A18:C18"/>
    <mergeCell ref="A19:C19"/>
    <mergeCell ref="A20:C20"/>
    <mergeCell ref="A21:C21"/>
  </mergeCells>
  <dataValidations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70" zoomScaleNormal="70" zoomScaleSheetLayoutView="80" workbookViewId="0">
      <selection activeCell="BF18" sqref="BF18"/>
    </sheetView>
  </sheetViews>
  <sheetFormatPr defaultColWidth="9.109375" defaultRowHeight="13.8"/>
  <cols>
    <col min="1" max="1" width="0.33203125" style="138" customWidth="1"/>
    <col min="2" max="2" width="3" style="138" customWidth="1"/>
    <col min="3" max="3" width="4.33203125" style="138" customWidth="1"/>
    <col min="4" max="4" width="4.6640625" style="138" customWidth="1"/>
    <col min="5" max="5" width="6.33203125" style="138" customWidth="1"/>
    <col min="6" max="6" width="5.44140625" style="138" customWidth="1"/>
    <col min="7" max="7" width="4.33203125" style="138" customWidth="1"/>
    <col min="8" max="8" width="4.44140625" style="138" customWidth="1"/>
    <col min="9" max="10" width="4.109375" style="138" customWidth="1"/>
    <col min="11" max="11" width="0.33203125" style="138" hidden="1" customWidth="1"/>
    <col min="12" max="12" width="1.44140625" style="138" customWidth="1"/>
    <col min="13" max="14" width="3.109375" style="138" customWidth="1"/>
    <col min="15" max="15" width="2" style="138" customWidth="1"/>
    <col min="16" max="17" width="1.44140625" style="138" customWidth="1"/>
    <col min="18" max="18" width="2" style="138" customWidth="1"/>
    <col min="19" max="19" width="3.44140625" style="601" customWidth="1"/>
    <col min="20" max="20" width="5.33203125" style="138" customWidth="1"/>
    <col min="21" max="21" width="5.109375" style="138" customWidth="1"/>
    <col min="22" max="22" width="8.44140625" style="138" customWidth="1"/>
    <col min="23" max="23" width="4.33203125" style="138" customWidth="1"/>
    <col min="24" max="24" width="5.109375" style="138" customWidth="1"/>
    <col min="25" max="25" width="4.33203125" style="138" customWidth="1"/>
    <col min="26" max="26" width="3.109375" style="138" customWidth="1"/>
    <col min="27" max="27" width="3.33203125" style="138" customWidth="1"/>
    <col min="28" max="28" width="3.44140625" style="138" hidden="1" customWidth="1"/>
    <col min="29" max="29" width="1.44140625" style="138" customWidth="1"/>
    <col min="30" max="30" width="2.88671875" style="138" customWidth="1"/>
    <col min="31" max="33" width="2.44140625" style="138" customWidth="1"/>
    <col min="34" max="34" width="3.5546875" style="138" customWidth="1"/>
    <col min="35" max="36" width="3.44140625" style="139" customWidth="1"/>
    <col min="37" max="37" width="9.109375" style="138" customWidth="1"/>
    <col min="38" max="38" width="43.44140625" style="138" hidden="1" customWidth="1"/>
    <col min="39" max="39" width="34.109375" style="138" hidden="1" customWidth="1"/>
    <col min="40" max="40" width="0" style="138" hidden="1" customWidth="1"/>
    <col min="41" max="43" width="9.109375" style="138" hidden="1" customWidth="1"/>
    <col min="44" max="44" width="6.44140625" style="138" hidden="1" customWidth="1"/>
    <col min="45" max="46" width="9.109375" style="138" hidden="1" customWidth="1"/>
    <col min="47" max="47" width="4.21875" style="138" hidden="1" customWidth="1"/>
    <col min="48" max="48" width="9.109375" style="138" hidden="1" customWidth="1"/>
    <col min="49" max="49" width="0" style="138" hidden="1" customWidth="1"/>
    <col min="50" max="50" width="9.109375" style="138"/>
    <col min="51" max="51" width="9.109375" style="138" customWidth="1"/>
    <col min="52" max="16384" width="9.109375" style="138"/>
  </cols>
  <sheetData>
    <row r="1" spans="2:88" ht="27.6" customHeight="1" thickBot="1">
      <c r="B1" s="1890" t="s">
        <v>474</v>
      </c>
      <c r="C1" s="1891"/>
      <c r="D1" s="1891"/>
      <c r="E1" s="1891"/>
      <c r="F1" s="1891"/>
      <c r="G1" s="1891"/>
      <c r="H1" s="1891"/>
      <c r="I1" s="1891"/>
      <c r="J1" s="1891"/>
      <c r="K1" s="1891"/>
      <c r="L1" s="1891"/>
      <c r="M1" s="1891"/>
      <c r="N1" s="1891"/>
      <c r="O1" s="1891"/>
      <c r="P1" s="1891"/>
      <c r="Q1" s="1891"/>
      <c r="R1" s="1891"/>
      <c r="S1" s="1891"/>
      <c r="T1" s="1891"/>
      <c r="U1" s="1891"/>
      <c r="V1" s="1891"/>
      <c r="W1" s="1891"/>
      <c r="X1" s="1891"/>
      <c r="Y1" s="1891"/>
      <c r="Z1" s="1891"/>
      <c r="AA1" s="1891"/>
      <c r="AB1" s="1891"/>
      <c r="AC1" s="1891"/>
      <c r="AD1" s="1891"/>
      <c r="AE1" s="1891"/>
      <c r="AF1" s="1891"/>
      <c r="AG1" s="1891"/>
      <c r="AH1" s="1892"/>
      <c r="AI1" s="138"/>
      <c r="AJ1" s="138"/>
    </row>
    <row r="2" spans="2:88" ht="16.95" customHeight="1">
      <c r="B2" s="1893" t="s">
        <v>475</v>
      </c>
      <c r="C2" s="1894"/>
      <c r="D2" s="1895"/>
      <c r="E2" s="1896">
        <f>'General Information'!L1</f>
        <v>46308</v>
      </c>
      <c r="F2" s="1897"/>
      <c r="G2" s="1897"/>
      <c r="H2" s="1897"/>
      <c r="I2" s="1897"/>
      <c r="J2" s="1898"/>
      <c r="K2" s="603"/>
      <c r="L2" s="1916" t="s">
        <v>476</v>
      </c>
      <c r="M2" s="1917"/>
      <c r="N2" s="1917"/>
      <c r="O2" s="1917"/>
      <c r="P2" s="1917"/>
      <c r="Q2" s="1917"/>
      <c r="R2" s="1917"/>
      <c r="S2" s="1917"/>
      <c r="T2" s="1918"/>
      <c r="U2" s="1913" t="str">
        <f>G27</f>
        <v>Waleed Mahmoud</v>
      </c>
      <c r="V2" s="1914"/>
      <c r="W2" s="1914"/>
      <c r="X2" s="1914"/>
      <c r="Y2" s="1914"/>
      <c r="Z2" s="1914"/>
      <c r="AA2" s="1914"/>
      <c r="AB2" s="1914"/>
      <c r="AC2" s="1914"/>
      <c r="AD2" s="1914"/>
      <c r="AE2" s="1914"/>
      <c r="AF2" s="1914"/>
      <c r="AG2" s="1914"/>
      <c r="AH2" s="1915"/>
      <c r="AI2" s="138"/>
      <c r="AJ2" s="138"/>
    </row>
    <row r="3" spans="2:88" ht="5.0999999999999996" customHeight="1">
      <c r="B3" s="1884"/>
      <c r="C3" s="1885"/>
      <c r="D3" s="1885"/>
      <c r="E3" s="1885"/>
      <c r="F3" s="1885"/>
      <c r="G3" s="1885"/>
      <c r="H3" s="1885"/>
      <c r="I3" s="1885"/>
      <c r="J3" s="1885"/>
      <c r="K3" s="1885"/>
      <c r="L3" s="1885"/>
      <c r="M3" s="1885"/>
      <c r="N3" s="1885"/>
      <c r="O3" s="1885"/>
      <c r="P3" s="1885"/>
      <c r="Q3" s="1885"/>
      <c r="R3" s="1885"/>
      <c r="S3" s="1885"/>
      <c r="T3" s="1885"/>
      <c r="U3" s="1885"/>
      <c r="V3" s="1885"/>
      <c r="W3" s="1885"/>
      <c r="X3" s="1885"/>
      <c r="Y3" s="1885"/>
      <c r="Z3" s="1885"/>
      <c r="AA3" s="1885"/>
      <c r="AB3" s="1885"/>
      <c r="AC3" s="1885"/>
      <c r="AD3" s="1885"/>
      <c r="AE3" s="1885"/>
      <c r="AF3" s="1885"/>
      <c r="AG3" s="1885"/>
      <c r="AH3" s="1886"/>
      <c r="AI3" s="138"/>
      <c r="AJ3" s="138"/>
    </row>
    <row r="4" spans="2:88" ht="21.6" customHeight="1">
      <c r="B4" s="1899" t="s">
        <v>477</v>
      </c>
      <c r="C4" s="1900"/>
      <c r="D4" s="1900"/>
      <c r="E4" s="1901" t="str">
        <f>'General Information'!C4</f>
        <v>MKH2-02-003</v>
      </c>
      <c r="F4" s="1902"/>
      <c r="G4" s="1902"/>
      <c r="H4" s="1902"/>
      <c r="I4" s="1902"/>
      <c r="J4" s="1902"/>
      <c r="K4" s="1903"/>
      <c r="L4" s="1904" t="s">
        <v>478</v>
      </c>
      <c r="M4" s="1905"/>
      <c r="N4" s="1900"/>
      <c r="O4" s="1900"/>
      <c r="P4" s="1906">
        <f>'General Information'!O1</f>
        <v>35</v>
      </c>
      <c r="Q4" s="1907"/>
      <c r="R4" s="1907"/>
      <c r="S4" s="1907"/>
      <c r="T4" s="1907"/>
      <c r="U4" s="1907"/>
      <c r="V4" s="1908"/>
      <c r="W4" s="1909" t="s">
        <v>479</v>
      </c>
      <c r="X4" s="1905"/>
      <c r="Y4" s="1910" t="s">
        <v>1209</v>
      </c>
      <c r="Z4" s="1911"/>
      <c r="AA4" s="1911"/>
      <c r="AB4" s="1911"/>
      <c r="AC4" s="1911"/>
      <c r="AD4" s="1911"/>
      <c r="AE4" s="1911"/>
      <c r="AF4" s="1911"/>
      <c r="AG4" s="1911"/>
      <c r="AH4" s="1912"/>
    </row>
    <row r="5" spans="2:88" ht="5.0999999999999996" customHeight="1">
      <c r="B5" s="1853"/>
      <c r="C5" s="1854"/>
      <c r="D5" s="1854"/>
      <c r="E5" s="1854"/>
      <c r="F5" s="1854"/>
      <c r="G5" s="1854"/>
      <c r="H5" s="1854"/>
      <c r="I5" s="1854"/>
      <c r="J5" s="1854"/>
      <c r="K5" s="1854"/>
      <c r="L5" s="1854"/>
      <c r="M5" s="1854"/>
      <c r="N5" s="1854"/>
      <c r="O5" s="1854"/>
      <c r="P5" s="1854"/>
      <c r="Q5" s="1854"/>
      <c r="R5" s="1854"/>
      <c r="S5" s="1854"/>
      <c r="T5" s="1854"/>
      <c r="U5" s="1854"/>
      <c r="V5" s="1854"/>
      <c r="W5" s="1854"/>
      <c r="X5" s="1854"/>
      <c r="Y5" s="1854"/>
      <c r="Z5" s="1854"/>
      <c r="AA5" s="1854"/>
      <c r="AB5" s="1854"/>
      <c r="AC5" s="1854"/>
      <c r="AD5" s="1854"/>
      <c r="AE5" s="1854"/>
      <c r="AF5" s="1854"/>
      <c r="AG5" s="1854"/>
      <c r="AH5" s="1855"/>
    </row>
    <row r="6" spans="2:88" ht="31.5" customHeight="1" thickBot="1">
      <c r="B6" s="604" t="s">
        <v>480</v>
      </c>
      <c r="C6" s="605"/>
      <c r="D6" s="605"/>
      <c r="E6" s="1856" t="str">
        <f>'General Information'!C3</f>
        <v>Completion of Infrastructure Works in The Second Industrial City in Makkah Al-Mukarramah</v>
      </c>
      <c r="F6" s="1857"/>
      <c r="G6" s="1857"/>
      <c r="H6" s="1857"/>
      <c r="I6" s="1857"/>
      <c r="J6" s="1858"/>
      <c r="K6" s="606"/>
      <c r="L6" s="1859" t="s">
        <v>481</v>
      </c>
      <c r="M6" s="1859"/>
      <c r="N6" s="1859"/>
      <c r="O6" s="1859"/>
      <c r="P6" s="1859"/>
      <c r="Q6" s="1860"/>
      <c r="R6" s="1861" t="str">
        <f>'General Information'!C5</f>
        <v>Al Enjaz Trading &amp; Contracting Co.</v>
      </c>
      <c r="S6" s="1862"/>
      <c r="T6" s="1862"/>
      <c r="U6" s="1862"/>
      <c r="V6" s="1862"/>
      <c r="W6" s="1863"/>
      <c r="X6" s="1861" t="s">
        <v>482</v>
      </c>
      <c r="Y6" s="1862"/>
      <c r="Z6" s="1863"/>
      <c r="AA6" s="1864">
        <f>IF(W29&gt;0,3,IF(L29&gt;6,2,IF(D29&gt;9,1,1)*1)*1)</f>
        <v>2</v>
      </c>
      <c r="AB6" s="1864"/>
      <c r="AC6" s="1864"/>
      <c r="AD6" s="1864"/>
      <c r="AE6" s="1865">
        <f>(((COUNTIF(L13:Q25,"1")+COUNTIF(AC13:AH25,"1"))*AR13)+(COUNTIF(L13:Q25,"2")+COUNTIF(AC13:AH25,"2"))*AR14+(COUNTIF(L13:Q25,"3")+COUNTIF(AC13:AH25,"3"))*AR15)/((COUNT(L13:Q25)+COUNT(AC13:AH25))*100)</f>
        <v>0.86363636363636365</v>
      </c>
      <c r="AF6" s="1866"/>
      <c r="AG6" s="1866"/>
      <c r="AH6" s="1867"/>
    </row>
    <row r="7" spans="2:88" ht="5.0999999999999996" customHeight="1" thickBot="1">
      <c r="B7" s="1872"/>
      <c r="C7" s="1873"/>
      <c r="D7" s="1873"/>
      <c r="E7" s="1873"/>
      <c r="F7" s="1873"/>
      <c r="G7" s="1873"/>
      <c r="H7" s="1873"/>
      <c r="I7" s="1873"/>
      <c r="J7" s="1873"/>
      <c r="K7" s="1873"/>
      <c r="L7" s="1873"/>
      <c r="M7" s="1873"/>
      <c r="N7" s="1873"/>
      <c r="O7" s="1873"/>
      <c r="P7" s="1873"/>
      <c r="Q7" s="1873"/>
      <c r="R7" s="1873"/>
      <c r="S7" s="1873"/>
      <c r="T7" s="1873"/>
      <c r="U7" s="1873"/>
      <c r="V7" s="1873"/>
      <c r="W7" s="1873"/>
      <c r="X7" s="1873"/>
      <c r="Y7" s="1873"/>
      <c r="Z7" s="1873"/>
      <c r="AA7" s="1873"/>
      <c r="AB7" s="1873"/>
      <c r="AC7" s="1873"/>
      <c r="AD7" s="1873"/>
      <c r="AE7" s="1873"/>
      <c r="AF7" s="1873"/>
      <c r="AG7" s="1873"/>
      <c r="AH7" s="1874"/>
      <c r="AI7" s="138"/>
      <c r="AJ7" s="138"/>
    </row>
    <row r="8" spans="2:88" ht="23.4" customHeight="1">
      <c r="B8" s="1875" t="s">
        <v>483</v>
      </c>
      <c r="C8" s="1876"/>
      <c r="D8" s="1876"/>
      <c r="E8" s="1876"/>
      <c r="F8" s="1876"/>
      <c r="G8" s="1876"/>
      <c r="H8" s="1876"/>
      <c r="I8" s="1876"/>
      <c r="J8" s="1876"/>
      <c r="K8" s="1876"/>
      <c r="L8" s="1876"/>
      <c r="M8" s="1876"/>
      <c r="N8" s="1876"/>
      <c r="O8" s="1876"/>
      <c r="P8" s="1876"/>
      <c r="Q8" s="1876"/>
      <c r="R8" s="1876"/>
      <c r="S8" s="1876"/>
      <c r="T8" s="1876"/>
      <c r="U8" s="1876"/>
      <c r="V8" s="1876"/>
      <c r="W8" s="1876"/>
      <c r="X8" s="1876"/>
      <c r="Y8" s="1876"/>
      <c r="Z8" s="1876"/>
      <c r="AA8" s="1876"/>
      <c r="AB8" s="1876"/>
      <c r="AC8" s="1876"/>
      <c r="AD8" s="1876"/>
      <c r="AE8" s="1876"/>
      <c r="AF8" s="1876"/>
      <c r="AG8" s="1876"/>
      <c r="AH8" s="1877"/>
      <c r="AI8" s="138"/>
      <c r="AJ8" s="138"/>
    </row>
    <row r="9" spans="2:88" ht="39" customHeight="1">
      <c r="B9" s="1878">
        <v>1</v>
      </c>
      <c r="C9" s="1879"/>
      <c r="D9" s="1880" t="s">
        <v>484</v>
      </c>
      <c r="E9" s="1881"/>
      <c r="F9" s="1881"/>
      <c r="G9" s="1881"/>
      <c r="H9" s="933">
        <v>2</v>
      </c>
      <c r="I9" s="1880" t="s">
        <v>485</v>
      </c>
      <c r="J9" s="1881"/>
      <c r="K9" s="1881"/>
      <c r="L9" s="1881"/>
      <c r="M9" s="1881"/>
      <c r="N9" s="1881"/>
      <c r="O9" s="1881"/>
      <c r="P9" s="1881"/>
      <c r="Q9" s="1881"/>
      <c r="R9" s="1881"/>
      <c r="S9" s="1882"/>
      <c r="T9" s="934">
        <v>3</v>
      </c>
      <c r="U9" s="1880" t="s">
        <v>486</v>
      </c>
      <c r="V9" s="1881"/>
      <c r="W9" s="1882"/>
      <c r="X9" s="935" t="s">
        <v>287</v>
      </c>
      <c r="Y9" s="1880" t="s">
        <v>487</v>
      </c>
      <c r="Z9" s="1881"/>
      <c r="AA9" s="1881"/>
      <c r="AB9" s="1881"/>
      <c r="AC9" s="1881"/>
      <c r="AD9" s="1881"/>
      <c r="AE9" s="1881"/>
      <c r="AF9" s="1881"/>
      <c r="AG9" s="1881"/>
      <c r="AH9" s="1883"/>
    </row>
    <row r="10" spans="2:88" ht="4.95" hidden="1" customHeight="1">
      <c r="B10" s="1884"/>
      <c r="C10" s="1885"/>
      <c r="D10" s="1885"/>
      <c r="E10" s="1885"/>
      <c r="F10" s="1885"/>
      <c r="G10" s="1885"/>
      <c r="H10" s="1885"/>
      <c r="I10" s="1885"/>
      <c r="J10" s="1885"/>
      <c r="K10" s="1885"/>
      <c r="L10" s="1885"/>
      <c r="M10" s="1885"/>
      <c r="N10" s="1885"/>
      <c r="O10" s="1885"/>
      <c r="P10" s="1885"/>
      <c r="Q10" s="1885"/>
      <c r="R10" s="1885"/>
      <c r="S10" s="1885"/>
      <c r="T10" s="1885"/>
      <c r="U10" s="1885"/>
      <c r="V10" s="1885"/>
      <c r="W10" s="1885"/>
      <c r="X10" s="1885"/>
      <c r="Y10" s="1885"/>
      <c r="Z10" s="1885"/>
      <c r="AA10" s="1885"/>
      <c r="AB10" s="1885"/>
      <c r="AC10" s="1885"/>
      <c r="AD10" s="1885"/>
      <c r="AE10" s="1885"/>
      <c r="AF10" s="1885"/>
      <c r="AG10" s="1885"/>
      <c r="AH10" s="1886"/>
      <c r="AI10" s="138"/>
      <c r="AJ10" s="138"/>
    </row>
    <row r="11" spans="2:88" ht="16.2" customHeight="1">
      <c r="B11" s="1887" t="s">
        <v>290</v>
      </c>
      <c r="C11" s="1888" t="s">
        <v>291</v>
      </c>
      <c r="D11" s="1888"/>
      <c r="E11" s="1888"/>
      <c r="F11" s="1888"/>
      <c r="G11" s="1888"/>
      <c r="H11" s="1888"/>
      <c r="I11" s="1888"/>
      <c r="J11" s="1888"/>
      <c r="K11" s="1868" t="s">
        <v>488</v>
      </c>
      <c r="L11" s="1869" t="s">
        <v>489</v>
      </c>
      <c r="M11" s="1870"/>
      <c r="N11" s="1870"/>
      <c r="O11" s="1870"/>
      <c r="P11" s="1870"/>
      <c r="Q11" s="1870"/>
      <c r="R11" s="607"/>
      <c r="S11" s="1889" t="s">
        <v>290</v>
      </c>
      <c r="T11" s="1888" t="s">
        <v>291</v>
      </c>
      <c r="U11" s="1888"/>
      <c r="V11" s="1888"/>
      <c r="W11" s="1888"/>
      <c r="X11" s="1888"/>
      <c r="Y11" s="1888"/>
      <c r="Z11" s="1888"/>
      <c r="AA11" s="1888"/>
      <c r="AB11" s="1868" t="s">
        <v>488</v>
      </c>
      <c r="AC11" s="1869" t="s">
        <v>489</v>
      </c>
      <c r="AD11" s="1870"/>
      <c r="AE11" s="1870"/>
      <c r="AF11" s="1870"/>
      <c r="AG11" s="1870"/>
      <c r="AH11" s="1871"/>
      <c r="AI11" s="138"/>
      <c r="AJ11" s="138"/>
      <c r="AL11" s="140"/>
      <c r="AM11" s="141"/>
    </row>
    <row r="12" spans="2:88" ht="11.4" customHeight="1">
      <c r="B12" s="1887"/>
      <c r="C12" s="1888"/>
      <c r="D12" s="1888"/>
      <c r="E12" s="1888"/>
      <c r="F12" s="1888"/>
      <c r="G12" s="1888"/>
      <c r="H12" s="1888"/>
      <c r="I12" s="1888"/>
      <c r="J12" s="1888"/>
      <c r="K12" s="1868"/>
      <c r="L12" s="1870"/>
      <c r="M12" s="1870"/>
      <c r="N12" s="1870"/>
      <c r="O12" s="1870"/>
      <c r="P12" s="1870"/>
      <c r="Q12" s="1870"/>
      <c r="R12" s="607"/>
      <c r="S12" s="1889"/>
      <c r="T12" s="1888"/>
      <c r="U12" s="1888"/>
      <c r="V12" s="1888"/>
      <c r="W12" s="1888"/>
      <c r="X12" s="1888"/>
      <c r="Y12" s="1888"/>
      <c r="Z12" s="1888"/>
      <c r="AA12" s="1888"/>
      <c r="AB12" s="1868"/>
      <c r="AC12" s="1870"/>
      <c r="AD12" s="1870"/>
      <c r="AE12" s="1870"/>
      <c r="AF12" s="1870"/>
      <c r="AG12" s="1870"/>
      <c r="AH12" s="1871"/>
      <c r="AI12" s="138"/>
      <c r="AJ12" s="138"/>
      <c r="AO12" s="141"/>
    </row>
    <row r="13" spans="2:88" ht="58.2" customHeight="1">
      <c r="B13" s="936">
        <v>1</v>
      </c>
      <c r="C13" s="1921" t="s">
        <v>490</v>
      </c>
      <c r="D13" s="1922"/>
      <c r="E13" s="1922"/>
      <c r="F13" s="1922"/>
      <c r="G13" s="1922"/>
      <c r="H13" s="1922"/>
      <c r="I13" s="1922"/>
      <c r="J13" s="1922"/>
      <c r="K13" s="937">
        <v>0.05</v>
      </c>
      <c r="L13" s="1923">
        <v>2</v>
      </c>
      <c r="M13" s="1923"/>
      <c r="N13" s="1923"/>
      <c r="O13" s="1923"/>
      <c r="P13" s="1923"/>
      <c r="Q13" s="1923"/>
      <c r="R13" s="608"/>
      <c r="S13" s="938">
        <v>14</v>
      </c>
      <c r="T13" s="1921" t="s">
        <v>491</v>
      </c>
      <c r="U13" s="1922"/>
      <c r="V13" s="1922"/>
      <c r="W13" s="1922"/>
      <c r="X13" s="1922"/>
      <c r="Y13" s="1922"/>
      <c r="Z13" s="1922"/>
      <c r="AA13" s="1922"/>
      <c r="AB13" s="939">
        <v>0.05</v>
      </c>
      <c r="AC13" s="1923" t="s">
        <v>287</v>
      </c>
      <c r="AD13" s="1923"/>
      <c r="AE13" s="1923"/>
      <c r="AF13" s="1923"/>
      <c r="AG13" s="1923"/>
      <c r="AH13" s="1924"/>
      <c r="AI13" s="138"/>
      <c r="AJ13" s="138"/>
      <c r="AK13" s="142"/>
      <c r="AL13" s="142"/>
      <c r="AP13" s="1919">
        <v>1</v>
      </c>
      <c r="AQ13" s="1879"/>
      <c r="AR13" s="940">
        <v>100</v>
      </c>
      <c r="AU13" s="143">
        <v>1</v>
      </c>
    </row>
    <row r="14" spans="2:88" s="144" customFormat="1" ht="46.2" customHeight="1">
      <c r="B14" s="936">
        <v>2</v>
      </c>
      <c r="C14" s="1921" t="s">
        <v>492</v>
      </c>
      <c r="D14" s="1922"/>
      <c r="E14" s="1922"/>
      <c r="F14" s="1922"/>
      <c r="G14" s="1922"/>
      <c r="H14" s="1922"/>
      <c r="I14" s="1922"/>
      <c r="J14" s="1922"/>
      <c r="K14" s="937">
        <v>0.03</v>
      </c>
      <c r="L14" s="1923">
        <v>2</v>
      </c>
      <c r="M14" s="1923"/>
      <c r="N14" s="1923"/>
      <c r="O14" s="1923"/>
      <c r="P14" s="1923"/>
      <c r="Q14" s="1923"/>
      <c r="R14" s="608"/>
      <c r="S14" s="938">
        <v>15</v>
      </c>
      <c r="T14" s="1921" t="s">
        <v>493</v>
      </c>
      <c r="U14" s="1922"/>
      <c r="V14" s="1922"/>
      <c r="W14" s="1922"/>
      <c r="X14" s="1922"/>
      <c r="Y14" s="1922"/>
      <c r="Z14" s="1922"/>
      <c r="AA14" s="1922"/>
      <c r="AB14" s="939">
        <v>0.04</v>
      </c>
      <c r="AC14" s="1923" t="s">
        <v>287</v>
      </c>
      <c r="AD14" s="1923"/>
      <c r="AE14" s="1923"/>
      <c r="AF14" s="1923"/>
      <c r="AG14" s="1923"/>
      <c r="AH14" s="1924"/>
      <c r="AI14" s="138"/>
      <c r="AJ14" s="138"/>
      <c r="AK14" s="142"/>
      <c r="AL14" s="142"/>
      <c r="AM14" s="138"/>
      <c r="AN14" s="138"/>
      <c r="AO14" s="138"/>
      <c r="AP14" s="1919">
        <v>2</v>
      </c>
      <c r="AQ14" s="1879"/>
      <c r="AR14" s="940">
        <v>75</v>
      </c>
      <c r="AS14" s="138"/>
      <c r="AT14" s="138"/>
      <c r="AU14" s="143">
        <v>2</v>
      </c>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row>
    <row r="15" spans="2:88" s="144" customFormat="1" ht="43.95" customHeight="1">
      <c r="B15" s="936">
        <v>3</v>
      </c>
      <c r="C15" s="1921" t="s">
        <v>494</v>
      </c>
      <c r="D15" s="1922"/>
      <c r="E15" s="1922"/>
      <c r="F15" s="1922"/>
      <c r="G15" s="1922"/>
      <c r="H15" s="1922"/>
      <c r="I15" s="1922"/>
      <c r="J15" s="1922"/>
      <c r="K15" s="937">
        <v>0.02</v>
      </c>
      <c r="L15" s="1923">
        <v>1</v>
      </c>
      <c r="M15" s="1923"/>
      <c r="N15" s="1923"/>
      <c r="O15" s="1923"/>
      <c r="P15" s="1923"/>
      <c r="Q15" s="1923"/>
      <c r="R15" s="608"/>
      <c r="S15" s="938">
        <v>16</v>
      </c>
      <c r="T15" s="1921" t="s">
        <v>495</v>
      </c>
      <c r="U15" s="1921"/>
      <c r="V15" s="1921"/>
      <c r="W15" s="1921"/>
      <c r="X15" s="1921"/>
      <c r="Y15" s="1921"/>
      <c r="Z15" s="1921"/>
      <c r="AA15" s="1921"/>
      <c r="AB15" s="939">
        <v>0.04</v>
      </c>
      <c r="AC15" s="1923" t="s">
        <v>287</v>
      </c>
      <c r="AD15" s="1923"/>
      <c r="AE15" s="1923"/>
      <c r="AF15" s="1923"/>
      <c r="AG15" s="1923"/>
      <c r="AH15" s="1924"/>
      <c r="AI15" s="138"/>
      <c r="AJ15" s="138"/>
      <c r="AK15" s="142"/>
      <c r="AL15" s="142"/>
      <c r="AM15" s="138"/>
      <c r="AN15" s="138"/>
      <c r="AO15" s="138"/>
      <c r="AP15" s="1919">
        <v>3</v>
      </c>
      <c r="AQ15" s="1879"/>
      <c r="AR15" s="940">
        <v>0</v>
      </c>
      <c r="AS15" s="138"/>
      <c r="AT15" s="138"/>
      <c r="AU15" s="143">
        <v>3</v>
      </c>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row>
    <row r="16" spans="2:88" s="144" customFormat="1" ht="54" customHeight="1">
      <c r="B16" s="936">
        <v>4</v>
      </c>
      <c r="C16" s="1921" t="s">
        <v>496</v>
      </c>
      <c r="D16" s="1922"/>
      <c r="E16" s="1922"/>
      <c r="F16" s="1922"/>
      <c r="G16" s="1922"/>
      <c r="H16" s="1922"/>
      <c r="I16" s="1922"/>
      <c r="J16" s="1922"/>
      <c r="K16" s="937">
        <v>0.05</v>
      </c>
      <c r="L16" s="1923">
        <v>1</v>
      </c>
      <c r="M16" s="1923"/>
      <c r="N16" s="1923"/>
      <c r="O16" s="1923"/>
      <c r="P16" s="1923"/>
      <c r="Q16" s="1923"/>
      <c r="R16" s="608"/>
      <c r="S16" s="938">
        <v>17</v>
      </c>
      <c r="T16" s="1921" t="s">
        <v>497</v>
      </c>
      <c r="U16" s="1922"/>
      <c r="V16" s="1922"/>
      <c r="W16" s="1922"/>
      <c r="X16" s="1922"/>
      <c r="Y16" s="1922"/>
      <c r="Z16" s="1922"/>
      <c r="AA16" s="1922"/>
      <c r="AB16" s="939">
        <v>0.03</v>
      </c>
      <c r="AC16" s="1923">
        <v>2</v>
      </c>
      <c r="AD16" s="1923"/>
      <c r="AE16" s="1923"/>
      <c r="AF16" s="1923"/>
      <c r="AG16" s="1923"/>
      <c r="AH16" s="1924"/>
      <c r="AI16" s="138"/>
      <c r="AJ16" s="138"/>
      <c r="AK16" s="142"/>
      <c r="AL16" s="142"/>
      <c r="AM16" s="138"/>
      <c r="AN16" s="138"/>
      <c r="AO16" s="138"/>
      <c r="AP16" s="1920"/>
      <c r="AQ16" s="1920"/>
      <c r="AR16" s="145"/>
      <c r="AS16" s="145"/>
      <c r="AT16" s="138"/>
      <c r="AU16" s="143" t="s">
        <v>287</v>
      </c>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row>
    <row r="17" spans="2:88" s="144" customFormat="1" ht="38.4" customHeight="1">
      <c r="B17" s="936">
        <v>5</v>
      </c>
      <c r="C17" s="1925" t="s">
        <v>498</v>
      </c>
      <c r="D17" s="1925"/>
      <c r="E17" s="1925"/>
      <c r="F17" s="1925"/>
      <c r="G17" s="1925"/>
      <c r="H17" s="1925"/>
      <c r="I17" s="1925"/>
      <c r="J17" s="1925"/>
      <c r="K17" s="937">
        <v>0.03</v>
      </c>
      <c r="L17" s="1923">
        <v>1</v>
      </c>
      <c r="M17" s="1923"/>
      <c r="N17" s="1923"/>
      <c r="O17" s="1923"/>
      <c r="P17" s="1923"/>
      <c r="Q17" s="1923"/>
      <c r="R17" s="608"/>
      <c r="S17" s="938">
        <v>18</v>
      </c>
      <c r="T17" s="1921" t="s">
        <v>499</v>
      </c>
      <c r="U17" s="1921"/>
      <c r="V17" s="1921"/>
      <c r="W17" s="1921"/>
      <c r="X17" s="1921"/>
      <c r="Y17" s="1921"/>
      <c r="Z17" s="1921"/>
      <c r="AA17" s="1921"/>
      <c r="AB17" s="939">
        <v>0.05</v>
      </c>
      <c r="AC17" s="1923" t="s">
        <v>287</v>
      </c>
      <c r="AD17" s="1923"/>
      <c r="AE17" s="1923"/>
      <c r="AF17" s="1923"/>
      <c r="AG17" s="1923"/>
      <c r="AH17" s="1924"/>
      <c r="AI17" s="138"/>
      <c r="AJ17" s="138"/>
      <c r="AK17" s="142"/>
      <c r="AL17" s="142"/>
      <c r="AM17" s="138"/>
      <c r="AN17" s="146"/>
      <c r="AO17" s="146"/>
      <c r="AP17" s="146"/>
      <c r="AQ17" s="146"/>
      <c r="AR17" s="146"/>
      <c r="AS17" s="146"/>
      <c r="AT17" s="146"/>
      <c r="AU17" s="146"/>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row>
    <row r="18" spans="2:88" s="144" customFormat="1" ht="49.95" customHeight="1">
      <c r="B18" s="936">
        <v>6</v>
      </c>
      <c r="C18" s="1925" t="s">
        <v>500</v>
      </c>
      <c r="D18" s="1925"/>
      <c r="E18" s="1925"/>
      <c r="F18" s="1925"/>
      <c r="G18" s="1925"/>
      <c r="H18" s="1925"/>
      <c r="I18" s="1925"/>
      <c r="J18" s="1925"/>
      <c r="K18" s="937"/>
      <c r="L18" s="1923">
        <v>2</v>
      </c>
      <c r="M18" s="1923"/>
      <c r="N18" s="1923"/>
      <c r="O18" s="1923"/>
      <c r="P18" s="1923"/>
      <c r="Q18" s="1923"/>
      <c r="R18" s="608"/>
      <c r="S18" s="938">
        <v>19</v>
      </c>
      <c r="T18" s="1921" t="s">
        <v>501</v>
      </c>
      <c r="U18" s="1921"/>
      <c r="V18" s="1921"/>
      <c r="W18" s="1921"/>
      <c r="X18" s="1921"/>
      <c r="Y18" s="1921"/>
      <c r="Z18" s="1921"/>
      <c r="AA18" s="1921"/>
      <c r="AB18" s="939"/>
      <c r="AC18" s="1923">
        <v>1</v>
      </c>
      <c r="AD18" s="1923"/>
      <c r="AE18" s="1923"/>
      <c r="AF18" s="1923"/>
      <c r="AG18" s="1923"/>
      <c r="AH18" s="1924"/>
      <c r="AI18" s="138"/>
      <c r="AJ18" s="138"/>
      <c r="AK18" s="142"/>
      <c r="AL18" s="142" t="s">
        <v>502</v>
      </c>
      <c r="AM18" s="138" t="s">
        <v>503</v>
      </c>
      <c r="AN18" s="147"/>
      <c r="AO18" s="147"/>
      <c r="AP18" s="147"/>
      <c r="AQ18" s="147"/>
      <c r="AR18" s="147"/>
      <c r="AS18" s="147"/>
      <c r="AT18" s="147"/>
      <c r="AU18" s="147"/>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row>
    <row r="19" spans="2:88" s="144" customFormat="1" ht="45" customHeight="1">
      <c r="B19" s="936">
        <v>7</v>
      </c>
      <c r="C19" s="1925" t="s">
        <v>504</v>
      </c>
      <c r="D19" s="1925"/>
      <c r="E19" s="1925"/>
      <c r="F19" s="1925"/>
      <c r="G19" s="1925"/>
      <c r="H19" s="1925"/>
      <c r="I19" s="1925"/>
      <c r="J19" s="1925"/>
      <c r="K19" s="937"/>
      <c r="L19" s="1923">
        <v>2</v>
      </c>
      <c r="M19" s="1923"/>
      <c r="N19" s="1923"/>
      <c r="O19" s="1923"/>
      <c r="P19" s="1923"/>
      <c r="Q19" s="1923"/>
      <c r="R19" s="608"/>
      <c r="S19" s="938">
        <v>20</v>
      </c>
      <c r="T19" s="1921" t="s">
        <v>505</v>
      </c>
      <c r="U19" s="1921"/>
      <c r="V19" s="1921"/>
      <c r="W19" s="1921"/>
      <c r="X19" s="1921"/>
      <c r="Y19" s="1921"/>
      <c r="Z19" s="1921"/>
      <c r="AA19" s="1921"/>
      <c r="AB19" s="939"/>
      <c r="AC19" s="1923">
        <v>2</v>
      </c>
      <c r="AD19" s="1923"/>
      <c r="AE19" s="1923"/>
      <c r="AF19" s="1923"/>
      <c r="AG19" s="1923"/>
      <c r="AH19" s="1924"/>
      <c r="AI19" s="138"/>
      <c r="AJ19" s="138"/>
      <c r="AK19" s="142"/>
      <c r="AL19" s="142" t="s">
        <v>506</v>
      </c>
      <c r="AM19" s="138" t="s">
        <v>507</v>
      </c>
      <c r="AN19" s="147"/>
      <c r="AO19" s="147"/>
      <c r="AP19" s="147"/>
      <c r="AQ19" s="147"/>
      <c r="AR19" s="147"/>
      <c r="AS19" s="147"/>
      <c r="AT19" s="147"/>
      <c r="AU19" s="147"/>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row>
    <row r="20" spans="2:88" s="144" customFormat="1" ht="44.4" customHeight="1">
      <c r="B20" s="936">
        <v>8</v>
      </c>
      <c r="C20" s="1921" t="s">
        <v>508</v>
      </c>
      <c r="D20" s="1921"/>
      <c r="E20" s="1921"/>
      <c r="F20" s="1921"/>
      <c r="G20" s="1921"/>
      <c r="H20" s="1921"/>
      <c r="I20" s="1921"/>
      <c r="J20" s="1921"/>
      <c r="K20" s="937">
        <v>0.03</v>
      </c>
      <c r="L20" s="1923">
        <v>1</v>
      </c>
      <c r="M20" s="1923"/>
      <c r="N20" s="1923"/>
      <c r="O20" s="1923"/>
      <c r="P20" s="1923"/>
      <c r="Q20" s="1923"/>
      <c r="R20" s="608"/>
      <c r="S20" s="938">
        <v>21</v>
      </c>
      <c r="T20" s="1921" t="s">
        <v>509</v>
      </c>
      <c r="U20" s="1921"/>
      <c r="V20" s="1921"/>
      <c r="W20" s="1921"/>
      <c r="X20" s="1921"/>
      <c r="Y20" s="1921"/>
      <c r="Z20" s="1921"/>
      <c r="AA20" s="1921"/>
      <c r="AB20" s="939">
        <v>0.05</v>
      </c>
      <c r="AC20" s="1923">
        <v>2</v>
      </c>
      <c r="AD20" s="1923"/>
      <c r="AE20" s="1923"/>
      <c r="AF20" s="1923"/>
      <c r="AG20" s="1923"/>
      <c r="AH20" s="1924"/>
      <c r="AI20" s="138"/>
      <c r="AJ20" s="138"/>
      <c r="AK20" s="142"/>
      <c r="AL20" s="142" t="s">
        <v>510</v>
      </c>
      <c r="AM20" s="138" t="s">
        <v>511</v>
      </c>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row>
    <row r="21" spans="2:88" s="144" customFormat="1" ht="42.6" customHeight="1">
      <c r="B21" s="936">
        <v>9</v>
      </c>
      <c r="C21" s="1921" t="s">
        <v>512</v>
      </c>
      <c r="D21" s="1922"/>
      <c r="E21" s="1922"/>
      <c r="F21" s="1922"/>
      <c r="G21" s="1922"/>
      <c r="H21" s="1922"/>
      <c r="I21" s="1922"/>
      <c r="J21" s="1922"/>
      <c r="K21" s="937">
        <v>0.05</v>
      </c>
      <c r="L21" s="1923">
        <v>1</v>
      </c>
      <c r="M21" s="1923"/>
      <c r="N21" s="1923"/>
      <c r="O21" s="1923"/>
      <c r="P21" s="1923"/>
      <c r="Q21" s="1923"/>
      <c r="R21" s="608"/>
      <c r="S21" s="938">
        <v>22</v>
      </c>
      <c r="T21" s="1921" t="s">
        <v>513</v>
      </c>
      <c r="U21" s="1921"/>
      <c r="V21" s="1921"/>
      <c r="W21" s="1921"/>
      <c r="X21" s="1921"/>
      <c r="Y21" s="1921"/>
      <c r="Z21" s="1921"/>
      <c r="AA21" s="1921"/>
      <c r="AB21" s="939">
        <v>0.05</v>
      </c>
      <c r="AC21" s="1923">
        <v>1</v>
      </c>
      <c r="AD21" s="1923"/>
      <c r="AE21" s="1923"/>
      <c r="AF21" s="1923"/>
      <c r="AG21" s="1923"/>
      <c r="AH21" s="1924"/>
      <c r="AI21" s="138"/>
      <c r="AJ21" s="138"/>
      <c r="AK21" s="142"/>
      <c r="AL21" s="142"/>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row>
    <row r="22" spans="2:88" s="144" customFormat="1" ht="46.2" customHeight="1">
      <c r="B22" s="936">
        <v>10</v>
      </c>
      <c r="C22" s="1921" t="s">
        <v>514</v>
      </c>
      <c r="D22" s="1922"/>
      <c r="E22" s="1922"/>
      <c r="F22" s="1922"/>
      <c r="G22" s="1922"/>
      <c r="H22" s="1922"/>
      <c r="I22" s="1922"/>
      <c r="J22" s="1922"/>
      <c r="K22" s="937">
        <v>0.03</v>
      </c>
      <c r="L22" s="1923">
        <v>2</v>
      </c>
      <c r="M22" s="1923"/>
      <c r="N22" s="1923"/>
      <c r="O22" s="1923"/>
      <c r="P22" s="1923"/>
      <c r="Q22" s="1923"/>
      <c r="R22" s="608"/>
      <c r="S22" s="938">
        <v>23</v>
      </c>
      <c r="T22" s="1921" t="s">
        <v>515</v>
      </c>
      <c r="U22" s="1921"/>
      <c r="V22" s="1921"/>
      <c r="W22" s="1921"/>
      <c r="X22" s="1921"/>
      <c r="Y22" s="1921"/>
      <c r="Z22" s="1921"/>
      <c r="AA22" s="1921"/>
      <c r="AB22" s="939">
        <v>0.03</v>
      </c>
      <c r="AC22" s="1923">
        <v>2</v>
      </c>
      <c r="AD22" s="1923"/>
      <c r="AE22" s="1923"/>
      <c r="AF22" s="1923"/>
      <c r="AG22" s="1923"/>
      <c r="AH22" s="1924"/>
      <c r="AI22" s="138"/>
      <c r="AJ22" s="138"/>
      <c r="AK22" s="142"/>
      <c r="AL22" s="142" t="s">
        <v>516</v>
      </c>
      <c r="AM22" s="138"/>
      <c r="AN22" s="148"/>
      <c r="AO22" s="149"/>
      <c r="AP22" s="149"/>
      <c r="AQ22" s="149"/>
      <c r="AR22" s="149"/>
      <c r="AS22" s="149"/>
      <c r="AT22" s="149"/>
      <c r="AU22" s="149"/>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row>
    <row r="23" spans="2:88" s="144" customFormat="1" ht="45.6" customHeight="1">
      <c r="B23" s="936">
        <v>11</v>
      </c>
      <c r="C23" s="1921" t="s">
        <v>517</v>
      </c>
      <c r="D23" s="1922"/>
      <c r="E23" s="1922"/>
      <c r="F23" s="1922"/>
      <c r="G23" s="1922"/>
      <c r="H23" s="1922"/>
      <c r="I23" s="1922"/>
      <c r="J23" s="1922"/>
      <c r="K23" s="937">
        <v>0.03</v>
      </c>
      <c r="L23" s="1923">
        <v>2</v>
      </c>
      <c r="M23" s="1923"/>
      <c r="N23" s="1923"/>
      <c r="O23" s="1923"/>
      <c r="P23" s="1923"/>
      <c r="Q23" s="1923"/>
      <c r="R23" s="608"/>
      <c r="S23" s="938">
        <v>24</v>
      </c>
      <c r="T23" s="1921" t="s">
        <v>518</v>
      </c>
      <c r="U23" s="1921"/>
      <c r="V23" s="1921"/>
      <c r="W23" s="1921"/>
      <c r="X23" s="1921"/>
      <c r="Y23" s="1921"/>
      <c r="Z23" s="1921"/>
      <c r="AA23" s="1921"/>
      <c r="AB23" s="939">
        <v>0.03</v>
      </c>
      <c r="AC23" s="1923">
        <v>2</v>
      </c>
      <c r="AD23" s="1923"/>
      <c r="AE23" s="1923"/>
      <c r="AF23" s="1923"/>
      <c r="AG23" s="1923"/>
      <c r="AH23" s="1924"/>
      <c r="AI23" s="138"/>
      <c r="AJ23" s="138"/>
      <c r="AK23" s="142"/>
      <c r="AL23" s="142"/>
      <c r="AM23" s="138"/>
      <c r="AN23" s="138"/>
      <c r="AO23" s="138"/>
      <c r="AP23" s="140"/>
      <c r="AQ23" s="140"/>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row>
    <row r="24" spans="2:88" s="144" customFormat="1" ht="47.4" customHeight="1">
      <c r="B24" s="936">
        <v>12</v>
      </c>
      <c r="C24" s="1921" t="s">
        <v>519</v>
      </c>
      <c r="D24" s="1922"/>
      <c r="E24" s="1922"/>
      <c r="F24" s="1922"/>
      <c r="G24" s="1922"/>
      <c r="H24" s="1922"/>
      <c r="I24" s="1922"/>
      <c r="J24" s="1922"/>
      <c r="K24" s="937">
        <v>0.05</v>
      </c>
      <c r="L24" s="1923">
        <v>2</v>
      </c>
      <c r="M24" s="1923"/>
      <c r="N24" s="1923"/>
      <c r="O24" s="1923"/>
      <c r="P24" s="1923"/>
      <c r="Q24" s="1923"/>
      <c r="R24" s="608"/>
      <c r="S24" s="938">
        <v>25</v>
      </c>
      <c r="T24" s="1921" t="s">
        <v>520</v>
      </c>
      <c r="U24" s="1921"/>
      <c r="V24" s="1921"/>
      <c r="W24" s="1921"/>
      <c r="X24" s="1921"/>
      <c r="Y24" s="1921"/>
      <c r="Z24" s="1921"/>
      <c r="AA24" s="1921"/>
      <c r="AB24" s="939">
        <v>0.04</v>
      </c>
      <c r="AC24" s="1923">
        <v>1</v>
      </c>
      <c r="AD24" s="1923"/>
      <c r="AE24" s="1923"/>
      <c r="AF24" s="1923"/>
      <c r="AG24" s="1923"/>
      <c r="AH24" s="1924"/>
      <c r="AI24" s="138"/>
      <c r="AJ24" s="138"/>
      <c r="AK24" s="142"/>
      <c r="AL24" s="142"/>
      <c r="AM24" s="138"/>
      <c r="AN24" s="148"/>
      <c r="AO24" s="149"/>
      <c r="AP24" s="149"/>
      <c r="AQ24" s="149"/>
      <c r="AR24" s="149"/>
      <c r="AS24" s="149"/>
      <c r="AT24" s="149"/>
      <c r="AU24" s="149"/>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row>
    <row r="25" spans="2:88" s="144" customFormat="1" ht="54" customHeight="1">
      <c r="B25" s="936">
        <v>13</v>
      </c>
      <c r="C25" s="1921" t="s">
        <v>521</v>
      </c>
      <c r="D25" s="1921"/>
      <c r="E25" s="1921"/>
      <c r="F25" s="1921"/>
      <c r="G25" s="1921"/>
      <c r="H25" s="1921"/>
      <c r="I25" s="1921"/>
      <c r="J25" s="1921"/>
      <c r="K25" s="937"/>
      <c r="L25" s="1923">
        <v>1</v>
      </c>
      <c r="M25" s="1923"/>
      <c r="N25" s="1923"/>
      <c r="O25" s="1923"/>
      <c r="P25" s="1923"/>
      <c r="Q25" s="1923"/>
      <c r="R25" s="608"/>
      <c r="S25" s="938">
        <v>26</v>
      </c>
      <c r="T25" s="1921" t="s">
        <v>522</v>
      </c>
      <c r="U25" s="1921"/>
      <c r="V25" s="1921"/>
      <c r="W25" s="1921"/>
      <c r="X25" s="1921"/>
      <c r="Y25" s="1921"/>
      <c r="Z25" s="1921"/>
      <c r="AA25" s="1921"/>
      <c r="AB25" s="939"/>
      <c r="AC25" s="1923">
        <v>1</v>
      </c>
      <c r="AD25" s="1923"/>
      <c r="AE25" s="1923"/>
      <c r="AF25" s="1923"/>
      <c r="AG25" s="1923"/>
      <c r="AH25" s="1924"/>
      <c r="AI25" s="138"/>
      <c r="AJ25" s="138"/>
      <c r="AK25" s="142"/>
      <c r="AL25" s="142"/>
      <c r="AM25" s="138"/>
      <c r="AN25" s="150"/>
      <c r="AO25" s="149"/>
      <c r="AP25" s="149"/>
      <c r="AQ25" s="149"/>
      <c r="AR25" s="149"/>
      <c r="AS25" s="149"/>
      <c r="AT25" s="149"/>
      <c r="AU25" s="149"/>
      <c r="AV25" s="138"/>
      <c r="AW25" s="138"/>
      <c r="AX25" s="138"/>
      <c r="AY25" s="143"/>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row>
    <row r="26" spans="2:88" s="144" customFormat="1" ht="1.95" customHeight="1" thickBot="1">
      <c r="B26" s="602"/>
      <c r="S26" s="609"/>
      <c r="AH26" s="600"/>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row>
    <row r="27" spans="2:88" s="144" customFormat="1" ht="22.2" customHeight="1" thickBot="1">
      <c r="B27" s="1937" t="s">
        <v>371</v>
      </c>
      <c r="C27" s="1938"/>
      <c r="D27" s="1938"/>
      <c r="E27" s="1938"/>
      <c r="F27" s="1938"/>
      <c r="G27" s="1939" t="s">
        <v>1304</v>
      </c>
      <c r="H27" s="1940"/>
      <c r="I27" s="1940"/>
      <c r="J27" s="1940"/>
      <c r="K27" s="1940"/>
      <c r="L27" s="1940"/>
      <c r="M27" s="1940"/>
      <c r="N27" s="1940"/>
      <c r="O27" s="1940"/>
      <c r="P27" s="1940"/>
      <c r="Q27" s="1941"/>
      <c r="R27" s="599"/>
      <c r="S27" s="1942" t="s">
        <v>523</v>
      </c>
      <c r="T27" s="1943"/>
      <c r="U27" s="1943"/>
      <c r="V27" s="1943"/>
      <c r="W27" s="1943"/>
      <c r="X27" s="1759" t="s">
        <v>1209</v>
      </c>
      <c r="Y27" s="1944"/>
      <c r="Z27" s="1944"/>
      <c r="AA27" s="1944"/>
      <c r="AB27" s="1944"/>
      <c r="AC27" s="1944"/>
      <c r="AD27" s="1944"/>
      <c r="AE27" s="1944"/>
      <c r="AF27" s="1944"/>
      <c r="AG27" s="1944"/>
      <c r="AH27" s="1945"/>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row>
    <row r="28" spans="2:88" ht="14.4" customHeight="1" thickBot="1">
      <c r="B28" s="1926" t="s">
        <v>524</v>
      </c>
      <c r="C28" s="1927"/>
      <c r="D28" s="1927"/>
      <c r="E28" s="1927"/>
      <c r="F28" s="1927"/>
      <c r="G28" s="1927"/>
      <c r="H28" s="1927"/>
      <c r="I28" s="1927"/>
      <c r="J28" s="1927"/>
      <c r="K28" s="1927"/>
      <c r="L28" s="1927"/>
      <c r="M28" s="1927"/>
      <c r="N28" s="1927"/>
      <c r="O28" s="1927"/>
      <c r="P28" s="1927"/>
      <c r="Q28" s="1927"/>
      <c r="R28" s="1927"/>
      <c r="S28" s="1927"/>
      <c r="T28" s="1927"/>
      <c r="U28" s="1927"/>
      <c r="V28" s="1927"/>
      <c r="W28" s="1927"/>
      <c r="X28" s="1927"/>
      <c r="Y28" s="1927"/>
      <c r="Z28" s="1927"/>
      <c r="AA28" s="1927"/>
      <c r="AB28" s="1927"/>
      <c r="AC28" s="1927"/>
      <c r="AD28" s="1927"/>
      <c r="AE28" s="1927"/>
      <c r="AF28" s="1927"/>
      <c r="AG28" s="1927"/>
      <c r="AH28" s="1928"/>
      <c r="AI28" s="138"/>
      <c r="AJ28" s="138"/>
    </row>
    <row r="29" spans="2:88" ht="18" customHeight="1" thickBot="1">
      <c r="B29" s="1929">
        <v>1</v>
      </c>
      <c r="C29" s="1930"/>
      <c r="D29" s="1931">
        <f>COUNTIF(L13:Q26,"1")+COUNTIF(AB13:AG26,"1")</f>
        <v>10</v>
      </c>
      <c r="E29" s="1931"/>
      <c r="F29" s="1931"/>
      <c r="G29" s="1931"/>
      <c r="H29" s="1931"/>
      <c r="I29" s="1932">
        <v>2</v>
      </c>
      <c r="J29" s="1932"/>
      <c r="K29" s="598"/>
      <c r="L29" s="1933">
        <f>COUNTIF(L13:Q26,"2")+COUNTIF(AB13:AG26,"2")</f>
        <v>12</v>
      </c>
      <c r="M29" s="1933"/>
      <c r="N29" s="1933"/>
      <c r="O29" s="1933"/>
      <c r="P29" s="1933"/>
      <c r="Q29" s="1933"/>
      <c r="R29" s="1933"/>
      <c r="S29" s="1933"/>
      <c r="T29" s="1933"/>
      <c r="U29" s="1932">
        <v>3</v>
      </c>
      <c r="V29" s="1932"/>
      <c r="W29" s="1934">
        <f>COUNTIF(L13:Q26,"3")+COUNTIF(AB13:AG26,"3")</f>
        <v>0</v>
      </c>
      <c r="X29" s="1935"/>
      <c r="Y29" s="1935"/>
      <c r="Z29" s="1935"/>
      <c r="AA29" s="1935"/>
      <c r="AB29" s="1935"/>
      <c r="AC29" s="1935"/>
      <c r="AD29" s="1935"/>
      <c r="AE29" s="1935"/>
      <c r="AF29" s="1935"/>
      <c r="AG29" s="1935"/>
      <c r="AH29" s="1936"/>
      <c r="AI29" s="138"/>
      <c r="AJ29" s="138"/>
    </row>
    <row r="30" spans="2:88">
      <c r="AI30" s="138"/>
      <c r="AJ30" s="138"/>
    </row>
    <row r="31" spans="2:88">
      <c r="AI31" s="138"/>
      <c r="AJ31" s="138"/>
    </row>
    <row r="32" spans="2:88">
      <c r="AI32" s="138"/>
      <c r="AJ32" s="138"/>
    </row>
    <row r="33" spans="19:19" s="138" customFormat="1">
      <c r="S33" s="601"/>
    </row>
    <row r="34" spans="19:19" s="138" customFormat="1">
      <c r="S34" s="601"/>
    </row>
    <row r="35" spans="19:19" s="138" customFormat="1">
      <c r="S35" s="601"/>
    </row>
    <row r="36" spans="19:19" s="138" customFormat="1">
      <c r="S36" s="601"/>
    </row>
    <row r="37" spans="19:19" s="138" customFormat="1">
      <c r="S37" s="601"/>
    </row>
    <row r="38" spans="19:19" s="138" customFormat="1">
      <c r="S38" s="601"/>
    </row>
    <row r="39" spans="19:19" s="138" customFormat="1">
      <c r="S39" s="601"/>
    </row>
    <row r="40" spans="19:19" s="138" customFormat="1">
      <c r="S40" s="601"/>
    </row>
    <row r="41" spans="19:19" s="138" customFormat="1">
      <c r="S41" s="601"/>
    </row>
    <row r="42" spans="19:19" s="138" customFormat="1">
      <c r="S42" s="601"/>
    </row>
    <row r="43" spans="19:19" s="138" customFormat="1">
      <c r="S43" s="601"/>
    </row>
    <row r="44" spans="19:19" s="138" customFormat="1">
      <c r="S44" s="601"/>
    </row>
    <row r="45" spans="19:19" s="138" customFormat="1">
      <c r="S45" s="601"/>
    </row>
    <row r="46" spans="19:19" s="138" customFormat="1">
      <c r="S46" s="601"/>
    </row>
    <row r="47" spans="19:19" s="138" customFormat="1">
      <c r="S47" s="601"/>
    </row>
    <row r="48" spans="19:19" s="138" customFormat="1">
      <c r="S48" s="601"/>
    </row>
    <row r="49" spans="19:19" s="138" customFormat="1">
      <c r="S49" s="601"/>
    </row>
    <row r="50" spans="19:19" s="138" customFormat="1">
      <c r="S50" s="601"/>
    </row>
    <row r="51" spans="19:19" s="138" customFormat="1">
      <c r="S51" s="601"/>
    </row>
    <row r="52" spans="19:19" s="138" customFormat="1">
      <c r="S52" s="601"/>
    </row>
    <row r="53" spans="19:19" s="138" customFormat="1">
      <c r="S53" s="601"/>
    </row>
    <row r="54" spans="19:19" s="138" customFormat="1">
      <c r="S54" s="601"/>
    </row>
    <row r="55" spans="19:19" s="138" customFormat="1">
      <c r="S55" s="601"/>
    </row>
    <row r="56" spans="19:19" s="138" customFormat="1">
      <c r="S56" s="601"/>
    </row>
    <row r="57" spans="19:19" s="138" customFormat="1">
      <c r="S57" s="601"/>
    </row>
    <row r="58" spans="19:19" s="138" customFormat="1">
      <c r="S58" s="601"/>
    </row>
    <row r="59" spans="19:19" s="138" customFormat="1">
      <c r="S59" s="601"/>
    </row>
    <row r="60" spans="19:19" s="138" customFormat="1">
      <c r="S60" s="601"/>
    </row>
    <row r="61" spans="19:19" s="138" customFormat="1">
      <c r="S61" s="601"/>
    </row>
    <row r="62" spans="19:19" s="138" customFormat="1">
      <c r="S62" s="601"/>
    </row>
    <row r="63" spans="19:19" s="138" customFormat="1">
      <c r="S63" s="601"/>
    </row>
    <row r="64" spans="19:19" s="138" customFormat="1">
      <c r="S64" s="601"/>
    </row>
    <row r="65" spans="19:19" s="138" customFormat="1">
      <c r="S65" s="601"/>
    </row>
    <row r="66" spans="19:19" s="138" customFormat="1">
      <c r="S66" s="601"/>
    </row>
    <row r="67" spans="19:19" s="138" customFormat="1">
      <c r="S67" s="601"/>
    </row>
    <row r="68" spans="19:19" s="138" customFormat="1">
      <c r="S68" s="601"/>
    </row>
    <row r="69" spans="19:19" s="138" customFormat="1">
      <c r="S69" s="601"/>
    </row>
    <row r="70" spans="19:19" s="138" customFormat="1">
      <c r="S70" s="601"/>
    </row>
    <row r="71" spans="19:19" s="138" customFormat="1">
      <c r="S71" s="601"/>
    </row>
    <row r="72" spans="19:19" s="138" customFormat="1">
      <c r="S72" s="601"/>
    </row>
    <row r="73" spans="19:19" s="138" customFormat="1">
      <c r="S73" s="601"/>
    </row>
    <row r="74" spans="19:19" s="138" customFormat="1">
      <c r="S74" s="601"/>
    </row>
    <row r="75" spans="19:19" s="138" customFormat="1">
      <c r="S75" s="601"/>
    </row>
    <row r="76" spans="19:19" s="138" customFormat="1">
      <c r="S76" s="601"/>
    </row>
    <row r="77" spans="19:19" s="138" customFormat="1">
      <c r="S77" s="601"/>
    </row>
    <row r="78" spans="19:19" s="138" customFormat="1">
      <c r="S78" s="601"/>
    </row>
    <row r="79" spans="19:19" s="138" customFormat="1">
      <c r="S79" s="601"/>
    </row>
    <row r="80" spans="19:19" s="138" customFormat="1">
      <c r="S80" s="601"/>
    </row>
    <row r="81" spans="19:19" s="138" customFormat="1">
      <c r="S81" s="601"/>
    </row>
    <row r="82" spans="19:19" s="138" customFormat="1">
      <c r="S82" s="601"/>
    </row>
    <row r="83" spans="19:19" s="138" customFormat="1">
      <c r="S83" s="601"/>
    </row>
    <row r="84" spans="19:19" s="138" customFormat="1">
      <c r="S84" s="601"/>
    </row>
    <row r="85" spans="19:19" s="138" customFormat="1">
      <c r="S85" s="601"/>
    </row>
    <row r="86" spans="19:19" s="138" customFormat="1">
      <c r="S86" s="601"/>
    </row>
    <row r="87" spans="19:19" s="138" customFormat="1">
      <c r="S87" s="601"/>
    </row>
    <row r="88" spans="19:19" s="138" customFormat="1">
      <c r="S88" s="601"/>
    </row>
    <row r="89" spans="19:19" s="138" customFormat="1">
      <c r="S89" s="601"/>
    </row>
    <row r="90" spans="19:19" s="138" customFormat="1">
      <c r="S90" s="601"/>
    </row>
    <row r="91" spans="19:19" s="138" customFormat="1">
      <c r="S91" s="601"/>
    </row>
    <row r="92" spans="19:19" s="138" customFormat="1">
      <c r="S92" s="601"/>
    </row>
    <row r="93" spans="19:19" s="138" customFormat="1">
      <c r="S93" s="601"/>
    </row>
    <row r="94" spans="19:19" s="138" customFormat="1">
      <c r="S94" s="601"/>
    </row>
    <row r="95" spans="19:19" s="138" customFormat="1">
      <c r="S95" s="601"/>
    </row>
    <row r="96" spans="19:19" s="138" customFormat="1">
      <c r="S96" s="601"/>
    </row>
    <row r="97" spans="19:19" s="138" customFormat="1">
      <c r="S97" s="601"/>
    </row>
    <row r="98" spans="19:19" s="138" customFormat="1">
      <c r="S98" s="601"/>
    </row>
    <row r="99" spans="19:19" s="138" customFormat="1">
      <c r="S99" s="601"/>
    </row>
    <row r="100" spans="19:19" s="138" customFormat="1">
      <c r="S100" s="601"/>
    </row>
    <row r="101" spans="19:19" s="138" customFormat="1">
      <c r="S101" s="601"/>
    </row>
    <row r="102" spans="19:19" s="138" customFormat="1">
      <c r="S102" s="601"/>
    </row>
    <row r="103" spans="19:19" s="138" customFormat="1">
      <c r="S103" s="601"/>
    </row>
    <row r="104" spans="19:19" s="138" customFormat="1">
      <c r="S104" s="601"/>
    </row>
    <row r="105" spans="19:19" s="138" customFormat="1">
      <c r="S105" s="601"/>
    </row>
    <row r="106" spans="19:19" s="138" customFormat="1">
      <c r="S106" s="601"/>
    </row>
    <row r="107" spans="19:19" s="138" customFormat="1">
      <c r="S107" s="601"/>
    </row>
    <row r="108" spans="19:19" s="138" customFormat="1">
      <c r="S108" s="601"/>
    </row>
    <row r="109" spans="19:19" s="138" customFormat="1">
      <c r="S109" s="601"/>
    </row>
    <row r="110" spans="19:19" s="138" customFormat="1">
      <c r="S110" s="601"/>
    </row>
    <row r="111" spans="19:19" s="138" customFormat="1">
      <c r="S111" s="601"/>
    </row>
    <row r="112" spans="19:19" s="138" customFormat="1">
      <c r="S112" s="601"/>
    </row>
    <row r="113" spans="19:19" s="138" customFormat="1">
      <c r="S113" s="601"/>
    </row>
    <row r="114" spans="19:19" s="138" customFormat="1">
      <c r="S114" s="601"/>
    </row>
    <row r="115" spans="19:19" s="138" customFormat="1">
      <c r="S115" s="601"/>
    </row>
    <row r="116" spans="19:19" s="138" customFormat="1">
      <c r="S116" s="601"/>
    </row>
    <row r="117" spans="19:19" s="138" customFormat="1">
      <c r="S117" s="601"/>
    </row>
    <row r="118" spans="19:19" s="138" customFormat="1">
      <c r="S118" s="601"/>
    </row>
    <row r="119" spans="19:19" s="138" customFormat="1">
      <c r="S119" s="601"/>
    </row>
  </sheetData>
  <sheetProtection selectLockedCells="1"/>
  <mergeCells count="102">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s>
  <conditionalFormatting sqref="B9:C9">
    <cfRule type="iconSet" priority="43">
      <iconSet showValue="0" reverse="1">
        <cfvo type="percent" val="0"/>
        <cfvo type="num" val="1" gte="0"/>
        <cfvo type="num" val="2" gte="0"/>
      </iconSet>
    </cfRule>
  </conditionalFormatting>
  <conditionalFormatting sqref="B29:C29">
    <cfRule type="iconSet" priority="37">
      <iconSet showValue="0" reverse="1">
        <cfvo type="percent" val="0"/>
        <cfvo type="num" val="1" gte="0"/>
        <cfvo type="num" val="2" gte="0"/>
      </iconSet>
    </cfRule>
  </conditionalFormatting>
  <conditionalFormatting sqref="H9">
    <cfRule type="iconSet" priority="39">
      <iconSet showValue="0" reverse="1">
        <cfvo type="percent" val="0"/>
        <cfvo type="num" val="1" gte="0"/>
        <cfvo type="num" val="2" gte="0"/>
      </iconSet>
    </cfRule>
  </conditionalFormatting>
  <conditionalFormatting sqref="I29:J29">
    <cfRule type="iconSet" priority="36">
      <iconSet showValue="0" reverse="1">
        <cfvo type="percent" val="0"/>
        <cfvo type="num" val="1" gte="0"/>
        <cfvo type="num" val="2" gte="0"/>
      </iconSet>
    </cfRule>
  </conditionalFormatting>
  <conditionalFormatting sqref="T9">
    <cfRule type="iconSet" priority="38">
      <iconSet showValue="0" reverse="1">
        <cfvo type="percent" val="0"/>
        <cfvo type="num" val="1"/>
        <cfvo type="num" val="2"/>
      </iconSet>
    </cfRule>
  </conditionalFormatting>
  <conditionalFormatting sqref="U29:V29">
    <cfRule type="iconSet" priority="35">
      <iconSet showValue="0" reverse="1">
        <cfvo type="percent" val="0"/>
        <cfvo type="num" val="1"/>
        <cfvo type="num" val="2"/>
      </iconSet>
    </cfRule>
  </conditionalFormatting>
  <conditionalFormatting sqref="AP13:AQ13">
    <cfRule type="iconSet" priority="42">
      <iconSet showValue="0" reverse="1">
        <cfvo type="percent" val="0"/>
        <cfvo type="num" val="1" gte="0"/>
        <cfvo type="num" val="2" gte="0"/>
      </iconSet>
    </cfRule>
  </conditionalFormatting>
  <conditionalFormatting sqref="AP14:AQ14">
    <cfRule type="iconSet" priority="41">
      <iconSet showValue="0" reverse="1">
        <cfvo type="percent" val="0"/>
        <cfvo type="num" val="1" gte="0"/>
        <cfvo type="num" val="2" gte="0"/>
      </iconSet>
    </cfRule>
  </conditionalFormatting>
  <conditionalFormatting sqref="AP15:AQ15">
    <cfRule type="iconSet" priority="40">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FB03BB4D-C992-498A-8A8A-726B414F319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2" id="{22250571-F9C3-44FF-A0C7-E48E621B853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4"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E64232D0-92F6-4DFC-995C-FCD2739321D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5"/>
  <sheetViews>
    <sheetView topLeftCell="A40" zoomScaleNormal="100" workbookViewId="0">
      <selection activeCell="J56" sqref="J56"/>
    </sheetView>
  </sheetViews>
  <sheetFormatPr defaultColWidth="9.109375" defaultRowHeight="13.8"/>
  <cols>
    <col min="1" max="1" width="11" style="1253" customWidth="1"/>
    <col min="2" max="3" width="14.33203125" style="1253" bestFit="1" customWidth="1"/>
    <col min="4" max="6" width="14.6640625" style="1253" customWidth="1"/>
    <col min="7" max="7" width="16" style="1253" customWidth="1"/>
    <col min="8" max="8" width="9.109375" style="1253"/>
    <col min="9" max="9" width="12.109375" style="1253" bestFit="1" customWidth="1"/>
    <col min="10" max="10" width="11.109375" style="1253" bestFit="1" customWidth="1"/>
    <col min="11" max="11" width="10.44140625" style="1253" bestFit="1" customWidth="1"/>
    <col min="12" max="12" width="11" style="1253" bestFit="1" customWidth="1"/>
    <col min="13" max="13" width="11.5546875" style="1253" bestFit="1" customWidth="1"/>
    <col min="14" max="16384" width="9.109375" style="1253"/>
  </cols>
  <sheetData>
    <row r="1" spans="1:13" ht="15" customHeight="1">
      <c r="A1" s="1948" t="s">
        <v>97</v>
      </c>
      <c r="B1" s="1949"/>
      <c r="C1" s="1949"/>
      <c r="D1" s="1949"/>
      <c r="E1" s="1949"/>
      <c r="F1" s="1949"/>
      <c r="G1" s="1950"/>
      <c r="K1" s="1254">
        <v>18400</v>
      </c>
    </row>
    <row r="2" spans="1:13" ht="15" customHeight="1">
      <c r="A2" s="1951"/>
      <c r="B2" s="1951"/>
      <c r="C2" s="1951"/>
      <c r="D2" s="1951"/>
      <c r="E2" s="1951"/>
      <c r="F2" s="1951"/>
      <c r="G2" s="1952"/>
      <c r="J2" s="1255"/>
    </row>
    <row r="3" spans="1:13" ht="42.75" customHeight="1">
      <c r="A3" s="1256" t="s">
        <v>108</v>
      </c>
      <c r="B3" s="1957" t="s">
        <v>109</v>
      </c>
      <c r="C3" s="1958"/>
      <c r="D3" s="1256" t="s">
        <v>110</v>
      </c>
      <c r="E3" s="1256" t="s">
        <v>111</v>
      </c>
      <c r="F3" s="1256" t="s">
        <v>112</v>
      </c>
      <c r="G3" s="1256" t="s">
        <v>113</v>
      </c>
      <c r="H3" s="1255"/>
      <c r="I3" s="1255"/>
    </row>
    <row r="4" spans="1:13" ht="15.6">
      <c r="A4" s="1257" t="s">
        <v>108</v>
      </c>
      <c r="B4" s="1959" t="s">
        <v>525</v>
      </c>
      <c r="C4" s="1960"/>
      <c r="D4" s="1258">
        <v>7560</v>
      </c>
      <c r="E4" s="1258">
        <v>15120</v>
      </c>
      <c r="F4" s="1259">
        <v>192100</v>
      </c>
      <c r="G4" s="1260">
        <v>192100</v>
      </c>
      <c r="H4" s="1261"/>
      <c r="I4" s="1261"/>
      <c r="J4" s="1261"/>
      <c r="K4" s="1261"/>
      <c r="L4" s="1255"/>
      <c r="M4" s="1255"/>
    </row>
    <row r="5" spans="1:13" ht="15.6">
      <c r="A5" s="1262"/>
      <c r="B5" s="1955" t="s">
        <v>526</v>
      </c>
      <c r="C5" s="1956"/>
      <c r="D5" s="1263">
        <v>7560</v>
      </c>
      <c r="E5" s="1263">
        <v>15120</v>
      </c>
      <c r="F5" s="1264">
        <v>192100</v>
      </c>
      <c r="G5" s="1265">
        <v>192100</v>
      </c>
      <c r="H5" s="1266"/>
      <c r="I5" s="1266"/>
      <c r="J5" s="1266"/>
      <c r="K5" s="1266"/>
    </row>
    <row r="6" spans="1:13" ht="15.6">
      <c r="A6" s="1962" t="s">
        <v>127</v>
      </c>
      <c r="B6" s="1961" t="s">
        <v>527</v>
      </c>
      <c r="C6" s="1956"/>
      <c r="D6" s="1267">
        <v>0</v>
      </c>
      <c r="E6" s="1268">
        <v>0</v>
      </c>
      <c r="F6" s="1268">
        <v>0</v>
      </c>
      <c r="G6" s="1269">
        <v>0</v>
      </c>
      <c r="H6" s="1266"/>
      <c r="I6" s="1266"/>
      <c r="J6" s="1266"/>
      <c r="K6" s="1266"/>
    </row>
    <row r="7" spans="1:13" ht="15.6">
      <c r="A7" s="1963"/>
      <c r="B7" s="1961" t="s">
        <v>528</v>
      </c>
      <c r="C7" s="1956"/>
      <c r="D7" s="1267">
        <v>0</v>
      </c>
      <c r="E7" s="1268">
        <v>0</v>
      </c>
      <c r="F7" s="1268">
        <v>0</v>
      </c>
      <c r="G7" s="1269">
        <v>0</v>
      </c>
    </row>
    <row r="8" spans="1:13" ht="15.6">
      <c r="A8" s="1963"/>
      <c r="B8" s="1961" t="s">
        <v>529</v>
      </c>
      <c r="C8" s="1956"/>
      <c r="D8" s="1267">
        <v>0</v>
      </c>
      <c r="E8" s="1268">
        <v>0</v>
      </c>
      <c r="F8" s="1268">
        <v>0</v>
      </c>
      <c r="G8" s="1269">
        <v>0</v>
      </c>
    </row>
    <row r="9" spans="1:13" ht="15.6">
      <c r="A9" s="1963"/>
      <c r="B9" s="1961" t="s">
        <v>530</v>
      </c>
      <c r="C9" s="1956"/>
      <c r="D9" s="1267">
        <v>0</v>
      </c>
      <c r="E9" s="1268">
        <v>1</v>
      </c>
      <c r="F9" s="1268">
        <v>1</v>
      </c>
      <c r="G9" s="1269">
        <v>1</v>
      </c>
    </row>
    <row r="10" spans="1:13" ht="15.6">
      <c r="A10" s="1963"/>
      <c r="B10" s="1961" t="s">
        <v>531</v>
      </c>
      <c r="C10" s="1956"/>
      <c r="D10" s="1267">
        <v>0</v>
      </c>
      <c r="E10" s="1268">
        <v>0</v>
      </c>
      <c r="F10" s="1268">
        <v>0</v>
      </c>
      <c r="G10" s="1269">
        <v>0</v>
      </c>
    </row>
    <row r="11" spans="1:13" ht="15.6">
      <c r="A11" s="1963"/>
      <c r="B11" s="1961" t="s">
        <v>532</v>
      </c>
      <c r="C11" s="1956"/>
      <c r="D11" s="1267">
        <v>0</v>
      </c>
      <c r="E11" s="1268">
        <v>0</v>
      </c>
      <c r="F11" s="1268">
        <v>0</v>
      </c>
      <c r="G11" s="1269">
        <v>0</v>
      </c>
    </row>
    <row r="12" spans="1:13" ht="15.6">
      <c r="A12" s="1963"/>
      <c r="B12" s="1961" t="s">
        <v>533</v>
      </c>
      <c r="C12" s="1956"/>
      <c r="D12" s="1267">
        <v>0</v>
      </c>
      <c r="E12" s="1268">
        <v>0</v>
      </c>
      <c r="F12" s="1268">
        <v>0</v>
      </c>
      <c r="G12" s="1269">
        <v>0</v>
      </c>
    </row>
    <row r="13" spans="1:13" ht="15.6">
      <c r="A13" s="1963"/>
      <c r="B13" s="1961" t="s">
        <v>534</v>
      </c>
      <c r="C13" s="1956"/>
      <c r="D13" s="1267">
        <v>0</v>
      </c>
      <c r="E13" s="1268">
        <v>0</v>
      </c>
      <c r="F13" s="1268">
        <v>0</v>
      </c>
      <c r="G13" s="1269">
        <v>0</v>
      </c>
    </row>
    <row r="14" spans="1:13" ht="15.6">
      <c r="A14" s="1964"/>
      <c r="B14" s="1961" t="s">
        <v>535</v>
      </c>
      <c r="C14" s="1956"/>
      <c r="D14" s="1267">
        <v>0</v>
      </c>
      <c r="E14" s="1268">
        <v>0</v>
      </c>
      <c r="F14" s="1268">
        <v>0</v>
      </c>
      <c r="G14" s="1269">
        <v>0</v>
      </c>
    </row>
    <row r="15" spans="1:13" ht="15.6">
      <c r="A15" s="1967" t="s">
        <v>125</v>
      </c>
      <c r="B15" s="1955" t="s">
        <v>536</v>
      </c>
      <c r="C15" s="1956"/>
      <c r="D15" s="1270">
        <v>0</v>
      </c>
      <c r="E15" s="1270">
        <v>0</v>
      </c>
      <c r="F15" s="1271">
        <v>12</v>
      </c>
      <c r="G15" s="1272">
        <v>12</v>
      </c>
    </row>
    <row r="16" spans="1:13" ht="15.6">
      <c r="A16" s="1963"/>
      <c r="B16" s="1955" t="s">
        <v>537</v>
      </c>
      <c r="C16" s="1956"/>
      <c r="D16" s="1273">
        <v>2</v>
      </c>
      <c r="E16" s="1270">
        <v>3</v>
      </c>
      <c r="F16" s="1270">
        <v>38</v>
      </c>
      <c r="G16" s="1272">
        <v>38</v>
      </c>
    </row>
    <row r="17" spans="1:15" ht="15.6">
      <c r="A17" s="1963"/>
      <c r="B17" s="1955" t="s">
        <v>538</v>
      </c>
      <c r="C17" s="1956"/>
      <c r="D17" s="1270">
        <v>0</v>
      </c>
      <c r="E17" s="1271">
        <v>2</v>
      </c>
      <c r="F17" s="1271">
        <v>2</v>
      </c>
      <c r="G17" s="1272">
        <v>2</v>
      </c>
    </row>
    <row r="18" spans="1:15" ht="15.6">
      <c r="A18" s="1963"/>
      <c r="B18" s="1955" t="s">
        <v>539</v>
      </c>
      <c r="C18" s="1956"/>
      <c r="D18" s="1273">
        <v>1</v>
      </c>
      <c r="E18" s="1273">
        <v>2</v>
      </c>
      <c r="F18" s="1274">
        <v>50</v>
      </c>
      <c r="G18" s="1272">
        <v>50</v>
      </c>
    </row>
    <row r="19" spans="1:15" ht="15.6">
      <c r="A19" s="1964"/>
      <c r="B19" s="1953" t="s">
        <v>540</v>
      </c>
      <c r="C19" s="1954"/>
      <c r="D19" s="1275">
        <v>0</v>
      </c>
      <c r="E19" s="1276">
        <v>0</v>
      </c>
      <c r="F19" s="1276">
        <v>0</v>
      </c>
      <c r="G19" s="1277">
        <v>0</v>
      </c>
    </row>
    <row r="20" spans="1:15">
      <c r="I20" s="1278" t="s">
        <v>108</v>
      </c>
      <c r="J20" s="1946" t="s">
        <v>109</v>
      </c>
      <c r="K20" s="1947"/>
      <c r="L20" s="1278" t="s">
        <v>110</v>
      </c>
      <c r="M20" s="1278" t="s">
        <v>111</v>
      </c>
      <c r="N20" s="1278" t="s">
        <v>112</v>
      </c>
      <c r="O20" s="1278" t="s">
        <v>113</v>
      </c>
    </row>
    <row r="22" spans="1:15" ht="45.75" customHeight="1">
      <c r="A22" s="1965" t="s">
        <v>541</v>
      </c>
      <c r="B22" s="1966"/>
      <c r="C22" s="1966"/>
      <c r="D22" s="1966"/>
      <c r="E22" s="1966"/>
      <c r="F22" s="1966"/>
      <c r="G22" s="1966"/>
      <c r="I22" s="1279" t="s">
        <v>389</v>
      </c>
      <c r="J22" s="1280">
        <f>AVERAGE(E24:E95)</f>
        <v>0.85137419354838728</v>
      </c>
    </row>
    <row r="23" spans="1:15" ht="42.75" customHeight="1">
      <c r="A23" s="1281" t="s">
        <v>391</v>
      </c>
      <c r="B23" s="1281" t="s">
        <v>392</v>
      </c>
      <c r="C23" s="1281" t="s">
        <v>393</v>
      </c>
      <c r="D23" s="1281" t="s">
        <v>394</v>
      </c>
      <c r="E23" s="1281" t="s">
        <v>542</v>
      </c>
      <c r="F23" s="1281" t="s">
        <v>395</v>
      </c>
      <c r="G23" s="1281" t="s">
        <v>396</v>
      </c>
      <c r="I23" s="1279" t="s">
        <v>397</v>
      </c>
      <c r="J23" s="1282">
        <f>HSE!AE6</f>
        <v>0.86363636363636365</v>
      </c>
    </row>
    <row r="24" spans="1:15" ht="15.75" customHeight="1">
      <c r="A24" s="1283" t="s">
        <v>399</v>
      </c>
      <c r="B24" s="1284"/>
      <c r="C24" s="1284"/>
      <c r="D24" s="1285"/>
      <c r="E24" s="1286"/>
      <c r="F24" s="1286"/>
      <c r="G24" s="1287"/>
    </row>
    <row r="25" spans="1:15" ht="15.75" customHeight="1">
      <c r="A25" s="1283" t="s">
        <v>400</v>
      </c>
      <c r="B25" s="1284"/>
      <c r="C25" s="1284"/>
      <c r="D25" s="1285"/>
      <c r="E25" s="1286"/>
      <c r="F25" s="1286"/>
      <c r="G25" s="1287"/>
    </row>
    <row r="26" spans="1:15" ht="15.75" customHeight="1">
      <c r="A26" s="1283" t="s">
        <v>401</v>
      </c>
      <c r="B26" s="1284"/>
      <c r="C26" s="1284"/>
      <c r="D26" s="1285"/>
      <c r="E26" s="1286"/>
      <c r="F26" s="1286"/>
      <c r="G26" s="1287"/>
    </row>
    <row r="27" spans="1:15" ht="15.75" customHeight="1">
      <c r="A27" s="1288" t="s">
        <v>402</v>
      </c>
      <c r="B27" s="1310">
        <v>46091</v>
      </c>
      <c r="C27" s="1310">
        <v>46090</v>
      </c>
      <c r="D27" s="1289">
        <v>3</v>
      </c>
      <c r="E27" s="1290">
        <v>0.85</v>
      </c>
      <c r="F27" s="1310">
        <v>46090</v>
      </c>
      <c r="G27" s="1291">
        <f>F27-C27</f>
        <v>0</v>
      </c>
    </row>
    <row r="28" spans="1:15" ht="15.75" customHeight="1">
      <c r="A28" s="1288" t="s">
        <v>403</v>
      </c>
      <c r="B28" s="1310">
        <v>46098</v>
      </c>
      <c r="C28" s="1310">
        <v>46097</v>
      </c>
      <c r="D28" s="1289">
        <v>3</v>
      </c>
      <c r="E28" s="1292">
        <v>0.85</v>
      </c>
      <c r="F28" s="1310">
        <v>46097</v>
      </c>
      <c r="G28" s="1291">
        <f t="shared" ref="G28:G58" si="0">F28-C28</f>
        <v>0</v>
      </c>
    </row>
    <row r="29" spans="1:15" ht="15.75" customHeight="1">
      <c r="A29" s="1288" t="s">
        <v>404</v>
      </c>
      <c r="B29" s="1310">
        <v>46105</v>
      </c>
      <c r="C29" s="1310">
        <v>46104</v>
      </c>
      <c r="D29" s="1289">
        <v>2</v>
      </c>
      <c r="E29" s="1292">
        <v>0.85</v>
      </c>
      <c r="F29" s="1310">
        <v>46104</v>
      </c>
      <c r="G29" s="1291">
        <f t="shared" si="0"/>
        <v>0</v>
      </c>
    </row>
    <row r="30" spans="1:15" ht="15.75" customHeight="1">
      <c r="A30" s="1288" t="s">
        <v>405</v>
      </c>
      <c r="B30" s="1310">
        <v>46112</v>
      </c>
      <c r="C30" s="1310">
        <v>46111</v>
      </c>
      <c r="D30" s="1289">
        <v>3</v>
      </c>
      <c r="E30" s="1292">
        <v>0.85</v>
      </c>
      <c r="F30" s="1310">
        <v>46111</v>
      </c>
      <c r="G30" s="1291">
        <f t="shared" si="0"/>
        <v>0</v>
      </c>
    </row>
    <row r="31" spans="1:15" ht="15.75" customHeight="1">
      <c r="A31" s="1288" t="s">
        <v>406</v>
      </c>
      <c r="B31" s="1310">
        <v>46119</v>
      </c>
      <c r="C31" s="1310">
        <v>46118</v>
      </c>
      <c r="D31" s="1289">
        <v>3</v>
      </c>
      <c r="E31" s="1292">
        <v>0.85</v>
      </c>
      <c r="F31" s="1310">
        <v>46118</v>
      </c>
      <c r="G31" s="1291">
        <f t="shared" si="0"/>
        <v>0</v>
      </c>
    </row>
    <row r="32" spans="1:15" ht="15.75" customHeight="1">
      <c r="A32" s="1288" t="s">
        <v>407</v>
      </c>
      <c r="B32" s="1310">
        <v>46126</v>
      </c>
      <c r="C32" s="1310">
        <v>46124</v>
      </c>
      <c r="D32" s="1289">
        <v>2</v>
      </c>
      <c r="E32" s="1292">
        <v>0.85</v>
      </c>
      <c r="F32" s="1310">
        <v>46124</v>
      </c>
      <c r="G32" s="1291">
        <f t="shared" si="0"/>
        <v>0</v>
      </c>
    </row>
    <row r="33" spans="1:7" ht="15.75" customHeight="1">
      <c r="A33" s="1288" t="s">
        <v>408</v>
      </c>
      <c r="B33" s="1310">
        <v>46133</v>
      </c>
      <c r="C33" s="1310">
        <v>46131</v>
      </c>
      <c r="D33" s="1289">
        <v>3</v>
      </c>
      <c r="E33" s="1292">
        <v>0.85</v>
      </c>
      <c r="F33" s="1310">
        <v>46131</v>
      </c>
      <c r="G33" s="1291">
        <f t="shared" si="0"/>
        <v>0</v>
      </c>
    </row>
    <row r="34" spans="1:7" ht="15.75" customHeight="1">
      <c r="A34" s="1288" t="s">
        <v>409</v>
      </c>
      <c r="B34" s="1310">
        <v>46140</v>
      </c>
      <c r="C34" s="1310">
        <v>46138</v>
      </c>
      <c r="D34" s="1289">
        <v>2</v>
      </c>
      <c r="E34" s="1292">
        <v>0.85</v>
      </c>
      <c r="F34" s="1310">
        <v>46138</v>
      </c>
      <c r="G34" s="1291">
        <f t="shared" si="0"/>
        <v>0</v>
      </c>
    </row>
    <row r="35" spans="1:7" ht="15.75" customHeight="1">
      <c r="A35" s="1288" t="s">
        <v>410</v>
      </c>
      <c r="B35" s="1310">
        <v>46147</v>
      </c>
      <c r="C35" s="1310">
        <v>46145</v>
      </c>
      <c r="D35" s="1289">
        <v>3</v>
      </c>
      <c r="E35" s="1292">
        <v>0.85</v>
      </c>
      <c r="F35" s="1310">
        <v>46145</v>
      </c>
      <c r="G35" s="1291">
        <f t="shared" si="0"/>
        <v>0</v>
      </c>
    </row>
    <row r="36" spans="1:7" ht="15.75" customHeight="1">
      <c r="A36" s="1288" t="s">
        <v>411</v>
      </c>
      <c r="B36" s="1310">
        <v>46154</v>
      </c>
      <c r="C36" s="1310">
        <v>46152</v>
      </c>
      <c r="D36" s="1289">
        <v>4</v>
      </c>
      <c r="E36" s="1293">
        <v>0.85</v>
      </c>
      <c r="F36" s="1310">
        <v>46152</v>
      </c>
      <c r="G36" s="1291">
        <f t="shared" si="0"/>
        <v>0</v>
      </c>
    </row>
    <row r="37" spans="1:7" ht="15.75" customHeight="1">
      <c r="A37" s="1288" t="s">
        <v>412</v>
      </c>
      <c r="B37" s="1310">
        <v>46161</v>
      </c>
      <c r="C37" s="1310">
        <v>46159</v>
      </c>
      <c r="D37" s="1289">
        <v>3</v>
      </c>
      <c r="E37" s="1293">
        <v>0.85</v>
      </c>
      <c r="F37" s="1310">
        <v>46159</v>
      </c>
      <c r="G37" s="1291">
        <f t="shared" si="0"/>
        <v>0</v>
      </c>
    </row>
    <row r="38" spans="1:7" ht="15.75" customHeight="1">
      <c r="A38" s="1288" t="s">
        <v>413</v>
      </c>
      <c r="B38" s="1310">
        <v>46168</v>
      </c>
      <c r="C38" s="1310">
        <v>46166</v>
      </c>
      <c r="D38" s="1289">
        <v>3</v>
      </c>
      <c r="E38" s="1293">
        <v>0.85</v>
      </c>
      <c r="F38" s="1310">
        <v>46166</v>
      </c>
      <c r="G38" s="1291">
        <f t="shared" si="0"/>
        <v>0</v>
      </c>
    </row>
    <row r="39" spans="1:7" ht="15.75" customHeight="1">
      <c r="A39" s="1283" t="s">
        <v>414</v>
      </c>
      <c r="B39" s="1311"/>
      <c r="C39" s="1311"/>
      <c r="D39" s="1285"/>
      <c r="E39" s="1286"/>
      <c r="F39" s="1286"/>
      <c r="G39" s="1287">
        <f t="shared" si="0"/>
        <v>0</v>
      </c>
    </row>
    <row r="40" spans="1:7" ht="15.75" customHeight="1">
      <c r="A40" s="1288" t="s">
        <v>415</v>
      </c>
      <c r="B40" s="1310">
        <v>46182</v>
      </c>
      <c r="C40" s="1310">
        <v>46179</v>
      </c>
      <c r="D40" s="1289">
        <v>3</v>
      </c>
      <c r="E40" s="1293">
        <v>0.85</v>
      </c>
      <c r="F40" s="1310">
        <v>46179</v>
      </c>
      <c r="G40" s="1291">
        <f t="shared" si="0"/>
        <v>0</v>
      </c>
    </row>
    <row r="41" spans="1:7" ht="15.75" customHeight="1">
      <c r="A41" s="1288" t="s">
        <v>416</v>
      </c>
      <c r="B41" s="1310">
        <v>46189</v>
      </c>
      <c r="C41" s="1310">
        <v>46186</v>
      </c>
      <c r="D41" s="1289">
        <v>3</v>
      </c>
      <c r="E41" s="1293">
        <v>0.85</v>
      </c>
      <c r="F41" s="1310">
        <v>46186</v>
      </c>
      <c r="G41" s="1291">
        <f t="shared" si="0"/>
        <v>0</v>
      </c>
    </row>
    <row r="42" spans="1:7" ht="15.75" customHeight="1">
      <c r="A42" s="1288" t="s">
        <v>417</v>
      </c>
      <c r="B42" s="1310">
        <v>46196</v>
      </c>
      <c r="C42" s="1310">
        <v>46193</v>
      </c>
      <c r="D42" s="1289">
        <v>3</v>
      </c>
      <c r="E42" s="1293">
        <v>0.85</v>
      </c>
      <c r="F42" s="1310">
        <v>46193</v>
      </c>
      <c r="G42" s="1291">
        <f t="shared" si="0"/>
        <v>0</v>
      </c>
    </row>
    <row r="43" spans="1:7" ht="15.75" customHeight="1">
      <c r="A43" s="1288" t="s">
        <v>418</v>
      </c>
      <c r="B43" s="1310">
        <v>46203</v>
      </c>
      <c r="C43" s="1310">
        <v>46200</v>
      </c>
      <c r="D43" s="1289">
        <v>3</v>
      </c>
      <c r="E43" s="1293">
        <v>0.85</v>
      </c>
      <c r="F43" s="1310">
        <v>46200</v>
      </c>
      <c r="G43" s="1291">
        <f t="shared" si="0"/>
        <v>0</v>
      </c>
    </row>
    <row r="44" spans="1:7" ht="15.75" customHeight="1">
      <c r="A44" s="1288" t="s">
        <v>419</v>
      </c>
      <c r="B44" s="1310">
        <v>46210</v>
      </c>
      <c r="C44" s="1310">
        <v>46207</v>
      </c>
      <c r="D44" s="1289">
        <v>3</v>
      </c>
      <c r="E44" s="1293">
        <v>0.85</v>
      </c>
      <c r="F44" s="1310">
        <v>46207</v>
      </c>
      <c r="G44" s="1291">
        <f t="shared" si="0"/>
        <v>0</v>
      </c>
    </row>
    <row r="45" spans="1:7" ht="15.75" customHeight="1">
      <c r="A45" s="1288" t="s">
        <v>420</v>
      </c>
      <c r="B45" s="1310">
        <v>46217</v>
      </c>
      <c r="C45" s="1310">
        <v>46216</v>
      </c>
      <c r="D45" s="1289">
        <v>3</v>
      </c>
      <c r="E45" s="1293">
        <v>0.85</v>
      </c>
      <c r="F45" s="1310">
        <v>46216</v>
      </c>
      <c r="G45" s="1291">
        <f t="shared" si="0"/>
        <v>0</v>
      </c>
    </row>
    <row r="46" spans="1:7" ht="15.75" customHeight="1">
      <c r="A46" s="1288" t="s">
        <v>421</v>
      </c>
      <c r="B46" s="1310">
        <v>46224</v>
      </c>
      <c r="C46" s="1310">
        <v>46221</v>
      </c>
      <c r="D46" s="1289">
        <v>3</v>
      </c>
      <c r="E46" s="1293">
        <v>0.85</v>
      </c>
      <c r="F46" s="1310">
        <v>46221</v>
      </c>
      <c r="G46" s="1291">
        <f t="shared" si="0"/>
        <v>0</v>
      </c>
    </row>
    <row r="47" spans="1:7" ht="15.75" customHeight="1">
      <c r="A47" s="1288" t="s">
        <v>422</v>
      </c>
      <c r="B47" s="1310">
        <v>46231</v>
      </c>
      <c r="C47" s="1310">
        <v>46229</v>
      </c>
      <c r="D47" s="1289">
        <v>3</v>
      </c>
      <c r="E47" s="1293">
        <v>0.85</v>
      </c>
      <c r="F47" s="1310">
        <v>46229</v>
      </c>
      <c r="G47" s="1291">
        <f t="shared" si="0"/>
        <v>0</v>
      </c>
    </row>
    <row r="48" spans="1:7" ht="15.75" customHeight="1">
      <c r="A48" s="1288" t="s">
        <v>423</v>
      </c>
      <c r="B48" s="1310">
        <v>46238</v>
      </c>
      <c r="C48" s="1310">
        <v>46236</v>
      </c>
      <c r="D48" s="1289">
        <v>2</v>
      </c>
      <c r="E48" s="1293">
        <v>0.85</v>
      </c>
      <c r="F48" s="1310">
        <v>46236</v>
      </c>
      <c r="G48" s="1291">
        <f t="shared" si="0"/>
        <v>0</v>
      </c>
    </row>
    <row r="49" spans="1:7" ht="15.75" customHeight="1">
      <c r="A49" s="1288" t="s">
        <v>424</v>
      </c>
      <c r="B49" s="1310">
        <v>46245</v>
      </c>
      <c r="C49" s="1310">
        <v>46243</v>
      </c>
      <c r="D49" s="1289">
        <v>1</v>
      </c>
      <c r="E49" s="1293">
        <v>0.85</v>
      </c>
      <c r="F49" s="1310">
        <v>46243</v>
      </c>
      <c r="G49" s="1291">
        <f t="shared" si="0"/>
        <v>0</v>
      </c>
    </row>
    <row r="50" spans="1:7" ht="15.75" customHeight="1">
      <c r="A50" s="1294" t="s">
        <v>425</v>
      </c>
      <c r="B50" s="1312">
        <v>46252</v>
      </c>
      <c r="C50" s="1312">
        <v>46247</v>
      </c>
      <c r="D50" s="1295">
        <v>2</v>
      </c>
      <c r="E50" s="1296">
        <v>0.84089999999999998</v>
      </c>
      <c r="F50" s="1310">
        <v>46249</v>
      </c>
      <c r="G50" s="1291">
        <f t="shared" si="0"/>
        <v>2</v>
      </c>
    </row>
    <row r="51" spans="1:7" ht="15.75" customHeight="1">
      <c r="A51" s="1288" t="s">
        <v>426</v>
      </c>
      <c r="B51" s="1312">
        <v>46259</v>
      </c>
      <c r="C51" s="1312">
        <v>46253</v>
      </c>
      <c r="D51" s="1295">
        <v>6</v>
      </c>
      <c r="E51" s="1296">
        <v>0.82950000000000002</v>
      </c>
      <c r="F51" s="1310">
        <v>46257</v>
      </c>
      <c r="G51" s="1291">
        <f t="shared" si="0"/>
        <v>4</v>
      </c>
    </row>
    <row r="52" spans="1:7" ht="15.75" customHeight="1">
      <c r="A52" s="1288" t="s">
        <v>427</v>
      </c>
      <c r="B52" s="1312">
        <v>46266</v>
      </c>
      <c r="C52" s="1312">
        <v>46260</v>
      </c>
      <c r="D52" s="1295">
        <v>4</v>
      </c>
      <c r="E52" s="1296">
        <v>0.875</v>
      </c>
      <c r="F52" s="1310">
        <v>46264</v>
      </c>
      <c r="G52" s="1291">
        <f t="shared" si="0"/>
        <v>4</v>
      </c>
    </row>
    <row r="53" spans="1:7" ht="15.75" customHeight="1">
      <c r="A53" s="1288" t="s">
        <v>428</v>
      </c>
      <c r="B53" s="1312">
        <v>46273</v>
      </c>
      <c r="C53" s="1312">
        <v>46267</v>
      </c>
      <c r="D53" s="1295">
        <v>3</v>
      </c>
      <c r="E53" s="1296">
        <v>0.875</v>
      </c>
      <c r="F53" s="1310">
        <v>46270</v>
      </c>
      <c r="G53" s="1291">
        <f t="shared" si="0"/>
        <v>3</v>
      </c>
    </row>
    <row r="54" spans="1:7" ht="15.75" customHeight="1">
      <c r="A54" s="1288" t="s">
        <v>429</v>
      </c>
      <c r="B54" s="1312">
        <v>46280</v>
      </c>
      <c r="C54" s="1312">
        <v>46274</v>
      </c>
      <c r="D54" s="1295">
        <v>5</v>
      </c>
      <c r="E54" s="1296">
        <v>0.84499999999999997</v>
      </c>
      <c r="F54" s="1310">
        <v>46277</v>
      </c>
      <c r="G54" s="1291">
        <f t="shared" si="0"/>
        <v>3</v>
      </c>
    </row>
    <row r="55" spans="1:7" ht="15.75" customHeight="1">
      <c r="A55" s="1294" t="s">
        <v>430</v>
      </c>
      <c r="B55" s="1312">
        <v>46287</v>
      </c>
      <c r="C55" s="1312">
        <v>46282</v>
      </c>
      <c r="D55" s="1295">
        <v>5</v>
      </c>
      <c r="E55" s="1296">
        <v>0.85</v>
      </c>
      <c r="F55" s="1310">
        <v>46285</v>
      </c>
      <c r="G55" s="1291">
        <f t="shared" si="0"/>
        <v>3</v>
      </c>
    </row>
    <row r="56" spans="1:7" ht="15.75" customHeight="1">
      <c r="A56" s="1288" t="s">
        <v>431</v>
      </c>
      <c r="B56" s="1312">
        <v>46294</v>
      </c>
      <c r="C56" s="1312">
        <v>46289</v>
      </c>
      <c r="D56" s="1295">
        <v>5</v>
      </c>
      <c r="E56" s="1296">
        <v>0.85</v>
      </c>
      <c r="F56" s="1310">
        <v>46292</v>
      </c>
      <c r="G56" s="1291">
        <f t="shared" si="0"/>
        <v>3</v>
      </c>
    </row>
    <row r="57" spans="1:7" ht="15.75" customHeight="1">
      <c r="A57" s="1288" t="s">
        <v>432</v>
      </c>
      <c r="B57" s="1312">
        <v>46301</v>
      </c>
      <c r="C57" s="1312">
        <v>46296</v>
      </c>
      <c r="D57" s="1295">
        <v>5</v>
      </c>
      <c r="E57" s="1296">
        <v>0.86360000000000003</v>
      </c>
      <c r="F57" s="1312">
        <v>46300</v>
      </c>
      <c r="G57" s="1291">
        <f t="shared" si="0"/>
        <v>4</v>
      </c>
    </row>
    <row r="58" spans="1:7" ht="15.75" customHeight="1">
      <c r="A58" s="1288" t="s">
        <v>433</v>
      </c>
      <c r="B58" s="1312">
        <v>46308</v>
      </c>
      <c r="C58" s="1312">
        <v>46303</v>
      </c>
      <c r="D58" s="1295">
        <v>4</v>
      </c>
      <c r="E58" s="1296">
        <v>0.86360000000000003</v>
      </c>
      <c r="F58" s="1312">
        <v>46308</v>
      </c>
      <c r="G58" s="1291">
        <f t="shared" si="0"/>
        <v>5</v>
      </c>
    </row>
    <row r="59" spans="1:7" ht="15.75" customHeight="1">
      <c r="A59" s="1288" t="s">
        <v>434</v>
      </c>
      <c r="B59" s="1297"/>
      <c r="C59" s="1297"/>
      <c r="D59" s="1298"/>
      <c r="E59" s="1299"/>
      <c r="F59" s="1297"/>
      <c r="G59" s="1300"/>
    </row>
    <row r="60" spans="1:7" ht="15.75" customHeight="1">
      <c r="A60" s="1294" t="s">
        <v>435</v>
      </c>
      <c r="B60" s="1297"/>
      <c r="C60" s="1297"/>
      <c r="D60" s="1298"/>
      <c r="E60" s="1299"/>
      <c r="F60" s="1297"/>
      <c r="G60" s="1300"/>
    </row>
    <row r="61" spans="1:7" ht="15.75" customHeight="1">
      <c r="A61" s="1288" t="s">
        <v>436</v>
      </c>
      <c r="B61" s="1297"/>
      <c r="C61" s="1297"/>
      <c r="D61" s="1298"/>
      <c r="E61" s="1299"/>
      <c r="F61" s="1297"/>
      <c r="G61" s="1300"/>
    </row>
    <row r="62" spans="1:7" ht="15.75" customHeight="1">
      <c r="A62" s="1288" t="s">
        <v>437</v>
      </c>
      <c r="B62" s="1297"/>
      <c r="C62" s="1297"/>
      <c r="D62" s="1298"/>
      <c r="E62" s="1299"/>
      <c r="F62" s="1297"/>
      <c r="G62" s="1300"/>
    </row>
    <row r="63" spans="1:7" ht="15.75" customHeight="1">
      <c r="A63" s="1288" t="s">
        <v>438</v>
      </c>
      <c r="B63" s="1297"/>
      <c r="C63" s="1297"/>
      <c r="D63" s="1298"/>
      <c r="E63" s="1299"/>
      <c r="F63" s="1297"/>
      <c r="G63" s="1300"/>
    </row>
    <row r="64" spans="1:7" ht="15.75" customHeight="1">
      <c r="A64" s="1288" t="s">
        <v>439</v>
      </c>
      <c r="B64" s="1297"/>
      <c r="C64" s="1297"/>
      <c r="D64" s="1298"/>
      <c r="E64" s="1299"/>
      <c r="F64" s="1297"/>
      <c r="G64" s="1300"/>
    </row>
    <row r="65" spans="1:7" ht="15.75" customHeight="1">
      <c r="A65" s="1294" t="s">
        <v>440</v>
      </c>
      <c r="B65" s="1297"/>
      <c r="C65" s="1297"/>
      <c r="D65" s="1298"/>
      <c r="E65" s="1299"/>
      <c r="F65" s="1297"/>
      <c r="G65" s="1300"/>
    </row>
    <row r="66" spans="1:7" ht="15.75" customHeight="1">
      <c r="A66" s="1288" t="s">
        <v>441</v>
      </c>
      <c r="B66" s="1297"/>
      <c r="C66" s="1297"/>
      <c r="D66" s="1298"/>
      <c r="E66" s="1299"/>
      <c r="F66" s="1297"/>
      <c r="G66" s="1300"/>
    </row>
    <row r="67" spans="1:7" ht="15.75" customHeight="1">
      <c r="A67" s="1288" t="s">
        <v>442</v>
      </c>
      <c r="B67" s="1297"/>
      <c r="C67" s="1297"/>
      <c r="D67" s="1298"/>
      <c r="E67" s="1299"/>
      <c r="F67" s="1297"/>
      <c r="G67" s="1300"/>
    </row>
    <row r="68" spans="1:7" ht="15.75" customHeight="1">
      <c r="A68" s="1288" t="s">
        <v>443</v>
      </c>
      <c r="B68" s="1297"/>
      <c r="C68" s="1297"/>
      <c r="D68" s="1298"/>
      <c r="E68" s="1299"/>
      <c r="F68" s="1297"/>
      <c r="G68" s="1300"/>
    </row>
    <row r="69" spans="1:7" ht="15.75" customHeight="1">
      <c r="A69" s="1288" t="s">
        <v>444</v>
      </c>
      <c r="B69" s="1297"/>
      <c r="C69" s="1297"/>
      <c r="D69" s="1298"/>
      <c r="E69" s="1299"/>
      <c r="F69" s="1297"/>
      <c r="G69" s="1300"/>
    </row>
    <row r="70" spans="1:7" ht="15.75" customHeight="1">
      <c r="A70" s="1294" t="s">
        <v>445</v>
      </c>
      <c r="B70" s="1297"/>
      <c r="C70" s="1297"/>
      <c r="D70" s="1298"/>
      <c r="E70" s="1299"/>
      <c r="F70" s="1297"/>
      <c r="G70" s="1300"/>
    </row>
    <row r="71" spans="1:7" ht="15.75" customHeight="1">
      <c r="A71" s="1288" t="s">
        <v>446</v>
      </c>
      <c r="B71" s="1297"/>
      <c r="C71" s="1297"/>
      <c r="D71" s="1298"/>
      <c r="E71" s="1299"/>
      <c r="F71" s="1297"/>
      <c r="G71" s="1300"/>
    </row>
    <row r="72" spans="1:7" ht="15.75" customHeight="1">
      <c r="A72" s="1288" t="s">
        <v>447</v>
      </c>
      <c r="B72" s="1297"/>
      <c r="C72" s="1297"/>
      <c r="D72" s="1298"/>
      <c r="E72" s="1299"/>
      <c r="F72" s="1297"/>
      <c r="G72" s="1300"/>
    </row>
    <row r="73" spans="1:7" ht="15.75" customHeight="1">
      <c r="A73" s="1288" t="s">
        <v>448</v>
      </c>
      <c r="B73" s="1297"/>
      <c r="C73" s="1297"/>
      <c r="D73" s="1298"/>
      <c r="E73" s="1299"/>
      <c r="F73" s="1297"/>
      <c r="G73" s="1300"/>
    </row>
    <row r="74" spans="1:7" ht="15.75" customHeight="1">
      <c r="A74" s="1288" t="s">
        <v>449</v>
      </c>
      <c r="B74" s="1297"/>
      <c r="C74" s="1297"/>
      <c r="D74" s="1298"/>
      <c r="E74" s="1299"/>
      <c r="F74" s="1297"/>
      <c r="G74" s="1300"/>
    </row>
    <row r="75" spans="1:7" ht="15.75" customHeight="1">
      <c r="A75" s="1294" t="s">
        <v>450</v>
      </c>
      <c r="B75" s="1297"/>
      <c r="C75" s="1297"/>
      <c r="D75" s="1298"/>
      <c r="F75" s="1297"/>
      <c r="G75" s="1300"/>
    </row>
    <row r="76" spans="1:7" ht="15.75" customHeight="1">
      <c r="A76" s="1288" t="s">
        <v>451</v>
      </c>
      <c r="B76" s="1297"/>
      <c r="C76" s="1297"/>
      <c r="D76" s="1298"/>
      <c r="E76" s="1299"/>
      <c r="F76" s="1297"/>
      <c r="G76" s="1300"/>
    </row>
    <row r="77" spans="1:7" ht="15.75" customHeight="1">
      <c r="A77" s="1288" t="s">
        <v>452</v>
      </c>
      <c r="B77" s="1297"/>
      <c r="C77" s="1297"/>
      <c r="D77" s="1298"/>
      <c r="E77" s="1299"/>
      <c r="F77" s="1297"/>
      <c r="G77" s="1300"/>
    </row>
    <row r="78" spans="1:7" ht="15.75" customHeight="1">
      <c r="A78" s="1288" t="s">
        <v>453</v>
      </c>
      <c r="B78" s="1297"/>
      <c r="C78" s="1297"/>
      <c r="D78" s="1298"/>
      <c r="E78" s="1299"/>
      <c r="F78" s="1297"/>
      <c r="G78" s="1300"/>
    </row>
    <row r="79" spans="1:7" ht="15.75" customHeight="1">
      <c r="A79" s="1288" t="s">
        <v>454</v>
      </c>
      <c r="B79" s="1297"/>
      <c r="C79" s="1297"/>
      <c r="D79" s="1298"/>
      <c r="E79" s="1299"/>
      <c r="F79" s="1297"/>
      <c r="G79" s="1300"/>
    </row>
    <row r="80" spans="1:7" ht="15.75" customHeight="1">
      <c r="A80" s="1294" t="s">
        <v>455</v>
      </c>
      <c r="B80" s="1297"/>
      <c r="C80" s="1297"/>
      <c r="D80" s="1298"/>
      <c r="E80" s="1299"/>
      <c r="F80" s="1297"/>
      <c r="G80" s="1300"/>
    </row>
    <row r="81" spans="1:7" ht="15.75" customHeight="1">
      <c r="A81" s="1288" t="s">
        <v>456</v>
      </c>
      <c r="B81" s="1297"/>
      <c r="C81" s="1297"/>
      <c r="D81" s="1298"/>
      <c r="E81" s="1299"/>
      <c r="F81" s="1297"/>
      <c r="G81" s="1300"/>
    </row>
    <row r="82" spans="1:7" ht="15.75" customHeight="1">
      <c r="A82" s="1288" t="s">
        <v>457</v>
      </c>
      <c r="B82" s="1297"/>
      <c r="C82" s="1297"/>
      <c r="D82" s="1298"/>
      <c r="E82" s="1299"/>
      <c r="F82" s="1297"/>
      <c r="G82" s="1300"/>
    </row>
    <row r="83" spans="1:7" ht="15.75" customHeight="1">
      <c r="A83" s="1288" t="s">
        <v>458</v>
      </c>
      <c r="B83" s="1297"/>
      <c r="C83" s="1297"/>
      <c r="D83" s="1298"/>
      <c r="E83" s="1299"/>
      <c r="F83" s="1297"/>
      <c r="G83" s="1300"/>
    </row>
    <row r="84" spans="1:7" ht="15.75" customHeight="1">
      <c r="A84" s="1288" t="s">
        <v>459</v>
      </c>
      <c r="B84" s="1297"/>
      <c r="C84" s="1297"/>
      <c r="D84" s="1298"/>
      <c r="E84" s="1299"/>
      <c r="F84" s="1297"/>
      <c r="G84" s="1300"/>
    </row>
    <row r="85" spans="1:7" ht="15.75" customHeight="1">
      <c r="A85" s="1294" t="s">
        <v>460</v>
      </c>
      <c r="B85" s="1297"/>
      <c r="C85" s="1297"/>
      <c r="D85" s="1298"/>
      <c r="E85" s="1299"/>
      <c r="F85" s="1297"/>
      <c r="G85" s="1300"/>
    </row>
    <row r="86" spans="1:7" ht="15.75" customHeight="1">
      <c r="A86" s="1288" t="s">
        <v>461</v>
      </c>
      <c r="B86" s="1297"/>
      <c r="C86" s="1297"/>
      <c r="D86" s="1298"/>
      <c r="E86" s="1299"/>
      <c r="F86" s="1297"/>
      <c r="G86" s="1300"/>
    </row>
    <row r="87" spans="1:7" ht="15.75" customHeight="1">
      <c r="A87" s="1288" t="s">
        <v>462</v>
      </c>
      <c r="B87" s="1297"/>
      <c r="C87" s="1297"/>
      <c r="D87" s="1298"/>
      <c r="E87" s="1299"/>
      <c r="F87" s="1297"/>
      <c r="G87" s="1300"/>
    </row>
    <row r="88" spans="1:7" ht="15.75" customHeight="1">
      <c r="A88" s="1288" t="s">
        <v>463</v>
      </c>
      <c r="B88" s="1297"/>
      <c r="C88" s="1297"/>
      <c r="D88" s="1298"/>
      <c r="E88" s="1299"/>
      <c r="F88" s="1297"/>
      <c r="G88" s="1300"/>
    </row>
    <row r="89" spans="1:7" ht="15.75" customHeight="1">
      <c r="A89" s="1288" t="s">
        <v>464</v>
      </c>
      <c r="B89" s="1297"/>
      <c r="C89" s="1297"/>
      <c r="D89" s="1298"/>
      <c r="E89" s="1299"/>
      <c r="F89" s="1297"/>
      <c r="G89" s="1300"/>
    </row>
    <row r="90" spans="1:7" ht="15.75" customHeight="1">
      <c r="A90" s="1294" t="s">
        <v>465</v>
      </c>
      <c r="B90" s="1297"/>
      <c r="C90" s="1297"/>
      <c r="D90" s="1298"/>
      <c r="E90" s="1299"/>
      <c r="F90" s="1297"/>
      <c r="G90" s="1300"/>
    </row>
    <row r="91" spans="1:7" ht="15.75" customHeight="1">
      <c r="A91" s="1288" t="s">
        <v>466</v>
      </c>
      <c r="B91" s="1297"/>
      <c r="C91" s="1297"/>
      <c r="D91" s="1298"/>
      <c r="E91" s="1299"/>
      <c r="F91" s="1297"/>
      <c r="G91" s="1300"/>
    </row>
    <row r="92" spans="1:7" ht="15.75" customHeight="1">
      <c r="A92" s="1288" t="s">
        <v>467</v>
      </c>
      <c r="B92" s="1297"/>
      <c r="C92" s="1297"/>
      <c r="D92" s="1298"/>
      <c r="E92" s="1299"/>
      <c r="F92" s="1297"/>
      <c r="G92" s="1300"/>
    </row>
    <row r="93" spans="1:7" ht="15.75" customHeight="1">
      <c r="A93" s="1288" t="s">
        <v>468</v>
      </c>
      <c r="B93" s="1297"/>
      <c r="C93" s="1297"/>
      <c r="D93" s="1298"/>
      <c r="E93" s="1299"/>
      <c r="F93" s="1297"/>
      <c r="G93" s="1300"/>
    </row>
    <row r="94" spans="1:7" ht="15.75" customHeight="1">
      <c r="A94" s="1288" t="s">
        <v>469</v>
      </c>
      <c r="B94" s="1297"/>
      <c r="C94" s="1297"/>
      <c r="D94" s="1298"/>
      <c r="E94" s="1299"/>
      <c r="F94" s="1297"/>
      <c r="G94" s="1300"/>
    </row>
    <row r="95" spans="1:7" ht="15.75" customHeight="1">
      <c r="A95" s="1294" t="s">
        <v>470</v>
      </c>
      <c r="B95" s="1301"/>
      <c r="C95" s="1301"/>
      <c r="D95" s="1302"/>
      <c r="E95" s="1303"/>
      <c r="F95" s="1302"/>
      <c r="G95" s="1304"/>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phoneticPr fontId="97" type="noConversion"/>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66"/>
  <sheetViews>
    <sheetView showGridLines="0" topLeftCell="N19" zoomScale="70" zoomScaleNormal="70" workbookViewId="0">
      <selection activeCell="S20" sqref="S20"/>
    </sheetView>
  </sheetViews>
  <sheetFormatPr defaultColWidth="9.33203125" defaultRowHeight="13.8"/>
  <cols>
    <col min="1" max="1" width="6" style="536" customWidth="1"/>
    <col min="2" max="2" width="21.88671875" style="536" customWidth="1"/>
    <col min="3" max="6" width="17" style="536" customWidth="1"/>
    <col min="7" max="8" width="15.6640625" style="536" customWidth="1"/>
    <col min="9" max="9" width="18.88671875" style="536" customWidth="1"/>
    <col min="10" max="10" width="19.88671875" style="536" customWidth="1"/>
    <col min="11" max="11" width="26.6640625" style="536" customWidth="1"/>
    <col min="12" max="12" width="25.109375" style="536" customWidth="1"/>
    <col min="13" max="13" width="25.33203125" style="536" customWidth="1"/>
    <col min="14" max="15" width="15.6640625" style="536" customWidth="1"/>
    <col min="16" max="16" width="22.44140625" style="536" customWidth="1"/>
    <col min="17" max="20" width="15.6640625" style="536" customWidth="1"/>
    <col min="21" max="21" width="17.44140625" style="536" customWidth="1"/>
    <col min="22" max="23" width="15.6640625" style="536" customWidth="1"/>
    <col min="24" max="24" width="26.6640625" style="536" customWidth="1"/>
    <col min="25" max="26" width="15.6640625" style="536" customWidth="1"/>
    <col min="27" max="27" width="15.6640625" style="537" customWidth="1"/>
    <col min="28" max="32" width="15.6640625" style="536" customWidth="1"/>
    <col min="33" max="16384" width="9.33203125" style="536"/>
  </cols>
  <sheetData>
    <row r="1" spans="2:36" s="539" customFormat="1" ht="17.399999999999999">
      <c r="AA1" s="567"/>
    </row>
    <row r="2" spans="2:36" s="566" customFormat="1" ht="17.399999999999999">
      <c r="B2" s="568" t="s">
        <v>553</v>
      </c>
      <c r="C2" s="568"/>
      <c r="D2" s="568"/>
      <c r="E2" s="1991"/>
      <c r="F2" s="1991"/>
      <c r="G2" s="1991"/>
      <c r="H2" s="1991"/>
      <c r="I2" s="1991"/>
      <c r="J2" s="1991"/>
      <c r="K2" s="568" t="s">
        <v>554</v>
      </c>
      <c r="S2" s="1979"/>
      <c r="T2" s="1979"/>
    </row>
    <row r="3" spans="2:36" s="566" customFormat="1" ht="17.399999999999999">
      <c r="B3" s="568" t="s">
        <v>555</v>
      </c>
      <c r="C3" s="568"/>
      <c r="D3" s="568"/>
      <c r="E3" s="1990"/>
      <c r="F3" s="1990"/>
      <c r="G3" s="1990"/>
      <c r="H3" s="1990"/>
      <c r="I3" s="1990"/>
      <c r="J3" s="1990"/>
      <c r="K3" s="582">
        <f>'General Information'!L1</f>
        <v>46308</v>
      </c>
    </row>
    <row r="4" spans="2:36" s="566" customFormat="1" ht="17.399999999999999">
      <c r="B4" s="569" t="s">
        <v>556</v>
      </c>
      <c r="C4" s="569"/>
      <c r="D4" s="569"/>
      <c r="E4" s="1989" t="str">
        <f>'General Information'!C3</f>
        <v>Completion of Infrastructure Works in The Second Industrial City in Makkah Al-Mukarramah</v>
      </c>
      <c r="F4" s="1989"/>
      <c r="G4" s="1989"/>
      <c r="H4" s="1989"/>
      <c r="I4" s="1989"/>
      <c r="J4" s="1989"/>
      <c r="K4" s="567"/>
      <c r="L4" s="567"/>
      <c r="M4" s="567"/>
      <c r="N4" s="567"/>
      <c r="R4" s="568"/>
      <c r="S4" s="1980"/>
      <c r="T4" s="1980"/>
    </row>
    <row r="5" spans="2:36" s="566" customFormat="1" ht="17.399999999999999">
      <c r="B5" s="568" t="s">
        <v>557</v>
      </c>
      <c r="C5" s="568"/>
      <c r="D5" s="568"/>
      <c r="E5" s="1989" t="str">
        <f>'General Information'!C4</f>
        <v>MKH2-02-003</v>
      </c>
      <c r="F5" s="1989"/>
      <c r="G5" s="1989"/>
      <c r="H5" s="1989"/>
      <c r="I5" s="1989"/>
      <c r="J5" s="1989"/>
      <c r="R5" s="568"/>
      <c r="S5" s="568"/>
      <c r="T5" s="568"/>
    </row>
    <row r="6" spans="2:36" s="566" customFormat="1" ht="19.8">
      <c r="B6" s="568" t="s">
        <v>558</v>
      </c>
      <c r="C6" s="568"/>
      <c r="D6" s="568"/>
      <c r="E6" s="1989" t="s">
        <v>1094</v>
      </c>
      <c r="F6" s="1989"/>
      <c r="G6" s="1989"/>
      <c r="H6" s="1989"/>
      <c r="I6" s="1989"/>
      <c r="J6" s="1989"/>
      <c r="K6" s="567"/>
      <c r="L6" s="567"/>
      <c r="M6" s="567"/>
      <c r="N6" s="567"/>
    </row>
    <row r="7" spans="2:36" s="541" customFormat="1" ht="14.4" thickBot="1">
      <c r="B7" s="557"/>
      <c r="C7" s="557"/>
      <c r="D7" s="557"/>
      <c r="E7" s="557"/>
      <c r="F7" s="557"/>
    </row>
    <row r="8" spans="2:36" s="562" customFormat="1" ht="34.5" customHeight="1" thickBot="1">
      <c r="B8" s="564"/>
      <c r="C8" s="564"/>
      <c r="D8" s="564"/>
      <c r="E8" s="564"/>
      <c r="F8" s="564"/>
      <c r="G8" s="564"/>
      <c r="H8" s="564"/>
      <c r="I8" s="564"/>
      <c r="J8" s="564"/>
      <c r="K8" s="564"/>
      <c r="L8" s="564"/>
      <c r="M8" s="564"/>
      <c r="N8" s="564"/>
      <c r="O8" s="564"/>
      <c r="P8" s="564"/>
      <c r="Q8" s="564"/>
      <c r="R8" s="1968" t="s">
        <v>559</v>
      </c>
      <c r="S8" s="1969"/>
      <c r="T8" s="1970"/>
      <c r="U8" s="563"/>
      <c r="V8" s="563"/>
      <c r="W8" s="565"/>
      <c r="X8" s="564"/>
      <c r="Y8" s="564"/>
      <c r="Z8" s="564"/>
      <c r="AA8" s="564"/>
      <c r="AB8" s="564"/>
      <c r="AC8" s="1968" t="s">
        <v>560</v>
      </c>
      <c r="AD8" s="1969"/>
      <c r="AE8" s="1970"/>
      <c r="AF8" s="563"/>
    </row>
    <row r="9" spans="2:36" s="562" customFormat="1" ht="37.200000000000003" customHeight="1">
      <c r="B9" s="1981" t="s">
        <v>561</v>
      </c>
      <c r="C9" s="1982"/>
      <c r="D9" s="1982"/>
      <c r="E9" s="1982"/>
      <c r="F9" s="1982"/>
      <c r="G9" s="1983"/>
      <c r="H9" s="1975" t="s">
        <v>108</v>
      </c>
      <c r="I9" s="1976"/>
      <c r="J9" s="1977"/>
      <c r="K9" s="1984" t="s">
        <v>562</v>
      </c>
      <c r="L9" s="1985"/>
      <c r="M9" s="1986"/>
      <c r="N9" s="1981" t="s">
        <v>563</v>
      </c>
      <c r="O9" s="1983"/>
      <c r="P9" s="1987" t="s">
        <v>564</v>
      </c>
      <c r="Q9" s="1973" t="s">
        <v>565</v>
      </c>
      <c r="R9" s="1975" t="s">
        <v>566</v>
      </c>
      <c r="S9" s="1976"/>
      <c r="T9" s="1977"/>
      <c r="U9" s="1971" t="s">
        <v>567</v>
      </c>
      <c r="V9" s="1975" t="s">
        <v>568</v>
      </c>
      <c r="W9" s="1976"/>
      <c r="X9" s="1976"/>
      <c r="Y9" s="1977"/>
      <c r="Z9" s="1975" t="s">
        <v>569</v>
      </c>
      <c r="AA9" s="1976"/>
      <c r="AB9" s="1978"/>
      <c r="AC9" s="1975" t="s">
        <v>566</v>
      </c>
      <c r="AD9" s="1976"/>
      <c r="AE9" s="1977"/>
      <c r="AF9" s="1971" t="s">
        <v>570</v>
      </c>
    </row>
    <row r="10" spans="2:36" s="557" customFormat="1" ht="57.45" customHeight="1" thickBot="1">
      <c r="B10" s="806" t="s">
        <v>571</v>
      </c>
      <c r="C10" s="807" t="s">
        <v>572</v>
      </c>
      <c r="D10" s="807" t="s">
        <v>573</v>
      </c>
      <c r="E10" s="807" t="s">
        <v>574</v>
      </c>
      <c r="F10" s="807" t="s">
        <v>39</v>
      </c>
      <c r="G10" s="803" t="s">
        <v>575</v>
      </c>
      <c r="H10" s="561" t="s">
        <v>576</v>
      </c>
      <c r="I10" s="560" t="s">
        <v>577</v>
      </c>
      <c r="J10" s="559" t="s">
        <v>108</v>
      </c>
      <c r="K10" s="806" t="s">
        <v>578</v>
      </c>
      <c r="L10" s="807" t="s">
        <v>579</v>
      </c>
      <c r="M10" s="803" t="s">
        <v>580</v>
      </c>
      <c r="N10" s="806" t="s">
        <v>581</v>
      </c>
      <c r="O10" s="803" t="s">
        <v>105</v>
      </c>
      <c r="P10" s="1988"/>
      <c r="Q10" s="1974"/>
      <c r="R10" s="561" t="s">
        <v>582</v>
      </c>
      <c r="S10" s="560" t="s">
        <v>583</v>
      </c>
      <c r="T10" s="559" t="s">
        <v>584</v>
      </c>
      <c r="U10" s="1972"/>
      <c r="V10" s="561" t="s">
        <v>585</v>
      </c>
      <c r="W10" s="560" t="s">
        <v>586</v>
      </c>
      <c r="X10" s="560" t="s">
        <v>587</v>
      </c>
      <c r="Y10" s="559" t="s">
        <v>588</v>
      </c>
      <c r="Z10" s="561" t="s">
        <v>589</v>
      </c>
      <c r="AA10" s="560" t="s">
        <v>590</v>
      </c>
      <c r="AB10" s="808" t="s">
        <v>105</v>
      </c>
      <c r="AC10" s="561" t="s">
        <v>582</v>
      </c>
      <c r="AD10" s="560" t="s">
        <v>583</v>
      </c>
      <c r="AE10" s="559" t="s">
        <v>584</v>
      </c>
      <c r="AF10" s="1972"/>
      <c r="AG10" s="558"/>
      <c r="AH10" s="558"/>
      <c r="AI10" s="558"/>
      <c r="AJ10" s="558"/>
    </row>
    <row r="11" spans="2:36" s="584" customFormat="1" ht="129" customHeight="1">
      <c r="B11" s="943" t="s">
        <v>1243</v>
      </c>
      <c r="C11" s="943" t="s">
        <v>872</v>
      </c>
      <c r="D11" s="943" t="s">
        <v>872</v>
      </c>
      <c r="E11" s="801" t="s">
        <v>1244</v>
      </c>
      <c r="F11" s="805" t="s">
        <v>1036</v>
      </c>
      <c r="G11" s="555" t="s">
        <v>1251</v>
      </c>
      <c r="H11" s="556" t="s">
        <v>592</v>
      </c>
      <c r="I11" s="944" t="s">
        <v>601</v>
      </c>
      <c r="J11" s="944" t="s">
        <v>594</v>
      </c>
      <c r="K11" s="945" t="s">
        <v>1245</v>
      </c>
      <c r="L11" s="945" t="s">
        <v>1249</v>
      </c>
      <c r="M11" s="945" t="s">
        <v>1246</v>
      </c>
      <c r="N11" s="946">
        <v>46119</v>
      </c>
      <c r="O11" s="947" t="s">
        <v>105</v>
      </c>
      <c r="P11" s="556" t="s">
        <v>595</v>
      </c>
      <c r="Q11" s="556" t="s">
        <v>596</v>
      </c>
      <c r="R11" s="945" t="s">
        <v>608</v>
      </c>
      <c r="S11" s="945" t="s">
        <v>597</v>
      </c>
      <c r="T11" s="801" t="str">
        <f t="shared" ref="T11:T31" si="0">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H20</v>
      </c>
      <c r="U11" s="801" t="s">
        <v>1247</v>
      </c>
      <c r="V11" s="945" t="s">
        <v>606</v>
      </c>
      <c r="W11" s="945" t="s">
        <v>874</v>
      </c>
      <c r="X11" s="945"/>
      <c r="Y11" s="801" t="s">
        <v>1247</v>
      </c>
      <c r="Z11" s="947">
        <v>46119</v>
      </c>
      <c r="AA11" s="947"/>
      <c r="AB11" s="947">
        <v>46131</v>
      </c>
      <c r="AC11" s="945" t="s">
        <v>608</v>
      </c>
      <c r="AD11" s="945" t="s">
        <v>608</v>
      </c>
      <c r="AE11" s="801" t="str">
        <f t="shared" ref="AE11:AE31" si="1">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H16</v>
      </c>
      <c r="AF11" s="555" t="s">
        <v>1251</v>
      </c>
      <c r="AG11" s="583"/>
      <c r="AH11" s="583"/>
      <c r="AI11" s="583"/>
      <c r="AJ11" s="583"/>
    </row>
    <row r="12" spans="2:36" s="584" customFormat="1" ht="129" customHeight="1">
      <c r="B12" s="943" t="s">
        <v>1248</v>
      </c>
      <c r="C12" s="943" t="s">
        <v>872</v>
      </c>
      <c r="D12" s="943" t="s">
        <v>872</v>
      </c>
      <c r="E12" s="801" t="s">
        <v>1244</v>
      </c>
      <c r="F12" s="805" t="s">
        <v>1036</v>
      </c>
      <c r="G12" s="555" t="s">
        <v>1251</v>
      </c>
      <c r="H12" s="556" t="s">
        <v>592</v>
      </c>
      <c r="I12" s="944" t="s">
        <v>601</v>
      </c>
      <c r="J12" s="944" t="s">
        <v>602</v>
      </c>
      <c r="K12" s="945" t="s">
        <v>1250</v>
      </c>
      <c r="L12" s="945" t="s">
        <v>1242</v>
      </c>
      <c r="M12" s="945" t="s">
        <v>1246</v>
      </c>
      <c r="N12" s="946">
        <v>46119</v>
      </c>
      <c r="O12" s="947"/>
      <c r="P12" s="556" t="s">
        <v>595</v>
      </c>
      <c r="Q12" s="556" t="s">
        <v>596</v>
      </c>
      <c r="R12" s="945" t="s">
        <v>608</v>
      </c>
      <c r="S12" s="945" t="s">
        <v>608</v>
      </c>
      <c r="T12" s="801" t="str">
        <f t="shared" si="0"/>
        <v>H16</v>
      </c>
      <c r="U12" s="801" t="s">
        <v>1247</v>
      </c>
      <c r="V12" s="945" t="s">
        <v>606</v>
      </c>
      <c r="W12" s="945" t="s">
        <v>874</v>
      </c>
      <c r="X12" s="945"/>
      <c r="Y12" s="801" t="s">
        <v>1247</v>
      </c>
      <c r="Z12" s="947">
        <v>46119</v>
      </c>
      <c r="AA12" s="947"/>
      <c r="AB12" s="947"/>
      <c r="AC12" s="945" t="s">
        <v>608</v>
      </c>
      <c r="AD12" s="945" t="s">
        <v>608</v>
      </c>
      <c r="AE12" s="801" t="str">
        <f t="shared" si="1"/>
        <v>H16</v>
      </c>
      <c r="AF12" s="555" t="s">
        <v>1251</v>
      </c>
      <c r="AG12" s="583"/>
      <c r="AH12" s="583"/>
      <c r="AI12" s="583"/>
      <c r="AJ12" s="583"/>
    </row>
    <row r="13" spans="2:36" s="584" customFormat="1" ht="129" customHeight="1">
      <c r="B13" s="943" t="s">
        <v>1252</v>
      </c>
      <c r="C13" s="943" t="s">
        <v>872</v>
      </c>
      <c r="D13" s="943" t="s">
        <v>872</v>
      </c>
      <c r="E13" s="801" t="s">
        <v>1244</v>
      </c>
      <c r="F13" s="805" t="s">
        <v>1036</v>
      </c>
      <c r="G13" s="555" t="s">
        <v>1251</v>
      </c>
      <c r="H13" s="556" t="s">
        <v>592</v>
      </c>
      <c r="I13" s="944" t="s">
        <v>593</v>
      </c>
      <c r="J13" s="944" t="s">
        <v>1253</v>
      </c>
      <c r="K13" s="945" t="s">
        <v>1254</v>
      </c>
      <c r="L13" s="945" t="s">
        <v>1254</v>
      </c>
      <c r="M13" s="945" t="s">
        <v>1246</v>
      </c>
      <c r="N13" s="946">
        <v>46126</v>
      </c>
      <c r="O13" s="947" t="s">
        <v>105</v>
      </c>
      <c r="P13" s="556" t="s">
        <v>595</v>
      </c>
      <c r="Q13" s="556" t="s">
        <v>596</v>
      </c>
      <c r="R13" s="945" t="s">
        <v>608</v>
      </c>
      <c r="S13" s="945" t="s">
        <v>608</v>
      </c>
      <c r="T13" s="801" t="str">
        <f t="shared" si="0"/>
        <v>H16</v>
      </c>
      <c r="U13" s="801" t="s">
        <v>48</v>
      </c>
      <c r="V13" s="945" t="s">
        <v>606</v>
      </c>
      <c r="W13" s="945" t="s">
        <v>599</v>
      </c>
      <c r="X13" s="945"/>
      <c r="Y13" s="801" t="s">
        <v>48</v>
      </c>
      <c r="Z13" s="947">
        <v>46126</v>
      </c>
      <c r="AA13" s="947"/>
      <c r="AB13" s="947">
        <v>46131</v>
      </c>
      <c r="AC13" s="945" t="s">
        <v>608</v>
      </c>
      <c r="AD13" s="945" t="s">
        <v>608</v>
      </c>
      <c r="AE13" s="801" t="str">
        <f t="shared" si="1"/>
        <v>H16</v>
      </c>
      <c r="AF13" s="555" t="s">
        <v>1251</v>
      </c>
      <c r="AG13" s="583"/>
      <c r="AH13" s="583"/>
      <c r="AI13" s="583"/>
      <c r="AJ13" s="583"/>
    </row>
    <row r="14" spans="2:36" s="584" customFormat="1" ht="129" customHeight="1">
      <c r="B14" s="943" t="s">
        <v>1255</v>
      </c>
      <c r="C14" s="943" t="s">
        <v>872</v>
      </c>
      <c r="D14" s="943" t="s">
        <v>872</v>
      </c>
      <c r="E14" s="801" t="s">
        <v>1244</v>
      </c>
      <c r="F14" s="805" t="s">
        <v>1036</v>
      </c>
      <c r="G14" s="555" t="s">
        <v>1251</v>
      </c>
      <c r="H14" s="556" t="s">
        <v>592</v>
      </c>
      <c r="I14" s="944" t="s">
        <v>601</v>
      </c>
      <c r="J14" s="944" t="s">
        <v>1253</v>
      </c>
      <c r="K14" s="945" t="s">
        <v>1256</v>
      </c>
      <c r="L14" s="945" t="s">
        <v>1256</v>
      </c>
      <c r="M14" s="945" t="s">
        <v>1246</v>
      </c>
      <c r="N14" s="946">
        <v>46126</v>
      </c>
      <c r="O14" s="946"/>
      <c r="P14" s="556" t="s">
        <v>603</v>
      </c>
      <c r="Q14" s="556" t="s">
        <v>596</v>
      </c>
      <c r="R14" s="945" t="s">
        <v>600</v>
      </c>
      <c r="S14" s="945" t="s">
        <v>600</v>
      </c>
      <c r="T14" s="801" t="str">
        <f>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M9</v>
      </c>
      <c r="U14" s="801" t="s">
        <v>48</v>
      </c>
      <c r="V14" s="945" t="s">
        <v>606</v>
      </c>
      <c r="W14" s="945" t="s">
        <v>599</v>
      </c>
      <c r="X14" s="945"/>
      <c r="Y14" s="801" t="s">
        <v>48</v>
      </c>
      <c r="Z14" s="947">
        <v>46126</v>
      </c>
      <c r="AA14" s="946"/>
      <c r="AB14" s="946"/>
      <c r="AC14" s="945" t="s">
        <v>600</v>
      </c>
      <c r="AD14" s="945" t="s">
        <v>600</v>
      </c>
      <c r="AE14" s="801" t="str">
        <f>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M9</v>
      </c>
      <c r="AF14" s="555" t="s">
        <v>1251</v>
      </c>
      <c r="AG14" s="583"/>
      <c r="AH14" s="583"/>
      <c r="AI14" s="583"/>
      <c r="AJ14" s="583"/>
    </row>
    <row r="15" spans="2:36" s="584" customFormat="1" ht="129" customHeight="1">
      <c r="B15" s="943" t="s">
        <v>1281</v>
      </c>
      <c r="C15" s="943" t="s">
        <v>872</v>
      </c>
      <c r="D15" s="943" t="s">
        <v>872</v>
      </c>
      <c r="E15" s="801" t="s">
        <v>1244</v>
      </c>
      <c r="F15" s="805" t="s">
        <v>1036</v>
      </c>
      <c r="G15" s="555" t="s">
        <v>591</v>
      </c>
      <c r="H15" s="556" t="s">
        <v>592</v>
      </c>
      <c r="I15" s="944" t="s">
        <v>601</v>
      </c>
      <c r="J15" s="944" t="s">
        <v>594</v>
      </c>
      <c r="K15" s="945" t="s">
        <v>1282</v>
      </c>
      <c r="L15" s="945" t="s">
        <v>1283</v>
      </c>
      <c r="M15" s="945" t="s">
        <v>1246</v>
      </c>
      <c r="N15" s="946">
        <v>46193</v>
      </c>
      <c r="O15" s="947"/>
      <c r="P15" s="556" t="s">
        <v>603</v>
      </c>
      <c r="Q15" s="556" t="s">
        <v>596</v>
      </c>
      <c r="R15" s="945" t="s">
        <v>597</v>
      </c>
      <c r="S15" s="945" t="s">
        <v>597</v>
      </c>
      <c r="T15" s="801" t="str">
        <f>IF(AND(R15="Very Low",S15="Low"),"L1",IF(AND(R15="Low",S15="Low"),"L4",IF(OR(AND(R15="Very Low",S15="Low"),AND(R15="Low",S15="Very Low")),"L2",IF(OR(AND(R15="Medium",S15="Very Low"),AND(R15="Very Low",S15="Medium")),"L3",IF(OR(AND(R15="High",S15="Very Low"),AND(R15="Very Low",S15="High")),"L4",IF(OR(AND(R15="Very High",S15="Very Low"),AND(R15="Very Low",S15="Very High")),"M5",IF(OR(AND(R15="Low",S15="Medium"),AND(R15="Medium",S15="Low")),"M6",IF(OR(AND(R15="High",S15="Low"),AND(R15="Low",S15="High")),"M8",IF(AND(R15="Medium",S15="Medium"),"M9",IF(OR(AND(R15="Very High",S15="Low"),AND(R15="Low",S15="Very High")),"M10",IF(OR(AND(R15="High",S15="Medium"),AND(R15="Medium",S15="High")),"M12",IF(OR(AND(R15="Very High",S15="Medium"),AND(R15="Medium",S15="Very High")),"H15",IF(AND(R15="High",S15="High"),"H16",IF(OR(AND(R15="Very High",S15="High"),AND(R15="High",S15="Very High")),"H20",IF(AND(R15="Very High",S15="Very High"),"H25","")))))))))))))))</f>
        <v>H25</v>
      </c>
      <c r="U15" s="801" t="s">
        <v>1247</v>
      </c>
      <c r="V15" s="945" t="s">
        <v>606</v>
      </c>
      <c r="W15" s="945" t="s">
        <v>599</v>
      </c>
      <c r="X15" s="945"/>
      <c r="Y15" s="801" t="s">
        <v>1247</v>
      </c>
      <c r="Z15" s="947"/>
      <c r="AA15" s="947"/>
      <c r="AB15" s="947"/>
      <c r="AC15" s="945" t="s">
        <v>597</v>
      </c>
      <c r="AD15" s="945" t="s">
        <v>597</v>
      </c>
      <c r="AE15" s="801" t="str">
        <f>IF(AND(AC15="Very Low",AD15="Low"),"L1",IF(AND(AC15="Low",AD15="Low"),"L4",IF(OR(AND(AC15="Very Low",AD15="Low"),AND(AC15="Low",AD15="Very Low")),"L2",IF(OR(AND(AC15="Medium",AD15="Very Low"),AND(AC15="Very Low",AD15="Medium")),"L3",IF(OR(AND(AC15="High",AD15="Very Low"),AND(AC15="Very Low",AD15="High")),"L4",IF(OR(AND(AC15="Very High",AD15="Very Low"),AND(AC15="Very Low",AD15="Very High")),"M5",IF(OR(AND(AC15="Low",AD15="Medium"),AND(AC15="Medium",AD15="Low")),"M6",IF(OR(AND(AC15="High",AD15="Low"),AND(AC15="Low",AD15="High")),"M8",IF(AND(AC15="Medium",AD15="Medium"),"M9",IF(OR(AND(AC15="Very High",AD15="Low"),AND(AC15="Low",AD15="Very High")),"M10",IF(OR(AND(AC15="High",AD15="Medium"),AND(AC15="Medium",AD15="High")),"M12",IF(OR(AND(AC15="Very High",AD15="Medium"),AND(AC15="Medium",AD15="Very High")),"H15",IF(AND(AC15="High",AD15="High"),"H16",IF(OR(AND(AC15="Very High",AD15="High"),AND(AC15="High",AD15="Very High")),"H20",IF(AND(AC15="Very High",AD15="Very High"),"H25","")))))))))))))))</f>
        <v>H25</v>
      </c>
      <c r="AF15" s="555" t="s">
        <v>1251</v>
      </c>
      <c r="AG15" s="583"/>
      <c r="AH15" s="583"/>
      <c r="AI15" s="583"/>
      <c r="AJ15" s="583"/>
    </row>
    <row r="16" spans="2:36" s="584" customFormat="1" ht="129" customHeight="1">
      <c r="B16" s="943" t="s">
        <v>1284</v>
      </c>
      <c r="C16" s="943" t="s">
        <v>1285</v>
      </c>
      <c r="D16" s="943" t="s">
        <v>872</v>
      </c>
      <c r="E16" s="801" t="s">
        <v>1244</v>
      </c>
      <c r="F16" s="805" t="s">
        <v>1036</v>
      </c>
      <c r="G16" s="555" t="s">
        <v>591</v>
      </c>
      <c r="H16" s="556" t="s">
        <v>592</v>
      </c>
      <c r="I16" s="944" t="s">
        <v>601</v>
      </c>
      <c r="J16" s="944" t="s">
        <v>1290</v>
      </c>
      <c r="K16" s="945" t="s">
        <v>1286</v>
      </c>
      <c r="L16" s="945" t="s">
        <v>1287</v>
      </c>
      <c r="M16" s="945" t="s">
        <v>1246</v>
      </c>
      <c r="N16" s="946">
        <v>46196</v>
      </c>
      <c r="O16" s="946"/>
      <c r="P16" s="556" t="s">
        <v>603</v>
      </c>
      <c r="Q16" s="556" t="s">
        <v>596</v>
      </c>
      <c r="R16" s="945" t="s">
        <v>608</v>
      </c>
      <c r="S16" s="945" t="s">
        <v>605</v>
      </c>
      <c r="T16" s="801" t="str">
        <f t="shared" si="0"/>
        <v>M8</v>
      </c>
      <c r="U16" s="801" t="s">
        <v>48</v>
      </c>
      <c r="V16" s="945" t="s">
        <v>606</v>
      </c>
      <c r="W16" s="945" t="s">
        <v>599</v>
      </c>
      <c r="X16" s="945"/>
      <c r="Y16" s="801" t="s">
        <v>1247</v>
      </c>
      <c r="Z16" s="946"/>
      <c r="AA16" s="946"/>
      <c r="AB16" s="946"/>
      <c r="AC16" s="945" t="s">
        <v>600</v>
      </c>
      <c r="AD16" s="945" t="s">
        <v>600</v>
      </c>
      <c r="AE16" s="801" t="str">
        <f t="shared" si="1"/>
        <v>M9</v>
      </c>
      <c r="AF16" s="555" t="s">
        <v>591</v>
      </c>
      <c r="AG16" s="583"/>
      <c r="AH16" s="583"/>
      <c r="AI16" s="583"/>
      <c r="AJ16" s="583"/>
    </row>
    <row r="17" spans="2:36" s="584" customFormat="1" ht="129" customHeight="1">
      <c r="B17" s="943" t="s">
        <v>1288</v>
      </c>
      <c r="C17" s="943" t="s">
        <v>872</v>
      </c>
      <c r="D17" s="943" t="s">
        <v>872</v>
      </c>
      <c r="E17" s="801" t="s">
        <v>1244</v>
      </c>
      <c r="F17" s="805" t="s">
        <v>1036</v>
      </c>
      <c r="G17" s="555" t="s">
        <v>591</v>
      </c>
      <c r="H17" s="556" t="s">
        <v>592</v>
      </c>
      <c r="I17" s="944" t="s">
        <v>601</v>
      </c>
      <c r="J17" s="944" t="s">
        <v>1290</v>
      </c>
      <c r="K17" s="945" t="s">
        <v>1286</v>
      </c>
      <c r="L17" s="945" t="s">
        <v>1291</v>
      </c>
      <c r="M17" s="945" t="s">
        <v>1246</v>
      </c>
      <c r="N17" s="946">
        <v>46196</v>
      </c>
      <c r="O17" s="946"/>
      <c r="P17" s="556" t="s">
        <v>603</v>
      </c>
      <c r="Q17" s="556" t="s">
        <v>596</v>
      </c>
      <c r="R17" s="945" t="s">
        <v>608</v>
      </c>
      <c r="S17" s="945" t="s">
        <v>597</v>
      </c>
      <c r="T17" s="801" t="str">
        <f t="shared" si="0"/>
        <v>H20</v>
      </c>
      <c r="U17" s="801" t="s">
        <v>1247</v>
      </c>
      <c r="V17" s="945" t="s">
        <v>873</v>
      </c>
      <c r="W17" s="945" t="s">
        <v>599</v>
      </c>
      <c r="X17" s="945"/>
      <c r="Y17" s="801" t="s">
        <v>1247</v>
      </c>
      <c r="Z17" s="947"/>
      <c r="AA17" s="947"/>
      <c r="AB17" s="947"/>
      <c r="AC17" s="945" t="s">
        <v>597</v>
      </c>
      <c r="AD17" s="945" t="s">
        <v>597</v>
      </c>
      <c r="AE17" s="801" t="str">
        <f t="shared" si="1"/>
        <v>H25</v>
      </c>
      <c r="AF17" s="555" t="s">
        <v>591</v>
      </c>
      <c r="AG17" s="583"/>
      <c r="AH17" s="583"/>
      <c r="AI17" s="583"/>
      <c r="AJ17" s="583"/>
    </row>
    <row r="18" spans="2:36" s="584" customFormat="1" ht="129" customHeight="1">
      <c r="B18" s="943" t="s">
        <v>1289</v>
      </c>
      <c r="C18" s="943" t="s">
        <v>872</v>
      </c>
      <c r="D18" s="943" t="s">
        <v>872</v>
      </c>
      <c r="E18" s="801" t="s">
        <v>1244</v>
      </c>
      <c r="F18" s="805" t="s">
        <v>1036</v>
      </c>
      <c r="G18" s="555" t="s">
        <v>591</v>
      </c>
      <c r="H18" s="556" t="s">
        <v>592</v>
      </c>
      <c r="I18" s="944" t="s">
        <v>601</v>
      </c>
      <c r="J18" s="944" t="s">
        <v>1290</v>
      </c>
      <c r="K18" s="945" t="s">
        <v>1286</v>
      </c>
      <c r="L18" s="945" t="s">
        <v>1318</v>
      </c>
      <c r="M18" s="945" t="s">
        <v>1246</v>
      </c>
      <c r="N18" s="946">
        <v>46196</v>
      </c>
      <c r="O18" s="946"/>
      <c r="P18" s="556" t="s">
        <v>603</v>
      </c>
      <c r="Q18" s="556" t="s">
        <v>596</v>
      </c>
      <c r="R18" s="945" t="s">
        <v>608</v>
      </c>
      <c r="S18" s="945" t="s">
        <v>608</v>
      </c>
      <c r="T18" s="801" t="str">
        <f t="shared" si="0"/>
        <v>H16</v>
      </c>
      <c r="U18" s="801" t="s">
        <v>1247</v>
      </c>
      <c r="V18" s="945" t="s">
        <v>606</v>
      </c>
      <c r="W18" s="945" t="s">
        <v>599</v>
      </c>
      <c r="X18" s="945"/>
      <c r="Y18" s="801" t="s">
        <v>1247</v>
      </c>
      <c r="Z18" s="947"/>
      <c r="AA18" s="947"/>
      <c r="AB18" s="947"/>
      <c r="AC18" s="945" t="s">
        <v>600</v>
      </c>
      <c r="AD18" s="945" t="s">
        <v>600</v>
      </c>
      <c r="AE18" s="801" t="str">
        <f t="shared" si="1"/>
        <v>M9</v>
      </c>
      <c r="AF18" s="555" t="s">
        <v>1251</v>
      </c>
      <c r="AG18" s="583"/>
      <c r="AH18" s="583"/>
      <c r="AI18" s="583"/>
      <c r="AJ18" s="583"/>
    </row>
    <row r="19" spans="2:36" s="584" customFormat="1" ht="129" customHeight="1">
      <c r="B19" s="943"/>
      <c r="C19" s="943"/>
      <c r="D19" s="943"/>
      <c r="E19" s="801"/>
      <c r="F19" s="801"/>
      <c r="G19" s="555"/>
      <c r="H19" s="556" t="s">
        <v>592</v>
      </c>
      <c r="I19" s="944" t="s">
        <v>601</v>
      </c>
      <c r="J19" s="944" t="s">
        <v>602</v>
      </c>
      <c r="K19" s="945"/>
      <c r="L19" s="945"/>
      <c r="M19" s="945"/>
      <c r="N19" s="946">
        <v>45986</v>
      </c>
      <c r="O19" s="946"/>
      <c r="P19" s="556" t="s">
        <v>607</v>
      </c>
      <c r="Q19" s="556" t="s">
        <v>604</v>
      </c>
      <c r="R19" s="945" t="s">
        <v>608</v>
      </c>
      <c r="S19" s="945" t="s">
        <v>608</v>
      </c>
      <c r="T19" s="801" t="str">
        <f t="shared" si="0"/>
        <v>H16</v>
      </c>
      <c r="U19" s="801" t="s">
        <v>48</v>
      </c>
      <c r="V19" s="945" t="s">
        <v>606</v>
      </c>
      <c r="W19" s="945" t="s">
        <v>599</v>
      </c>
      <c r="X19" s="945"/>
      <c r="Y19" s="945"/>
      <c r="Z19" s="947"/>
      <c r="AA19" s="947"/>
      <c r="AB19" s="947"/>
      <c r="AC19" s="945" t="s">
        <v>600</v>
      </c>
      <c r="AD19" s="945" t="s">
        <v>600</v>
      </c>
      <c r="AE19" s="801" t="str">
        <f t="shared" si="1"/>
        <v>M9</v>
      </c>
      <c r="AF19" s="555" t="s">
        <v>591</v>
      </c>
      <c r="AG19" s="583"/>
      <c r="AH19" s="583"/>
      <c r="AI19" s="583"/>
      <c r="AJ19" s="583"/>
    </row>
    <row r="20" spans="2:36" s="584" customFormat="1" ht="129" customHeight="1">
      <c r="B20" s="943"/>
      <c r="C20" s="943"/>
      <c r="D20" s="943"/>
      <c r="E20" s="801"/>
      <c r="F20" s="801"/>
      <c r="G20" s="555"/>
      <c r="H20" s="556" t="s">
        <v>592</v>
      </c>
      <c r="I20" s="944" t="s">
        <v>601</v>
      </c>
      <c r="J20" s="944" t="s">
        <v>602</v>
      </c>
      <c r="K20" s="945"/>
      <c r="L20" s="945"/>
      <c r="M20" s="945"/>
      <c r="N20" s="946">
        <v>45986</v>
      </c>
      <c r="O20" s="946"/>
      <c r="P20" s="556" t="s">
        <v>607</v>
      </c>
      <c r="Q20" s="556" t="s">
        <v>604</v>
      </c>
      <c r="R20" s="945" t="s">
        <v>600</v>
      </c>
      <c r="S20" s="945" t="s">
        <v>608</v>
      </c>
      <c r="T20" s="801" t="str">
        <f t="shared" si="0"/>
        <v>M12</v>
      </c>
      <c r="U20" s="801" t="s">
        <v>48</v>
      </c>
      <c r="V20" s="945" t="s">
        <v>606</v>
      </c>
      <c r="W20" s="945" t="s">
        <v>599</v>
      </c>
      <c r="X20" s="945"/>
      <c r="Y20" s="945"/>
      <c r="Z20" s="947"/>
      <c r="AA20" s="947"/>
      <c r="AB20" s="947"/>
      <c r="AC20" s="945" t="s">
        <v>600</v>
      </c>
      <c r="AD20" s="945" t="s">
        <v>600</v>
      </c>
      <c r="AE20" s="801" t="str">
        <f t="shared" si="1"/>
        <v>M9</v>
      </c>
      <c r="AF20" s="555" t="s">
        <v>591</v>
      </c>
      <c r="AG20" s="583"/>
      <c r="AH20" s="583"/>
      <c r="AI20" s="583"/>
      <c r="AJ20" s="583"/>
    </row>
    <row r="21" spans="2:36" s="584" customFormat="1" ht="129" customHeight="1">
      <c r="B21" s="943"/>
      <c r="C21" s="943"/>
      <c r="D21" s="943"/>
      <c r="E21" s="801"/>
      <c r="F21" s="801"/>
      <c r="G21" s="555"/>
      <c r="H21" s="556" t="s">
        <v>592</v>
      </c>
      <c r="I21" s="944" t="s">
        <v>593</v>
      </c>
      <c r="J21" s="944" t="s">
        <v>594</v>
      </c>
      <c r="K21" s="945"/>
      <c r="L21" s="945"/>
      <c r="M21" s="945"/>
      <c r="N21" s="946">
        <v>45986</v>
      </c>
      <c r="O21" s="946"/>
      <c r="P21" s="556" t="s">
        <v>607</v>
      </c>
      <c r="Q21" s="556" t="s">
        <v>604</v>
      </c>
      <c r="R21" s="945" t="s">
        <v>608</v>
      </c>
      <c r="S21" s="945" t="s">
        <v>608</v>
      </c>
      <c r="T21" s="801" t="str">
        <f t="shared" si="0"/>
        <v>H16</v>
      </c>
      <c r="U21" s="801" t="s">
        <v>875</v>
      </c>
      <c r="V21" s="945" t="s">
        <v>598</v>
      </c>
      <c r="W21" s="945" t="s">
        <v>599</v>
      </c>
      <c r="X21" s="945"/>
      <c r="Y21" s="945"/>
      <c r="Z21" s="947"/>
      <c r="AA21" s="947"/>
      <c r="AB21" s="947"/>
      <c r="AC21" s="945" t="s">
        <v>597</v>
      </c>
      <c r="AD21" s="945" t="s">
        <v>597</v>
      </c>
      <c r="AE21" s="801" t="str">
        <f t="shared" si="1"/>
        <v>H25</v>
      </c>
      <c r="AF21" s="555" t="s">
        <v>591</v>
      </c>
      <c r="AG21" s="583"/>
      <c r="AH21" s="583"/>
      <c r="AI21" s="583"/>
      <c r="AJ21" s="583"/>
    </row>
    <row r="22" spans="2:36" s="584" customFormat="1" ht="129" customHeight="1">
      <c r="B22" s="943"/>
      <c r="C22" s="943"/>
      <c r="D22" s="943"/>
      <c r="E22" s="801"/>
      <c r="F22" s="801"/>
      <c r="G22" s="555"/>
      <c r="H22" s="556" t="s">
        <v>592</v>
      </c>
      <c r="I22" s="944" t="s">
        <v>601</v>
      </c>
      <c r="J22" s="944" t="s">
        <v>594</v>
      </c>
      <c r="K22" s="945"/>
      <c r="L22" s="945"/>
      <c r="M22" s="945"/>
      <c r="N22" s="946">
        <v>45986</v>
      </c>
      <c r="O22" s="946"/>
      <c r="P22" s="556" t="s">
        <v>603</v>
      </c>
      <c r="Q22" s="556" t="s">
        <v>604</v>
      </c>
      <c r="R22" s="945" t="s">
        <v>597</v>
      </c>
      <c r="S22" s="945" t="s">
        <v>597</v>
      </c>
      <c r="T22" s="801" t="str">
        <f t="shared" si="0"/>
        <v>H25</v>
      </c>
      <c r="U22" s="801" t="s">
        <v>876</v>
      </c>
      <c r="V22" s="945" t="s">
        <v>873</v>
      </c>
      <c r="W22" s="945" t="s">
        <v>599</v>
      </c>
      <c r="X22" s="945"/>
      <c r="Y22" s="945"/>
      <c r="Z22" s="947"/>
      <c r="AA22" s="947"/>
      <c r="AB22" s="947"/>
      <c r="AC22" s="945" t="s">
        <v>597</v>
      </c>
      <c r="AD22" s="945" t="s">
        <v>597</v>
      </c>
      <c r="AE22" s="801" t="str">
        <f t="shared" si="1"/>
        <v>H25</v>
      </c>
      <c r="AF22" s="555" t="s">
        <v>591</v>
      </c>
      <c r="AG22" s="583"/>
      <c r="AH22" s="583"/>
      <c r="AI22" s="583"/>
      <c r="AJ22" s="583"/>
    </row>
    <row r="23" spans="2:36" s="584" customFormat="1" ht="129" customHeight="1">
      <c r="B23" s="943"/>
      <c r="C23" s="943"/>
      <c r="D23" s="943"/>
      <c r="E23" s="801"/>
      <c r="F23" s="801"/>
      <c r="G23" s="555"/>
      <c r="H23" s="556"/>
      <c r="I23" s="944"/>
      <c r="J23" s="944"/>
      <c r="K23" s="945"/>
      <c r="L23" s="945"/>
      <c r="M23" s="945"/>
      <c r="N23" s="946"/>
      <c r="O23" s="946"/>
      <c r="P23" s="556"/>
      <c r="Q23" s="556"/>
      <c r="R23" s="945"/>
      <c r="S23" s="945"/>
      <c r="T23" s="801" t="str">
        <f t="shared" si="0"/>
        <v/>
      </c>
      <c r="U23" s="801"/>
      <c r="V23" s="945"/>
      <c r="W23" s="945"/>
      <c r="X23" s="945"/>
      <c r="Y23" s="945"/>
      <c r="Z23" s="947"/>
      <c r="AA23" s="947"/>
      <c r="AB23" s="947"/>
      <c r="AC23" s="945"/>
      <c r="AD23" s="945"/>
      <c r="AE23" s="801" t="str">
        <f t="shared" si="1"/>
        <v/>
      </c>
      <c r="AF23" s="555"/>
      <c r="AG23" s="583"/>
      <c r="AH23" s="583"/>
      <c r="AI23" s="583"/>
      <c r="AJ23" s="583"/>
    </row>
    <row r="24" spans="2:36" s="584" customFormat="1" ht="129" customHeight="1">
      <c r="B24" s="943"/>
      <c r="C24" s="943"/>
      <c r="D24" s="943"/>
      <c r="E24" s="801"/>
      <c r="F24" s="801"/>
      <c r="G24" s="555"/>
      <c r="H24" s="556"/>
      <c r="I24" s="944"/>
      <c r="J24" s="944"/>
      <c r="K24" s="945"/>
      <c r="L24" s="945"/>
      <c r="M24" s="945"/>
      <c r="N24" s="946"/>
      <c r="O24" s="946"/>
      <c r="P24" s="556"/>
      <c r="Q24" s="556"/>
      <c r="R24" s="945"/>
      <c r="S24" s="945"/>
      <c r="T24" s="801" t="str">
        <f t="shared" si="0"/>
        <v/>
      </c>
      <c r="U24" s="801"/>
      <c r="V24" s="945"/>
      <c r="W24" s="945"/>
      <c r="X24" s="945"/>
      <c r="Y24" s="945"/>
      <c r="Z24" s="947"/>
      <c r="AA24" s="947"/>
      <c r="AB24" s="947"/>
      <c r="AC24" s="945"/>
      <c r="AD24" s="945"/>
      <c r="AE24" s="801" t="str">
        <f t="shared" si="1"/>
        <v/>
      </c>
      <c r="AF24" s="555"/>
      <c r="AG24" s="583"/>
      <c r="AH24" s="583"/>
      <c r="AI24" s="583"/>
      <c r="AJ24" s="583"/>
    </row>
    <row r="25" spans="2:36" s="584" customFormat="1" ht="129" customHeight="1">
      <c r="B25" s="943"/>
      <c r="C25" s="943"/>
      <c r="D25" s="943"/>
      <c r="E25" s="801"/>
      <c r="F25" s="801"/>
      <c r="G25" s="555"/>
      <c r="H25" s="556"/>
      <c r="I25" s="944"/>
      <c r="J25" s="944"/>
      <c r="K25" s="945"/>
      <c r="L25" s="945"/>
      <c r="M25" s="945"/>
      <c r="N25" s="946"/>
      <c r="O25" s="946"/>
      <c r="P25" s="556"/>
      <c r="Q25" s="556"/>
      <c r="R25" s="945"/>
      <c r="S25" s="945"/>
      <c r="T25" s="801" t="str">
        <f t="shared" si="0"/>
        <v/>
      </c>
      <c r="U25" s="801"/>
      <c r="V25" s="945"/>
      <c r="W25" s="945"/>
      <c r="X25" s="945"/>
      <c r="Y25" s="945"/>
      <c r="Z25" s="947"/>
      <c r="AA25" s="947"/>
      <c r="AB25" s="947"/>
      <c r="AC25" s="945"/>
      <c r="AD25" s="945"/>
      <c r="AE25" s="801" t="str">
        <f t="shared" si="1"/>
        <v/>
      </c>
      <c r="AF25" s="555"/>
      <c r="AG25" s="583"/>
      <c r="AH25" s="583"/>
      <c r="AI25" s="583"/>
      <c r="AJ25" s="583"/>
    </row>
    <row r="26" spans="2:36" s="584" customFormat="1" ht="129" customHeight="1">
      <c r="B26" s="943"/>
      <c r="C26" s="943"/>
      <c r="D26" s="943"/>
      <c r="E26" s="801"/>
      <c r="F26" s="801"/>
      <c r="G26" s="555"/>
      <c r="H26" s="556"/>
      <c r="I26" s="944"/>
      <c r="J26" s="944"/>
      <c r="K26" s="945"/>
      <c r="L26" s="945"/>
      <c r="M26" s="945"/>
      <c r="N26" s="946"/>
      <c r="O26" s="946"/>
      <c r="P26" s="556"/>
      <c r="Q26" s="556"/>
      <c r="R26" s="945"/>
      <c r="S26" s="945"/>
      <c r="T26" s="801" t="str">
        <f t="shared" si="0"/>
        <v/>
      </c>
      <c r="U26" s="801"/>
      <c r="V26" s="945"/>
      <c r="W26" s="945"/>
      <c r="X26" s="945"/>
      <c r="Y26" s="945"/>
      <c r="Z26" s="947"/>
      <c r="AA26" s="947"/>
      <c r="AB26" s="947"/>
      <c r="AC26" s="945"/>
      <c r="AD26" s="945"/>
      <c r="AE26" s="801" t="str">
        <f t="shared" si="1"/>
        <v/>
      </c>
      <c r="AF26" s="555"/>
      <c r="AG26" s="583"/>
      <c r="AH26" s="583"/>
      <c r="AI26" s="583"/>
      <c r="AJ26" s="583"/>
    </row>
    <row r="27" spans="2:36" s="584" customFormat="1" ht="129" customHeight="1">
      <c r="B27" s="943"/>
      <c r="C27" s="943"/>
      <c r="D27" s="943"/>
      <c r="E27" s="801"/>
      <c r="F27" s="801"/>
      <c r="G27" s="555"/>
      <c r="H27" s="556"/>
      <c r="I27" s="944"/>
      <c r="J27" s="944"/>
      <c r="K27" s="945"/>
      <c r="L27" s="945"/>
      <c r="M27" s="945"/>
      <c r="N27" s="946"/>
      <c r="O27" s="946"/>
      <c r="P27" s="556"/>
      <c r="Q27" s="556"/>
      <c r="R27" s="945"/>
      <c r="S27" s="945"/>
      <c r="T27" s="801" t="str">
        <f t="shared" si="0"/>
        <v/>
      </c>
      <c r="U27" s="801"/>
      <c r="V27" s="945"/>
      <c r="W27" s="945"/>
      <c r="X27" s="945"/>
      <c r="Y27" s="945"/>
      <c r="Z27" s="947"/>
      <c r="AA27" s="947"/>
      <c r="AB27" s="947"/>
      <c r="AC27" s="945"/>
      <c r="AD27" s="945"/>
      <c r="AE27" s="801" t="str">
        <f t="shared" si="1"/>
        <v/>
      </c>
      <c r="AF27" s="555"/>
      <c r="AG27" s="583"/>
      <c r="AH27" s="583"/>
      <c r="AI27" s="583"/>
      <c r="AJ27" s="583"/>
    </row>
    <row r="28" spans="2:36" s="584" customFormat="1" ht="129" customHeight="1">
      <c r="B28" s="943"/>
      <c r="C28" s="943"/>
      <c r="D28" s="943"/>
      <c r="E28" s="801"/>
      <c r="F28" s="801"/>
      <c r="G28" s="555"/>
      <c r="H28" s="556"/>
      <c r="I28" s="944"/>
      <c r="J28" s="944"/>
      <c r="K28" s="945"/>
      <c r="L28" s="945"/>
      <c r="M28" s="945"/>
      <c r="N28" s="946"/>
      <c r="O28" s="946"/>
      <c r="P28" s="556"/>
      <c r="Q28" s="556"/>
      <c r="R28" s="945"/>
      <c r="S28" s="945"/>
      <c r="T28" s="801" t="str">
        <f t="shared" si="0"/>
        <v/>
      </c>
      <c r="U28" s="801"/>
      <c r="V28" s="945"/>
      <c r="W28" s="945"/>
      <c r="X28" s="945"/>
      <c r="Y28" s="945"/>
      <c r="Z28" s="947"/>
      <c r="AA28" s="947"/>
      <c r="AB28" s="947"/>
      <c r="AC28" s="945"/>
      <c r="AD28" s="945"/>
      <c r="AE28" s="801" t="str">
        <f t="shared" si="1"/>
        <v/>
      </c>
      <c r="AF28" s="555"/>
      <c r="AG28" s="583"/>
      <c r="AH28" s="583"/>
      <c r="AI28" s="583"/>
      <c r="AJ28" s="583"/>
    </row>
    <row r="29" spans="2:36" s="584" customFormat="1" ht="129" customHeight="1">
      <c r="B29" s="943"/>
      <c r="C29" s="943"/>
      <c r="D29" s="943"/>
      <c r="E29" s="801"/>
      <c r="F29" s="801"/>
      <c r="G29" s="555"/>
      <c r="H29" s="556"/>
      <c r="I29" s="944"/>
      <c r="J29" s="944"/>
      <c r="K29" s="945"/>
      <c r="L29" s="945"/>
      <c r="M29" s="945"/>
      <c r="N29" s="946"/>
      <c r="O29" s="946"/>
      <c r="P29" s="556"/>
      <c r="Q29" s="556"/>
      <c r="R29" s="945"/>
      <c r="S29" s="945"/>
      <c r="T29" s="801" t="str">
        <f t="shared" si="0"/>
        <v/>
      </c>
      <c r="U29" s="801"/>
      <c r="V29" s="945"/>
      <c r="W29" s="945"/>
      <c r="X29" s="945"/>
      <c r="Y29" s="945"/>
      <c r="Z29" s="947"/>
      <c r="AA29" s="947"/>
      <c r="AB29" s="947"/>
      <c r="AC29" s="945"/>
      <c r="AD29" s="945"/>
      <c r="AE29" s="801" t="str">
        <f t="shared" si="1"/>
        <v/>
      </c>
      <c r="AF29" s="555"/>
      <c r="AG29" s="583"/>
      <c r="AH29" s="583"/>
      <c r="AI29" s="583"/>
      <c r="AJ29" s="583"/>
    </row>
    <row r="30" spans="2:36" s="584" customFormat="1" ht="129" customHeight="1">
      <c r="B30" s="943"/>
      <c r="C30" s="943"/>
      <c r="D30" s="943"/>
      <c r="E30" s="801"/>
      <c r="F30" s="801"/>
      <c r="G30" s="555"/>
      <c r="H30" s="556"/>
      <c r="I30" s="944"/>
      <c r="J30" s="944"/>
      <c r="K30" s="945"/>
      <c r="L30" s="945"/>
      <c r="M30" s="945"/>
      <c r="N30" s="946"/>
      <c r="O30" s="946"/>
      <c r="P30" s="556"/>
      <c r="Q30" s="556"/>
      <c r="R30" s="945"/>
      <c r="S30" s="945"/>
      <c r="T30" s="801" t="str">
        <f t="shared" si="0"/>
        <v/>
      </c>
      <c r="U30" s="801"/>
      <c r="V30" s="945"/>
      <c r="W30" s="945"/>
      <c r="X30" s="945"/>
      <c r="Y30" s="945"/>
      <c r="Z30" s="947"/>
      <c r="AA30" s="947"/>
      <c r="AB30" s="947"/>
      <c r="AC30" s="945"/>
      <c r="AD30" s="945"/>
      <c r="AE30" s="801" t="str">
        <f t="shared" si="1"/>
        <v/>
      </c>
      <c r="AF30" s="555"/>
      <c r="AG30" s="583"/>
      <c r="AH30" s="583"/>
      <c r="AI30" s="583"/>
      <c r="AJ30" s="583"/>
    </row>
    <row r="31" spans="2:36" s="584" customFormat="1" ht="129" customHeight="1">
      <c r="B31" s="943"/>
      <c r="C31" s="943"/>
      <c r="D31" s="943"/>
      <c r="E31" s="801"/>
      <c r="F31" s="801"/>
      <c r="G31" s="555"/>
      <c r="H31" s="556"/>
      <c r="I31" s="944"/>
      <c r="J31" s="944"/>
      <c r="K31" s="945"/>
      <c r="L31" s="945"/>
      <c r="M31" s="945"/>
      <c r="N31" s="946"/>
      <c r="O31" s="946"/>
      <c r="P31" s="556"/>
      <c r="Q31" s="556"/>
      <c r="R31" s="945"/>
      <c r="S31" s="945"/>
      <c r="T31" s="801" t="str">
        <f t="shared" si="0"/>
        <v/>
      </c>
      <c r="U31" s="801"/>
      <c r="V31" s="945"/>
      <c r="W31" s="945"/>
      <c r="X31" s="945"/>
      <c r="Y31" s="945"/>
      <c r="Z31" s="947"/>
      <c r="AA31" s="947"/>
      <c r="AB31" s="947"/>
      <c r="AC31" s="945"/>
      <c r="AD31" s="945"/>
      <c r="AE31" s="801" t="str">
        <f t="shared" si="1"/>
        <v/>
      </c>
      <c r="AF31" s="555"/>
      <c r="AG31" s="583"/>
      <c r="AH31" s="583"/>
      <c r="AI31" s="583"/>
      <c r="AJ31" s="583"/>
    </row>
    <row r="32" spans="2:36" s="541" customFormat="1">
      <c r="B32" s="554"/>
      <c r="C32" s="554"/>
      <c r="D32" s="554"/>
      <c r="E32" s="554"/>
      <c r="F32" s="554"/>
    </row>
    <row r="33" spans="2:29" s="541" customFormat="1">
      <c r="B33" s="554"/>
      <c r="C33" s="554"/>
      <c r="D33" s="554"/>
      <c r="E33" s="554"/>
      <c r="F33" s="554"/>
    </row>
    <row r="34" spans="2:29">
      <c r="B34" s="541"/>
      <c r="C34" s="541"/>
      <c r="D34" s="541"/>
      <c r="E34" s="541"/>
      <c r="F34" s="541"/>
      <c r="H34" s="541"/>
      <c r="I34" s="541"/>
      <c r="J34" s="541"/>
      <c r="K34" s="541"/>
      <c r="L34" s="541"/>
      <c r="M34" s="541"/>
      <c r="N34" s="541"/>
      <c r="O34" s="541"/>
      <c r="P34" s="541"/>
      <c r="Q34" s="541"/>
      <c r="R34" s="541"/>
      <c r="S34" s="541"/>
      <c r="T34" s="541"/>
      <c r="V34" s="541"/>
      <c r="W34" s="541"/>
      <c r="X34" s="541"/>
      <c r="AA34" s="541"/>
    </row>
    <row r="35" spans="2:29" ht="17.399999999999999">
      <c r="B35" s="553" t="s">
        <v>609</v>
      </c>
      <c r="C35" s="553"/>
      <c r="D35" s="553"/>
      <c r="E35" s="553"/>
      <c r="F35" s="553"/>
      <c r="G35" s="540"/>
      <c r="H35" s="540"/>
      <c r="I35" s="540"/>
      <c r="J35" s="540"/>
      <c r="K35" s="543"/>
      <c r="L35" s="542"/>
      <c r="M35" s="541"/>
      <c r="N35" s="541"/>
      <c r="AA35" s="536"/>
      <c r="AC35" s="537"/>
    </row>
    <row r="36" spans="2:29" ht="17.399999999999999">
      <c r="B36" s="540" t="s">
        <v>610</v>
      </c>
      <c r="C36" s="540"/>
      <c r="D36" s="540"/>
      <c r="E36" s="540"/>
      <c r="F36" s="540"/>
      <c r="G36" s="540"/>
      <c r="H36" s="540"/>
      <c r="I36" s="540"/>
      <c r="J36" s="540"/>
      <c r="K36" s="543"/>
      <c r="L36" s="541"/>
      <c r="M36" s="541"/>
      <c r="N36" s="541"/>
      <c r="O36" s="541"/>
      <c r="P36" s="541"/>
      <c r="Q36" s="541"/>
      <c r="R36" s="541"/>
      <c r="S36" s="541"/>
      <c r="T36" s="541"/>
      <c r="V36" s="541"/>
      <c r="W36" s="541"/>
      <c r="X36" s="541"/>
      <c r="AA36" s="541"/>
    </row>
    <row r="37" spans="2:29" ht="17.399999999999999">
      <c r="B37" s="544" t="s">
        <v>611</v>
      </c>
      <c r="C37" s="544"/>
      <c r="D37" s="544"/>
      <c r="E37" s="544"/>
      <c r="F37" s="544"/>
      <c r="G37" s="540"/>
      <c r="H37" s="540"/>
      <c r="I37" s="540"/>
      <c r="J37" s="540"/>
      <c r="K37" s="543"/>
      <c r="L37" s="542"/>
      <c r="M37" s="541"/>
      <c r="N37" s="541"/>
      <c r="AA37" s="536"/>
      <c r="AC37" s="537"/>
    </row>
    <row r="38" spans="2:29" ht="17.399999999999999">
      <c r="B38" s="544"/>
      <c r="C38" s="544"/>
      <c r="D38" s="544"/>
      <c r="E38" s="544"/>
      <c r="F38" s="544"/>
      <c r="G38" s="540"/>
      <c r="H38" s="540"/>
      <c r="I38" s="540"/>
      <c r="J38" s="540"/>
      <c r="K38" s="543"/>
      <c r="L38" s="541"/>
      <c r="M38" s="541"/>
      <c r="N38" s="541"/>
      <c r="O38" s="541"/>
      <c r="P38" s="541"/>
      <c r="Q38" s="541"/>
      <c r="R38" s="541"/>
      <c r="S38" s="541"/>
      <c r="T38" s="541"/>
      <c r="V38" s="541"/>
      <c r="W38" s="541"/>
      <c r="X38" s="541"/>
      <c r="AA38" s="541"/>
    </row>
    <row r="39" spans="2:29" ht="18" thickBot="1">
      <c r="B39" s="545" t="s">
        <v>612</v>
      </c>
      <c r="C39" s="545"/>
      <c r="D39" s="545"/>
      <c r="E39" s="545"/>
      <c r="F39" s="545"/>
      <c r="G39" s="540"/>
      <c r="H39" s="540"/>
      <c r="I39" s="540"/>
      <c r="J39" s="540"/>
      <c r="K39" s="540"/>
      <c r="L39" s="542"/>
      <c r="M39" s="541"/>
      <c r="N39" s="541"/>
      <c r="AA39" s="536"/>
      <c r="AC39" s="537"/>
    </row>
    <row r="40" spans="2:29" ht="18.600000000000001" thickBot="1">
      <c r="B40" s="552" t="s">
        <v>613</v>
      </c>
      <c r="C40" s="549"/>
      <c r="D40" s="549"/>
      <c r="E40" s="549"/>
      <c r="F40" s="549"/>
      <c r="G40" s="540"/>
      <c r="H40" s="548"/>
      <c r="I40" s="548"/>
      <c r="J40" s="548"/>
      <c r="K40" s="548"/>
      <c r="L40" s="541"/>
      <c r="M40" s="541"/>
      <c r="N40" s="541"/>
      <c r="O40" s="541"/>
      <c r="P40" s="541"/>
      <c r="Q40" s="541"/>
      <c r="R40" s="541"/>
      <c r="S40" s="541"/>
      <c r="T40" s="541"/>
      <c r="V40" s="541"/>
      <c r="W40" s="541"/>
      <c r="X40" s="541"/>
      <c r="AA40" s="541"/>
    </row>
    <row r="41" spans="2:29" ht="19.2" thickTop="1" thickBot="1">
      <c r="B41" s="551" t="s">
        <v>614</v>
      </c>
      <c r="C41" s="549"/>
      <c r="D41" s="549"/>
      <c r="E41" s="549"/>
      <c r="F41" s="549"/>
      <c r="G41" s="540"/>
      <c r="H41" s="548"/>
      <c r="I41" s="548"/>
      <c r="J41" s="548"/>
      <c r="K41" s="548"/>
      <c r="L41" s="542"/>
      <c r="M41" s="541"/>
      <c r="N41" s="541"/>
      <c r="AA41" s="536"/>
      <c r="AC41" s="537"/>
    </row>
    <row r="42" spans="2:29" ht="18.600000000000001" thickBot="1">
      <c r="B42" s="550" t="s">
        <v>615</v>
      </c>
      <c r="C42" s="549"/>
      <c r="D42" s="549"/>
      <c r="E42" s="549"/>
      <c r="F42" s="549"/>
      <c r="G42" s="540"/>
      <c r="H42" s="548"/>
      <c r="I42" s="548"/>
      <c r="J42" s="548"/>
      <c r="K42" s="548"/>
      <c r="L42" s="547"/>
      <c r="M42" s="546"/>
    </row>
    <row r="43" spans="2:29" ht="18.600000000000001" thickBot="1">
      <c r="B43" s="550" t="s">
        <v>616</v>
      </c>
      <c r="C43" s="549"/>
      <c r="D43" s="549"/>
      <c r="E43" s="549"/>
      <c r="F43" s="549"/>
      <c r="G43" s="540"/>
      <c r="H43" s="548"/>
      <c r="I43" s="548"/>
      <c r="J43" s="548"/>
      <c r="K43" s="548"/>
      <c r="L43" s="547"/>
      <c r="M43" s="546"/>
    </row>
    <row r="44" spans="2:29" ht="18.600000000000001" thickBot="1">
      <c r="B44" s="550" t="s">
        <v>617</v>
      </c>
      <c r="C44" s="549"/>
      <c r="D44" s="549"/>
      <c r="E44" s="549"/>
      <c r="F44" s="549"/>
      <c r="G44" s="540"/>
      <c r="H44" s="548"/>
      <c r="I44" s="548"/>
      <c r="J44" s="548"/>
      <c r="K44" s="548"/>
      <c r="L44" s="547"/>
      <c r="M44" s="546"/>
      <c r="X44" s="536" t="s">
        <v>618</v>
      </c>
    </row>
    <row r="45" spans="2:29" ht="18.600000000000001" thickBot="1">
      <c r="B45" s="550" t="s">
        <v>619</v>
      </c>
      <c r="C45" s="549"/>
      <c r="D45" s="549"/>
      <c r="E45" s="549"/>
      <c r="F45" s="549"/>
      <c r="G45" s="540"/>
      <c r="H45" s="548"/>
      <c r="I45" s="548"/>
      <c r="J45" s="548"/>
      <c r="K45" s="548"/>
      <c r="L45" s="547"/>
      <c r="M45" s="546"/>
    </row>
    <row r="46" spans="2:29" ht="18.600000000000001" thickBot="1">
      <c r="B46" s="550" t="s">
        <v>620</v>
      </c>
      <c r="C46" s="549"/>
      <c r="D46" s="549"/>
      <c r="E46" s="549"/>
      <c r="F46" s="549"/>
      <c r="G46" s="540"/>
      <c r="H46" s="548"/>
      <c r="I46" s="548"/>
      <c r="J46" s="548"/>
      <c r="K46" s="548"/>
      <c r="L46" s="547"/>
      <c r="M46" s="546"/>
    </row>
    <row r="47" spans="2:29" ht="18.600000000000001" thickBot="1">
      <c r="B47" s="550" t="s">
        <v>621</v>
      </c>
      <c r="C47" s="549"/>
      <c r="D47" s="549"/>
      <c r="E47" s="549"/>
      <c r="F47" s="549"/>
      <c r="G47" s="540"/>
      <c r="H47" s="548"/>
      <c r="I47" s="548"/>
      <c r="J47" s="548"/>
      <c r="K47" s="548"/>
      <c r="L47" s="547"/>
      <c r="M47" s="546"/>
    </row>
    <row r="48" spans="2:29" ht="18.600000000000001" thickBot="1">
      <c r="B48" s="550" t="s">
        <v>622</v>
      </c>
      <c r="C48" s="549"/>
      <c r="D48" s="549"/>
      <c r="E48" s="549"/>
      <c r="F48" s="549"/>
      <c r="G48" s="540"/>
      <c r="H48" s="548"/>
      <c r="I48" s="548"/>
      <c r="J48" s="548"/>
      <c r="K48" s="548"/>
      <c r="L48" s="547"/>
      <c r="M48" s="546"/>
    </row>
    <row r="49" spans="2:29" ht="18.600000000000001" thickBot="1">
      <c r="B49" s="550" t="s">
        <v>623</v>
      </c>
      <c r="C49" s="549"/>
      <c r="D49" s="549"/>
      <c r="E49" s="549"/>
      <c r="F49" s="549"/>
      <c r="G49" s="540"/>
      <c r="H49" s="548"/>
      <c r="I49" s="548"/>
      <c r="J49" s="548"/>
      <c r="K49" s="548"/>
      <c r="L49" s="547"/>
      <c r="M49" s="546"/>
    </row>
    <row r="50" spans="2:29" ht="18.600000000000001" thickBot="1">
      <c r="B50" s="550" t="s">
        <v>624</v>
      </c>
      <c r="C50" s="549"/>
      <c r="D50" s="549"/>
      <c r="E50" s="549"/>
      <c r="F50" s="549"/>
      <c r="G50" s="540"/>
      <c r="H50" s="548"/>
      <c r="I50" s="548"/>
      <c r="J50" s="548"/>
      <c r="K50" s="548"/>
      <c r="L50" s="547"/>
      <c r="M50" s="546"/>
    </row>
    <row r="51" spans="2:29" ht="18.600000000000001" thickBot="1">
      <c r="B51" s="550" t="s">
        <v>625</v>
      </c>
      <c r="C51" s="549"/>
      <c r="D51" s="549"/>
      <c r="E51" s="549"/>
      <c r="F51" s="549"/>
      <c r="G51" s="540"/>
      <c r="H51" s="548"/>
      <c r="I51" s="548"/>
      <c r="J51" s="548"/>
      <c r="K51" s="548"/>
      <c r="L51" s="547"/>
      <c r="M51" s="546"/>
    </row>
    <row r="52" spans="2:29" ht="18">
      <c r="B52" s="549"/>
      <c r="C52" s="549"/>
      <c r="D52" s="549"/>
      <c r="E52" s="549"/>
      <c r="F52" s="549"/>
      <c r="G52" s="540"/>
      <c r="H52" s="548"/>
      <c r="I52" s="548"/>
      <c r="J52" s="548"/>
      <c r="K52" s="548"/>
      <c r="L52" s="547"/>
      <c r="M52" s="546"/>
    </row>
    <row r="53" spans="2:29" ht="17.399999999999999">
      <c r="B53" s="545" t="s">
        <v>626</v>
      </c>
      <c r="C53" s="545"/>
      <c r="D53" s="545"/>
      <c r="E53" s="545"/>
      <c r="F53" s="545"/>
      <c r="G53" s="540"/>
      <c r="H53" s="540"/>
      <c r="I53" s="540"/>
      <c r="J53" s="540"/>
      <c r="K53" s="543"/>
      <c r="L53" s="542"/>
      <c r="M53" s="541"/>
      <c r="N53" s="541"/>
      <c r="AA53" s="536"/>
      <c r="AC53" s="537"/>
    </row>
    <row r="54" spans="2:29" ht="17.399999999999999">
      <c r="B54" s="544" t="s">
        <v>627</v>
      </c>
      <c r="C54" s="544"/>
      <c r="D54" s="544"/>
      <c r="E54" s="544"/>
      <c r="F54" s="544"/>
      <c r="G54" s="540"/>
      <c r="H54" s="540"/>
      <c r="I54" s="540"/>
      <c r="J54" s="540"/>
      <c r="K54" s="543"/>
      <c r="L54" s="542"/>
      <c r="M54" s="541"/>
      <c r="N54" s="541"/>
      <c r="AA54" s="536"/>
      <c r="AC54" s="537"/>
    </row>
    <row r="55" spans="2:29" ht="17.399999999999999">
      <c r="B55" s="544" t="s">
        <v>628</v>
      </c>
      <c r="C55" s="544"/>
      <c r="D55" s="544"/>
      <c r="E55" s="544"/>
      <c r="F55" s="544"/>
      <c r="G55" s="540"/>
      <c r="H55" s="540"/>
      <c r="I55" s="540"/>
      <c r="J55" s="540"/>
      <c r="K55" s="543"/>
      <c r="L55" s="542"/>
      <c r="M55" s="541"/>
      <c r="N55" s="541"/>
      <c r="AA55" s="536"/>
      <c r="AC55" s="537"/>
    </row>
    <row r="56" spans="2:29" ht="17.399999999999999">
      <c r="B56" s="544" t="s">
        <v>629</v>
      </c>
      <c r="C56" s="544"/>
      <c r="D56" s="544"/>
      <c r="E56" s="544"/>
      <c r="F56" s="544"/>
      <c r="G56" s="540"/>
      <c r="H56" s="540"/>
      <c r="I56" s="540"/>
      <c r="J56" s="540"/>
      <c r="K56" s="543"/>
      <c r="L56" s="542"/>
      <c r="M56" s="541"/>
      <c r="N56" s="541"/>
      <c r="AA56" s="536"/>
      <c r="AC56" s="537"/>
    </row>
    <row r="57" spans="2:29" ht="17.399999999999999">
      <c r="B57" s="544"/>
      <c r="C57" s="544"/>
      <c r="D57" s="544"/>
      <c r="E57" s="544"/>
      <c r="F57" s="544"/>
      <c r="G57" s="540"/>
      <c r="H57" s="540"/>
      <c r="I57" s="540"/>
      <c r="J57" s="540"/>
      <c r="K57" s="543"/>
      <c r="L57" s="542"/>
      <c r="M57" s="541"/>
      <c r="N57" s="541"/>
      <c r="AA57" s="536"/>
      <c r="AC57" s="537"/>
    </row>
    <row r="58" spans="2:29" ht="17.399999999999999">
      <c r="B58" s="544" t="s">
        <v>630</v>
      </c>
      <c r="C58" s="544"/>
      <c r="D58" s="544"/>
      <c r="E58" s="544"/>
      <c r="F58" s="544"/>
      <c r="G58" s="540"/>
      <c r="H58" s="540"/>
      <c r="I58" s="540"/>
      <c r="J58" s="540"/>
      <c r="K58" s="543"/>
      <c r="L58" s="542"/>
      <c r="M58" s="541"/>
      <c r="N58" s="541"/>
      <c r="AA58" s="536"/>
      <c r="AC58" s="537"/>
    </row>
    <row r="59" spans="2:29" ht="17.399999999999999">
      <c r="B59" s="544" t="s">
        <v>631</v>
      </c>
      <c r="C59" s="544"/>
      <c r="D59" s="544"/>
      <c r="E59" s="544"/>
      <c r="F59" s="544"/>
      <c r="G59" s="540"/>
      <c r="H59" s="540"/>
      <c r="I59" s="540"/>
      <c r="J59" s="540"/>
      <c r="K59" s="543"/>
      <c r="L59" s="542"/>
      <c r="M59" s="541"/>
      <c r="N59" s="541"/>
      <c r="AA59" s="536"/>
      <c r="AC59" s="537"/>
    </row>
    <row r="60" spans="2:29" ht="17.399999999999999">
      <c r="B60" s="544" t="s">
        <v>632</v>
      </c>
      <c r="C60" s="544"/>
      <c r="D60" s="544"/>
      <c r="E60" s="544"/>
      <c r="F60" s="544"/>
      <c r="G60" s="540"/>
      <c r="H60" s="540"/>
      <c r="I60" s="540"/>
      <c r="J60" s="540"/>
      <c r="K60" s="543"/>
      <c r="L60" s="542"/>
      <c r="M60" s="541"/>
      <c r="N60" s="541"/>
      <c r="AA60" s="536"/>
      <c r="AC60" s="537"/>
    </row>
    <row r="61" spans="2:29" ht="17.399999999999999">
      <c r="B61" s="544" t="s">
        <v>633</v>
      </c>
      <c r="C61" s="544"/>
      <c r="D61" s="544"/>
      <c r="E61" s="544"/>
      <c r="F61" s="544"/>
      <c r="G61" s="540"/>
      <c r="H61" s="540"/>
      <c r="I61" s="540"/>
      <c r="J61" s="540"/>
      <c r="K61" s="543"/>
      <c r="L61" s="542"/>
      <c r="M61" s="541"/>
      <c r="N61" s="541"/>
    </row>
    <row r="62" spans="2:29" ht="17.399999999999999">
      <c r="B62" s="540"/>
      <c r="C62" s="540"/>
      <c r="D62" s="540"/>
      <c r="E62" s="540"/>
      <c r="F62" s="540"/>
      <c r="G62" s="540"/>
      <c r="H62" s="540"/>
      <c r="I62" s="540"/>
      <c r="J62" s="540"/>
      <c r="K62" s="540"/>
      <c r="L62" s="539"/>
    </row>
    <row r="63" spans="2:29" ht="17.399999999999999">
      <c r="B63" s="540" t="s">
        <v>634</v>
      </c>
      <c r="C63" s="540"/>
      <c r="D63" s="540"/>
      <c r="E63" s="540"/>
      <c r="F63" s="540"/>
      <c r="G63" s="540"/>
      <c r="H63" s="540"/>
      <c r="I63" s="540"/>
      <c r="J63" s="540"/>
      <c r="K63" s="540"/>
      <c r="L63" s="539"/>
    </row>
    <row r="64" spans="2:29" ht="17.399999999999999">
      <c r="B64" s="540"/>
      <c r="C64" s="540"/>
      <c r="D64" s="540"/>
      <c r="E64" s="540"/>
      <c r="F64" s="540"/>
      <c r="G64" s="540"/>
      <c r="H64" s="540"/>
      <c r="I64" s="540"/>
      <c r="J64" s="540"/>
      <c r="K64" s="540"/>
      <c r="L64" s="539"/>
    </row>
    <row r="65" spans="2:14" ht="17.399999999999999">
      <c r="B65" s="539"/>
      <c r="C65" s="539"/>
      <c r="D65" s="539"/>
      <c r="E65" s="539"/>
      <c r="F65" s="539"/>
      <c r="G65" s="539"/>
      <c r="H65" s="539"/>
      <c r="I65" s="539"/>
      <c r="J65" s="539"/>
      <c r="K65" s="539"/>
      <c r="L65" s="539"/>
    </row>
    <row r="66" spans="2:14">
      <c r="N66" s="538"/>
    </row>
  </sheetData>
  <mergeCells count="21">
    <mergeCell ref="S2:T2"/>
    <mergeCell ref="S4:T4"/>
    <mergeCell ref="R8:T8"/>
    <mergeCell ref="B9:G9"/>
    <mergeCell ref="H9:J9"/>
    <mergeCell ref="K9:M9"/>
    <mergeCell ref="N9:O9"/>
    <mergeCell ref="P9:P10"/>
    <mergeCell ref="E4:J4"/>
    <mergeCell ref="E5:J5"/>
    <mergeCell ref="E6:J6"/>
    <mergeCell ref="E3:J3"/>
    <mergeCell ref="E2:J2"/>
    <mergeCell ref="AC8:AE8"/>
    <mergeCell ref="AF9:AF10"/>
    <mergeCell ref="Q9:Q10"/>
    <mergeCell ref="R9:T9"/>
    <mergeCell ref="V9:Y9"/>
    <mergeCell ref="Z9:AB9"/>
    <mergeCell ref="AC9:AE9"/>
    <mergeCell ref="U9:U10"/>
  </mergeCells>
  <phoneticPr fontId="97" type="noConversion"/>
  <conditionalFormatting sqref="H11:H31 P11:Q31">
    <cfRule type="cellIs" dxfId="33" priority="80" stopIfTrue="1" operator="equal">
      <formula>"Threat"</formula>
    </cfRule>
    <cfRule type="cellIs" dxfId="32" priority="81" stopIfTrue="1" operator="equal">
      <formula>"Opportunity"</formula>
    </cfRule>
    <cfRule type="cellIs" dxfId="31" priority="82" stopIfTrue="1" operator="equal">
      <formula>"Issue"</formula>
    </cfRule>
  </conditionalFormatting>
  <conditionalFormatting sqref="T11:T31 AE11:AE31">
    <cfRule type="containsText" dxfId="30" priority="29" operator="containsText" text="H25">
      <formula>NOT(ISERROR(SEARCH("H25",T11)))</formula>
    </cfRule>
    <cfRule type="containsText" dxfId="29" priority="30" operator="containsText" text="H20">
      <formula>NOT(ISERROR(SEARCH("H20",T11)))</formula>
    </cfRule>
    <cfRule type="containsText" dxfId="28" priority="31" operator="containsText" text="H16">
      <formula>NOT(ISERROR(SEARCH("H16",T11)))</formula>
    </cfRule>
    <cfRule type="containsText" dxfId="27" priority="32" operator="containsText" text="H15">
      <formula>NOT(ISERROR(SEARCH("H15",T11)))</formula>
    </cfRule>
    <cfRule type="containsText" dxfId="26" priority="33" operator="containsText" text="M12">
      <formula>NOT(ISERROR(SEARCH("M12",T11)))</formula>
    </cfRule>
    <cfRule type="containsText" dxfId="25" priority="34" operator="containsText" text="M10">
      <formula>NOT(ISERROR(SEARCH("M10",T11)))</formula>
    </cfRule>
    <cfRule type="containsText" dxfId="24" priority="35" operator="containsText" text="M9">
      <formula>NOT(ISERROR(SEARCH("M9",T11)))</formula>
    </cfRule>
    <cfRule type="containsText" dxfId="23" priority="36" operator="containsText" text="M8">
      <formula>NOT(ISERROR(SEARCH("M8",T11)))</formula>
    </cfRule>
    <cfRule type="containsText" dxfId="22" priority="37" operator="containsText" text="M6">
      <formula>NOT(ISERROR(SEARCH("M6",T11)))</formula>
    </cfRule>
    <cfRule type="containsText" dxfId="21" priority="38" operator="containsText" text="M5">
      <formula>NOT(ISERROR(SEARCH("M5",T11)))</formula>
    </cfRule>
    <cfRule type="containsText" dxfId="20" priority="39" operator="containsText" text="L4">
      <formula>NOT(ISERROR(SEARCH("L4",T11)))</formula>
    </cfRule>
    <cfRule type="containsText" dxfId="19" priority="40" operator="containsText" text="L3">
      <formula>NOT(ISERROR(SEARCH("L3",T11)))</formula>
    </cfRule>
    <cfRule type="containsText" dxfId="18" priority="41" operator="containsText" text="L2">
      <formula>NOT(ISERROR(SEARCH("L2",T11)))</formula>
    </cfRule>
    <cfRule type="containsText" dxfId="17" priority="42" operator="containsText" text="L1">
      <formula>NOT(ISERROR(SEARCH("L1",T11)))</formula>
    </cfRule>
  </conditionalFormatting>
  <dataValidations count="11">
    <dataValidation type="list" allowBlank="1" showInputMessage="1" showErrorMessage="1" sqref="H11:H31" xr:uid="{28B32BA1-93F3-4F89-9F12-69C34667B429}">
      <formula1>"Threat,Opportunity,Issue"</formula1>
    </dataValidation>
    <dataValidation type="list" allowBlank="1" showInputMessage="1" showErrorMessage="1" sqref="C11:D31" xr:uid="{F23D96A7-039C-49CF-9BB6-EE8E7ABAE5F2}">
      <formula1>"Central,Eastern,Western"</formula1>
    </dataValidation>
    <dataValidation type="list" allowBlank="1" showInputMessage="1" showErrorMessage="1" sqref="G11:G31" xr:uid="{9F760BC9-AF3F-4540-BA57-BE9E92FC95EF}">
      <formula1>"Open,Close,Realize,Escalate"</formula1>
    </dataValidation>
    <dataValidation type="list" allowBlank="1" showInputMessage="1" showErrorMessage="1" sqref="AC11:AD31 R11:S31" xr:uid="{1954B06A-C635-4B7C-889C-7385470DF066}">
      <formula1>"Very High,High,Medium,Low,Very Low"</formula1>
    </dataValidation>
    <dataValidation type="list" allowBlank="1" showInputMessage="1" showErrorMessage="1" sqref="Q11:Q31" xr:uid="{F6461D10-10DD-43DE-990D-B7741448D14D}">
      <formula1>"Distant,Med Term,Imminent,Overdue"</formula1>
    </dataValidation>
    <dataValidation type="list" allowBlank="1" showInputMessage="1" showErrorMessage="1" sqref="P11:P31" xr:uid="{D7721284-8FCF-4CEE-A825-814484622EE6}">
      <formula1>"Ease,Moderate,Hard"</formula1>
    </dataValidation>
    <dataValidation type="list" allowBlank="1" showInputMessage="1" showErrorMessage="1" sqref="AF11:AF31" xr:uid="{4568E8DC-CD44-4A6E-A364-A3A7B400F9A3}">
      <formula1>"Open,Close,Residual,Escalate,Secondary"</formula1>
    </dataValidation>
    <dataValidation type="list" allowBlank="1" showInputMessage="1" showErrorMessage="1" sqref="I11:I31" xr:uid="{76827E04-6BEF-4CD7-B56E-010F49513958}">
      <formula1>"Internal, External"</formula1>
    </dataValidation>
    <dataValidation type="list" allowBlank="1" showInputMessage="1" showErrorMessage="1" sqref="J11:J31"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31" xr:uid="{D065CD55-7BE3-4514-8691-19B7D81C8A74}">
      <formula1>"Terminate,Tolerate,Transfer,Enhance/ Exploit,Share,Treat, Accept"</formula1>
    </dataValidation>
    <dataValidation type="list" allowBlank="1" showInputMessage="1" showErrorMessage="1" sqref="W11:W31" xr:uid="{5A737B3B-DF69-403D-A55F-B7EF4395CE73}">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2016_x000D_&amp;1#&amp;"Calibri"&amp;10&amp;K000000 Data sensitivity - Public&amp;R&amp;"Janna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zoomScale="70" zoomScaleNormal="70" workbookViewId="0">
      <selection activeCell="O26" sqref="O26"/>
    </sheetView>
  </sheetViews>
  <sheetFormatPr defaultColWidth="9.109375" defaultRowHeight="14.4"/>
  <cols>
    <col min="1" max="1" width="2.44140625" style="3" customWidth="1"/>
    <col min="2" max="2" width="6.109375" style="3" customWidth="1"/>
    <col min="3" max="3" width="7.44140625" style="3" customWidth="1"/>
    <col min="4" max="4" width="38.5546875" style="3" customWidth="1"/>
    <col min="5" max="5" width="12.6640625" style="3" customWidth="1"/>
    <col min="6" max="6" width="13.6640625" style="3" customWidth="1"/>
    <col min="7" max="7" width="14.33203125" style="3" bestFit="1" customWidth="1"/>
    <col min="8" max="9" width="13.6640625" style="3" customWidth="1"/>
    <col min="10" max="10" width="18" style="3" customWidth="1"/>
    <col min="11" max="13" width="10.6640625" style="3" customWidth="1"/>
    <col min="14" max="14" width="9.109375" style="3" customWidth="1"/>
    <col min="15" max="15" width="10.6640625" style="3" customWidth="1"/>
    <col min="16" max="16" width="10.44140625" style="3" bestFit="1" customWidth="1"/>
    <col min="17" max="17" width="10.6640625" style="3" customWidth="1"/>
    <col min="18" max="18" width="12" style="3" bestFit="1" customWidth="1"/>
    <col min="19" max="19" width="13.44140625" style="3" bestFit="1" customWidth="1"/>
    <col min="20" max="20" width="12.109375" style="3" customWidth="1"/>
    <col min="21" max="21" width="8" style="3" bestFit="1" customWidth="1"/>
    <col min="22" max="23" width="12.109375" style="3" customWidth="1"/>
    <col min="24" max="24" width="15.44140625" style="3" customWidth="1"/>
    <col min="25" max="25" width="15.33203125" style="3" customWidth="1"/>
    <col min="26" max="26" width="11.44140625" style="3" customWidth="1"/>
    <col min="27" max="27" width="10.6640625" style="3" customWidth="1"/>
    <col min="28" max="28" width="16.5546875" style="3" bestFit="1" customWidth="1"/>
    <col min="29" max="29" width="9.109375" style="3"/>
    <col min="30" max="30" width="24.44140625" style="3" customWidth="1"/>
    <col min="31" max="31" width="12.44140625" style="3" bestFit="1" customWidth="1"/>
    <col min="32" max="32" width="9.109375" style="3"/>
    <col min="33" max="33" width="17.6640625" style="3" customWidth="1"/>
    <col min="34" max="34" width="14.44140625" style="3" customWidth="1"/>
    <col min="35" max="16384" width="9.109375" style="3"/>
  </cols>
  <sheetData>
    <row r="1" spans="2:36" ht="17.399999999999999">
      <c r="B1" s="2062" t="s">
        <v>639</v>
      </c>
      <c r="C1" s="2063"/>
      <c r="D1" s="2063"/>
      <c r="E1" s="2063"/>
      <c r="F1" s="2063"/>
      <c r="G1" s="2063"/>
      <c r="H1" s="2063"/>
      <c r="I1" s="2063"/>
      <c r="J1" s="2063"/>
      <c r="K1" s="2063"/>
      <c r="L1" s="2063"/>
      <c r="M1" s="2063"/>
      <c r="N1" s="2063"/>
      <c r="O1" s="2063"/>
      <c r="P1" s="2063"/>
      <c r="Q1" s="2063"/>
      <c r="R1" s="2063"/>
      <c r="S1" s="2063"/>
      <c r="T1" s="2063"/>
      <c r="U1" s="2063"/>
      <c r="V1" s="2063"/>
      <c r="W1" s="2063"/>
      <c r="X1" s="2063"/>
      <c r="Y1" s="2063"/>
      <c r="Z1" s="2063"/>
      <c r="AA1" s="2063"/>
      <c r="AB1" s="2063"/>
      <c r="AC1" s="2063"/>
      <c r="AD1" s="2063"/>
      <c r="AE1" s="2063"/>
      <c r="AJ1" s="3" t="s">
        <v>640</v>
      </c>
    </row>
    <row r="2" spans="2:36" ht="17.399999999999999">
      <c r="B2" s="2007" t="s">
        <v>641</v>
      </c>
      <c r="C2" s="2008"/>
      <c r="D2" s="2008"/>
      <c r="E2" s="2008"/>
      <c r="F2" s="2008"/>
      <c r="G2" s="2008"/>
      <c r="H2" s="2008"/>
      <c r="I2" s="2008"/>
      <c r="J2" s="2008"/>
      <c r="K2" s="2007" t="s">
        <v>642</v>
      </c>
      <c r="L2" s="2008"/>
      <c r="M2" s="2008"/>
      <c r="N2" s="2008"/>
      <c r="O2" s="2008"/>
      <c r="P2" s="2008"/>
      <c r="Q2" s="2008"/>
      <c r="R2" s="2008"/>
      <c r="S2" s="2008" t="s">
        <v>147</v>
      </c>
      <c r="T2" s="2008"/>
      <c r="U2" s="2008"/>
      <c r="V2" s="2008"/>
      <c r="W2" s="2008"/>
      <c r="X2" s="2008"/>
      <c r="Y2" s="2008"/>
      <c r="Z2" s="2008"/>
      <c r="AA2" s="2008"/>
      <c r="AB2" s="2008"/>
      <c r="AC2" s="2008" t="s">
        <v>643</v>
      </c>
      <c r="AD2" s="2008"/>
      <c r="AE2" s="2008"/>
      <c r="AJ2" s="3" t="s">
        <v>644</v>
      </c>
    </row>
    <row r="3" spans="2:36" ht="28.2" customHeight="1">
      <c r="B3" s="2003" t="s">
        <v>33</v>
      </c>
      <c r="C3" s="2004"/>
      <c r="D3" s="2004"/>
      <c r="E3" s="2015">
        <f>Progress!B27</f>
        <v>52025516.000000007</v>
      </c>
      <c r="F3" s="2016"/>
      <c r="G3" s="1574" t="s">
        <v>645</v>
      </c>
      <c r="H3" s="1575"/>
      <c r="I3" s="2015">
        <v>0</v>
      </c>
      <c r="J3" s="2028" t="s">
        <v>35</v>
      </c>
      <c r="K3" s="1574" t="s">
        <v>168</v>
      </c>
      <c r="L3" s="1575"/>
      <c r="M3" s="2005">
        <v>0</v>
      </c>
      <c r="N3" s="2006"/>
      <c r="O3" s="1574" t="s">
        <v>169</v>
      </c>
      <c r="P3" s="1575"/>
      <c r="Q3" s="1996">
        <f>E3*M3</f>
        <v>0</v>
      </c>
      <c r="R3" s="1997"/>
      <c r="S3" s="1574" t="s">
        <v>646</v>
      </c>
      <c r="T3" s="1575"/>
      <c r="U3" s="2018">
        <v>0</v>
      </c>
      <c r="V3" s="2019"/>
      <c r="W3" s="1574" t="s">
        <v>149</v>
      </c>
      <c r="X3" s="1575"/>
      <c r="Y3" s="1996">
        <f>SUM(F9:F58)*1.15</f>
        <v>34267317.164999999</v>
      </c>
      <c r="Z3" s="2017"/>
      <c r="AA3" s="2009" t="s">
        <v>647</v>
      </c>
      <c r="AB3" s="2011">
        <f>MAX(L9:L46)</f>
        <v>46291</v>
      </c>
      <c r="AC3" s="2003" t="s">
        <v>648</v>
      </c>
      <c r="AD3" s="2004"/>
      <c r="AE3" s="570">
        <f>AVERAGE(P9:P58)</f>
        <v>1.5714285714285714</v>
      </c>
      <c r="AG3" s="2056" t="s">
        <v>649</v>
      </c>
      <c r="AH3" s="2058">
        <f>AVERAGE(F9:F58)</f>
        <v>4256809.5857142862</v>
      </c>
      <c r="AI3" s="2059"/>
    </row>
    <row r="4" spans="2:36" ht="28.2" customHeight="1">
      <c r="B4" s="2003" t="s">
        <v>44</v>
      </c>
      <c r="C4" s="2004"/>
      <c r="D4" s="2004">
        <v>21100000</v>
      </c>
      <c r="E4" s="1992">
        <f>E3</f>
        <v>52025516.000000007</v>
      </c>
      <c r="F4" s="1993" t="s">
        <v>35</v>
      </c>
      <c r="G4" s="1569" t="s">
        <v>650</v>
      </c>
      <c r="H4" s="1570"/>
      <c r="I4" s="1992">
        <v>0</v>
      </c>
      <c r="J4" s="2000" t="e">
        <f>+#REF!+#REF!+I4</f>
        <v>#REF!</v>
      </c>
      <c r="K4" s="1569" t="s">
        <v>172</v>
      </c>
      <c r="L4" s="1570"/>
      <c r="M4" s="2036">
        <v>0</v>
      </c>
      <c r="N4" s="2037"/>
      <c r="O4" s="1569" t="s">
        <v>173</v>
      </c>
      <c r="P4" s="1570"/>
      <c r="Q4" s="1996">
        <f>E3*M4</f>
        <v>0</v>
      </c>
      <c r="R4" s="1997"/>
      <c r="S4" s="1569" t="s">
        <v>651</v>
      </c>
      <c r="T4" s="1570"/>
      <c r="U4" s="2013">
        <f>COUNTIF($N$9:$N$59,"Y")</f>
        <v>7</v>
      </c>
      <c r="V4" s="2014"/>
      <c r="W4" s="1569" t="s">
        <v>652</v>
      </c>
      <c r="X4" s="1570"/>
      <c r="Y4" s="2042">
        <f>SUMIF($N$9:$N$58,"Y",$J$9:$J$58)</f>
        <v>34269317.164999999</v>
      </c>
      <c r="Z4" s="2043"/>
      <c r="AA4" s="2010"/>
      <c r="AB4" s="2012"/>
      <c r="AC4" s="2003" t="s">
        <v>653</v>
      </c>
      <c r="AD4" s="2004"/>
      <c r="AE4" s="570">
        <f>AVERAGE(W9:W58)</f>
        <v>9.1428571428571423</v>
      </c>
      <c r="AG4" s="2057"/>
      <c r="AH4" s="2060"/>
      <c r="AI4" s="2061"/>
    </row>
    <row r="5" spans="2:36" ht="28.2" customHeight="1">
      <c r="B5" s="2003" t="s">
        <v>53</v>
      </c>
      <c r="C5" s="2004"/>
      <c r="D5" s="2004">
        <v>20900000</v>
      </c>
      <c r="E5" s="1992">
        <f>E4</f>
        <v>52025516.000000007</v>
      </c>
      <c r="F5" s="1993" t="e">
        <f>+#REF!+#REF!+E5</f>
        <v>#REF!</v>
      </c>
      <c r="G5" s="1569" t="s">
        <v>45</v>
      </c>
      <c r="H5" s="1570"/>
      <c r="I5" s="2032">
        <f>+F9+F10+F11+F12+F13+F14+F15</f>
        <v>29797667.100000001</v>
      </c>
      <c r="J5" s="2033"/>
      <c r="K5" s="1569" t="s">
        <v>654</v>
      </c>
      <c r="L5" s="1570"/>
      <c r="M5" s="2038">
        <f>ABS(M6/E3)</f>
        <v>3.8442674936659922E-5</v>
      </c>
      <c r="N5" s="2039"/>
      <c r="O5" s="1569" t="s">
        <v>655</v>
      </c>
      <c r="P5" s="1570"/>
      <c r="Q5" s="1998">
        <f>SUM(G9:G58)</f>
        <v>0</v>
      </c>
      <c r="R5" s="1999"/>
      <c r="S5" s="1569" t="s">
        <v>656</v>
      </c>
      <c r="T5" s="1570"/>
      <c r="U5" s="2013">
        <f>COUNTIF($R$9:$R$59,"Y")</f>
        <v>7</v>
      </c>
      <c r="V5" s="2014"/>
      <c r="W5" s="1569" t="s">
        <v>657</v>
      </c>
      <c r="X5" s="1570"/>
      <c r="Y5" s="2042">
        <f>SUMIF($R$9:$R$58,"Y",$J$9:$J$58)</f>
        <v>34269317.164999999</v>
      </c>
      <c r="Z5" s="2043"/>
      <c r="AA5" s="2044" t="s">
        <v>658</v>
      </c>
      <c r="AB5" s="2040">
        <f>Y3/(E4*1.15)</f>
        <v>0.57275101509805293</v>
      </c>
      <c r="AC5" s="2029" t="s">
        <v>659</v>
      </c>
      <c r="AD5" s="2030"/>
      <c r="AE5" s="570">
        <f>AVERAGE(AA9:AA58)</f>
        <v>24</v>
      </c>
    </row>
    <row r="6" spans="2:36" ht="28.2" customHeight="1" thickBot="1">
      <c r="B6" s="2003" t="s">
        <v>61</v>
      </c>
      <c r="C6" s="2004"/>
      <c r="D6" s="2004">
        <f>D4-D5</f>
        <v>200000</v>
      </c>
      <c r="E6" s="1994">
        <f>E4-E5</f>
        <v>0</v>
      </c>
      <c r="F6" s="1995"/>
      <c r="G6" s="2029" t="s">
        <v>660</v>
      </c>
      <c r="H6" s="2030"/>
      <c r="I6" s="1994">
        <f>M6+Q6+Q5</f>
        <v>2000</v>
      </c>
      <c r="J6" s="2031"/>
      <c r="K6" s="2029" t="s">
        <v>661</v>
      </c>
      <c r="L6" s="2030"/>
      <c r="M6" s="2001">
        <f>SUM(I9:I58)</f>
        <v>2000</v>
      </c>
      <c r="N6" s="2002"/>
      <c r="O6" s="2029" t="s">
        <v>662</v>
      </c>
      <c r="P6" s="2030"/>
      <c r="Q6" s="2034">
        <f>SUM(H9:H58)</f>
        <v>0</v>
      </c>
      <c r="R6" s="2035"/>
      <c r="S6" s="2029" t="s">
        <v>663</v>
      </c>
      <c r="T6" s="2030"/>
      <c r="U6" s="2001">
        <f>COUNTA(X9:X58)</f>
        <v>6</v>
      </c>
      <c r="V6" s="2002"/>
      <c r="W6" s="2029" t="s">
        <v>664</v>
      </c>
      <c r="X6" s="2030"/>
      <c r="Y6" s="2034">
        <f>+Y59</f>
        <v>31459715.307500001</v>
      </c>
      <c r="Z6" s="2035"/>
      <c r="AA6" s="2044"/>
      <c r="AB6" s="2041"/>
      <c r="AC6" s="2029" t="s">
        <v>665</v>
      </c>
      <c r="AD6" s="2030"/>
      <c r="AE6" s="570">
        <f>IFERROR(AVERAGE(AC9:AC58),"")</f>
        <v>35</v>
      </c>
    </row>
    <row r="7" spans="2:36" ht="15" customHeight="1" thickBot="1">
      <c r="B7" s="2020" t="s">
        <v>666</v>
      </c>
      <c r="C7" s="2021"/>
      <c r="D7" s="2021"/>
      <c r="E7" s="2022"/>
      <c r="F7" s="2020" t="s">
        <v>667</v>
      </c>
      <c r="G7" s="2021"/>
      <c r="H7" s="2021"/>
      <c r="I7" s="2021"/>
      <c r="J7" s="2023"/>
      <c r="K7" s="2024" t="s">
        <v>668</v>
      </c>
      <c r="L7" s="2022"/>
      <c r="M7" s="2025" t="s">
        <v>669</v>
      </c>
      <c r="N7" s="2026"/>
      <c r="O7" s="2026"/>
      <c r="P7" s="2026"/>
      <c r="Q7" s="2025" t="s">
        <v>670</v>
      </c>
      <c r="R7" s="2026"/>
      <c r="S7" s="2026"/>
      <c r="T7" s="2026"/>
      <c r="U7" s="2026"/>
      <c r="V7" s="2026"/>
      <c r="W7" s="2027"/>
      <c r="X7" s="2025" t="s">
        <v>642</v>
      </c>
      <c r="Y7" s="2026"/>
      <c r="Z7" s="2026"/>
      <c r="AA7" s="2026"/>
      <c r="AB7" s="2027"/>
      <c r="AC7" s="2047" t="s">
        <v>671</v>
      </c>
      <c r="AD7" s="2047" t="s">
        <v>672</v>
      </c>
      <c r="AE7" s="2049"/>
    </row>
    <row r="8" spans="2:36" s="34" customFormat="1" ht="56.4" thickTop="1" thickBot="1">
      <c r="B8" s="626" t="s">
        <v>673</v>
      </c>
      <c r="C8" s="627" t="s">
        <v>674</v>
      </c>
      <c r="D8" s="627" t="s">
        <v>675</v>
      </c>
      <c r="E8" s="628" t="s">
        <v>676</v>
      </c>
      <c r="F8" s="626" t="s">
        <v>677</v>
      </c>
      <c r="G8" s="627" t="s">
        <v>678</v>
      </c>
      <c r="H8" s="627" t="s">
        <v>679</v>
      </c>
      <c r="I8" s="627" t="s">
        <v>680</v>
      </c>
      <c r="J8" s="629" t="s">
        <v>681</v>
      </c>
      <c r="K8" s="630" t="s">
        <v>682</v>
      </c>
      <c r="L8" s="628" t="s">
        <v>683</v>
      </c>
      <c r="M8" s="626" t="s">
        <v>684</v>
      </c>
      <c r="N8" s="627" t="s">
        <v>685</v>
      </c>
      <c r="O8" s="627" t="s">
        <v>686</v>
      </c>
      <c r="P8" s="629" t="s">
        <v>687</v>
      </c>
      <c r="Q8" s="626" t="s">
        <v>688</v>
      </c>
      <c r="R8" s="627" t="s">
        <v>689</v>
      </c>
      <c r="S8" s="628" t="s">
        <v>690</v>
      </c>
      <c r="T8" s="631" t="s">
        <v>691</v>
      </c>
      <c r="U8" s="627" t="s">
        <v>692</v>
      </c>
      <c r="V8" s="629" t="s">
        <v>693</v>
      </c>
      <c r="W8" s="632" t="s">
        <v>687</v>
      </c>
      <c r="X8" s="626" t="s">
        <v>694</v>
      </c>
      <c r="Y8" s="627" t="s">
        <v>695</v>
      </c>
      <c r="Z8" s="627" t="s">
        <v>696</v>
      </c>
      <c r="AA8" s="627" t="s">
        <v>697</v>
      </c>
      <c r="AB8" s="628" t="s">
        <v>698</v>
      </c>
      <c r="AC8" s="2048"/>
      <c r="AD8" s="2050"/>
      <c r="AE8" s="2051"/>
    </row>
    <row r="9" spans="2:36" ht="15" thickTop="1">
      <c r="B9" s="633">
        <v>1</v>
      </c>
      <c r="C9" s="772">
        <v>1</v>
      </c>
      <c r="D9" s="897" t="s">
        <v>1277</v>
      </c>
      <c r="E9" s="898">
        <v>0</v>
      </c>
      <c r="F9" s="774">
        <v>2233198.61</v>
      </c>
      <c r="G9" s="775">
        <f>IF(ISBLANK(F9),"",-F9*$M$3*1.15)</f>
        <v>0</v>
      </c>
      <c r="H9" s="775">
        <f>IF(ISBLANK(F9),"",-F9*$M$4*1.15)</f>
        <v>0</v>
      </c>
      <c r="I9" s="776">
        <v>0</v>
      </c>
      <c r="J9" s="777">
        <f>IF(ISBLANK(F9),"",SUM(F9:I9)+F9*0.15)</f>
        <v>2568178.4014999997</v>
      </c>
      <c r="K9" s="778">
        <v>46068</v>
      </c>
      <c r="L9" s="779">
        <v>46111</v>
      </c>
      <c r="M9" s="780">
        <v>46111</v>
      </c>
      <c r="N9" s="781" t="s">
        <v>640</v>
      </c>
      <c r="O9" s="782">
        <v>46112</v>
      </c>
      <c r="P9" s="783">
        <f t="shared" ref="P9:P17" si="0">IF(ISBLANK(O9),"",O9-M9)</f>
        <v>1</v>
      </c>
      <c r="Q9" s="780">
        <f>O9</f>
        <v>46112</v>
      </c>
      <c r="R9" s="784" t="s">
        <v>640</v>
      </c>
      <c r="S9" s="779">
        <f>Q9+2</f>
        <v>46114</v>
      </c>
      <c r="T9" s="785">
        <f>S9+2</f>
        <v>46116</v>
      </c>
      <c r="U9" s="781" t="s">
        <v>640</v>
      </c>
      <c r="V9" s="809">
        <f>T9+5</f>
        <v>46121</v>
      </c>
      <c r="W9" s="786">
        <f>IF(ISBLANK(V9),"",V9-Q9)</f>
        <v>9</v>
      </c>
      <c r="X9" s="780">
        <v>46158</v>
      </c>
      <c r="Y9" s="776">
        <f t="shared" ref="Y9:Y14" si="1">J9</f>
        <v>2568178.4014999997</v>
      </c>
      <c r="Z9" s="787">
        <f>IF(ISBLANK(Y9),"",Y9/J9)</f>
        <v>1</v>
      </c>
      <c r="AA9" s="788">
        <f t="shared" ref="AA9:AA19" si="2">IF(ISBLANK(X9),"",X9-V9)</f>
        <v>37</v>
      </c>
      <c r="AB9" s="789">
        <f>IF(ISBLANK(Y9),"",(J9-Y9))</f>
        <v>0</v>
      </c>
      <c r="AC9" s="206">
        <f>IF(ISBLANK(X9),"",X9-M9)</f>
        <v>47</v>
      </c>
      <c r="AD9" s="2052"/>
      <c r="AE9" s="2053"/>
      <c r="AH9" s="34"/>
    </row>
    <row r="10" spans="2:36">
      <c r="B10" s="636">
        <v>2</v>
      </c>
      <c r="C10" s="790">
        <v>2</v>
      </c>
      <c r="D10" s="897" t="s">
        <v>1278</v>
      </c>
      <c r="E10" s="898">
        <v>0</v>
      </c>
      <c r="F10" s="774">
        <v>5354472.43</v>
      </c>
      <c r="G10" s="775">
        <f>IF(ISBLANK(F10),"",-F10*$M$3*1.15)</f>
        <v>0</v>
      </c>
      <c r="H10" s="775">
        <f>IF(ISBLANK(F10),"",-F10*$M$4*1.15)</f>
        <v>0</v>
      </c>
      <c r="I10" s="776">
        <v>0</v>
      </c>
      <c r="J10" s="777">
        <f>IF(ISBLANK(F10),"",SUM(F10:I10)+F10*0.15)</f>
        <v>6157643.2944999998</v>
      </c>
      <c r="K10" s="791">
        <v>46112</v>
      </c>
      <c r="L10" s="792">
        <v>46141</v>
      </c>
      <c r="M10" s="793">
        <v>46141</v>
      </c>
      <c r="N10" s="781" t="s">
        <v>640</v>
      </c>
      <c r="O10" s="782">
        <v>46144</v>
      </c>
      <c r="P10" s="783">
        <f t="shared" si="0"/>
        <v>3</v>
      </c>
      <c r="Q10" s="780">
        <f>O10</f>
        <v>46144</v>
      </c>
      <c r="R10" s="781" t="s">
        <v>640</v>
      </c>
      <c r="S10" s="779">
        <f>Q10+2</f>
        <v>46146</v>
      </c>
      <c r="T10" s="785">
        <f>S10+2</f>
        <v>46148</v>
      </c>
      <c r="U10" s="781" t="s">
        <v>640</v>
      </c>
      <c r="V10" s="809">
        <f>T10+5</f>
        <v>46153</v>
      </c>
      <c r="W10" s="786">
        <f>IF(ISBLANK(V10),"",V10-Q10)</f>
        <v>9</v>
      </c>
      <c r="X10" s="793">
        <v>46180</v>
      </c>
      <c r="Y10" s="776">
        <f t="shared" si="1"/>
        <v>6157643.2944999998</v>
      </c>
      <c r="Z10" s="787">
        <f>IF(ISBLANK(Y10),"",Y10/J10)</f>
        <v>1</v>
      </c>
      <c r="AA10" s="788">
        <f t="shared" si="2"/>
        <v>27</v>
      </c>
      <c r="AB10" s="789">
        <f>IF(ISBLANK(Y10),"",(J10-Y10))</f>
        <v>0</v>
      </c>
      <c r="AC10" s="794">
        <f>IF(ISBLANK(X10),"",X10-M10)</f>
        <v>39</v>
      </c>
      <c r="AD10" s="2045"/>
      <c r="AE10" s="2046"/>
      <c r="AH10" s="34"/>
    </row>
    <row r="11" spans="2:36">
      <c r="B11" s="636">
        <v>3</v>
      </c>
      <c r="C11" s="790">
        <v>3</v>
      </c>
      <c r="D11" s="897" t="s">
        <v>1279</v>
      </c>
      <c r="E11" s="898">
        <v>0</v>
      </c>
      <c r="F11" s="774">
        <v>3385248.29</v>
      </c>
      <c r="G11" s="775">
        <f>IF(ISBLANK(F11),"",-F11*$M$3*1.15)</f>
        <v>0</v>
      </c>
      <c r="H11" s="775">
        <f>IF(ISBLANK(F11),"",-F11*$M$4*1.15)</f>
        <v>0</v>
      </c>
      <c r="I11" s="776">
        <v>0</v>
      </c>
      <c r="J11" s="777">
        <f t="shared" ref="J11:J58" si="3">IF(ISBLANK(F11),"",SUM(F11:I11)+F11*0.15)</f>
        <v>3893035.5334999999</v>
      </c>
      <c r="K11" s="791">
        <v>46142</v>
      </c>
      <c r="L11" s="792">
        <v>46161</v>
      </c>
      <c r="M11" s="793">
        <v>46161</v>
      </c>
      <c r="N11" s="781" t="s">
        <v>640</v>
      </c>
      <c r="O11" s="782">
        <v>46163</v>
      </c>
      <c r="P11" s="783">
        <f t="shared" si="0"/>
        <v>2</v>
      </c>
      <c r="Q11" s="643">
        <f>O11</f>
        <v>46163</v>
      </c>
      <c r="R11" s="644" t="s">
        <v>640</v>
      </c>
      <c r="S11" s="779">
        <f>Q11+2</f>
        <v>46165</v>
      </c>
      <c r="T11" s="785">
        <f>S11+2</f>
        <v>46167</v>
      </c>
      <c r="U11" s="781" t="s">
        <v>640</v>
      </c>
      <c r="V11" s="809">
        <f>T11+5</f>
        <v>46172</v>
      </c>
      <c r="W11" s="786">
        <f>IF(ISBLANK(V11),"",V11-Q11)</f>
        <v>9</v>
      </c>
      <c r="X11" s="643">
        <v>46194</v>
      </c>
      <c r="Y11" s="776">
        <f t="shared" si="1"/>
        <v>3893035.5334999999</v>
      </c>
      <c r="Z11" s="787">
        <f>IF(ISBLANK(Y11),"",Y11/J11)</f>
        <v>1</v>
      </c>
      <c r="AA11" s="788">
        <f t="shared" si="2"/>
        <v>22</v>
      </c>
      <c r="AB11" s="789">
        <f t="shared" ref="AB11:AB37" si="4">IF(ISBLANK(Y11),"",(J11-Y11))</f>
        <v>0</v>
      </c>
      <c r="AC11" s="794">
        <f>IF(ISBLANK(X11),"",X11-M11)</f>
        <v>33</v>
      </c>
      <c r="AD11" s="2045"/>
      <c r="AE11" s="2046"/>
      <c r="AH11" s="34"/>
    </row>
    <row r="12" spans="2:36">
      <c r="B12" s="636">
        <v>4</v>
      </c>
      <c r="C12" s="790">
        <v>4</v>
      </c>
      <c r="D12" s="897" t="s">
        <v>1280</v>
      </c>
      <c r="E12" s="898">
        <v>0</v>
      </c>
      <c r="F12" s="774">
        <v>8068537.9400000004</v>
      </c>
      <c r="G12" s="775">
        <f>IF(ISBLANK(F12),"",-F12*$M$3*1.15)</f>
        <v>0</v>
      </c>
      <c r="H12" s="775">
        <f>IF(ISBLANK(F12),"",-F12*$M$4*1.15)</f>
        <v>0</v>
      </c>
      <c r="I12" s="795">
        <v>0</v>
      </c>
      <c r="J12" s="777">
        <f t="shared" si="3"/>
        <v>9278818.631000001</v>
      </c>
      <c r="K12" s="791">
        <v>46162</v>
      </c>
      <c r="L12" s="792">
        <v>46196</v>
      </c>
      <c r="M12" s="793">
        <v>46197</v>
      </c>
      <c r="N12" s="781" t="s">
        <v>640</v>
      </c>
      <c r="O12" s="782">
        <v>46198</v>
      </c>
      <c r="P12" s="783">
        <f t="shared" si="0"/>
        <v>1</v>
      </c>
      <c r="Q12" s="643">
        <v>46198</v>
      </c>
      <c r="R12" s="644" t="s">
        <v>640</v>
      </c>
      <c r="S12" s="779">
        <f>Q12+2</f>
        <v>46200</v>
      </c>
      <c r="T12" s="785">
        <f>S12+3</f>
        <v>46203</v>
      </c>
      <c r="U12" s="781" t="s">
        <v>640</v>
      </c>
      <c r="V12" s="809">
        <f>+T12+4</f>
        <v>46207</v>
      </c>
      <c r="W12" s="649">
        <f t="shared" ref="W12:W19" si="5">IF(ISBLANK(V12),"",V12-Q12)</f>
        <v>9</v>
      </c>
      <c r="X12" s="643">
        <v>46229</v>
      </c>
      <c r="Y12" s="776">
        <f t="shared" si="1"/>
        <v>9278818.631000001</v>
      </c>
      <c r="Z12" s="787">
        <f>IF(ISBLANK(Y12),"",Y12/J12)</f>
        <v>1</v>
      </c>
      <c r="AA12" s="651">
        <f t="shared" si="2"/>
        <v>22</v>
      </c>
      <c r="AB12" s="789">
        <f t="shared" si="4"/>
        <v>0</v>
      </c>
      <c r="AC12" s="794">
        <f t="shared" ref="AC12:AC59" si="6">IF(ISBLANK(X12),"",X12-M12)</f>
        <v>32</v>
      </c>
      <c r="AD12" s="2045"/>
      <c r="AE12" s="2046"/>
    </row>
    <row r="13" spans="2:36">
      <c r="B13" s="636">
        <v>5</v>
      </c>
      <c r="C13" s="790">
        <v>5</v>
      </c>
      <c r="D13" s="897" t="s">
        <v>1302</v>
      </c>
      <c r="E13" s="898">
        <v>0</v>
      </c>
      <c r="F13" s="634">
        <v>4265230.58</v>
      </c>
      <c r="G13" s="635">
        <f>IF(ISBLANK(F13),"",-F13*$M$3*1.15)</f>
        <v>0</v>
      </c>
      <c r="H13" s="653">
        <f>IF(ISBLANK(F13),"",-F13*$M$4)</f>
        <v>0</v>
      </c>
      <c r="I13" s="639">
        <v>0</v>
      </c>
      <c r="J13" s="777">
        <f t="shared" si="3"/>
        <v>4905015.1670000004</v>
      </c>
      <c r="K13" s="641">
        <v>46198</v>
      </c>
      <c r="L13" s="642">
        <v>46227</v>
      </c>
      <c r="M13" s="643">
        <v>46228</v>
      </c>
      <c r="N13" s="644" t="s">
        <v>640</v>
      </c>
      <c r="O13" s="645">
        <v>46229</v>
      </c>
      <c r="P13" s="646">
        <f t="shared" si="0"/>
        <v>1</v>
      </c>
      <c r="Q13" s="643">
        <v>46229</v>
      </c>
      <c r="R13" s="644" t="s">
        <v>640</v>
      </c>
      <c r="S13" s="779">
        <f>Q13+2</f>
        <v>46231</v>
      </c>
      <c r="T13" s="785">
        <f>S13+3</f>
        <v>46234</v>
      </c>
      <c r="U13" s="781" t="s">
        <v>640</v>
      </c>
      <c r="V13" s="809">
        <f>+T13+4</f>
        <v>46238</v>
      </c>
      <c r="W13" s="649">
        <f t="shared" si="5"/>
        <v>9</v>
      </c>
      <c r="X13" s="643">
        <v>46249</v>
      </c>
      <c r="Y13" s="776">
        <f t="shared" si="1"/>
        <v>4905015.1670000004</v>
      </c>
      <c r="Z13" s="787">
        <f t="shared" ref="Z13:Z35" si="7">IF(ISBLANK(Y13),"",Y13/J13)</f>
        <v>1</v>
      </c>
      <c r="AA13" s="651">
        <f t="shared" si="2"/>
        <v>11</v>
      </c>
      <c r="AB13" s="789">
        <f t="shared" si="4"/>
        <v>0</v>
      </c>
      <c r="AC13" s="794">
        <f t="shared" si="6"/>
        <v>21</v>
      </c>
      <c r="AD13" s="2045"/>
      <c r="AE13" s="2046"/>
    </row>
    <row r="14" spans="2:36">
      <c r="B14" s="636">
        <v>6</v>
      </c>
      <c r="C14" s="790">
        <v>6</v>
      </c>
      <c r="D14" s="897" t="s">
        <v>1305</v>
      </c>
      <c r="E14" s="898">
        <v>0</v>
      </c>
      <c r="F14" s="634">
        <v>4047847.2</v>
      </c>
      <c r="G14" s="635">
        <f t="shared" ref="G14:G40" si="8">IF(ISBLANK(F14),"",-F14*$M$3*1.15)</f>
        <v>0</v>
      </c>
      <c r="H14" s="653">
        <f>IF(ISBLANK(F14),"",-F14*$M$4)</f>
        <v>0</v>
      </c>
      <c r="I14" s="639">
        <v>2000</v>
      </c>
      <c r="J14" s="777">
        <f t="shared" si="3"/>
        <v>4657024.28</v>
      </c>
      <c r="K14" s="641">
        <v>46228</v>
      </c>
      <c r="L14" s="642">
        <v>46257</v>
      </c>
      <c r="M14" s="643">
        <v>46258</v>
      </c>
      <c r="N14" s="644" t="s">
        <v>640</v>
      </c>
      <c r="O14" s="645">
        <v>46259</v>
      </c>
      <c r="P14" s="646">
        <f t="shared" si="0"/>
        <v>1</v>
      </c>
      <c r="Q14" s="643">
        <v>46263</v>
      </c>
      <c r="R14" s="644" t="s">
        <v>640</v>
      </c>
      <c r="S14" s="642">
        <v>46264</v>
      </c>
      <c r="T14" s="785">
        <v>46267</v>
      </c>
      <c r="U14" s="781" t="s">
        <v>640</v>
      </c>
      <c r="V14" s="809">
        <v>46271</v>
      </c>
      <c r="W14" s="649">
        <f t="shared" si="5"/>
        <v>8</v>
      </c>
      <c r="X14" s="643">
        <v>46296</v>
      </c>
      <c r="Y14" s="776">
        <f t="shared" si="1"/>
        <v>4657024.28</v>
      </c>
      <c r="Z14" s="787">
        <f t="shared" si="7"/>
        <v>1</v>
      </c>
      <c r="AA14" s="651">
        <f t="shared" si="2"/>
        <v>25</v>
      </c>
      <c r="AB14" s="789">
        <f t="shared" si="4"/>
        <v>0</v>
      </c>
      <c r="AC14" s="794">
        <f t="shared" si="6"/>
        <v>38</v>
      </c>
      <c r="AD14" s="2045"/>
      <c r="AE14" s="2046"/>
    </row>
    <row r="15" spans="2:36">
      <c r="B15" s="636">
        <v>7</v>
      </c>
      <c r="C15" s="790">
        <v>7</v>
      </c>
      <c r="D15" s="897" t="s">
        <v>1325</v>
      </c>
      <c r="E15" s="898">
        <v>0</v>
      </c>
      <c r="F15" s="652">
        <v>2443132.0499999998</v>
      </c>
      <c r="G15" s="635">
        <f t="shared" si="8"/>
        <v>0</v>
      </c>
      <c r="H15" s="653">
        <f>IF(ISBLANK(F15),"",-F15*$M$4)</f>
        <v>0</v>
      </c>
      <c r="I15" s="639">
        <v>0</v>
      </c>
      <c r="J15" s="777">
        <f t="shared" si="3"/>
        <v>2809601.8574999999</v>
      </c>
      <c r="K15" s="641">
        <v>46258</v>
      </c>
      <c r="L15" s="642">
        <v>46291</v>
      </c>
      <c r="M15" s="643">
        <v>46292</v>
      </c>
      <c r="N15" s="644" t="s">
        <v>640</v>
      </c>
      <c r="O15" s="645">
        <v>46294</v>
      </c>
      <c r="P15" s="646">
        <f t="shared" si="0"/>
        <v>2</v>
      </c>
      <c r="Q15" s="643">
        <v>46296</v>
      </c>
      <c r="R15" s="644" t="s">
        <v>640</v>
      </c>
      <c r="S15" s="642">
        <v>46301</v>
      </c>
      <c r="T15" s="785">
        <v>46303</v>
      </c>
      <c r="U15" s="781" t="s">
        <v>640</v>
      </c>
      <c r="V15" s="809">
        <v>46307</v>
      </c>
      <c r="W15" s="649">
        <f t="shared" si="5"/>
        <v>11</v>
      </c>
      <c r="X15" s="643"/>
      <c r="Y15" s="776"/>
      <c r="Z15" s="787" t="str">
        <f t="shared" si="7"/>
        <v/>
      </c>
      <c r="AA15" s="651" t="str">
        <f t="shared" si="2"/>
        <v/>
      </c>
      <c r="AB15" s="789" t="str">
        <f t="shared" si="4"/>
        <v/>
      </c>
      <c r="AC15" s="794" t="str">
        <f t="shared" si="6"/>
        <v/>
      </c>
      <c r="AD15" s="2045"/>
      <c r="AE15" s="2046"/>
    </row>
    <row r="16" spans="2:36">
      <c r="B16" s="636">
        <v>8</v>
      </c>
      <c r="C16" s="790"/>
      <c r="D16" s="897"/>
      <c r="E16" s="898"/>
      <c r="F16" s="652"/>
      <c r="G16" s="635" t="str">
        <f t="shared" si="8"/>
        <v/>
      </c>
      <c r="H16" s="653" t="str">
        <f>IF(ISBLANK(F16),"",-F16*$M$4)</f>
        <v/>
      </c>
      <c r="I16" s="639"/>
      <c r="J16" s="777" t="str">
        <f t="shared" si="3"/>
        <v/>
      </c>
      <c r="K16" s="641"/>
      <c r="L16" s="642"/>
      <c r="M16" s="643"/>
      <c r="N16" s="644"/>
      <c r="O16" s="645"/>
      <c r="P16" s="646" t="str">
        <f t="shared" si="0"/>
        <v/>
      </c>
      <c r="Q16" s="643"/>
      <c r="R16" s="644"/>
      <c r="S16" s="642"/>
      <c r="T16" s="785"/>
      <c r="U16" s="781"/>
      <c r="V16" s="809"/>
      <c r="W16" s="649" t="str">
        <f>IF(ISBLANK(V16),"",V16-Q16)</f>
        <v/>
      </c>
      <c r="X16" s="643"/>
      <c r="Y16" s="776"/>
      <c r="Z16" s="787" t="str">
        <f>IF(ISBLANK(Y16),"",Y16/J16)</f>
        <v/>
      </c>
      <c r="AA16" s="651" t="str">
        <f t="shared" si="2"/>
        <v/>
      </c>
      <c r="AB16" s="789" t="str">
        <f t="shared" si="4"/>
        <v/>
      </c>
      <c r="AC16" s="794" t="str">
        <f t="shared" si="6"/>
        <v/>
      </c>
      <c r="AD16" s="2045"/>
      <c r="AE16" s="2046"/>
    </row>
    <row r="17" spans="2:31">
      <c r="B17" s="636">
        <v>9</v>
      </c>
      <c r="C17" s="790"/>
      <c r="D17" s="897"/>
      <c r="E17" s="898"/>
      <c r="F17" s="652"/>
      <c r="G17" s="635" t="str">
        <f t="shared" si="8"/>
        <v/>
      </c>
      <c r="H17" s="653" t="str">
        <f t="shared" ref="H17:H23" si="9">IF(ISBLANK(F17),"",-F17*$M$4)</f>
        <v/>
      </c>
      <c r="I17" s="639"/>
      <c r="J17" s="777" t="str">
        <f t="shared" si="3"/>
        <v/>
      </c>
      <c r="K17" s="641"/>
      <c r="L17" s="642"/>
      <c r="M17" s="643"/>
      <c r="N17" s="644"/>
      <c r="O17" s="645"/>
      <c r="P17" s="646" t="str">
        <f t="shared" si="0"/>
        <v/>
      </c>
      <c r="Q17" s="643"/>
      <c r="R17" s="644"/>
      <c r="S17" s="642"/>
      <c r="T17" s="785"/>
      <c r="U17" s="781"/>
      <c r="V17" s="809"/>
      <c r="W17" s="649" t="str">
        <f>IF(ISBLANK(V17),"",V17-Q17)</f>
        <v/>
      </c>
      <c r="X17" s="643"/>
      <c r="Y17" s="776"/>
      <c r="Z17" s="787" t="str">
        <f>IF(ISBLANK(Y17),"",Y17/J17)</f>
        <v/>
      </c>
      <c r="AA17" s="651" t="str">
        <f t="shared" si="2"/>
        <v/>
      </c>
      <c r="AB17" s="789" t="str">
        <f t="shared" si="4"/>
        <v/>
      </c>
      <c r="AC17" s="794" t="str">
        <f t="shared" si="6"/>
        <v/>
      </c>
      <c r="AD17" s="2045"/>
      <c r="AE17" s="2046"/>
    </row>
    <row r="18" spans="2:31">
      <c r="B18" s="636">
        <v>10</v>
      </c>
      <c r="C18" s="637"/>
      <c r="D18" s="897"/>
      <c r="E18" s="898"/>
      <c r="F18" s="652"/>
      <c r="G18" s="635" t="str">
        <f>IF(ISBLANK(F18),"",-F18*$M$3*1.15)</f>
        <v/>
      </c>
      <c r="H18" s="653" t="str">
        <f t="shared" si="9"/>
        <v/>
      </c>
      <c r="I18" s="639"/>
      <c r="J18" s="777" t="str">
        <f t="shared" si="3"/>
        <v/>
      </c>
      <c r="K18" s="641"/>
      <c r="L18" s="642"/>
      <c r="M18" s="643"/>
      <c r="N18" s="644"/>
      <c r="O18" s="645"/>
      <c r="P18" s="646" t="str">
        <f t="shared" ref="P18:P59" si="10">IF(ISBLANK(O18),"",O18-M18)</f>
        <v/>
      </c>
      <c r="Q18" s="643"/>
      <c r="R18" s="644"/>
      <c r="S18" s="642"/>
      <c r="T18" s="647"/>
      <c r="U18" s="644"/>
      <c r="V18" s="648"/>
      <c r="W18" s="649" t="str">
        <f>IF(ISBLANK(V18),"",V18-Q18)</f>
        <v/>
      </c>
      <c r="X18" s="643"/>
      <c r="Y18" s="776"/>
      <c r="Z18" s="787" t="str">
        <f t="shared" si="7"/>
        <v/>
      </c>
      <c r="AA18" s="651" t="str">
        <f t="shared" si="2"/>
        <v/>
      </c>
      <c r="AB18" s="789" t="str">
        <f t="shared" si="4"/>
        <v/>
      </c>
      <c r="AC18" s="794" t="str">
        <f t="shared" si="6"/>
        <v/>
      </c>
      <c r="AD18" s="2045"/>
      <c r="AE18" s="2046"/>
    </row>
    <row r="19" spans="2:31">
      <c r="B19" s="636">
        <v>11</v>
      </c>
      <c r="C19" s="637"/>
      <c r="D19" s="897"/>
      <c r="E19" s="898"/>
      <c r="F19" s="652"/>
      <c r="G19" s="635" t="str">
        <f t="shared" si="8"/>
        <v/>
      </c>
      <c r="H19" s="653" t="str">
        <f t="shared" si="9"/>
        <v/>
      </c>
      <c r="I19" s="639"/>
      <c r="J19" s="777" t="str">
        <f>IF(ISBLANK(F19),"",SUM(F19:I19)+F19*0.15)</f>
        <v/>
      </c>
      <c r="K19" s="641"/>
      <c r="L19" s="642"/>
      <c r="M19" s="643"/>
      <c r="N19" s="644"/>
      <c r="O19" s="645"/>
      <c r="P19" s="646" t="str">
        <f t="shared" si="10"/>
        <v/>
      </c>
      <c r="Q19" s="643"/>
      <c r="R19" s="644"/>
      <c r="S19" s="642"/>
      <c r="T19" s="647"/>
      <c r="U19" s="644"/>
      <c r="V19" s="648"/>
      <c r="W19" s="649" t="str">
        <f t="shared" si="5"/>
        <v/>
      </c>
      <c r="X19" s="643"/>
      <c r="Y19" s="776"/>
      <c r="Z19" s="787" t="str">
        <f t="shared" si="7"/>
        <v/>
      </c>
      <c r="AA19" s="651" t="str">
        <f t="shared" si="2"/>
        <v/>
      </c>
      <c r="AB19" s="789" t="str">
        <f t="shared" si="4"/>
        <v/>
      </c>
      <c r="AC19" s="794" t="str">
        <f t="shared" si="6"/>
        <v/>
      </c>
      <c r="AD19" s="2045"/>
      <c r="AE19" s="2046"/>
    </row>
    <row r="20" spans="2:31">
      <c r="B20" s="636">
        <v>12</v>
      </c>
      <c r="C20" s="637"/>
      <c r="D20" s="897"/>
      <c r="E20" s="898"/>
      <c r="F20" s="652"/>
      <c r="G20" s="635" t="str">
        <f t="shared" si="8"/>
        <v/>
      </c>
      <c r="H20" s="653" t="str">
        <f t="shared" si="9"/>
        <v/>
      </c>
      <c r="I20" s="639"/>
      <c r="J20" s="777" t="str">
        <f t="shared" si="3"/>
        <v/>
      </c>
      <c r="K20" s="641"/>
      <c r="L20" s="642"/>
      <c r="M20" s="643"/>
      <c r="N20" s="644"/>
      <c r="O20" s="645"/>
      <c r="P20" s="646" t="str">
        <f t="shared" si="10"/>
        <v/>
      </c>
      <c r="Q20" s="643"/>
      <c r="R20" s="644"/>
      <c r="S20" s="642"/>
      <c r="T20" s="647"/>
      <c r="U20" s="644"/>
      <c r="V20" s="648"/>
      <c r="W20" s="649" t="str">
        <f t="shared" ref="W20:W59" si="11">IF(ISBLANK(V20),"",V20-Q20)</f>
        <v/>
      </c>
      <c r="X20" s="643"/>
      <c r="Y20" s="776"/>
      <c r="Z20" s="787" t="str">
        <f t="shared" si="7"/>
        <v/>
      </c>
      <c r="AA20" s="651" t="str">
        <f t="shared" ref="AA20:AA59" si="12">IF(ISBLANK(X20),"",X20-V20)</f>
        <v/>
      </c>
      <c r="AB20" s="789" t="str">
        <f t="shared" si="4"/>
        <v/>
      </c>
      <c r="AC20" s="794" t="str">
        <f t="shared" si="6"/>
        <v/>
      </c>
      <c r="AD20" s="2045"/>
      <c r="AE20" s="2046"/>
    </row>
    <row r="21" spans="2:31">
      <c r="B21" s="636">
        <v>13</v>
      </c>
      <c r="C21" s="637"/>
      <c r="D21" s="897"/>
      <c r="E21" s="898"/>
      <c r="F21" s="652"/>
      <c r="G21" s="635" t="str">
        <f t="shared" si="8"/>
        <v/>
      </c>
      <c r="H21" s="653" t="str">
        <f t="shared" si="9"/>
        <v/>
      </c>
      <c r="I21" s="639"/>
      <c r="J21" s="777" t="str">
        <f t="shared" si="3"/>
        <v/>
      </c>
      <c r="K21" s="641"/>
      <c r="L21" s="642"/>
      <c r="M21" s="643"/>
      <c r="N21" s="644"/>
      <c r="O21" s="645"/>
      <c r="P21" s="646" t="str">
        <f t="shared" si="10"/>
        <v/>
      </c>
      <c r="Q21" s="643"/>
      <c r="R21" s="644"/>
      <c r="S21" s="642"/>
      <c r="T21" s="647"/>
      <c r="U21" s="644"/>
      <c r="V21" s="648"/>
      <c r="W21" s="649" t="str">
        <f t="shared" si="11"/>
        <v/>
      </c>
      <c r="X21" s="643"/>
      <c r="Y21" s="776"/>
      <c r="Z21" s="787" t="str">
        <f t="shared" si="7"/>
        <v/>
      </c>
      <c r="AA21" s="651" t="str">
        <f t="shared" si="12"/>
        <v/>
      </c>
      <c r="AB21" s="789" t="str">
        <f t="shared" si="4"/>
        <v/>
      </c>
      <c r="AC21" s="794" t="str">
        <f t="shared" si="6"/>
        <v/>
      </c>
      <c r="AD21" s="2045"/>
      <c r="AE21" s="2046"/>
    </row>
    <row r="22" spans="2:31">
      <c r="B22" s="636">
        <v>14</v>
      </c>
      <c r="C22" s="637"/>
      <c r="D22" s="897"/>
      <c r="E22" s="898"/>
      <c r="F22" s="652"/>
      <c r="G22" s="635" t="str">
        <f t="shared" si="8"/>
        <v/>
      </c>
      <c r="H22" s="653" t="str">
        <f t="shared" si="9"/>
        <v/>
      </c>
      <c r="I22" s="639"/>
      <c r="J22" s="777" t="str">
        <f t="shared" si="3"/>
        <v/>
      </c>
      <c r="K22" s="641"/>
      <c r="L22" s="642"/>
      <c r="M22" s="643"/>
      <c r="N22" s="644"/>
      <c r="O22" s="645"/>
      <c r="P22" s="646" t="str">
        <f t="shared" si="10"/>
        <v/>
      </c>
      <c r="Q22" s="643"/>
      <c r="R22" s="644"/>
      <c r="S22" s="642"/>
      <c r="T22" s="647"/>
      <c r="U22" s="644"/>
      <c r="V22" s="648"/>
      <c r="W22" s="649" t="str">
        <f>IF(ISBLANK(V22),"",V22-Q22)</f>
        <v/>
      </c>
      <c r="X22" s="643"/>
      <c r="Y22" s="639"/>
      <c r="Z22" s="787" t="str">
        <f t="shared" si="7"/>
        <v/>
      </c>
      <c r="AA22" s="651" t="str">
        <f t="shared" si="12"/>
        <v/>
      </c>
      <c r="AB22" s="789" t="str">
        <f t="shared" si="4"/>
        <v/>
      </c>
      <c r="AC22" s="794" t="str">
        <f t="shared" si="6"/>
        <v/>
      </c>
      <c r="AD22" s="2045"/>
      <c r="AE22" s="2046"/>
    </row>
    <row r="23" spans="2:31">
      <c r="B23" s="636">
        <v>15</v>
      </c>
      <c r="C23" s="637"/>
      <c r="D23" s="637"/>
      <c r="E23" s="773"/>
      <c r="F23" s="652"/>
      <c r="G23" s="635" t="str">
        <f t="shared" si="8"/>
        <v/>
      </c>
      <c r="H23" s="653" t="str">
        <f t="shared" si="9"/>
        <v/>
      </c>
      <c r="I23" s="639"/>
      <c r="J23" s="777" t="str">
        <f t="shared" si="3"/>
        <v/>
      </c>
      <c r="K23" s="641"/>
      <c r="L23" s="642"/>
      <c r="M23" s="643"/>
      <c r="N23" s="644"/>
      <c r="O23" s="645"/>
      <c r="P23" s="646" t="str">
        <f t="shared" si="10"/>
        <v/>
      </c>
      <c r="Q23" s="643"/>
      <c r="R23" s="644"/>
      <c r="S23" s="642"/>
      <c r="T23" s="647"/>
      <c r="U23" s="644"/>
      <c r="V23" s="648"/>
      <c r="W23" s="649" t="str">
        <f t="shared" si="11"/>
        <v/>
      </c>
      <c r="X23" s="643"/>
      <c r="Y23" s="639"/>
      <c r="Z23" s="787" t="str">
        <f t="shared" si="7"/>
        <v/>
      </c>
      <c r="AA23" s="651" t="str">
        <f t="shared" si="12"/>
        <v/>
      </c>
      <c r="AB23" s="789" t="str">
        <f t="shared" si="4"/>
        <v/>
      </c>
      <c r="AC23" s="794" t="str">
        <f t="shared" si="6"/>
        <v/>
      </c>
      <c r="AD23" s="2045"/>
      <c r="AE23" s="2046"/>
    </row>
    <row r="24" spans="2:31">
      <c r="B24" s="636">
        <v>16</v>
      </c>
      <c r="C24" s="637"/>
      <c r="D24" s="637"/>
      <c r="E24" s="773"/>
      <c r="F24" s="652"/>
      <c r="G24" s="635" t="str">
        <f t="shared" si="8"/>
        <v/>
      </c>
      <c r="H24" s="653" t="str">
        <f>IF(ISBLANK(F24),"",-F24*$M$4)</f>
        <v/>
      </c>
      <c r="I24" s="639"/>
      <c r="J24" s="777" t="str">
        <f t="shared" si="3"/>
        <v/>
      </c>
      <c r="K24" s="641"/>
      <c r="L24" s="642"/>
      <c r="M24" s="643"/>
      <c r="N24" s="644"/>
      <c r="O24" s="645"/>
      <c r="P24" s="646" t="str">
        <f t="shared" si="10"/>
        <v/>
      </c>
      <c r="Q24" s="643"/>
      <c r="R24" s="644"/>
      <c r="S24" s="642"/>
      <c r="T24" s="647"/>
      <c r="U24" s="644"/>
      <c r="V24" s="648"/>
      <c r="W24" s="649" t="str">
        <f t="shared" si="11"/>
        <v/>
      </c>
      <c r="X24" s="643"/>
      <c r="Y24" s="639"/>
      <c r="Z24" s="787" t="str">
        <f t="shared" si="7"/>
        <v/>
      </c>
      <c r="AA24" s="651" t="str">
        <f t="shared" si="12"/>
        <v/>
      </c>
      <c r="AB24" s="789" t="str">
        <f t="shared" si="4"/>
        <v/>
      </c>
      <c r="AC24" s="794" t="str">
        <f t="shared" si="6"/>
        <v/>
      </c>
      <c r="AD24" s="2045"/>
      <c r="AE24" s="2046"/>
    </row>
    <row r="25" spans="2:31">
      <c r="B25" s="636">
        <v>17</v>
      </c>
      <c r="C25" s="637"/>
      <c r="D25" s="637"/>
      <c r="E25" s="773"/>
      <c r="F25" s="652"/>
      <c r="G25" s="635" t="str">
        <f t="shared" si="8"/>
        <v/>
      </c>
      <c r="H25" s="653" t="str">
        <f t="shared" ref="H25:H58" si="13">IF(ISBLANK(F25),"",-F25*$M$4)</f>
        <v/>
      </c>
      <c r="I25" s="639"/>
      <c r="J25" s="777" t="str">
        <f t="shared" si="3"/>
        <v/>
      </c>
      <c r="K25" s="641"/>
      <c r="L25" s="642"/>
      <c r="M25" s="643"/>
      <c r="N25" s="644"/>
      <c r="O25" s="645"/>
      <c r="P25" s="646" t="str">
        <f t="shared" si="10"/>
        <v/>
      </c>
      <c r="Q25" s="643"/>
      <c r="R25" s="644"/>
      <c r="S25" s="642"/>
      <c r="T25" s="647"/>
      <c r="U25" s="644"/>
      <c r="V25" s="648"/>
      <c r="W25" s="649" t="str">
        <f t="shared" si="11"/>
        <v/>
      </c>
      <c r="X25" s="643"/>
      <c r="Y25" s="639"/>
      <c r="Z25" s="787" t="str">
        <f t="shared" si="7"/>
        <v/>
      </c>
      <c r="AA25" s="651" t="str">
        <f t="shared" si="12"/>
        <v/>
      </c>
      <c r="AB25" s="789" t="str">
        <f t="shared" si="4"/>
        <v/>
      </c>
      <c r="AC25" s="794" t="str">
        <f t="shared" si="6"/>
        <v/>
      </c>
      <c r="AD25" s="2045"/>
      <c r="AE25" s="2046"/>
    </row>
    <row r="26" spans="2:31">
      <c r="B26" s="636">
        <v>18</v>
      </c>
      <c r="C26" s="637"/>
      <c r="D26" s="637"/>
      <c r="E26" s="773"/>
      <c r="F26" s="652"/>
      <c r="G26" s="635" t="str">
        <f t="shared" si="8"/>
        <v/>
      </c>
      <c r="H26" s="653" t="str">
        <f t="shared" si="13"/>
        <v/>
      </c>
      <c r="I26" s="639"/>
      <c r="J26" s="777" t="str">
        <f t="shared" si="3"/>
        <v/>
      </c>
      <c r="K26" s="641"/>
      <c r="L26" s="642"/>
      <c r="M26" s="643"/>
      <c r="N26" s="644"/>
      <c r="O26" s="645"/>
      <c r="P26" s="646" t="str">
        <f t="shared" si="10"/>
        <v/>
      </c>
      <c r="Q26" s="643"/>
      <c r="R26" s="644"/>
      <c r="S26" s="642"/>
      <c r="T26" s="647"/>
      <c r="U26" s="644"/>
      <c r="V26" s="648"/>
      <c r="W26" s="649" t="str">
        <f t="shared" si="11"/>
        <v/>
      </c>
      <c r="X26" s="643"/>
      <c r="Y26" s="639"/>
      <c r="Z26" s="787" t="str">
        <f t="shared" si="7"/>
        <v/>
      </c>
      <c r="AA26" s="651" t="str">
        <f t="shared" si="12"/>
        <v/>
      </c>
      <c r="AB26" s="789" t="str">
        <f t="shared" si="4"/>
        <v/>
      </c>
      <c r="AC26" s="794" t="str">
        <f t="shared" si="6"/>
        <v/>
      </c>
      <c r="AD26" s="2045"/>
      <c r="AE26" s="2046"/>
    </row>
    <row r="27" spans="2:31">
      <c r="B27" s="636">
        <v>19</v>
      </c>
      <c r="C27" s="637"/>
      <c r="D27" s="637"/>
      <c r="E27" s="773"/>
      <c r="F27" s="652"/>
      <c r="G27" s="635" t="str">
        <f t="shared" si="8"/>
        <v/>
      </c>
      <c r="H27" s="653" t="str">
        <f t="shared" si="13"/>
        <v/>
      </c>
      <c r="I27" s="639"/>
      <c r="J27" s="777" t="str">
        <f t="shared" si="3"/>
        <v/>
      </c>
      <c r="K27" s="641"/>
      <c r="L27" s="642"/>
      <c r="M27" s="643"/>
      <c r="N27" s="644"/>
      <c r="O27" s="645"/>
      <c r="P27" s="646" t="str">
        <f t="shared" si="10"/>
        <v/>
      </c>
      <c r="Q27" s="643"/>
      <c r="R27" s="644"/>
      <c r="S27" s="642"/>
      <c r="T27" s="647"/>
      <c r="U27" s="644"/>
      <c r="V27" s="648"/>
      <c r="W27" s="649" t="str">
        <f t="shared" si="11"/>
        <v/>
      </c>
      <c r="X27" s="643"/>
      <c r="Y27" s="639"/>
      <c r="Z27" s="787" t="str">
        <f t="shared" si="7"/>
        <v/>
      </c>
      <c r="AA27" s="651" t="str">
        <f t="shared" si="12"/>
        <v/>
      </c>
      <c r="AB27" s="789" t="str">
        <f t="shared" si="4"/>
        <v/>
      </c>
      <c r="AC27" s="794" t="str">
        <f t="shared" si="6"/>
        <v/>
      </c>
      <c r="AD27" s="2045"/>
      <c r="AE27" s="2046"/>
    </row>
    <row r="28" spans="2:31">
      <c r="B28" s="636">
        <v>20</v>
      </c>
      <c r="C28" s="637"/>
      <c r="D28" s="637"/>
      <c r="E28" s="773"/>
      <c r="F28" s="652"/>
      <c r="G28" s="635" t="str">
        <f t="shared" si="8"/>
        <v/>
      </c>
      <c r="H28" s="653" t="str">
        <f t="shared" si="13"/>
        <v/>
      </c>
      <c r="I28" s="639"/>
      <c r="J28" s="777" t="str">
        <f t="shared" si="3"/>
        <v/>
      </c>
      <c r="K28" s="641"/>
      <c r="L28" s="642"/>
      <c r="M28" s="643"/>
      <c r="N28" s="644"/>
      <c r="O28" s="645"/>
      <c r="P28" s="646" t="str">
        <f t="shared" si="10"/>
        <v/>
      </c>
      <c r="Q28" s="643"/>
      <c r="R28" s="644"/>
      <c r="S28" s="642"/>
      <c r="T28" s="647"/>
      <c r="U28" s="644"/>
      <c r="V28" s="648"/>
      <c r="W28" s="649" t="str">
        <f t="shared" si="11"/>
        <v/>
      </c>
      <c r="X28" s="643"/>
      <c r="Y28" s="639"/>
      <c r="Z28" s="787" t="str">
        <f t="shared" si="7"/>
        <v/>
      </c>
      <c r="AA28" s="651" t="str">
        <f t="shared" si="12"/>
        <v/>
      </c>
      <c r="AB28" s="789" t="str">
        <f t="shared" si="4"/>
        <v/>
      </c>
      <c r="AC28" s="794" t="str">
        <f t="shared" si="6"/>
        <v/>
      </c>
      <c r="AD28" s="2045"/>
      <c r="AE28" s="2046"/>
    </row>
    <row r="29" spans="2:31">
      <c r="B29" s="636">
        <v>21</v>
      </c>
      <c r="C29" s="637"/>
      <c r="D29" s="637"/>
      <c r="E29" s="773"/>
      <c r="F29" s="652"/>
      <c r="G29" s="635" t="str">
        <f t="shared" si="8"/>
        <v/>
      </c>
      <c r="H29" s="653" t="str">
        <f t="shared" si="13"/>
        <v/>
      </c>
      <c r="I29" s="639"/>
      <c r="J29" s="777" t="str">
        <f t="shared" si="3"/>
        <v/>
      </c>
      <c r="K29" s="641"/>
      <c r="L29" s="642"/>
      <c r="M29" s="643"/>
      <c r="N29" s="644"/>
      <c r="O29" s="645"/>
      <c r="P29" s="646" t="str">
        <f t="shared" si="10"/>
        <v/>
      </c>
      <c r="Q29" s="643"/>
      <c r="R29" s="644"/>
      <c r="S29" s="642"/>
      <c r="T29" s="647"/>
      <c r="U29" s="644"/>
      <c r="V29" s="648"/>
      <c r="W29" s="649" t="str">
        <f t="shared" si="11"/>
        <v/>
      </c>
      <c r="X29" s="643"/>
      <c r="Y29" s="639"/>
      <c r="Z29" s="787" t="str">
        <f t="shared" si="7"/>
        <v/>
      </c>
      <c r="AA29" s="651" t="str">
        <f t="shared" si="12"/>
        <v/>
      </c>
      <c r="AB29" s="789" t="str">
        <f t="shared" si="4"/>
        <v/>
      </c>
      <c r="AC29" s="794" t="str">
        <f t="shared" si="6"/>
        <v/>
      </c>
      <c r="AD29" s="2045"/>
      <c r="AE29" s="2046"/>
    </row>
    <row r="30" spans="2:31">
      <c r="B30" s="636">
        <v>22</v>
      </c>
      <c r="C30" s="637"/>
      <c r="D30" s="637"/>
      <c r="E30" s="773"/>
      <c r="F30" s="652"/>
      <c r="G30" s="635" t="str">
        <f t="shared" si="8"/>
        <v/>
      </c>
      <c r="H30" s="653" t="str">
        <f t="shared" si="13"/>
        <v/>
      </c>
      <c r="I30" s="639"/>
      <c r="J30" s="777" t="str">
        <f t="shared" si="3"/>
        <v/>
      </c>
      <c r="K30" s="641"/>
      <c r="L30" s="642"/>
      <c r="M30" s="643"/>
      <c r="N30" s="644"/>
      <c r="O30" s="645"/>
      <c r="P30" s="646" t="str">
        <f t="shared" si="10"/>
        <v/>
      </c>
      <c r="Q30" s="643"/>
      <c r="R30" s="644"/>
      <c r="S30" s="642"/>
      <c r="T30" s="647"/>
      <c r="U30" s="644"/>
      <c r="V30" s="648"/>
      <c r="W30" s="649" t="str">
        <f t="shared" si="11"/>
        <v/>
      </c>
      <c r="X30" s="643"/>
      <c r="Y30" s="639"/>
      <c r="Z30" s="787" t="str">
        <f t="shared" si="7"/>
        <v/>
      </c>
      <c r="AA30" s="651" t="str">
        <f t="shared" si="12"/>
        <v/>
      </c>
      <c r="AB30" s="789" t="str">
        <f t="shared" si="4"/>
        <v/>
      </c>
      <c r="AC30" s="794" t="str">
        <f t="shared" si="6"/>
        <v/>
      </c>
      <c r="AD30" s="2045"/>
      <c r="AE30" s="2046"/>
    </row>
    <row r="31" spans="2:31">
      <c r="B31" s="636">
        <v>23</v>
      </c>
      <c r="C31" s="637"/>
      <c r="D31" s="637"/>
      <c r="E31" s="638"/>
      <c r="F31" s="652"/>
      <c r="G31" s="635" t="str">
        <f t="shared" si="8"/>
        <v/>
      </c>
      <c r="H31" s="653" t="str">
        <f t="shared" si="13"/>
        <v/>
      </c>
      <c r="I31" s="639"/>
      <c r="J31" s="777" t="str">
        <f t="shared" si="3"/>
        <v/>
      </c>
      <c r="K31" s="641"/>
      <c r="L31" s="642"/>
      <c r="M31" s="643"/>
      <c r="N31" s="644"/>
      <c r="O31" s="645"/>
      <c r="P31" s="646" t="str">
        <f t="shared" si="10"/>
        <v/>
      </c>
      <c r="Q31" s="643"/>
      <c r="R31" s="644"/>
      <c r="S31" s="642"/>
      <c r="T31" s="647"/>
      <c r="U31" s="644"/>
      <c r="V31" s="648"/>
      <c r="W31" s="649" t="str">
        <f t="shared" si="11"/>
        <v/>
      </c>
      <c r="X31" s="643"/>
      <c r="Y31" s="639"/>
      <c r="Z31" s="787" t="str">
        <f t="shared" si="7"/>
        <v/>
      </c>
      <c r="AA31" s="651" t="str">
        <f t="shared" si="12"/>
        <v/>
      </c>
      <c r="AB31" s="789" t="str">
        <f t="shared" si="4"/>
        <v/>
      </c>
      <c r="AC31" s="794" t="str">
        <f t="shared" si="6"/>
        <v/>
      </c>
      <c r="AD31" s="2045"/>
      <c r="AE31" s="2046"/>
    </row>
    <row r="32" spans="2:31">
      <c r="B32" s="636">
        <v>24</v>
      </c>
      <c r="C32" s="637"/>
      <c r="D32" s="637"/>
      <c r="E32" s="638"/>
      <c r="F32" s="652"/>
      <c r="G32" s="635" t="str">
        <f t="shared" si="8"/>
        <v/>
      </c>
      <c r="H32" s="653" t="str">
        <f t="shared" si="13"/>
        <v/>
      </c>
      <c r="I32" s="639"/>
      <c r="J32" s="777" t="str">
        <f t="shared" si="3"/>
        <v/>
      </c>
      <c r="K32" s="641"/>
      <c r="L32" s="642"/>
      <c r="M32" s="643"/>
      <c r="N32" s="644"/>
      <c r="O32" s="645"/>
      <c r="P32" s="646" t="str">
        <f t="shared" si="10"/>
        <v/>
      </c>
      <c r="Q32" s="643"/>
      <c r="R32" s="644"/>
      <c r="S32" s="642"/>
      <c r="T32" s="647"/>
      <c r="U32" s="644"/>
      <c r="V32" s="648"/>
      <c r="W32" s="649" t="str">
        <f t="shared" si="11"/>
        <v/>
      </c>
      <c r="X32" s="643"/>
      <c r="Y32" s="639"/>
      <c r="Z32" s="787" t="str">
        <f t="shared" si="7"/>
        <v/>
      </c>
      <c r="AA32" s="651" t="str">
        <f t="shared" si="12"/>
        <v/>
      </c>
      <c r="AB32" s="789" t="str">
        <f t="shared" si="4"/>
        <v/>
      </c>
      <c r="AC32" s="794" t="str">
        <f t="shared" si="6"/>
        <v/>
      </c>
      <c r="AD32" s="2045"/>
      <c r="AE32" s="2046"/>
    </row>
    <row r="33" spans="2:31">
      <c r="B33" s="636">
        <v>25</v>
      </c>
      <c r="C33" s="637"/>
      <c r="D33" s="637"/>
      <c r="E33" s="638"/>
      <c r="F33" s="652"/>
      <c r="G33" s="635" t="str">
        <f t="shared" si="8"/>
        <v/>
      </c>
      <c r="H33" s="653" t="str">
        <f t="shared" si="13"/>
        <v/>
      </c>
      <c r="I33" s="639"/>
      <c r="J33" s="777" t="str">
        <f t="shared" si="3"/>
        <v/>
      </c>
      <c r="K33" s="641"/>
      <c r="L33" s="642"/>
      <c r="M33" s="643"/>
      <c r="N33" s="644"/>
      <c r="O33" s="645"/>
      <c r="P33" s="646" t="str">
        <f t="shared" si="10"/>
        <v/>
      </c>
      <c r="Q33" s="643"/>
      <c r="R33" s="644"/>
      <c r="S33" s="642"/>
      <c r="T33" s="647"/>
      <c r="U33" s="644"/>
      <c r="V33" s="648"/>
      <c r="W33" s="649" t="str">
        <f t="shared" si="11"/>
        <v/>
      </c>
      <c r="X33" s="643"/>
      <c r="Y33" s="639"/>
      <c r="Z33" s="787" t="str">
        <f t="shared" si="7"/>
        <v/>
      </c>
      <c r="AA33" s="651" t="str">
        <f t="shared" si="12"/>
        <v/>
      </c>
      <c r="AB33" s="789" t="str">
        <f t="shared" si="4"/>
        <v/>
      </c>
      <c r="AC33" s="794" t="str">
        <f t="shared" si="6"/>
        <v/>
      </c>
      <c r="AD33" s="2045"/>
      <c r="AE33" s="2046"/>
    </row>
    <row r="34" spans="2:31">
      <c r="B34" s="636">
        <v>26</v>
      </c>
      <c r="C34" s="637"/>
      <c r="D34" s="637"/>
      <c r="E34" s="638"/>
      <c r="F34" s="652"/>
      <c r="G34" s="635" t="str">
        <f t="shared" si="8"/>
        <v/>
      </c>
      <c r="H34" s="653" t="str">
        <f t="shared" si="13"/>
        <v/>
      </c>
      <c r="I34" s="639"/>
      <c r="J34" s="777" t="str">
        <f t="shared" si="3"/>
        <v/>
      </c>
      <c r="K34" s="641"/>
      <c r="L34" s="642"/>
      <c r="M34" s="643"/>
      <c r="N34" s="644"/>
      <c r="O34" s="645"/>
      <c r="P34" s="646" t="str">
        <f t="shared" si="10"/>
        <v/>
      </c>
      <c r="Q34" s="643"/>
      <c r="R34" s="644"/>
      <c r="S34" s="642"/>
      <c r="T34" s="647"/>
      <c r="U34" s="644"/>
      <c r="V34" s="648"/>
      <c r="W34" s="649" t="str">
        <f t="shared" si="11"/>
        <v/>
      </c>
      <c r="X34" s="643"/>
      <c r="Y34" s="639"/>
      <c r="Z34" s="787" t="str">
        <f t="shared" si="7"/>
        <v/>
      </c>
      <c r="AA34" s="651" t="str">
        <f t="shared" si="12"/>
        <v/>
      </c>
      <c r="AB34" s="789" t="str">
        <f t="shared" si="4"/>
        <v/>
      </c>
      <c r="AC34" s="794" t="str">
        <f t="shared" si="6"/>
        <v/>
      </c>
      <c r="AD34" s="2045"/>
      <c r="AE34" s="2046"/>
    </row>
    <row r="35" spans="2:31">
      <c r="B35" s="636">
        <v>27</v>
      </c>
      <c r="C35" s="637"/>
      <c r="D35" s="637"/>
      <c r="E35" s="638"/>
      <c r="F35" s="652"/>
      <c r="G35" s="635" t="str">
        <f t="shared" si="8"/>
        <v/>
      </c>
      <c r="H35" s="653" t="str">
        <f t="shared" si="13"/>
        <v/>
      </c>
      <c r="I35" s="639"/>
      <c r="J35" s="777" t="str">
        <f t="shared" si="3"/>
        <v/>
      </c>
      <c r="K35" s="641"/>
      <c r="L35" s="642"/>
      <c r="M35" s="643"/>
      <c r="N35" s="644"/>
      <c r="O35" s="645"/>
      <c r="P35" s="646" t="str">
        <f t="shared" si="10"/>
        <v/>
      </c>
      <c r="Q35" s="643"/>
      <c r="R35" s="644"/>
      <c r="S35" s="642"/>
      <c r="T35" s="647"/>
      <c r="U35" s="644"/>
      <c r="V35" s="648"/>
      <c r="W35" s="649" t="str">
        <f t="shared" si="11"/>
        <v/>
      </c>
      <c r="X35" s="643"/>
      <c r="Y35" s="639"/>
      <c r="Z35" s="787" t="str">
        <f t="shared" si="7"/>
        <v/>
      </c>
      <c r="AA35" s="651" t="str">
        <f t="shared" si="12"/>
        <v/>
      </c>
      <c r="AB35" s="789" t="str">
        <f t="shared" si="4"/>
        <v/>
      </c>
      <c r="AC35" s="794" t="str">
        <f t="shared" si="6"/>
        <v/>
      </c>
      <c r="AD35" s="2045"/>
      <c r="AE35" s="2046"/>
    </row>
    <row r="36" spans="2:31">
      <c r="B36" s="636">
        <v>28</v>
      </c>
      <c r="C36" s="637"/>
      <c r="D36" s="637"/>
      <c r="E36" s="638"/>
      <c r="F36" s="652"/>
      <c r="G36" s="635" t="str">
        <f t="shared" si="8"/>
        <v/>
      </c>
      <c r="H36" s="653" t="str">
        <f t="shared" si="13"/>
        <v/>
      </c>
      <c r="I36" s="639"/>
      <c r="J36" s="777" t="str">
        <f t="shared" si="3"/>
        <v/>
      </c>
      <c r="K36" s="641"/>
      <c r="L36" s="642"/>
      <c r="M36" s="643"/>
      <c r="N36" s="644"/>
      <c r="O36" s="645"/>
      <c r="P36" s="646" t="str">
        <f t="shared" si="10"/>
        <v/>
      </c>
      <c r="Q36" s="643"/>
      <c r="R36" s="644"/>
      <c r="S36" s="642"/>
      <c r="T36" s="647"/>
      <c r="U36" s="644"/>
      <c r="V36" s="648"/>
      <c r="W36" s="649" t="str">
        <f t="shared" si="11"/>
        <v/>
      </c>
      <c r="X36" s="643"/>
      <c r="Y36" s="639"/>
      <c r="Z36" s="650" t="str">
        <f t="shared" ref="Z36:Z58" si="14">IF(ISBLANK(Y36),"",Y36/F36)</f>
        <v/>
      </c>
      <c r="AA36" s="651" t="str">
        <f t="shared" si="12"/>
        <v/>
      </c>
      <c r="AB36" s="789" t="str">
        <f t="shared" si="4"/>
        <v/>
      </c>
      <c r="AC36" s="794" t="str">
        <f t="shared" si="6"/>
        <v/>
      </c>
      <c r="AD36" s="2045"/>
      <c r="AE36" s="2046"/>
    </row>
    <row r="37" spans="2:31">
      <c r="B37" s="636">
        <v>29</v>
      </c>
      <c r="C37" s="637"/>
      <c r="D37" s="637"/>
      <c r="E37" s="638"/>
      <c r="F37" s="652"/>
      <c r="G37" s="635" t="str">
        <f t="shared" si="8"/>
        <v/>
      </c>
      <c r="H37" s="653" t="str">
        <f t="shared" si="13"/>
        <v/>
      </c>
      <c r="I37" s="639"/>
      <c r="J37" s="777" t="str">
        <f t="shared" si="3"/>
        <v/>
      </c>
      <c r="K37" s="641"/>
      <c r="L37" s="642"/>
      <c r="M37" s="643"/>
      <c r="N37" s="644"/>
      <c r="O37" s="645"/>
      <c r="P37" s="646" t="str">
        <f t="shared" si="10"/>
        <v/>
      </c>
      <c r="Q37" s="643"/>
      <c r="R37" s="644"/>
      <c r="S37" s="642"/>
      <c r="T37" s="647"/>
      <c r="U37" s="644"/>
      <c r="V37" s="648"/>
      <c r="W37" s="649" t="str">
        <f t="shared" si="11"/>
        <v/>
      </c>
      <c r="X37" s="643"/>
      <c r="Y37" s="639"/>
      <c r="Z37" s="650" t="str">
        <f t="shared" si="14"/>
        <v/>
      </c>
      <c r="AA37" s="651" t="str">
        <f t="shared" si="12"/>
        <v/>
      </c>
      <c r="AB37" s="789" t="str">
        <f t="shared" si="4"/>
        <v/>
      </c>
      <c r="AC37" s="794" t="str">
        <f t="shared" si="6"/>
        <v/>
      </c>
      <c r="AD37" s="2045"/>
      <c r="AE37" s="2046"/>
    </row>
    <row r="38" spans="2:31">
      <c r="B38" s="636">
        <v>30</v>
      </c>
      <c r="C38" s="637"/>
      <c r="D38" s="637"/>
      <c r="E38" s="638"/>
      <c r="F38" s="652"/>
      <c r="G38" s="635" t="str">
        <f t="shared" si="8"/>
        <v/>
      </c>
      <c r="H38" s="653" t="str">
        <f t="shared" si="13"/>
        <v/>
      </c>
      <c r="I38" s="639"/>
      <c r="J38" s="777" t="str">
        <f t="shared" si="3"/>
        <v/>
      </c>
      <c r="K38" s="641"/>
      <c r="L38" s="642"/>
      <c r="M38" s="643"/>
      <c r="N38" s="644"/>
      <c r="O38" s="645"/>
      <c r="P38" s="646" t="str">
        <f t="shared" si="10"/>
        <v/>
      </c>
      <c r="Q38" s="643"/>
      <c r="R38" s="644"/>
      <c r="S38" s="642"/>
      <c r="T38" s="647"/>
      <c r="U38" s="644"/>
      <c r="V38" s="648"/>
      <c r="W38" s="649" t="str">
        <f t="shared" si="11"/>
        <v/>
      </c>
      <c r="X38" s="643"/>
      <c r="Y38" s="639"/>
      <c r="Z38" s="650" t="str">
        <f t="shared" si="14"/>
        <v/>
      </c>
      <c r="AA38" s="651" t="str">
        <f t="shared" si="12"/>
        <v/>
      </c>
      <c r="AB38" s="640" t="str">
        <f t="shared" ref="AB38:AB58" si="15">IF(ISBLANK(Y38),"",(F38-Y38))</f>
        <v/>
      </c>
      <c r="AC38" s="794" t="str">
        <f t="shared" si="6"/>
        <v/>
      </c>
      <c r="AD38" s="2045"/>
      <c r="AE38" s="2046"/>
    </row>
    <row r="39" spans="2:31">
      <c r="B39" s="636">
        <v>31</v>
      </c>
      <c r="C39" s="637"/>
      <c r="D39" s="637"/>
      <c r="E39" s="638"/>
      <c r="F39" s="652"/>
      <c r="G39" s="635" t="str">
        <f t="shared" si="8"/>
        <v/>
      </c>
      <c r="H39" s="653" t="str">
        <f t="shared" si="13"/>
        <v/>
      </c>
      <c r="I39" s="639"/>
      <c r="J39" s="777" t="str">
        <f t="shared" si="3"/>
        <v/>
      </c>
      <c r="K39" s="641"/>
      <c r="L39" s="642"/>
      <c r="M39" s="643"/>
      <c r="N39" s="644"/>
      <c r="O39" s="645"/>
      <c r="P39" s="646" t="str">
        <f t="shared" si="10"/>
        <v/>
      </c>
      <c r="Q39" s="643"/>
      <c r="R39" s="644"/>
      <c r="S39" s="642"/>
      <c r="T39" s="647"/>
      <c r="U39" s="644"/>
      <c r="V39" s="648"/>
      <c r="W39" s="649" t="str">
        <f t="shared" si="11"/>
        <v/>
      </c>
      <c r="X39" s="643"/>
      <c r="Y39" s="639"/>
      <c r="Z39" s="650" t="str">
        <f t="shared" si="14"/>
        <v/>
      </c>
      <c r="AA39" s="651" t="str">
        <f t="shared" si="12"/>
        <v/>
      </c>
      <c r="AB39" s="640" t="str">
        <f t="shared" si="15"/>
        <v/>
      </c>
      <c r="AC39" s="794" t="str">
        <f t="shared" si="6"/>
        <v/>
      </c>
      <c r="AD39" s="2045"/>
      <c r="AE39" s="2046"/>
    </row>
    <row r="40" spans="2:31">
      <c r="B40" s="636">
        <v>32</v>
      </c>
      <c r="C40" s="637"/>
      <c r="D40" s="637"/>
      <c r="E40" s="638"/>
      <c r="F40" s="652"/>
      <c r="G40" s="635" t="str">
        <f t="shared" si="8"/>
        <v/>
      </c>
      <c r="H40" s="653" t="str">
        <f t="shared" si="13"/>
        <v/>
      </c>
      <c r="I40" s="639"/>
      <c r="J40" s="777" t="str">
        <f t="shared" si="3"/>
        <v/>
      </c>
      <c r="K40" s="641"/>
      <c r="L40" s="642"/>
      <c r="M40" s="643"/>
      <c r="N40" s="644"/>
      <c r="O40" s="645"/>
      <c r="P40" s="646" t="str">
        <f t="shared" si="10"/>
        <v/>
      </c>
      <c r="Q40" s="643"/>
      <c r="R40" s="644"/>
      <c r="S40" s="642"/>
      <c r="T40" s="647"/>
      <c r="U40" s="644"/>
      <c r="V40" s="648"/>
      <c r="W40" s="649" t="str">
        <f t="shared" si="11"/>
        <v/>
      </c>
      <c r="X40" s="643"/>
      <c r="Y40" s="639"/>
      <c r="Z40" s="650" t="str">
        <f t="shared" si="14"/>
        <v/>
      </c>
      <c r="AA40" s="651" t="str">
        <f t="shared" si="12"/>
        <v/>
      </c>
      <c r="AB40" s="640" t="str">
        <f t="shared" si="15"/>
        <v/>
      </c>
      <c r="AC40" s="794" t="str">
        <f t="shared" si="6"/>
        <v/>
      </c>
      <c r="AD40" s="2045"/>
      <c r="AE40" s="2046"/>
    </row>
    <row r="41" spans="2:31">
      <c r="B41" s="636">
        <v>33</v>
      </c>
      <c r="C41" s="637"/>
      <c r="D41" s="637"/>
      <c r="E41" s="638"/>
      <c r="F41" s="652"/>
      <c r="G41" s="653" t="str">
        <f t="shared" ref="G41:G58" si="16">IF(ISBLANK(F41),"",-F41*$M$3*1.15)</f>
        <v/>
      </c>
      <c r="H41" s="653" t="str">
        <f t="shared" si="13"/>
        <v/>
      </c>
      <c r="I41" s="639"/>
      <c r="J41" s="777" t="str">
        <f t="shared" si="3"/>
        <v/>
      </c>
      <c r="K41" s="641"/>
      <c r="L41" s="642"/>
      <c r="M41" s="643"/>
      <c r="N41" s="644"/>
      <c r="O41" s="645"/>
      <c r="P41" s="646" t="str">
        <f t="shared" si="10"/>
        <v/>
      </c>
      <c r="Q41" s="643"/>
      <c r="R41" s="644"/>
      <c r="S41" s="642"/>
      <c r="T41" s="647"/>
      <c r="U41" s="644"/>
      <c r="V41" s="648"/>
      <c r="W41" s="649" t="str">
        <f t="shared" si="11"/>
        <v/>
      </c>
      <c r="X41" s="643"/>
      <c r="Y41" s="639"/>
      <c r="Z41" s="650" t="str">
        <f t="shared" si="14"/>
        <v/>
      </c>
      <c r="AA41" s="651" t="str">
        <f t="shared" si="12"/>
        <v/>
      </c>
      <c r="AB41" s="640" t="str">
        <f t="shared" si="15"/>
        <v/>
      </c>
      <c r="AC41" s="794" t="str">
        <f t="shared" si="6"/>
        <v/>
      </c>
      <c r="AD41" s="2045"/>
      <c r="AE41" s="2046"/>
    </row>
    <row r="42" spans="2:31">
      <c r="B42" s="636">
        <v>34</v>
      </c>
      <c r="C42" s="637"/>
      <c r="D42" s="637"/>
      <c r="E42" s="638"/>
      <c r="F42" s="652"/>
      <c r="G42" s="653" t="str">
        <f t="shared" si="16"/>
        <v/>
      </c>
      <c r="H42" s="653" t="str">
        <f t="shared" si="13"/>
        <v/>
      </c>
      <c r="I42" s="639"/>
      <c r="J42" s="777" t="str">
        <f t="shared" si="3"/>
        <v/>
      </c>
      <c r="K42" s="641"/>
      <c r="L42" s="642"/>
      <c r="M42" s="643"/>
      <c r="N42" s="644"/>
      <c r="O42" s="645"/>
      <c r="P42" s="646" t="str">
        <f t="shared" si="10"/>
        <v/>
      </c>
      <c r="Q42" s="643"/>
      <c r="R42" s="644"/>
      <c r="S42" s="642"/>
      <c r="T42" s="647"/>
      <c r="U42" s="644"/>
      <c r="V42" s="648"/>
      <c r="W42" s="649" t="str">
        <f t="shared" si="11"/>
        <v/>
      </c>
      <c r="X42" s="643"/>
      <c r="Y42" s="639"/>
      <c r="Z42" s="650" t="str">
        <f t="shared" si="14"/>
        <v/>
      </c>
      <c r="AA42" s="651" t="str">
        <f t="shared" si="12"/>
        <v/>
      </c>
      <c r="AB42" s="640" t="str">
        <f t="shared" si="15"/>
        <v/>
      </c>
      <c r="AC42" s="794" t="str">
        <f t="shared" si="6"/>
        <v/>
      </c>
      <c r="AD42" s="2045"/>
      <c r="AE42" s="2046"/>
    </row>
    <row r="43" spans="2:31">
      <c r="B43" s="636">
        <v>35</v>
      </c>
      <c r="C43" s="637"/>
      <c r="D43" s="637"/>
      <c r="E43" s="638"/>
      <c r="F43" s="652"/>
      <c r="G43" s="653" t="str">
        <f t="shared" si="16"/>
        <v/>
      </c>
      <c r="H43" s="653" t="str">
        <f t="shared" si="13"/>
        <v/>
      </c>
      <c r="I43" s="639"/>
      <c r="J43" s="777" t="str">
        <f t="shared" si="3"/>
        <v/>
      </c>
      <c r="K43" s="641"/>
      <c r="L43" s="642"/>
      <c r="M43" s="643"/>
      <c r="N43" s="644"/>
      <c r="O43" s="645"/>
      <c r="P43" s="646" t="str">
        <f t="shared" si="10"/>
        <v/>
      </c>
      <c r="Q43" s="643"/>
      <c r="R43" s="644"/>
      <c r="S43" s="642"/>
      <c r="T43" s="647"/>
      <c r="U43" s="644"/>
      <c r="V43" s="648"/>
      <c r="W43" s="649" t="str">
        <f t="shared" si="11"/>
        <v/>
      </c>
      <c r="X43" s="643"/>
      <c r="Y43" s="639"/>
      <c r="Z43" s="650" t="str">
        <f t="shared" si="14"/>
        <v/>
      </c>
      <c r="AA43" s="651" t="str">
        <f t="shared" si="12"/>
        <v/>
      </c>
      <c r="AB43" s="640" t="str">
        <f t="shared" si="15"/>
        <v/>
      </c>
      <c r="AC43" s="794" t="str">
        <f t="shared" si="6"/>
        <v/>
      </c>
      <c r="AD43" s="2045"/>
      <c r="AE43" s="2046"/>
    </row>
    <row r="44" spans="2:31">
      <c r="B44" s="636">
        <v>36</v>
      </c>
      <c r="C44" s="637"/>
      <c r="D44" s="637"/>
      <c r="E44" s="638"/>
      <c r="F44" s="652"/>
      <c r="G44" s="653" t="str">
        <f t="shared" si="16"/>
        <v/>
      </c>
      <c r="H44" s="653" t="str">
        <f t="shared" si="13"/>
        <v/>
      </c>
      <c r="I44" s="639"/>
      <c r="J44" s="777" t="str">
        <f t="shared" si="3"/>
        <v/>
      </c>
      <c r="K44" s="641"/>
      <c r="L44" s="642"/>
      <c r="M44" s="643"/>
      <c r="N44" s="644"/>
      <c r="O44" s="645"/>
      <c r="P44" s="646" t="str">
        <f t="shared" si="10"/>
        <v/>
      </c>
      <c r="Q44" s="643"/>
      <c r="R44" s="644"/>
      <c r="S44" s="642"/>
      <c r="T44" s="647"/>
      <c r="U44" s="644"/>
      <c r="V44" s="648"/>
      <c r="W44" s="649" t="str">
        <f t="shared" si="11"/>
        <v/>
      </c>
      <c r="X44" s="643"/>
      <c r="Y44" s="639"/>
      <c r="Z44" s="650" t="str">
        <f t="shared" si="14"/>
        <v/>
      </c>
      <c r="AA44" s="651" t="str">
        <f t="shared" si="12"/>
        <v/>
      </c>
      <c r="AB44" s="640" t="str">
        <f t="shared" si="15"/>
        <v/>
      </c>
      <c r="AC44" s="794" t="str">
        <f t="shared" si="6"/>
        <v/>
      </c>
      <c r="AD44" s="2045"/>
      <c r="AE44" s="2046"/>
    </row>
    <row r="45" spans="2:31">
      <c r="B45" s="636">
        <v>37</v>
      </c>
      <c r="C45" s="637"/>
      <c r="D45" s="637"/>
      <c r="E45" s="638"/>
      <c r="F45" s="652"/>
      <c r="G45" s="653" t="str">
        <f t="shared" si="16"/>
        <v/>
      </c>
      <c r="H45" s="653" t="str">
        <f t="shared" si="13"/>
        <v/>
      </c>
      <c r="I45" s="639"/>
      <c r="J45" s="777" t="str">
        <f t="shared" si="3"/>
        <v/>
      </c>
      <c r="K45" s="641"/>
      <c r="L45" s="642"/>
      <c r="M45" s="643"/>
      <c r="N45" s="644"/>
      <c r="O45" s="645"/>
      <c r="P45" s="646" t="str">
        <f t="shared" si="10"/>
        <v/>
      </c>
      <c r="Q45" s="643"/>
      <c r="R45" s="644"/>
      <c r="S45" s="642"/>
      <c r="T45" s="647"/>
      <c r="U45" s="644"/>
      <c r="V45" s="648"/>
      <c r="W45" s="649" t="str">
        <f t="shared" si="11"/>
        <v/>
      </c>
      <c r="X45" s="643"/>
      <c r="Y45" s="639"/>
      <c r="Z45" s="650" t="str">
        <f t="shared" si="14"/>
        <v/>
      </c>
      <c r="AA45" s="651" t="str">
        <f t="shared" si="12"/>
        <v/>
      </c>
      <c r="AB45" s="640" t="str">
        <f t="shared" si="15"/>
        <v/>
      </c>
      <c r="AC45" s="794" t="str">
        <f t="shared" si="6"/>
        <v/>
      </c>
      <c r="AD45" s="2045"/>
      <c r="AE45" s="2046"/>
    </row>
    <row r="46" spans="2:31">
      <c r="B46" s="636">
        <v>38</v>
      </c>
      <c r="C46" s="637"/>
      <c r="D46" s="637"/>
      <c r="E46" s="638"/>
      <c r="F46" s="652"/>
      <c r="G46" s="653" t="str">
        <f t="shared" si="16"/>
        <v/>
      </c>
      <c r="H46" s="653" t="str">
        <f t="shared" si="13"/>
        <v/>
      </c>
      <c r="I46" s="639"/>
      <c r="J46" s="777" t="str">
        <f>IF(ISBLANK(F46),"",SUM(F46:I46)+F46*0.15)</f>
        <v/>
      </c>
      <c r="K46" s="641"/>
      <c r="L46" s="642"/>
      <c r="M46" s="643"/>
      <c r="N46" s="644"/>
      <c r="O46" s="645"/>
      <c r="P46" s="646" t="str">
        <f t="shared" si="10"/>
        <v/>
      </c>
      <c r="Q46" s="643"/>
      <c r="R46" s="644"/>
      <c r="S46" s="642"/>
      <c r="T46" s="647"/>
      <c r="U46" s="644"/>
      <c r="V46" s="648"/>
      <c r="W46" s="649" t="str">
        <f t="shared" si="11"/>
        <v/>
      </c>
      <c r="X46" s="643"/>
      <c r="Y46" s="639"/>
      <c r="Z46" s="650" t="str">
        <f t="shared" si="14"/>
        <v/>
      </c>
      <c r="AA46" s="651" t="str">
        <f t="shared" si="12"/>
        <v/>
      </c>
      <c r="AB46" s="640" t="str">
        <f t="shared" si="15"/>
        <v/>
      </c>
      <c r="AC46" s="794" t="str">
        <f t="shared" si="6"/>
        <v/>
      </c>
      <c r="AD46" s="2045"/>
      <c r="AE46" s="2046"/>
    </row>
    <row r="47" spans="2:31">
      <c r="B47" s="654">
        <v>39</v>
      </c>
      <c r="C47" s="655"/>
      <c r="D47" s="655"/>
      <c r="E47" s="656"/>
      <c r="F47" s="657"/>
      <c r="G47" s="658" t="str">
        <f t="shared" si="16"/>
        <v/>
      </c>
      <c r="H47" s="658" t="str">
        <f t="shared" si="13"/>
        <v/>
      </c>
      <c r="I47" s="659"/>
      <c r="J47" s="777" t="str">
        <f t="shared" si="3"/>
        <v/>
      </c>
      <c r="K47" s="660"/>
      <c r="L47" s="661"/>
      <c r="M47" s="662"/>
      <c r="N47" s="663"/>
      <c r="O47" s="664"/>
      <c r="P47" s="665"/>
      <c r="Q47" s="662"/>
      <c r="R47" s="663"/>
      <c r="S47" s="661"/>
      <c r="T47" s="666"/>
      <c r="U47" s="663"/>
      <c r="V47" s="667"/>
      <c r="W47" s="668"/>
      <c r="X47" s="662"/>
      <c r="Y47" s="659"/>
      <c r="Z47" s="669" t="str">
        <f t="shared" si="14"/>
        <v/>
      </c>
      <c r="AA47" s="670"/>
      <c r="AB47" s="640" t="str">
        <f>IF(ISBLANK(Y47),"",(F47-Y47))</f>
        <v/>
      </c>
      <c r="AC47" s="215"/>
      <c r="AD47" s="2045"/>
      <c r="AE47" s="2046"/>
    </row>
    <row r="48" spans="2:31">
      <c r="B48" s="654">
        <v>40</v>
      </c>
      <c r="C48" s="655"/>
      <c r="D48" s="655"/>
      <c r="E48" s="656"/>
      <c r="F48" s="657"/>
      <c r="G48" s="658" t="str">
        <f t="shared" si="16"/>
        <v/>
      </c>
      <c r="H48" s="658" t="str">
        <f t="shared" si="13"/>
        <v/>
      </c>
      <c r="I48" s="659"/>
      <c r="J48" s="777" t="str">
        <f t="shared" si="3"/>
        <v/>
      </c>
      <c r="K48" s="660"/>
      <c r="L48" s="661"/>
      <c r="M48" s="662"/>
      <c r="N48" s="663"/>
      <c r="O48" s="664"/>
      <c r="P48" s="665"/>
      <c r="Q48" s="662"/>
      <c r="R48" s="663"/>
      <c r="S48" s="661"/>
      <c r="T48" s="666"/>
      <c r="U48" s="663"/>
      <c r="V48" s="667"/>
      <c r="W48" s="668"/>
      <c r="X48" s="662"/>
      <c r="Y48" s="659"/>
      <c r="Z48" s="669" t="str">
        <f t="shared" si="14"/>
        <v/>
      </c>
      <c r="AA48" s="670"/>
      <c r="AB48" s="640" t="str">
        <f t="shared" si="15"/>
        <v/>
      </c>
      <c r="AC48" s="215"/>
      <c r="AD48" s="2045"/>
      <c r="AE48" s="2046"/>
    </row>
    <row r="49" spans="2:31">
      <c r="B49" s="636">
        <v>41</v>
      </c>
      <c r="C49" s="655"/>
      <c r="D49" s="655"/>
      <c r="E49" s="656"/>
      <c r="F49" s="657"/>
      <c r="G49" s="658" t="str">
        <f t="shared" si="16"/>
        <v/>
      </c>
      <c r="H49" s="658" t="str">
        <f t="shared" si="13"/>
        <v/>
      </c>
      <c r="I49" s="659"/>
      <c r="J49" s="777" t="str">
        <f t="shared" si="3"/>
        <v/>
      </c>
      <c r="K49" s="660"/>
      <c r="L49" s="661"/>
      <c r="M49" s="662"/>
      <c r="N49" s="663"/>
      <c r="O49" s="664"/>
      <c r="P49" s="665"/>
      <c r="Q49" s="662"/>
      <c r="R49" s="663"/>
      <c r="S49" s="661"/>
      <c r="T49" s="666"/>
      <c r="U49" s="663"/>
      <c r="V49" s="667"/>
      <c r="W49" s="668"/>
      <c r="X49" s="662"/>
      <c r="Y49" s="659"/>
      <c r="Z49" s="669" t="str">
        <f t="shared" si="14"/>
        <v/>
      </c>
      <c r="AA49" s="670"/>
      <c r="AB49" s="640" t="str">
        <f t="shared" si="15"/>
        <v/>
      </c>
      <c r="AC49" s="215"/>
      <c r="AD49" s="2045"/>
      <c r="AE49" s="2046"/>
    </row>
    <row r="50" spans="2:31">
      <c r="B50" s="636">
        <v>42</v>
      </c>
      <c r="C50" s="655"/>
      <c r="D50" s="655"/>
      <c r="E50" s="656"/>
      <c r="F50" s="657"/>
      <c r="G50" s="658" t="str">
        <f t="shared" si="16"/>
        <v/>
      </c>
      <c r="H50" s="658" t="str">
        <f t="shared" si="13"/>
        <v/>
      </c>
      <c r="I50" s="659"/>
      <c r="J50" s="777" t="str">
        <f t="shared" si="3"/>
        <v/>
      </c>
      <c r="K50" s="660"/>
      <c r="L50" s="661"/>
      <c r="M50" s="662"/>
      <c r="N50" s="663"/>
      <c r="O50" s="664"/>
      <c r="P50" s="665"/>
      <c r="Q50" s="662"/>
      <c r="R50" s="663"/>
      <c r="S50" s="661"/>
      <c r="T50" s="666"/>
      <c r="U50" s="663"/>
      <c r="V50" s="667"/>
      <c r="W50" s="668"/>
      <c r="X50" s="662"/>
      <c r="Y50" s="659"/>
      <c r="Z50" s="669" t="str">
        <f t="shared" si="14"/>
        <v/>
      </c>
      <c r="AA50" s="670"/>
      <c r="AB50" s="640" t="str">
        <f t="shared" si="15"/>
        <v/>
      </c>
      <c r="AC50" s="215"/>
      <c r="AD50" s="2045"/>
      <c r="AE50" s="2046"/>
    </row>
    <row r="51" spans="2:31">
      <c r="B51" s="654">
        <v>43</v>
      </c>
      <c r="C51" s="655"/>
      <c r="D51" s="655"/>
      <c r="E51" s="656"/>
      <c r="F51" s="657"/>
      <c r="G51" s="658" t="str">
        <f t="shared" si="16"/>
        <v/>
      </c>
      <c r="H51" s="658" t="str">
        <f t="shared" si="13"/>
        <v/>
      </c>
      <c r="I51" s="659"/>
      <c r="J51" s="777" t="str">
        <f t="shared" si="3"/>
        <v/>
      </c>
      <c r="K51" s="660"/>
      <c r="L51" s="661"/>
      <c r="M51" s="662"/>
      <c r="N51" s="663"/>
      <c r="O51" s="664"/>
      <c r="P51" s="665"/>
      <c r="Q51" s="662"/>
      <c r="R51" s="663"/>
      <c r="S51" s="661"/>
      <c r="T51" s="666"/>
      <c r="U51" s="663"/>
      <c r="V51" s="667"/>
      <c r="W51" s="668"/>
      <c r="X51" s="662"/>
      <c r="Y51" s="659"/>
      <c r="Z51" s="669" t="str">
        <f t="shared" si="14"/>
        <v/>
      </c>
      <c r="AA51" s="670"/>
      <c r="AB51" s="640" t="str">
        <f t="shared" si="15"/>
        <v/>
      </c>
      <c r="AC51" s="215"/>
      <c r="AD51" s="2045"/>
      <c r="AE51" s="2046"/>
    </row>
    <row r="52" spans="2:31">
      <c r="B52" s="654">
        <v>44</v>
      </c>
      <c r="C52" s="655"/>
      <c r="D52" s="655"/>
      <c r="E52" s="656"/>
      <c r="F52" s="657"/>
      <c r="G52" s="658" t="str">
        <f t="shared" si="16"/>
        <v/>
      </c>
      <c r="H52" s="658" t="str">
        <f t="shared" si="13"/>
        <v/>
      </c>
      <c r="I52" s="659"/>
      <c r="J52" s="777" t="str">
        <f t="shared" si="3"/>
        <v/>
      </c>
      <c r="K52" s="660"/>
      <c r="L52" s="661"/>
      <c r="M52" s="662"/>
      <c r="N52" s="663"/>
      <c r="O52" s="664"/>
      <c r="P52" s="665"/>
      <c r="Q52" s="662"/>
      <c r="R52" s="663"/>
      <c r="S52" s="661"/>
      <c r="T52" s="666"/>
      <c r="U52" s="663"/>
      <c r="V52" s="667"/>
      <c r="W52" s="668"/>
      <c r="X52" s="662"/>
      <c r="Y52" s="659"/>
      <c r="Z52" s="669" t="str">
        <f t="shared" si="14"/>
        <v/>
      </c>
      <c r="AA52" s="670"/>
      <c r="AB52" s="640" t="str">
        <f t="shared" si="15"/>
        <v/>
      </c>
      <c r="AC52" s="215"/>
      <c r="AD52" s="2045"/>
      <c r="AE52" s="2046"/>
    </row>
    <row r="53" spans="2:31">
      <c r="B53" s="636">
        <v>45</v>
      </c>
      <c r="C53" s="655"/>
      <c r="D53" s="655"/>
      <c r="E53" s="656"/>
      <c r="F53" s="657"/>
      <c r="G53" s="658" t="str">
        <f t="shared" si="16"/>
        <v/>
      </c>
      <c r="H53" s="658" t="str">
        <f t="shared" si="13"/>
        <v/>
      </c>
      <c r="I53" s="659"/>
      <c r="J53" s="777" t="str">
        <f t="shared" si="3"/>
        <v/>
      </c>
      <c r="K53" s="660"/>
      <c r="L53" s="661"/>
      <c r="M53" s="662"/>
      <c r="N53" s="663"/>
      <c r="O53" s="664"/>
      <c r="P53" s="665"/>
      <c r="Q53" s="662"/>
      <c r="R53" s="663"/>
      <c r="S53" s="661"/>
      <c r="T53" s="666"/>
      <c r="U53" s="663"/>
      <c r="V53" s="667"/>
      <c r="W53" s="668"/>
      <c r="X53" s="662"/>
      <c r="Y53" s="659"/>
      <c r="Z53" s="669" t="str">
        <f t="shared" si="14"/>
        <v/>
      </c>
      <c r="AA53" s="670"/>
      <c r="AB53" s="640" t="str">
        <f t="shared" si="15"/>
        <v/>
      </c>
      <c r="AC53" s="215"/>
      <c r="AD53" s="2045"/>
      <c r="AE53" s="2046"/>
    </row>
    <row r="54" spans="2:31">
      <c r="B54" s="654">
        <v>46</v>
      </c>
      <c r="C54" s="655"/>
      <c r="D54" s="655"/>
      <c r="E54" s="656"/>
      <c r="F54" s="657"/>
      <c r="G54" s="658" t="str">
        <f t="shared" si="16"/>
        <v/>
      </c>
      <c r="H54" s="658" t="str">
        <f t="shared" si="13"/>
        <v/>
      </c>
      <c r="I54" s="659"/>
      <c r="J54" s="777" t="str">
        <f t="shared" si="3"/>
        <v/>
      </c>
      <c r="K54" s="660"/>
      <c r="L54" s="661"/>
      <c r="M54" s="662"/>
      <c r="N54" s="663"/>
      <c r="O54" s="664"/>
      <c r="P54" s="665"/>
      <c r="Q54" s="662"/>
      <c r="R54" s="663"/>
      <c r="S54" s="661"/>
      <c r="T54" s="666"/>
      <c r="U54" s="663"/>
      <c r="V54" s="667"/>
      <c r="W54" s="668"/>
      <c r="X54" s="662"/>
      <c r="Y54" s="659"/>
      <c r="Z54" s="669" t="str">
        <f t="shared" si="14"/>
        <v/>
      </c>
      <c r="AA54" s="670"/>
      <c r="AB54" s="640" t="str">
        <f t="shared" si="15"/>
        <v/>
      </c>
      <c r="AC54" s="215"/>
      <c r="AD54" s="2045"/>
      <c r="AE54" s="2046"/>
    </row>
    <row r="55" spans="2:31">
      <c r="B55" s="636">
        <v>47</v>
      </c>
      <c r="C55" s="655"/>
      <c r="D55" s="655"/>
      <c r="E55" s="656"/>
      <c r="F55" s="657"/>
      <c r="G55" s="658" t="str">
        <f t="shared" si="16"/>
        <v/>
      </c>
      <c r="H55" s="658" t="str">
        <f t="shared" si="13"/>
        <v/>
      </c>
      <c r="I55" s="659"/>
      <c r="J55" s="777" t="str">
        <f t="shared" si="3"/>
        <v/>
      </c>
      <c r="K55" s="660"/>
      <c r="L55" s="661"/>
      <c r="M55" s="662"/>
      <c r="N55" s="663"/>
      <c r="O55" s="664"/>
      <c r="P55" s="665"/>
      <c r="Q55" s="662"/>
      <c r="R55" s="663"/>
      <c r="S55" s="661"/>
      <c r="T55" s="666"/>
      <c r="U55" s="663"/>
      <c r="V55" s="667"/>
      <c r="W55" s="668"/>
      <c r="X55" s="662"/>
      <c r="Y55" s="659"/>
      <c r="Z55" s="669" t="str">
        <f t="shared" si="14"/>
        <v/>
      </c>
      <c r="AA55" s="670"/>
      <c r="AB55" s="640" t="str">
        <f t="shared" si="15"/>
        <v/>
      </c>
      <c r="AC55" s="215"/>
      <c r="AD55" s="2045"/>
      <c r="AE55" s="2046"/>
    </row>
    <row r="56" spans="2:31">
      <c r="B56" s="636">
        <v>48</v>
      </c>
      <c r="C56" s="655"/>
      <c r="D56" s="655"/>
      <c r="E56" s="656"/>
      <c r="F56" s="657"/>
      <c r="G56" s="658" t="str">
        <f t="shared" si="16"/>
        <v/>
      </c>
      <c r="H56" s="658" t="str">
        <f t="shared" si="13"/>
        <v/>
      </c>
      <c r="I56" s="659"/>
      <c r="J56" s="777" t="str">
        <f t="shared" si="3"/>
        <v/>
      </c>
      <c r="K56" s="660"/>
      <c r="L56" s="661"/>
      <c r="M56" s="662"/>
      <c r="N56" s="663"/>
      <c r="O56" s="664"/>
      <c r="P56" s="665"/>
      <c r="Q56" s="662"/>
      <c r="R56" s="663"/>
      <c r="S56" s="661"/>
      <c r="T56" s="666"/>
      <c r="U56" s="663"/>
      <c r="V56" s="667"/>
      <c r="W56" s="668"/>
      <c r="X56" s="662"/>
      <c r="Y56" s="659"/>
      <c r="Z56" s="669" t="str">
        <f t="shared" si="14"/>
        <v/>
      </c>
      <c r="AA56" s="670"/>
      <c r="AB56" s="640" t="str">
        <f t="shared" si="15"/>
        <v/>
      </c>
      <c r="AC56" s="215"/>
      <c r="AD56" s="2045"/>
      <c r="AE56" s="2046"/>
    </row>
    <row r="57" spans="2:31">
      <c r="B57" s="654">
        <v>49</v>
      </c>
      <c r="C57" s="655"/>
      <c r="D57" s="655"/>
      <c r="E57" s="656"/>
      <c r="F57" s="657"/>
      <c r="G57" s="658" t="str">
        <f t="shared" si="16"/>
        <v/>
      </c>
      <c r="H57" s="658" t="str">
        <f t="shared" si="13"/>
        <v/>
      </c>
      <c r="I57" s="659"/>
      <c r="J57" s="777" t="str">
        <f t="shared" si="3"/>
        <v/>
      </c>
      <c r="K57" s="660"/>
      <c r="L57" s="661"/>
      <c r="M57" s="662"/>
      <c r="N57" s="663"/>
      <c r="O57" s="664"/>
      <c r="P57" s="665"/>
      <c r="Q57" s="662"/>
      <c r="R57" s="663"/>
      <c r="S57" s="661"/>
      <c r="T57" s="666"/>
      <c r="U57" s="663"/>
      <c r="V57" s="667"/>
      <c r="W57" s="668"/>
      <c r="X57" s="662"/>
      <c r="Y57" s="659"/>
      <c r="Z57" s="669" t="str">
        <f t="shared" si="14"/>
        <v/>
      </c>
      <c r="AA57" s="670"/>
      <c r="AB57" s="640" t="str">
        <f t="shared" si="15"/>
        <v/>
      </c>
      <c r="AC57" s="215"/>
      <c r="AD57" s="2045"/>
      <c r="AE57" s="2046"/>
    </row>
    <row r="58" spans="2:31">
      <c r="B58" s="654">
        <v>50</v>
      </c>
      <c r="C58" s="655"/>
      <c r="D58" s="655"/>
      <c r="E58" s="656"/>
      <c r="F58" s="657"/>
      <c r="G58" s="658" t="str">
        <f t="shared" si="16"/>
        <v/>
      </c>
      <c r="H58" s="658" t="str">
        <f t="shared" si="13"/>
        <v/>
      </c>
      <c r="I58" s="659"/>
      <c r="J58" s="777" t="str">
        <f t="shared" si="3"/>
        <v/>
      </c>
      <c r="K58" s="660"/>
      <c r="L58" s="661"/>
      <c r="M58" s="662"/>
      <c r="N58" s="663"/>
      <c r="O58" s="664"/>
      <c r="P58" s="665"/>
      <c r="Q58" s="662"/>
      <c r="R58" s="663"/>
      <c r="S58" s="661"/>
      <c r="T58" s="666"/>
      <c r="U58" s="663"/>
      <c r="V58" s="667"/>
      <c r="W58" s="668"/>
      <c r="X58" s="662"/>
      <c r="Y58" s="659"/>
      <c r="Z58" s="669" t="str">
        <f t="shared" si="14"/>
        <v/>
      </c>
      <c r="AA58" s="670"/>
      <c r="AB58" s="640" t="str">
        <f t="shared" si="15"/>
        <v/>
      </c>
      <c r="AC58" s="215"/>
      <c r="AD58" s="2045"/>
      <c r="AE58" s="2046"/>
    </row>
    <row r="59" spans="2:31" ht="15" thickBot="1">
      <c r="B59" s="671"/>
      <c r="C59" s="672"/>
      <c r="D59" s="672"/>
      <c r="E59" s="673" t="s">
        <v>699</v>
      </c>
      <c r="F59" s="674">
        <f>SUM(F9:F58)</f>
        <v>29797667.100000001</v>
      </c>
      <c r="G59" s="675">
        <f>SUM(G9:G58)</f>
        <v>0</v>
      </c>
      <c r="H59" s="675">
        <f>SUM(H9:H58)</f>
        <v>0</v>
      </c>
      <c r="I59" s="676">
        <f>SUM(I9:I58)</f>
        <v>2000</v>
      </c>
      <c r="J59" s="677">
        <f>SUM(J9:J58)</f>
        <v>34269317.164999999</v>
      </c>
      <c r="K59" s="678"/>
      <c r="L59" s="679"/>
      <c r="M59" s="680"/>
      <c r="N59" s="681"/>
      <c r="O59" s="672"/>
      <c r="P59" s="682" t="str">
        <f t="shared" si="10"/>
        <v/>
      </c>
      <c r="Q59" s="680"/>
      <c r="R59" s="681"/>
      <c r="S59" s="683"/>
      <c r="T59" s="684"/>
      <c r="U59" s="681"/>
      <c r="V59" s="685"/>
      <c r="W59" s="682" t="str">
        <f t="shared" si="11"/>
        <v/>
      </c>
      <c r="X59" s="680"/>
      <c r="Y59" s="675">
        <f>SUM(Y9:Y58)</f>
        <v>31459715.307500001</v>
      </c>
      <c r="Z59" s="686"/>
      <c r="AA59" s="687" t="str">
        <f t="shared" si="12"/>
        <v/>
      </c>
      <c r="AB59" s="677">
        <f>SUM(AB9:AB58)</f>
        <v>0</v>
      </c>
      <c r="AC59" s="214" t="str">
        <f t="shared" si="6"/>
        <v/>
      </c>
      <c r="AD59" s="2054"/>
      <c r="AE59" s="2055"/>
    </row>
    <row r="60" spans="2:31">
      <c r="W60" s="34"/>
    </row>
    <row r="62" spans="2:31" ht="15" thickBot="1">
      <c r="J62" s="612"/>
    </row>
    <row r="63" spans="2:31" ht="15" thickBot="1">
      <c r="F63" s="822">
        <f>+F59/0.9</f>
        <v>33108519</v>
      </c>
    </row>
    <row r="65" spans="6:6">
      <c r="F65" s="911"/>
    </row>
    <row r="66" spans="6:6" ht="15" thickBot="1"/>
    <row r="67" spans="6:6" ht="15" thickBot="1">
      <c r="F67" s="822">
        <f>+F59*1.15</f>
        <v>34267317.164999999</v>
      </c>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97"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59" orientation="landscape" r:id="rId1"/>
  <headerFooter>
    <oddFooter>&amp;L_x000D_&amp;1#&amp;"Calibri"&amp;10&amp;K000000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J12" sqref="J12"/>
    </sheetView>
  </sheetViews>
  <sheetFormatPr defaultRowHeight="14.4"/>
  <cols>
    <col min="1" max="1" width="11.33203125" customWidth="1"/>
    <col min="2" max="2" width="17.109375" customWidth="1"/>
    <col min="3" max="3" width="15.33203125" bestFit="1" customWidth="1"/>
    <col min="4" max="4" width="9" bestFit="1" customWidth="1"/>
    <col min="5" max="5" width="17.33203125" customWidth="1"/>
    <col min="6" max="6" width="14.6640625" customWidth="1"/>
    <col min="7" max="7" width="11.6640625" bestFit="1" customWidth="1"/>
    <col min="8" max="8" width="12.88671875" bestFit="1" customWidth="1"/>
    <col min="9" max="9" width="14.6640625" customWidth="1"/>
    <col min="10" max="10" width="21" bestFit="1" customWidth="1"/>
    <col min="11" max="11" width="14.6640625" customWidth="1"/>
    <col min="12" max="12" width="21.88671875" bestFit="1" customWidth="1"/>
    <col min="13" max="13" width="13.6640625" customWidth="1"/>
    <col min="14" max="14" width="15.33203125" bestFit="1" customWidth="1"/>
    <col min="15" max="15" width="15.33203125" customWidth="1"/>
    <col min="16" max="16" width="19.44140625" bestFit="1" customWidth="1"/>
    <col min="17" max="17" width="14.6640625" customWidth="1"/>
    <col min="18" max="18" width="17" customWidth="1"/>
    <col min="19" max="20" width="12" customWidth="1"/>
    <col min="21" max="21" width="18.5546875" bestFit="1" customWidth="1"/>
    <col min="22" max="22" width="21.44140625" bestFit="1" customWidth="1"/>
    <col min="23" max="23" width="17" bestFit="1" customWidth="1"/>
    <col min="24" max="29" width="12" customWidth="1"/>
    <col min="30" max="34" width="13.33203125" bestFit="1" customWidth="1"/>
    <col min="35" max="52" width="14.33203125" bestFit="1" customWidth="1"/>
  </cols>
  <sheetData>
    <row r="1" spans="1:64" ht="15" thickBot="1">
      <c r="B1" s="36">
        <f>SUM(B4:B35)</f>
        <v>52025516</v>
      </c>
      <c r="E1" s="36">
        <f>SUM(E4:E35)</f>
        <v>52025516</v>
      </c>
      <c r="K1">
        <v>0.85</v>
      </c>
    </row>
    <row r="2" spans="1:64">
      <c r="A2" s="17"/>
      <c r="B2" s="2073" t="s">
        <v>718</v>
      </c>
      <c r="C2" s="2074"/>
      <c r="D2" s="2075"/>
      <c r="E2" s="2076" t="s">
        <v>719</v>
      </c>
      <c r="F2" s="2077"/>
      <c r="G2" s="18"/>
      <c r="H2" s="2078" t="s">
        <v>720</v>
      </c>
      <c r="I2" s="2079"/>
      <c r="J2" s="18"/>
      <c r="K2" s="2071" t="s">
        <v>721</v>
      </c>
      <c r="L2" s="2072"/>
      <c r="M2" s="18"/>
      <c r="N2" s="2067" t="s">
        <v>722</v>
      </c>
      <c r="O2" s="2068"/>
      <c r="P2" s="951"/>
      <c r="Q2" s="2069" t="s">
        <v>723</v>
      </c>
      <c r="R2" s="2070"/>
      <c r="AQ2" s="107"/>
      <c r="AR2" s="108"/>
      <c r="AS2" s="108"/>
      <c r="AT2" s="108"/>
      <c r="AU2" s="108"/>
      <c r="AV2" s="108"/>
      <c r="AW2" s="108"/>
      <c r="AX2" s="108"/>
      <c r="AY2" s="108"/>
      <c r="AZ2" s="108"/>
      <c r="BA2" s="108"/>
      <c r="BB2" s="108"/>
      <c r="BC2" s="108"/>
      <c r="BD2" s="108"/>
      <c r="BE2" s="108"/>
      <c r="BF2" s="108"/>
      <c r="BG2" s="108"/>
      <c r="BH2" s="108"/>
      <c r="BI2" s="108"/>
      <c r="BJ2" s="108"/>
      <c r="BK2" s="108"/>
      <c r="BL2" s="109"/>
    </row>
    <row r="3" spans="1:64" ht="15" thickBot="1">
      <c r="A3" s="19" t="s">
        <v>724</v>
      </c>
      <c r="B3" s="28" t="s">
        <v>725</v>
      </c>
      <c r="C3" s="21" t="s">
        <v>726</v>
      </c>
      <c r="D3" s="20" t="s">
        <v>338</v>
      </c>
      <c r="E3" s="28" t="s">
        <v>725</v>
      </c>
      <c r="F3" s="21" t="s">
        <v>726</v>
      </c>
      <c r="G3" s="21" t="s">
        <v>338</v>
      </c>
      <c r="H3" s="28" t="s">
        <v>725</v>
      </c>
      <c r="I3" s="21" t="s">
        <v>726</v>
      </c>
      <c r="J3" s="21" t="s">
        <v>338</v>
      </c>
      <c r="K3" s="28" t="s">
        <v>725</v>
      </c>
      <c r="L3" s="21" t="s">
        <v>726</v>
      </c>
      <c r="M3" s="21" t="s">
        <v>338</v>
      </c>
      <c r="N3" s="28" t="s">
        <v>725</v>
      </c>
      <c r="O3" s="21" t="s">
        <v>727</v>
      </c>
      <c r="P3" s="21"/>
      <c r="Q3" s="28" t="s">
        <v>724</v>
      </c>
      <c r="R3" s="22" t="s">
        <v>726</v>
      </c>
      <c r="S3" s="952"/>
      <c r="AG3" s="4"/>
      <c r="AQ3" s="110"/>
      <c r="BL3" s="111"/>
    </row>
    <row r="4" spans="1:64">
      <c r="A4" s="953">
        <v>46068</v>
      </c>
      <c r="B4" s="29">
        <v>0</v>
      </c>
      <c r="C4" s="23">
        <f>B4</f>
        <v>0</v>
      </c>
      <c r="D4" s="1115">
        <f>C4/$B$1</f>
        <v>0</v>
      </c>
      <c r="E4" s="29">
        <v>0</v>
      </c>
      <c r="F4" s="23">
        <f>E4</f>
        <v>0</v>
      </c>
      <c r="G4" s="25">
        <v>0</v>
      </c>
      <c r="H4" s="29"/>
      <c r="I4" s="23"/>
      <c r="J4" s="25" t="str">
        <f>IF(H4="","",I4/$B$1)</f>
        <v/>
      </c>
      <c r="K4" s="41"/>
      <c r="L4" s="23"/>
      <c r="M4" s="25" t="str">
        <f t="shared" ref="M4:M10" si="0">IF(K4="","",L4/$B$1)</f>
        <v/>
      </c>
      <c r="N4" s="29"/>
      <c r="O4" s="23"/>
      <c r="P4" s="1130"/>
      <c r="Q4" s="29">
        <f t="shared" ref="Q4:Q12" si="1">H4-E4</f>
        <v>0</v>
      </c>
      <c r="R4" s="23">
        <f>Q4</f>
        <v>0</v>
      </c>
      <c r="T4" s="2" t="s">
        <v>728</v>
      </c>
      <c r="AQ4" s="110"/>
      <c r="BL4" s="111"/>
    </row>
    <row r="5" spans="1:64">
      <c r="A5" s="953">
        <f t="shared" ref="A5:A24" si="2">EOMONTH(A4,1)</f>
        <v>46112</v>
      </c>
      <c r="B5" s="29">
        <v>60903</v>
      </c>
      <c r="C5" s="1114">
        <f>C4+B5</f>
        <v>60903</v>
      </c>
      <c r="D5" s="1115">
        <f t="shared" ref="D5:D20" si="3">C5/$B$1</f>
        <v>1.1706371158336998E-3</v>
      </c>
      <c r="E5" s="29">
        <v>60903</v>
      </c>
      <c r="F5" s="23">
        <f>F4+E5</f>
        <v>60903</v>
      </c>
      <c r="G5" s="25">
        <f>F5/$E$1</f>
        <v>1.1706371158336998E-3</v>
      </c>
      <c r="H5" s="29">
        <v>3333714.14</v>
      </c>
      <c r="I5" s="23">
        <f>+I4+H5</f>
        <v>3333714.14</v>
      </c>
      <c r="J5" s="1130">
        <f t="shared" ref="J5:J12" si="4">IF(H5="",J4,I5/$E$1)</f>
        <v>6.40784445078834E-2</v>
      </c>
      <c r="K5" s="41">
        <v>2233198.61</v>
      </c>
      <c r="L5" s="23">
        <f>+K5</f>
        <v>2233198.61</v>
      </c>
      <c r="M5" s="25">
        <f t="shared" si="0"/>
        <v>4.292506411661539E-2</v>
      </c>
      <c r="N5" s="29"/>
      <c r="O5" s="1114"/>
      <c r="P5" s="1130"/>
      <c r="Q5" s="29">
        <f t="shared" si="1"/>
        <v>3272811.14</v>
      </c>
      <c r="R5" s="23">
        <f t="shared" ref="R5:R12" si="5">Q5+R4</f>
        <v>3272811.14</v>
      </c>
      <c r="AQ5" s="110"/>
      <c r="BL5" s="111"/>
    </row>
    <row r="6" spans="1:64">
      <c r="A6" s="953">
        <f t="shared" si="2"/>
        <v>46142</v>
      </c>
      <c r="B6" s="29">
        <v>2552690.0099999998</v>
      </c>
      <c r="C6" s="1114">
        <f t="shared" ref="C6:C20" si="6">C5+B6</f>
        <v>2613593.0099999998</v>
      </c>
      <c r="D6" s="1115">
        <f t="shared" si="3"/>
        <v>5.0236753250078287E-2</v>
      </c>
      <c r="E6" s="29">
        <v>2552690.0099999998</v>
      </c>
      <c r="F6" s="23">
        <f>F5+E6</f>
        <v>2613593.0099999998</v>
      </c>
      <c r="G6" s="25">
        <f>F6/$E$1</f>
        <v>5.0236753250078287E-2</v>
      </c>
      <c r="H6" s="29">
        <v>4408826.34</v>
      </c>
      <c r="I6" s="23">
        <f t="shared" ref="I6:I12" si="7">+H6+I5</f>
        <v>7742540.4800000004</v>
      </c>
      <c r="J6" s="1130">
        <f t="shared" si="4"/>
        <v>0.14882198342828548</v>
      </c>
      <c r="K6" s="41">
        <v>5354472.43</v>
      </c>
      <c r="L6" s="1114">
        <f>+K6+L5</f>
        <v>7587671.0399999991</v>
      </c>
      <c r="M6" s="25">
        <f t="shared" si="0"/>
        <v>0.14584518565851418</v>
      </c>
      <c r="N6" s="29"/>
      <c r="O6" s="1114"/>
      <c r="P6" s="1130"/>
      <c r="Q6" s="29">
        <f t="shared" si="1"/>
        <v>1856136.33</v>
      </c>
      <c r="R6" s="23">
        <f t="shared" si="5"/>
        <v>5128947.4700000007</v>
      </c>
      <c r="AQ6" s="110"/>
      <c r="BL6" s="111"/>
    </row>
    <row r="7" spans="1:64">
      <c r="A7" s="953">
        <f t="shared" si="2"/>
        <v>46173</v>
      </c>
      <c r="B7" s="29">
        <v>3003568.11</v>
      </c>
      <c r="C7" s="1114">
        <f t="shared" si="6"/>
        <v>5617161.1199999992</v>
      </c>
      <c r="D7" s="1115">
        <f t="shared" si="3"/>
        <v>0.10796934950150229</v>
      </c>
      <c r="E7" s="29">
        <v>3003568.11</v>
      </c>
      <c r="F7" s="23">
        <f t="shared" ref="F7:F20" si="8">F6+E7</f>
        <v>5617161.1199999992</v>
      </c>
      <c r="G7" s="25">
        <f t="shared" ref="G7:G20" si="9">F7/$E$1</f>
        <v>0.10796934950150229</v>
      </c>
      <c r="H7" s="29">
        <v>4785718.8499999996</v>
      </c>
      <c r="I7" s="23">
        <f t="shared" si="7"/>
        <v>12528259.33</v>
      </c>
      <c r="J7" s="1130">
        <f t="shared" si="4"/>
        <v>0.24080990047268344</v>
      </c>
      <c r="K7" s="41">
        <v>3385248.29</v>
      </c>
      <c r="L7" s="1114">
        <f>+K7+L6</f>
        <v>10972919.329999998</v>
      </c>
      <c r="M7" s="25">
        <f t="shared" si="0"/>
        <v>0.21091418545469109</v>
      </c>
      <c r="N7" s="29"/>
      <c r="O7" s="23"/>
      <c r="P7" s="1130"/>
      <c r="Q7" s="29">
        <f t="shared" si="1"/>
        <v>1782150.7399999998</v>
      </c>
      <c r="R7" s="23">
        <f t="shared" si="5"/>
        <v>6911098.2100000009</v>
      </c>
      <c r="W7" s="595"/>
      <c r="AQ7" s="110"/>
      <c r="BL7" s="111"/>
    </row>
    <row r="8" spans="1:64">
      <c r="A8" s="953">
        <f t="shared" si="2"/>
        <v>46203</v>
      </c>
      <c r="B8" s="29">
        <v>5887257.2699999996</v>
      </c>
      <c r="C8" s="1114">
        <f t="shared" si="6"/>
        <v>11504418.389999999</v>
      </c>
      <c r="D8" s="1115">
        <f t="shared" si="3"/>
        <v>0.22113030825105126</v>
      </c>
      <c r="E8" s="29">
        <v>5887257.2699999996</v>
      </c>
      <c r="F8" s="23">
        <f t="shared" si="8"/>
        <v>11504418.389999999</v>
      </c>
      <c r="G8" s="25">
        <f t="shared" si="9"/>
        <v>0.22113030825105126</v>
      </c>
      <c r="H8" s="29">
        <v>10132501.83</v>
      </c>
      <c r="I8" s="23">
        <f t="shared" si="7"/>
        <v>22660761.16</v>
      </c>
      <c r="J8" s="1130">
        <f t="shared" si="4"/>
        <v>0.43557013754558438</v>
      </c>
      <c r="K8" s="41">
        <v>8068537.9400000004</v>
      </c>
      <c r="L8" s="1114">
        <f>+K8+L7</f>
        <v>19041457.27</v>
      </c>
      <c r="M8" s="25">
        <f t="shared" si="0"/>
        <v>0.36600227607545499</v>
      </c>
      <c r="N8" s="29"/>
      <c r="O8" s="1114"/>
      <c r="P8" s="1130"/>
      <c r="Q8" s="29">
        <f t="shared" si="1"/>
        <v>4245244.5600000005</v>
      </c>
      <c r="R8" s="23">
        <f t="shared" si="5"/>
        <v>11156342.770000001</v>
      </c>
      <c r="T8" s="2" t="s">
        <v>729</v>
      </c>
      <c r="W8" s="595"/>
      <c r="AQ8" s="110"/>
      <c r="BL8" s="111"/>
    </row>
    <row r="9" spans="1:64">
      <c r="A9" s="953">
        <f t="shared" si="2"/>
        <v>46234</v>
      </c>
      <c r="B9" s="29">
        <v>8794812.0999999996</v>
      </c>
      <c r="C9" s="1114">
        <f t="shared" si="6"/>
        <v>20299230.489999998</v>
      </c>
      <c r="D9" s="1115">
        <f t="shared" si="3"/>
        <v>0.39017835959570296</v>
      </c>
      <c r="E9" s="29">
        <v>8794812.0999999996</v>
      </c>
      <c r="F9" s="23">
        <f t="shared" si="8"/>
        <v>20299230.489999998</v>
      </c>
      <c r="G9" s="25">
        <f t="shared" si="9"/>
        <v>0.39017835959570296</v>
      </c>
      <c r="H9" s="29">
        <v>7346596.6799999997</v>
      </c>
      <c r="I9" s="23">
        <f t="shared" si="7"/>
        <v>30007357.84</v>
      </c>
      <c r="J9" s="1130">
        <f t="shared" si="4"/>
        <v>0.57678155157557687</v>
      </c>
      <c r="K9" s="41">
        <v>4265230.58</v>
      </c>
      <c r="L9" s="1114">
        <f>+K9+L8</f>
        <v>23306687.850000001</v>
      </c>
      <c r="M9" s="25">
        <f t="shared" si="0"/>
        <v>0.44798571243387575</v>
      </c>
      <c r="N9" s="29"/>
      <c r="O9" s="1114"/>
      <c r="P9" s="1130"/>
      <c r="Q9" s="29">
        <f>H9-E9</f>
        <v>-1448215.42</v>
      </c>
      <c r="R9" s="23">
        <f t="shared" si="5"/>
        <v>9708127.3500000015</v>
      </c>
      <c r="W9" s="595"/>
      <c r="AQ9" s="110"/>
      <c r="BL9" s="111"/>
    </row>
    <row r="10" spans="1:64">
      <c r="A10" s="953">
        <f t="shared" si="2"/>
        <v>46265</v>
      </c>
      <c r="B10" s="29">
        <v>4916889.05</v>
      </c>
      <c r="C10" s="1114">
        <f t="shared" si="6"/>
        <v>25216119.539999999</v>
      </c>
      <c r="D10" s="1115">
        <f t="shared" si="3"/>
        <v>0.48468754332008929</v>
      </c>
      <c r="E10" s="29">
        <v>4916889.05</v>
      </c>
      <c r="F10" s="23">
        <f t="shared" si="8"/>
        <v>25216119.539999999</v>
      </c>
      <c r="G10" s="25">
        <f t="shared" si="9"/>
        <v>0.48468754332008929</v>
      </c>
      <c r="H10" s="29">
        <v>4728431.7500000037</v>
      </c>
      <c r="I10" s="23">
        <f t="shared" si="7"/>
        <v>34735789.590000004</v>
      </c>
      <c r="J10" s="1130">
        <f t="shared" si="4"/>
        <v>0.66766833393829295</v>
      </c>
      <c r="K10" s="41">
        <v>4047847.2</v>
      </c>
      <c r="L10" s="1114">
        <f>+K10+L9</f>
        <v>27354535.050000001</v>
      </c>
      <c r="M10" s="25">
        <f t="shared" si="0"/>
        <v>0.52579074948531024</v>
      </c>
      <c r="N10" s="29"/>
      <c r="O10" s="1114"/>
      <c r="P10" s="1130"/>
      <c r="Q10" s="29">
        <f t="shared" si="1"/>
        <v>-188457.29999999609</v>
      </c>
      <c r="R10" s="23">
        <f t="shared" si="5"/>
        <v>9519670.0500000045</v>
      </c>
      <c r="U10" s="799"/>
      <c r="V10" s="810"/>
      <c r="W10" s="595"/>
      <c r="AQ10" s="110"/>
      <c r="BL10" s="111"/>
    </row>
    <row r="11" spans="1:64">
      <c r="A11" s="953">
        <f t="shared" si="2"/>
        <v>46295</v>
      </c>
      <c r="B11" s="29">
        <v>2260846.7799999998</v>
      </c>
      <c r="C11" s="1114">
        <f t="shared" si="6"/>
        <v>27476966.32</v>
      </c>
      <c r="D11" s="1115">
        <f t="shared" si="3"/>
        <v>0.52814404224265643</v>
      </c>
      <c r="E11" s="29">
        <v>2260846.7799999998</v>
      </c>
      <c r="F11" s="23">
        <f t="shared" si="8"/>
        <v>27476966.32</v>
      </c>
      <c r="G11" s="25">
        <f t="shared" si="9"/>
        <v>0.52814404224265643</v>
      </c>
      <c r="H11" s="29">
        <v>3968368.75</v>
      </c>
      <c r="I11" s="23">
        <f t="shared" si="7"/>
        <v>38704158.340000004</v>
      </c>
      <c r="J11" s="1130">
        <f t="shared" si="4"/>
        <v>0.74394568888081769</v>
      </c>
      <c r="K11" s="41"/>
      <c r="L11" s="1114"/>
      <c r="M11" s="25"/>
      <c r="N11" s="29"/>
      <c r="O11" s="1114"/>
      <c r="P11" s="1130"/>
      <c r="Q11" s="29">
        <f t="shared" si="1"/>
        <v>1707521.9700000002</v>
      </c>
      <c r="R11" s="23">
        <f t="shared" si="5"/>
        <v>11227192.020000005</v>
      </c>
      <c r="U11" s="810"/>
      <c r="W11" s="595"/>
      <c r="AQ11" s="110"/>
      <c r="BL11" s="111"/>
    </row>
    <row r="12" spans="1:64">
      <c r="A12" s="953">
        <f t="shared" si="2"/>
        <v>46326</v>
      </c>
      <c r="B12" s="29">
        <v>2004566.09</v>
      </c>
      <c r="C12" s="1114">
        <f t="shared" si="6"/>
        <v>29481532.41</v>
      </c>
      <c r="D12" s="1115">
        <f t="shared" si="3"/>
        <v>0.56667448353611716</v>
      </c>
      <c r="E12" s="29">
        <v>2004566.09</v>
      </c>
      <c r="F12" s="23">
        <f t="shared" si="8"/>
        <v>29481532.41</v>
      </c>
      <c r="G12" s="25">
        <f t="shared" si="9"/>
        <v>0.56667448353611716</v>
      </c>
      <c r="H12" s="29">
        <v>1395594.7399999946</v>
      </c>
      <c r="I12" s="23">
        <f t="shared" si="7"/>
        <v>40099753.079999998</v>
      </c>
      <c r="J12" s="1130">
        <f t="shared" si="4"/>
        <v>0.77077088634738378</v>
      </c>
      <c r="K12" s="41"/>
      <c r="L12" s="1114"/>
      <c r="M12" s="25" t="str">
        <f>IF(K12="","",L12/$B$1)</f>
        <v/>
      </c>
      <c r="N12" s="29">
        <v>52886.916499999817</v>
      </c>
      <c r="O12" s="1114">
        <v>40099753.079999998</v>
      </c>
      <c r="P12" s="1130">
        <f t="shared" ref="P12:P20" si="10">IF(N12="",P11,O12/$E$1)</f>
        <v>0.77077088634738378</v>
      </c>
      <c r="Q12" s="29">
        <f t="shared" si="1"/>
        <v>-608971.35000000545</v>
      </c>
      <c r="R12" s="23">
        <f t="shared" si="5"/>
        <v>10618220.67</v>
      </c>
      <c r="W12" s="595"/>
      <c r="AQ12" s="110"/>
      <c r="BL12" s="111"/>
    </row>
    <row r="13" spans="1:64">
      <c r="A13" s="953">
        <f t="shared" si="2"/>
        <v>46356</v>
      </c>
      <c r="B13" s="29">
        <v>3235334.15</v>
      </c>
      <c r="C13" s="1114">
        <f t="shared" si="6"/>
        <v>32716866.559999999</v>
      </c>
      <c r="D13" s="1115">
        <f t="shared" si="3"/>
        <v>0.62886193305607963</v>
      </c>
      <c r="E13" s="29">
        <v>3235334.15</v>
      </c>
      <c r="F13" s="23">
        <f t="shared" si="8"/>
        <v>32716866.559999999</v>
      </c>
      <c r="G13" s="25">
        <f t="shared" si="9"/>
        <v>0.62886193305607963</v>
      </c>
      <c r="H13" s="29"/>
      <c r="I13" s="23"/>
      <c r="J13" s="25"/>
      <c r="K13" s="41"/>
      <c r="L13" s="1114"/>
      <c r="M13" s="25" t="str">
        <f>IF(K13="","",L13/$B$1)</f>
        <v/>
      </c>
      <c r="N13" s="29">
        <v>343130.57292499917</v>
      </c>
      <c r="O13" s="1114">
        <f t="shared" ref="O13:O20" si="11">O12+N13</f>
        <v>40442883.652925</v>
      </c>
      <c r="P13" s="1130">
        <f t="shared" si="10"/>
        <v>0.77736631488527663</v>
      </c>
      <c r="Q13" s="29"/>
      <c r="R13" s="23"/>
      <c r="V13" s="810"/>
      <c r="W13" s="595"/>
      <c r="X13" s="720"/>
      <c r="AQ13" s="110"/>
      <c r="BL13" s="111"/>
    </row>
    <row r="14" spans="1:64">
      <c r="A14" s="953">
        <f t="shared" si="2"/>
        <v>46387</v>
      </c>
      <c r="B14" s="29">
        <v>3242989.97</v>
      </c>
      <c r="C14" s="1114">
        <f t="shared" si="6"/>
        <v>35959856.530000001</v>
      </c>
      <c r="D14" s="1115">
        <f t="shared" si="3"/>
        <v>0.69119653767585887</v>
      </c>
      <c r="E14" s="29">
        <v>3242989.97</v>
      </c>
      <c r="F14" s="23">
        <f t="shared" si="8"/>
        <v>35959856.530000001</v>
      </c>
      <c r="G14" s="25">
        <f t="shared" si="9"/>
        <v>0.69119653767585887</v>
      </c>
      <c r="H14" s="29"/>
      <c r="I14" s="23"/>
      <c r="J14" s="25"/>
      <c r="K14" s="29"/>
      <c r="L14" s="1114"/>
      <c r="M14" s="25" t="str">
        <f>IF(K14="","",L14/$B$1)</f>
        <v/>
      </c>
      <c r="N14" s="29">
        <v>350786.39292499947</v>
      </c>
      <c r="O14" s="1114">
        <f t="shared" si="11"/>
        <v>40793670.045850001</v>
      </c>
      <c r="P14" s="1130">
        <f t="shared" si="10"/>
        <v>0.78410889852298638</v>
      </c>
      <c r="Q14" s="29"/>
      <c r="R14" s="23"/>
      <c r="V14" s="810"/>
      <c r="W14" s="595"/>
      <c r="AQ14" s="110"/>
      <c r="BL14" s="111"/>
    </row>
    <row r="15" spans="1:64">
      <c r="A15" s="953">
        <f t="shared" si="2"/>
        <v>46418</v>
      </c>
      <c r="B15" s="29">
        <v>3698389.78</v>
      </c>
      <c r="C15" s="1114">
        <f t="shared" si="6"/>
        <v>39658246.310000002</v>
      </c>
      <c r="D15" s="1115">
        <f t="shared" si="3"/>
        <v>0.76228453572666155</v>
      </c>
      <c r="E15" s="29">
        <v>3698389.78</v>
      </c>
      <c r="F15" s="23">
        <f t="shared" si="8"/>
        <v>39658246.310000002</v>
      </c>
      <c r="G15" s="25">
        <f t="shared" si="9"/>
        <v>0.76228453572666155</v>
      </c>
      <c r="H15" s="29"/>
      <c r="I15" s="23"/>
      <c r="J15" s="25"/>
      <c r="K15" s="29"/>
      <c r="L15" s="1114"/>
      <c r="M15" s="25" t="str">
        <f>IF(K15="","",L15/$B$1)</f>
        <v/>
      </c>
      <c r="N15" s="29">
        <v>739423.99375833652</v>
      </c>
      <c r="O15" s="1114">
        <f t="shared" si="11"/>
        <v>41533094.039608337</v>
      </c>
      <c r="P15" s="1130">
        <f t="shared" si="10"/>
        <v>0.79832161663919565</v>
      </c>
      <c r="Q15" s="29"/>
      <c r="R15" s="23"/>
      <c r="V15" s="810"/>
      <c r="W15" s="595"/>
      <c r="AQ15" s="110"/>
      <c r="BL15" s="111"/>
    </row>
    <row r="16" spans="1:64">
      <c r="A16" s="953">
        <f t="shared" si="2"/>
        <v>46446</v>
      </c>
      <c r="B16" s="29">
        <v>1996070.73</v>
      </c>
      <c r="C16" s="1114">
        <f t="shared" si="6"/>
        <v>41654317.039999999</v>
      </c>
      <c r="D16" s="1115">
        <f t="shared" si="3"/>
        <v>0.80065168483864724</v>
      </c>
      <c r="E16" s="29">
        <v>1996070.73</v>
      </c>
      <c r="F16" s="23">
        <f t="shared" si="8"/>
        <v>41654317.039999999</v>
      </c>
      <c r="G16" s="25">
        <f t="shared" si="9"/>
        <v>0.80065168483864724</v>
      </c>
      <c r="H16" s="29"/>
      <c r="I16" s="23"/>
      <c r="J16" s="25"/>
      <c r="K16" s="29"/>
      <c r="L16" s="1114"/>
      <c r="M16" s="25"/>
      <c r="N16" s="29">
        <v>750058.29975833115</v>
      </c>
      <c r="O16" s="1114">
        <f t="shared" si="11"/>
        <v>42283152.339366667</v>
      </c>
      <c r="P16" s="1130">
        <f t="shared" si="10"/>
        <v>0.81273874033977223</v>
      </c>
      <c r="Q16" s="29"/>
      <c r="R16" s="23"/>
      <c r="V16" s="810"/>
      <c r="W16" s="595"/>
      <c r="AQ16" s="110"/>
      <c r="BL16" s="111"/>
    </row>
    <row r="17" spans="1:64">
      <c r="A17" s="953">
        <f t="shared" si="2"/>
        <v>46477</v>
      </c>
      <c r="B17" s="29">
        <v>3202188.85</v>
      </c>
      <c r="C17" s="1114">
        <f t="shared" si="6"/>
        <v>44856505.890000001</v>
      </c>
      <c r="D17" s="1115">
        <f t="shared" si="3"/>
        <v>0.86220203736182066</v>
      </c>
      <c r="E17" s="29">
        <v>3202188.85</v>
      </c>
      <c r="F17" s="23">
        <f t="shared" si="8"/>
        <v>44856505.890000001</v>
      </c>
      <c r="G17" s="25">
        <f t="shared" si="9"/>
        <v>0.86220203736182066</v>
      </c>
      <c r="H17" s="29"/>
      <c r="I17" s="23"/>
      <c r="J17" s="25"/>
      <c r="K17" s="29"/>
      <c r="L17" s="1114"/>
      <c r="M17" s="25"/>
      <c r="N17" s="29">
        <v>2573353.5506333364</v>
      </c>
      <c r="O17" s="1114">
        <f t="shared" si="11"/>
        <v>44856505.890000001</v>
      </c>
      <c r="P17" s="1130">
        <f t="shared" si="10"/>
        <v>0.86220203736182066</v>
      </c>
      <c r="Q17" s="29"/>
      <c r="R17" s="23"/>
      <c r="V17" s="810">
        <f>F7-I7</f>
        <v>-6911098.2100000009</v>
      </c>
      <c r="W17" s="595"/>
      <c r="AQ17" s="110"/>
      <c r="BL17" s="111"/>
    </row>
    <row r="18" spans="1:64">
      <c r="A18" s="953">
        <f t="shared" si="2"/>
        <v>46507</v>
      </c>
      <c r="B18" s="29">
        <v>1246820.1599999999</v>
      </c>
      <c r="C18" s="1114">
        <f t="shared" si="6"/>
        <v>46103326.049999997</v>
      </c>
      <c r="D18" s="1115">
        <f t="shared" si="3"/>
        <v>0.88616758841949783</v>
      </c>
      <c r="E18" s="29">
        <v>1246820.1599999999</v>
      </c>
      <c r="F18" s="23">
        <f t="shared" si="8"/>
        <v>46103326.049999997</v>
      </c>
      <c r="G18" s="25">
        <f t="shared" si="9"/>
        <v>0.88616758841949783</v>
      </c>
      <c r="H18" s="29"/>
      <c r="I18" s="23"/>
      <c r="J18" s="25"/>
      <c r="K18" s="29"/>
      <c r="L18" s="1114"/>
      <c r="M18" s="25"/>
      <c r="N18" s="29">
        <v>1246820.1599999964</v>
      </c>
      <c r="O18" s="1114">
        <f t="shared" si="11"/>
        <v>46103326.049999997</v>
      </c>
      <c r="P18" s="1130">
        <f t="shared" si="10"/>
        <v>0.88616758841949783</v>
      </c>
      <c r="Q18" s="29"/>
      <c r="R18" s="23"/>
      <c r="V18" s="595"/>
      <c r="W18" s="595"/>
      <c r="AQ18" s="110"/>
      <c r="BL18" s="111"/>
    </row>
    <row r="19" spans="1:64">
      <c r="A19" s="953">
        <f t="shared" si="2"/>
        <v>46538</v>
      </c>
      <c r="B19" s="29">
        <v>2553832.5699999998</v>
      </c>
      <c r="C19" s="1114">
        <f t="shared" si="6"/>
        <v>48657158.619999997</v>
      </c>
      <c r="D19" s="1115">
        <f t="shared" si="3"/>
        <v>0.93525566608508015</v>
      </c>
      <c r="E19" s="29">
        <v>2553832.5699999998</v>
      </c>
      <c r="F19" s="23">
        <f t="shared" si="8"/>
        <v>48657158.619999997</v>
      </c>
      <c r="G19" s="25">
        <f t="shared" si="9"/>
        <v>0.93525566608508015</v>
      </c>
      <c r="H19" s="29"/>
      <c r="I19" s="23"/>
      <c r="J19" s="25"/>
      <c r="K19" s="29"/>
      <c r="L19" s="1114"/>
      <c r="M19" s="25"/>
      <c r="N19" s="29">
        <v>2553832.5700000003</v>
      </c>
      <c r="O19" s="1114">
        <f t="shared" si="11"/>
        <v>48657158.619999997</v>
      </c>
      <c r="P19" s="1130">
        <f t="shared" si="10"/>
        <v>0.93525566608508015</v>
      </c>
      <c r="Q19" s="29"/>
      <c r="R19" s="23"/>
      <c r="V19" s="720"/>
      <c r="AQ19" s="110"/>
      <c r="BL19" s="111"/>
    </row>
    <row r="20" spans="1:64">
      <c r="A20" s="953">
        <f t="shared" si="2"/>
        <v>46568</v>
      </c>
      <c r="B20" s="29">
        <v>3368357.38</v>
      </c>
      <c r="C20" s="1114">
        <f t="shared" si="6"/>
        <v>52025516</v>
      </c>
      <c r="D20" s="1115">
        <f t="shared" si="3"/>
        <v>1</v>
      </c>
      <c r="E20" s="29">
        <v>3368357.38</v>
      </c>
      <c r="F20" s="23">
        <f t="shared" si="8"/>
        <v>52025516</v>
      </c>
      <c r="G20" s="25">
        <f t="shared" si="9"/>
        <v>1</v>
      </c>
      <c r="H20" s="29"/>
      <c r="I20" s="23"/>
      <c r="J20" s="25"/>
      <c r="K20" s="29"/>
      <c r="L20" s="1114"/>
      <c r="M20" s="1109"/>
      <c r="N20" s="29">
        <v>3368357.3800000027</v>
      </c>
      <c r="O20" s="1114">
        <f t="shared" si="11"/>
        <v>52025516</v>
      </c>
      <c r="P20" s="1130">
        <f t="shared" si="10"/>
        <v>1</v>
      </c>
      <c r="Q20" s="29"/>
      <c r="R20" s="23"/>
      <c r="W20" s="595"/>
      <c r="AQ20" s="110"/>
      <c r="BL20" s="111"/>
    </row>
    <row r="21" spans="1:64">
      <c r="A21" s="953">
        <f t="shared" si="2"/>
        <v>46599</v>
      </c>
      <c r="B21" s="29"/>
      <c r="C21" s="1114"/>
      <c r="D21" s="1115"/>
      <c r="E21" s="29"/>
      <c r="F21" s="23"/>
      <c r="G21" s="25"/>
      <c r="H21" s="29"/>
      <c r="I21" s="23"/>
      <c r="J21" s="25"/>
      <c r="K21" s="29"/>
      <c r="L21" s="1114"/>
      <c r="M21" s="25"/>
      <c r="N21" s="29"/>
      <c r="O21" s="1114"/>
      <c r="P21" s="1130"/>
      <c r="Q21" s="29"/>
      <c r="R21" s="23"/>
      <c r="V21" s="720"/>
      <c r="W21" s="595"/>
      <c r="AQ21" s="110"/>
      <c r="BL21" s="111"/>
    </row>
    <row r="22" spans="1:64">
      <c r="A22" s="953">
        <f t="shared" si="2"/>
        <v>46630</v>
      </c>
      <c r="B22" s="29"/>
      <c r="C22" s="1114"/>
      <c r="D22" s="1115"/>
      <c r="E22" s="29"/>
      <c r="F22" s="23"/>
      <c r="G22" s="25"/>
      <c r="H22" s="29"/>
      <c r="I22" s="23"/>
      <c r="J22" s="25"/>
      <c r="K22" s="29"/>
      <c r="L22" s="1114"/>
      <c r="M22" s="25"/>
      <c r="N22" s="29"/>
      <c r="O22" s="1114"/>
      <c r="P22" s="1130"/>
      <c r="Q22" s="29"/>
      <c r="R22" s="23"/>
      <c r="U22" s="2" t="s">
        <v>730</v>
      </c>
      <c r="W22" s="595"/>
      <c r="AQ22" s="110"/>
      <c r="BL22" s="111"/>
    </row>
    <row r="23" spans="1:64">
      <c r="A23" s="953">
        <f t="shared" si="2"/>
        <v>46660</v>
      </c>
      <c r="B23" s="29"/>
      <c r="D23" s="1115" t="s">
        <v>735</v>
      </c>
      <c r="E23" s="29"/>
      <c r="F23" s="23"/>
      <c r="G23" s="25"/>
      <c r="H23" s="29"/>
      <c r="I23" s="23"/>
      <c r="J23" s="24"/>
      <c r="K23" s="29"/>
      <c r="L23" s="1114"/>
      <c r="M23" s="1109"/>
      <c r="N23" s="29"/>
      <c r="O23" s="1114"/>
      <c r="P23" s="1130"/>
      <c r="Q23" s="29"/>
      <c r="R23" s="23"/>
      <c r="W23" s="595"/>
      <c r="AQ23" s="110"/>
      <c r="BL23" s="111"/>
    </row>
    <row r="24" spans="1:64">
      <c r="A24" s="953">
        <f t="shared" si="2"/>
        <v>46691</v>
      </c>
      <c r="B24" s="29"/>
      <c r="C24" s="23"/>
      <c r="D24" s="25"/>
      <c r="E24" s="29"/>
      <c r="F24" s="23"/>
      <c r="G24" s="25"/>
      <c r="H24" s="29"/>
      <c r="I24" s="23"/>
      <c r="J24" s="1214"/>
      <c r="K24" s="29"/>
      <c r="L24" s="1114"/>
      <c r="M24" s="1132"/>
      <c r="N24" s="23"/>
      <c r="O24" s="1114"/>
      <c r="P24" s="1130"/>
      <c r="Q24" s="29"/>
      <c r="R24" s="23"/>
      <c r="W24" s="595"/>
      <c r="AQ24" s="110"/>
      <c r="BL24" s="111"/>
    </row>
    <row r="25" spans="1:64">
      <c r="A25" s="953"/>
      <c r="B25" s="29"/>
      <c r="C25" s="23"/>
      <c r="D25" s="25"/>
      <c r="E25" s="29"/>
      <c r="F25" s="23"/>
      <c r="G25" s="25"/>
      <c r="H25" s="29"/>
      <c r="I25" s="23"/>
      <c r="J25" s="24"/>
      <c r="K25" s="29"/>
      <c r="L25" s="23"/>
      <c r="M25" s="25"/>
      <c r="N25" s="29"/>
      <c r="O25" s="23"/>
      <c r="P25" s="1130"/>
      <c r="Q25" s="29"/>
      <c r="R25" s="23"/>
      <c r="W25" s="810"/>
      <c r="AQ25" s="110"/>
      <c r="BL25" s="111"/>
    </row>
    <row r="26" spans="1:64">
      <c r="A26" s="953"/>
      <c r="B26" s="29"/>
      <c r="C26" s="23"/>
      <c r="D26" s="25"/>
      <c r="E26" s="29"/>
      <c r="F26" s="23"/>
      <c r="G26" s="25"/>
      <c r="H26" s="29"/>
      <c r="I26" s="23"/>
      <c r="J26" s="1198"/>
      <c r="K26" s="29"/>
      <c r="L26" s="23"/>
      <c r="M26" s="25"/>
      <c r="N26" s="29"/>
      <c r="O26" s="23"/>
      <c r="P26" s="25"/>
      <c r="Q26" s="29"/>
      <c r="R26" s="23"/>
      <c r="AQ26" s="110"/>
      <c r="BL26" s="111"/>
    </row>
    <row r="27" spans="1:64">
      <c r="A27" s="953"/>
      <c r="B27" s="29"/>
      <c r="C27" s="23"/>
      <c r="D27" s="25"/>
      <c r="E27" s="29"/>
      <c r="F27" s="23"/>
      <c r="G27" s="25"/>
      <c r="H27" s="29"/>
      <c r="I27" s="23"/>
      <c r="J27" s="24"/>
      <c r="K27" s="29"/>
      <c r="L27" s="23"/>
      <c r="M27" s="1109"/>
      <c r="N27" s="29"/>
      <c r="O27" s="23"/>
      <c r="P27" s="1109"/>
      <c r="Q27" s="29"/>
      <c r="R27" s="23"/>
      <c r="V27" s="720"/>
      <c r="W27" s="595"/>
      <c r="AQ27" s="110"/>
      <c r="BL27" s="111"/>
    </row>
    <row r="28" spans="1:64">
      <c r="A28" s="953"/>
      <c r="B28" s="29"/>
      <c r="C28" s="23"/>
      <c r="D28" s="25"/>
      <c r="E28" s="29"/>
      <c r="F28" s="23"/>
      <c r="G28" s="25"/>
      <c r="H28" s="29"/>
      <c r="I28" s="23"/>
      <c r="J28" s="24"/>
      <c r="K28" s="29"/>
      <c r="L28" s="23"/>
      <c r="M28" s="1117"/>
      <c r="N28" s="29"/>
      <c r="O28" s="23"/>
      <c r="P28" s="25"/>
      <c r="Q28" s="29"/>
      <c r="R28" s="23"/>
      <c r="W28" s="595">
        <f>+Progress!H27</f>
        <v>40099753.100000001</v>
      </c>
      <c r="AQ28" s="110"/>
      <c r="BL28" s="111"/>
    </row>
    <row r="29" spans="1:64" ht="15" thickBot="1">
      <c r="A29" s="953"/>
      <c r="B29" s="29"/>
      <c r="C29" s="23"/>
      <c r="D29" s="24"/>
      <c r="E29" s="29"/>
      <c r="F29" s="23"/>
      <c r="G29" s="24"/>
      <c r="H29" s="29"/>
      <c r="I29" s="23"/>
      <c r="J29" s="24"/>
      <c r="K29" s="29"/>
      <c r="L29" s="23"/>
      <c r="M29" s="1117"/>
      <c r="N29" s="29"/>
      <c r="O29" s="23"/>
      <c r="P29" s="25"/>
      <c r="Q29" s="29"/>
      <c r="R29" s="23"/>
      <c r="V29" s="799"/>
      <c r="W29" s="720">
        <f>+W28-I7</f>
        <v>27571493.770000003</v>
      </c>
      <c r="AQ29" s="151"/>
      <c r="AR29" s="152"/>
      <c r="AS29" s="152"/>
      <c r="AT29" s="152"/>
      <c r="AU29" s="152"/>
      <c r="AV29" s="152"/>
      <c r="AW29" s="152"/>
      <c r="AX29" s="152"/>
      <c r="AY29" s="152"/>
      <c r="AZ29" s="152"/>
      <c r="BA29" s="152"/>
      <c r="BB29" s="152"/>
      <c r="BC29" s="152"/>
      <c r="BD29" s="152"/>
      <c r="BE29" s="152"/>
      <c r="BF29" s="152"/>
      <c r="BG29" s="152"/>
      <c r="BH29" s="152"/>
      <c r="BI29" s="152"/>
      <c r="BJ29" s="152"/>
      <c r="BK29" s="152"/>
      <c r="BL29" s="153"/>
    </row>
    <row r="30" spans="1:64">
      <c r="A30" s="953"/>
      <c r="B30" s="29"/>
      <c r="C30" s="23"/>
      <c r="D30" s="24"/>
      <c r="E30" s="29"/>
      <c r="F30" s="23"/>
      <c r="G30" s="24"/>
      <c r="H30" s="29"/>
      <c r="I30" s="23"/>
      <c r="J30" s="24"/>
      <c r="K30" s="29"/>
      <c r="L30" s="23"/>
      <c r="M30" s="24"/>
      <c r="N30" s="29"/>
      <c r="O30" s="23"/>
      <c r="P30" s="1109"/>
      <c r="Q30" s="29"/>
      <c r="R30" s="23"/>
      <c r="S30" s="596"/>
    </row>
    <row r="31" spans="1:64">
      <c r="A31" s="953"/>
      <c r="B31" s="29"/>
      <c r="C31" s="23"/>
      <c r="D31" s="24"/>
      <c r="E31" s="29"/>
      <c r="F31" s="23"/>
      <c r="G31" s="24"/>
      <c r="H31" s="29"/>
      <c r="I31" s="23"/>
      <c r="J31" s="24"/>
      <c r="K31" s="29"/>
      <c r="L31" s="23"/>
      <c r="M31" s="24"/>
      <c r="N31" s="29"/>
      <c r="O31" s="23"/>
      <c r="P31" s="25"/>
      <c r="Q31" s="29"/>
      <c r="R31" s="23"/>
      <c r="U31" s="799"/>
    </row>
    <row r="32" spans="1:64">
      <c r="A32" s="953"/>
      <c r="B32" s="29"/>
      <c r="C32" s="23"/>
      <c r="D32" s="24"/>
      <c r="E32" s="29"/>
      <c r="F32" s="23"/>
      <c r="G32" s="24"/>
      <c r="H32" s="29"/>
      <c r="I32" s="23"/>
      <c r="J32" s="24"/>
      <c r="K32" s="29"/>
      <c r="L32" s="23"/>
      <c r="M32" s="1131"/>
      <c r="N32" s="29"/>
      <c r="O32" s="23"/>
      <c r="P32" s="25"/>
      <c r="Q32" s="29"/>
      <c r="R32" s="23"/>
      <c r="U32" s="799"/>
    </row>
    <row r="33" spans="1:53">
      <c r="A33" s="953"/>
      <c r="B33" s="29"/>
      <c r="C33" s="23"/>
      <c r="D33" s="24"/>
      <c r="E33" s="29"/>
      <c r="F33" s="23"/>
      <c r="G33" s="24"/>
      <c r="H33" s="29"/>
      <c r="I33" s="23"/>
      <c r="J33" s="24"/>
      <c r="K33" s="29"/>
      <c r="L33" s="23"/>
      <c r="M33" s="24"/>
      <c r="N33" s="29"/>
      <c r="O33" s="23"/>
      <c r="P33" s="25"/>
      <c r="Q33" s="29"/>
      <c r="R33" s="26"/>
    </row>
    <row r="34" spans="1:53">
      <c r="A34" s="953"/>
      <c r="B34" s="29"/>
      <c r="C34" s="23"/>
      <c r="D34" s="24"/>
      <c r="E34" s="29"/>
      <c r="F34" s="23"/>
      <c r="G34" s="24"/>
      <c r="H34" s="29"/>
      <c r="I34" s="23"/>
      <c r="J34" s="24"/>
      <c r="K34" s="29"/>
      <c r="L34" s="23"/>
      <c r="M34" s="24"/>
      <c r="N34" s="29"/>
      <c r="O34" s="23"/>
      <c r="P34" s="25"/>
      <c r="Q34" s="29"/>
      <c r="R34" s="26"/>
      <c r="S34" s="720"/>
    </row>
    <row r="35" spans="1:53">
      <c r="A35" s="953"/>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 thickBot="1">
      <c r="H37" s="720"/>
    </row>
    <row r="38" spans="1:53" ht="27" thickTop="1" thickBot="1">
      <c r="A38" s="1"/>
      <c r="B38" s="2064" t="s">
        <v>731</v>
      </c>
      <c r="C38" s="2065"/>
      <c r="D38" s="2065"/>
      <c r="E38" s="2065"/>
      <c r="F38" s="2065"/>
      <c r="G38" s="2065"/>
      <c r="H38" s="2065"/>
      <c r="I38" s="2065"/>
      <c r="J38" s="2065"/>
      <c r="K38" s="2065"/>
      <c r="L38" s="2065"/>
      <c r="M38" s="2065"/>
      <c r="N38" s="2065"/>
      <c r="O38" s="2065"/>
      <c r="P38" s="2065"/>
      <c r="Q38" s="2065"/>
      <c r="R38" s="2065"/>
      <c r="S38" s="2065"/>
      <c r="T38" s="2066"/>
      <c r="U38" s="30"/>
      <c r="V38" s="30"/>
      <c r="W38" s="30"/>
      <c r="X38" s="30"/>
      <c r="Y38" s="30"/>
      <c r="Z38" s="31"/>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94"/>
      <c r="J40" s="596"/>
      <c r="K40" s="596"/>
      <c r="O40" s="480"/>
      <c r="P40" s="594"/>
    </row>
    <row r="41" spans="1:53">
      <c r="I41" s="594"/>
      <c r="J41" s="596"/>
      <c r="K41" s="596"/>
    </row>
    <row r="42" spans="1:53" ht="14.4" customHeight="1">
      <c r="B42" s="815"/>
      <c r="G42" s="36"/>
      <c r="H42" s="36"/>
      <c r="K42" s="594"/>
      <c r="L42" s="480"/>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row>
    <row r="43" spans="1:53" ht="14.4" customHeight="1">
      <c r="H43" s="93"/>
      <c r="I43" s="93"/>
      <c r="K43" s="93"/>
      <c r="L43" s="720"/>
      <c r="M43" s="573"/>
      <c r="N43" s="615"/>
      <c r="O43" s="615"/>
      <c r="P43" s="573"/>
      <c r="Q43" s="573"/>
      <c r="R43" s="573"/>
      <c r="T43" s="615"/>
      <c r="U43" s="615"/>
      <c r="W43" s="615"/>
      <c r="AC43" s="573"/>
      <c r="AD43" s="573"/>
      <c r="AE43" s="573"/>
      <c r="AF43" s="573"/>
      <c r="AG43" s="573"/>
      <c r="AH43" s="573"/>
      <c r="AI43" s="573"/>
      <c r="AJ43" s="573"/>
      <c r="AK43" s="573"/>
      <c r="AL43" s="573"/>
      <c r="AM43" s="573"/>
      <c r="AN43" s="573"/>
      <c r="AO43" s="573"/>
      <c r="AP43" s="573"/>
      <c r="AQ43" s="573"/>
      <c r="AR43" s="573"/>
      <c r="AS43" s="573"/>
      <c r="AT43" s="573"/>
      <c r="AU43" s="573"/>
      <c r="AV43" s="573"/>
      <c r="AW43" s="573"/>
      <c r="AX43" s="573"/>
      <c r="AY43" s="573"/>
      <c r="AZ43" s="573"/>
    </row>
    <row r="44" spans="1:53">
      <c r="H44" s="1111"/>
      <c r="I44" s="93"/>
      <c r="K44" s="702"/>
      <c r="M44" s="573"/>
      <c r="N44" s="615"/>
      <c r="O44" s="615"/>
      <c r="P44" s="573"/>
      <c r="Q44" s="573"/>
      <c r="R44" s="573"/>
      <c r="T44" s="615"/>
      <c r="U44" s="615"/>
      <c r="W44" s="615"/>
      <c r="AC44" s="573"/>
      <c r="AD44" s="573"/>
      <c r="AE44" s="573"/>
      <c r="AF44" s="573"/>
      <c r="AG44" s="573"/>
      <c r="AH44" s="573"/>
      <c r="AI44" s="573"/>
      <c r="AJ44" s="573"/>
      <c r="AK44" s="573"/>
      <c r="AL44" s="573"/>
      <c r="AM44" s="573"/>
      <c r="AN44" s="573"/>
      <c r="AO44" s="573"/>
      <c r="AP44" s="573"/>
      <c r="AQ44" s="573"/>
      <c r="AR44" s="573"/>
      <c r="AS44" s="573"/>
      <c r="AT44" s="573"/>
      <c r="AU44" s="573"/>
      <c r="AV44" s="573"/>
      <c r="AW44" s="573"/>
      <c r="AX44" s="573"/>
      <c r="AY44" s="573"/>
      <c r="AZ44" s="573"/>
      <c r="BA44" s="573"/>
    </row>
    <row r="45" spans="1:53">
      <c r="G45" s="594"/>
      <c r="H45" s="93"/>
      <c r="I45" s="93"/>
      <c r="J45" s="1113"/>
      <c r="K45" s="93"/>
      <c r="M45" s="93"/>
      <c r="N45" s="615"/>
      <c r="O45" s="615"/>
      <c r="P45" s="93"/>
      <c r="Q45" s="93"/>
      <c r="R45" s="93"/>
      <c r="S45" s="93"/>
      <c r="T45" s="615"/>
      <c r="U45" s="615"/>
      <c r="V45" s="93"/>
      <c r="W45" s="615"/>
      <c r="X45" s="93"/>
      <c r="Y45" s="93"/>
      <c r="Z45" s="93"/>
      <c r="AA45" s="93"/>
      <c r="AB45" s="93"/>
      <c r="AC45" s="93"/>
      <c r="AD45" s="93"/>
      <c r="AE45" s="93"/>
      <c r="AF45" s="93"/>
      <c r="AG45" s="93"/>
      <c r="AH45" s="93"/>
      <c r="AI45" s="93"/>
      <c r="AJ45" s="93"/>
      <c r="AK45" s="93"/>
      <c r="AL45" s="93"/>
    </row>
    <row r="46" spans="1:53" s="594" customFormat="1">
      <c r="G46"/>
      <c r="AA46" s="623"/>
      <c r="AB46" s="623"/>
      <c r="AC46" s="623"/>
      <c r="AD46" s="623"/>
      <c r="AE46" s="623"/>
      <c r="AF46" s="623"/>
      <c r="AG46" s="623"/>
      <c r="AH46" s="623"/>
      <c r="AI46" s="623"/>
      <c r="AJ46" s="623"/>
      <c r="AK46" s="623"/>
      <c r="AL46" s="623"/>
      <c r="AM46" s="623"/>
      <c r="AN46" s="623"/>
      <c r="AO46" s="623"/>
      <c r="AP46" s="623"/>
      <c r="AQ46" s="623"/>
      <c r="AR46" s="623"/>
      <c r="AS46" s="623"/>
      <c r="AT46" s="623"/>
      <c r="AU46" s="623"/>
      <c r="AV46" s="623"/>
      <c r="AW46" s="623"/>
      <c r="AX46" s="623"/>
      <c r="AY46" s="623"/>
      <c r="AZ46" s="623"/>
    </row>
    <row r="47" spans="1:53" s="594" customFormat="1">
      <c r="E47" s="1086"/>
      <c r="F47" s="1086"/>
      <c r="G47"/>
      <c r="H47" s="1086"/>
      <c r="I47" s="1112"/>
      <c r="J47" s="1112"/>
      <c r="K47" s="594">
        <f>K51-I7</f>
        <v>-1659872.4800000004</v>
      </c>
      <c r="M47" s="594">
        <f>+N22+N23</f>
        <v>0</v>
      </c>
    </row>
    <row r="48" spans="1:53" s="594" customFormat="1">
      <c r="G48"/>
    </row>
    <row r="49" spans="1:52" s="594" customFormat="1">
      <c r="G49"/>
    </row>
    <row r="50" spans="1:52" s="594" customFormat="1">
      <c r="G50"/>
    </row>
    <row r="51" spans="1:52">
      <c r="E51" s="594"/>
      <c r="I51" s="93"/>
      <c r="J51" s="93"/>
      <c r="K51">
        <v>10868386.85</v>
      </c>
      <c r="L51" s="480"/>
      <c r="M51" s="573"/>
      <c r="N51" s="615"/>
      <c r="O51" s="615"/>
      <c r="P51" s="573"/>
      <c r="Q51" s="573"/>
      <c r="S51" s="615"/>
      <c r="T51" s="615"/>
      <c r="V51" s="615"/>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row>
    <row r="52" spans="1:52">
      <c r="E52" s="594"/>
      <c r="I52" s="93"/>
      <c r="J52" s="93"/>
      <c r="L52" s="93"/>
      <c r="M52" s="573"/>
      <c r="N52" s="615"/>
      <c r="O52" s="615"/>
      <c r="P52" s="573"/>
      <c r="Q52" s="573"/>
      <c r="S52" s="615"/>
      <c r="T52" s="615"/>
      <c r="V52" s="615"/>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row>
    <row r="53" spans="1:52">
      <c r="E53" s="594"/>
      <c r="I53" s="573"/>
      <c r="J53" s="93"/>
      <c r="L53" s="93"/>
      <c r="M53" s="573"/>
      <c r="N53" s="615"/>
      <c r="O53" s="615"/>
      <c r="P53" s="573"/>
      <c r="Q53" s="573"/>
      <c r="S53" s="615"/>
      <c r="T53" s="615"/>
      <c r="V53" s="615"/>
    </row>
    <row r="54" spans="1:52" ht="21">
      <c r="A54" s="8"/>
      <c r="E54" s="594"/>
      <c r="H54" s="573"/>
      <c r="I54" s="573"/>
      <c r="J54" s="93"/>
      <c r="L54" s="93"/>
      <c r="M54" s="573"/>
      <c r="N54" s="615"/>
      <c r="O54" s="615"/>
      <c r="P54" s="573"/>
      <c r="Q54" s="573"/>
      <c r="S54" s="615"/>
      <c r="T54" s="594"/>
      <c r="V54" s="615"/>
    </row>
    <row r="55" spans="1:52">
      <c r="E55" s="594"/>
      <c r="H55" s="573"/>
      <c r="I55" s="573"/>
      <c r="L55" s="93"/>
      <c r="T55" s="594"/>
    </row>
    <row r="56" spans="1:52">
      <c r="E56" s="594"/>
      <c r="H56" s="573"/>
      <c r="I56" s="573"/>
      <c r="K56" s="595"/>
      <c r="L56" s="93"/>
      <c r="T56" s="594"/>
    </row>
    <row r="57" spans="1:52">
      <c r="E57" s="594"/>
      <c r="H57" s="573"/>
      <c r="I57" s="573"/>
      <c r="K57" s="595"/>
      <c r="L57" s="93"/>
      <c r="T57" s="594"/>
    </row>
    <row r="58" spans="1:52">
      <c r="E58" s="594"/>
      <c r="H58" s="573"/>
      <c r="I58" s="573"/>
      <c r="K58" s="595"/>
      <c r="N58" s="594"/>
      <c r="T58" s="594"/>
    </row>
    <row r="59" spans="1:52">
      <c r="A59" s="13"/>
      <c r="E59" s="594"/>
      <c r="H59" s="573"/>
      <c r="I59" s="573"/>
      <c r="K59" s="595"/>
      <c r="T59" s="594"/>
    </row>
    <row r="60" spans="1:52">
      <c r="A60" s="7"/>
      <c r="E60" s="594"/>
      <c r="H60" s="573"/>
      <c r="I60" s="573"/>
      <c r="K60" s="595"/>
      <c r="T60" s="594"/>
    </row>
    <row r="61" spans="1:52">
      <c r="A61" s="7"/>
      <c r="E61" s="594"/>
      <c r="H61" s="573"/>
      <c r="I61" s="573"/>
      <c r="K61" s="595"/>
      <c r="T61" s="594"/>
    </row>
    <row r="62" spans="1:52">
      <c r="A62" s="7"/>
      <c r="E62" s="594"/>
      <c r="G62" s="93"/>
      <c r="H62" s="573"/>
      <c r="I62" s="573"/>
      <c r="K62" s="595"/>
      <c r="T62" s="594"/>
    </row>
    <row r="63" spans="1:52">
      <c r="A63" s="7"/>
      <c r="E63" s="594"/>
      <c r="G63" s="573"/>
      <c r="H63" s="573"/>
      <c r="I63" s="573"/>
      <c r="K63" s="595"/>
      <c r="T63" s="594"/>
    </row>
    <row r="64" spans="1:52">
      <c r="A64" s="7"/>
      <c r="E64" s="594"/>
      <c r="G64" s="573"/>
      <c r="H64" s="573"/>
      <c r="I64" s="573"/>
      <c r="K64" s="595"/>
      <c r="T64" s="594"/>
    </row>
    <row r="65" spans="1:20">
      <c r="A65" s="7"/>
      <c r="E65" s="594"/>
      <c r="G65" s="573"/>
      <c r="H65" s="573"/>
      <c r="I65" s="573"/>
      <c r="K65" s="595"/>
      <c r="T65" s="594"/>
    </row>
    <row r="66" spans="1:20">
      <c r="E66" s="594"/>
      <c r="H66" s="573"/>
      <c r="I66" s="573"/>
      <c r="K66" s="595"/>
      <c r="T66" s="594"/>
    </row>
    <row r="67" spans="1:20">
      <c r="A67" s="10"/>
      <c r="E67" s="594"/>
      <c r="H67" s="573"/>
      <c r="I67" s="573"/>
      <c r="K67" s="595"/>
      <c r="T67" s="594"/>
    </row>
    <row r="68" spans="1:20">
      <c r="A68" s="12"/>
      <c r="E68" s="594"/>
      <c r="H68" s="573"/>
      <c r="I68" s="573"/>
      <c r="K68" s="595"/>
      <c r="T68" s="594"/>
    </row>
    <row r="69" spans="1:20">
      <c r="A69" s="4"/>
      <c r="E69" s="594"/>
      <c r="H69" s="573"/>
      <c r="I69" s="573"/>
      <c r="K69" s="595"/>
      <c r="T69" s="594"/>
    </row>
    <row r="70" spans="1:20">
      <c r="A70" s="4"/>
      <c r="B70" s="9"/>
      <c r="C70" s="4"/>
      <c r="D70" s="9"/>
      <c r="E70" s="594"/>
      <c r="G70" s="5"/>
      <c r="H70" s="573"/>
      <c r="I70" s="573"/>
      <c r="K70" s="595"/>
      <c r="T70" s="594"/>
    </row>
    <row r="71" spans="1:20">
      <c r="A71" s="4"/>
      <c r="B71" s="9"/>
      <c r="C71" s="4"/>
      <c r="D71" s="9"/>
      <c r="E71" s="594"/>
      <c r="G71" s="5"/>
      <c r="H71" s="573"/>
      <c r="I71" s="573"/>
      <c r="K71" s="595"/>
      <c r="T71" s="594"/>
    </row>
    <row r="72" spans="1:20">
      <c r="A72" s="4"/>
      <c r="B72" s="9"/>
      <c r="C72" s="4"/>
      <c r="D72" s="9"/>
      <c r="E72" s="594"/>
      <c r="G72" s="5"/>
      <c r="H72" s="573"/>
      <c r="I72" s="573"/>
      <c r="K72" s="595"/>
      <c r="T72" s="594"/>
    </row>
    <row r="73" spans="1:20">
      <c r="A73" s="4"/>
      <c r="B73" s="15"/>
      <c r="C73" s="4"/>
      <c r="D73" s="9"/>
      <c r="G73" s="5"/>
      <c r="H73" s="573"/>
      <c r="I73" s="573"/>
      <c r="K73" s="595"/>
      <c r="T73" s="594"/>
    </row>
    <row r="74" spans="1:20">
      <c r="A74" s="4"/>
      <c r="B74" s="15"/>
      <c r="C74" s="4"/>
      <c r="D74" s="9"/>
      <c r="G74" s="5"/>
      <c r="H74" s="573"/>
      <c r="I74" s="573"/>
      <c r="K74" s="595"/>
      <c r="T74" s="594"/>
    </row>
    <row r="75" spans="1:20">
      <c r="A75" s="4"/>
      <c r="B75" s="15"/>
      <c r="C75" s="4"/>
      <c r="D75" s="9"/>
      <c r="G75" s="5"/>
      <c r="H75" s="573"/>
      <c r="I75" s="573"/>
      <c r="K75" s="595"/>
      <c r="T75" s="594"/>
    </row>
    <row r="76" spans="1:20">
      <c r="A76" s="4"/>
      <c r="B76" s="15"/>
      <c r="C76" s="4"/>
      <c r="D76" s="9"/>
      <c r="G76" s="5"/>
      <c r="H76" s="573"/>
      <c r="I76" s="573"/>
      <c r="K76" s="595"/>
    </row>
    <row r="77" spans="1:20">
      <c r="A77" s="4"/>
      <c r="B77" s="15"/>
      <c r="D77" s="16"/>
      <c r="E77" s="16"/>
      <c r="G77" s="5"/>
      <c r="H77" s="573"/>
      <c r="I77" s="573"/>
      <c r="K77" s="595"/>
    </row>
    <row r="78" spans="1:20">
      <c r="A78" s="4"/>
      <c r="B78" s="15"/>
      <c r="G78" s="5"/>
      <c r="H78" s="5"/>
      <c r="I78" s="573"/>
      <c r="K78" s="595"/>
    </row>
    <row r="79" spans="1:20">
      <c r="A79" s="4"/>
      <c r="B79" s="15"/>
      <c r="G79" s="5"/>
      <c r="H79" s="5"/>
      <c r="K79" s="595"/>
    </row>
    <row r="80" spans="1:20">
      <c r="A80" s="4"/>
      <c r="B80" s="15"/>
      <c r="G80" s="5"/>
      <c r="H80" s="5"/>
      <c r="K80" s="595"/>
    </row>
    <row r="81" spans="11:11">
      <c r="K81" s="595"/>
    </row>
    <row r="82" spans="11:11">
      <c r="K82" s="595"/>
    </row>
    <row r="83" spans="11:11">
      <c r="K83" s="595"/>
    </row>
    <row r="84" spans="11:11">
      <c r="K84" s="595"/>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H30" sqref="H30"/>
    </sheetView>
  </sheetViews>
  <sheetFormatPr defaultRowHeight="14.4"/>
  <cols>
    <col min="1" max="2" width="19.33203125" customWidth="1"/>
    <col min="3" max="3" width="59.33203125" customWidth="1"/>
    <col min="4" max="8" width="19.33203125" customWidth="1"/>
  </cols>
  <sheetData>
    <row r="1" spans="1:8">
      <c r="A1" s="2080" t="s">
        <v>635</v>
      </c>
      <c r="B1" s="2081"/>
      <c r="C1" s="2081"/>
      <c r="D1" s="2081"/>
      <c r="E1" s="2081"/>
      <c r="F1" s="2081"/>
      <c r="G1" s="2081"/>
      <c r="H1" s="2081"/>
    </row>
    <row r="2" spans="1:8" ht="26.4">
      <c r="A2" s="77" t="s">
        <v>177</v>
      </c>
      <c r="B2" s="948" t="s">
        <v>178</v>
      </c>
      <c r="C2" s="949" t="s">
        <v>179</v>
      </c>
      <c r="D2" s="949" t="s">
        <v>49</v>
      </c>
      <c r="E2" s="949" t="s">
        <v>636</v>
      </c>
      <c r="F2" s="948" t="s">
        <v>181</v>
      </c>
      <c r="G2" s="950" t="s">
        <v>182</v>
      </c>
      <c r="H2" s="950" t="s">
        <v>637</v>
      </c>
    </row>
    <row r="3" spans="1:8" ht="45.45" customHeight="1">
      <c r="A3" s="78"/>
      <c r="B3" s="69"/>
      <c r="C3" s="70"/>
      <c r="D3" s="70"/>
      <c r="E3" s="71"/>
      <c r="F3" s="72"/>
      <c r="G3" s="84"/>
      <c r="H3" s="85"/>
    </row>
    <row r="4" spans="1:8">
      <c r="A4" s="86" t="s">
        <v>638</v>
      </c>
      <c r="B4" s="87" t="s">
        <v>638</v>
      </c>
      <c r="C4" s="88" t="s">
        <v>638</v>
      </c>
      <c r="D4" s="70"/>
      <c r="E4" s="89" t="s">
        <v>638</v>
      </c>
      <c r="F4" s="90" t="s">
        <v>638</v>
      </c>
      <c r="G4" s="91" t="s">
        <v>638</v>
      </c>
      <c r="H4" s="92" t="s">
        <v>638</v>
      </c>
    </row>
    <row r="5" spans="1:8">
      <c r="A5" s="78" t="s">
        <v>638</v>
      </c>
      <c r="B5" s="69" t="s">
        <v>638</v>
      </c>
      <c r="C5" s="70" t="s">
        <v>638</v>
      </c>
      <c r="D5" s="70"/>
      <c r="E5" s="71" t="s">
        <v>638</v>
      </c>
      <c r="F5" s="72" t="s">
        <v>638</v>
      </c>
      <c r="G5" s="82" t="s">
        <v>638</v>
      </c>
      <c r="H5" s="79" t="s">
        <v>638</v>
      </c>
    </row>
    <row r="6" spans="1:8">
      <c r="A6" s="78" t="s">
        <v>638</v>
      </c>
      <c r="B6" s="69" t="s">
        <v>638</v>
      </c>
      <c r="C6" s="70" t="s">
        <v>638</v>
      </c>
      <c r="D6" s="70"/>
      <c r="E6" s="71" t="s">
        <v>638</v>
      </c>
      <c r="F6" s="72" t="s">
        <v>638</v>
      </c>
      <c r="G6" s="82" t="s">
        <v>638</v>
      </c>
      <c r="H6" s="79" t="s">
        <v>638</v>
      </c>
    </row>
    <row r="7" spans="1:8">
      <c r="A7" s="78" t="s">
        <v>638</v>
      </c>
      <c r="B7" s="69" t="s">
        <v>638</v>
      </c>
      <c r="C7" s="70" t="s">
        <v>638</v>
      </c>
      <c r="D7" s="70"/>
      <c r="E7" s="71" t="s">
        <v>638</v>
      </c>
      <c r="F7" s="72" t="s">
        <v>638</v>
      </c>
      <c r="G7" s="82" t="s">
        <v>638</v>
      </c>
      <c r="H7" s="79" t="s">
        <v>638</v>
      </c>
    </row>
    <row r="8" spans="1:8">
      <c r="A8" s="80" t="s">
        <v>638</v>
      </c>
      <c r="B8" s="73" t="s">
        <v>638</v>
      </c>
      <c r="C8" s="74" t="s">
        <v>638</v>
      </c>
      <c r="D8" s="74"/>
      <c r="E8" s="75" t="s">
        <v>638</v>
      </c>
      <c r="F8" s="76" t="s">
        <v>638</v>
      </c>
      <c r="G8" s="83" t="s">
        <v>638</v>
      </c>
      <c r="H8" s="81" t="s">
        <v>638</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filterMode="1">
    <tabColor theme="9" tint="0.59999389629810485"/>
  </sheetPr>
  <dimension ref="A1:ZN139"/>
  <sheetViews>
    <sheetView zoomScale="85" zoomScaleNormal="85" zoomScaleSheetLayoutView="130" workbookViewId="0">
      <selection activeCell="E44" sqref="E44"/>
    </sheetView>
  </sheetViews>
  <sheetFormatPr defaultColWidth="9.109375" defaultRowHeight="14.4"/>
  <cols>
    <col min="1" max="1" width="14.6640625" style="3" customWidth="1"/>
    <col min="2" max="2" width="66.6640625" style="3" customWidth="1"/>
    <col min="3" max="3" width="13.109375" style="3" bestFit="1" customWidth="1"/>
    <col min="4" max="4" width="19.33203125" style="3" bestFit="1" customWidth="1"/>
    <col min="5" max="6" width="11.6640625" style="3" customWidth="1"/>
    <col min="7" max="7" width="14.44140625" style="3" bestFit="1" customWidth="1"/>
    <col min="8" max="8" width="14.44140625" style="34" bestFit="1" customWidth="1"/>
    <col min="9" max="9" width="13.109375" style="3" customWidth="1"/>
    <col min="10" max="10" width="24" style="3" customWidth="1"/>
    <col min="11" max="11" width="9.6640625" style="3" bestFit="1" customWidth="1"/>
    <col min="12" max="13" width="10.5546875" style="3" bestFit="1" customWidth="1"/>
    <col min="14" max="16" width="9.6640625" style="3" bestFit="1" customWidth="1"/>
    <col min="17" max="17" width="11.5546875" style="3" bestFit="1" customWidth="1"/>
    <col min="18" max="21" width="9.88671875" style="3" bestFit="1" customWidth="1"/>
    <col min="22" max="27" width="9.6640625" style="3" bestFit="1" customWidth="1"/>
    <col min="28" max="68" width="9.88671875" style="3" bestFit="1" customWidth="1"/>
    <col min="69" max="88" width="9.44140625" style="3" bestFit="1" customWidth="1"/>
    <col min="89" max="97" width="9.33203125" style="3" bestFit="1" customWidth="1"/>
    <col min="98" max="119" width="10.109375" style="3" bestFit="1" customWidth="1"/>
    <col min="120" max="128" width="9.33203125" style="3" bestFit="1" customWidth="1"/>
    <col min="129" max="149" width="9.44140625" style="3" bestFit="1" customWidth="1"/>
    <col min="150" max="189" width="9.33203125" style="3" bestFit="1" customWidth="1"/>
    <col min="190" max="211" width="9.88671875" style="3" bestFit="1" customWidth="1"/>
    <col min="212" max="220" width="9.33203125" style="3" bestFit="1" customWidth="1"/>
    <col min="221" max="241" width="9.6640625" style="3" bestFit="1" customWidth="1"/>
    <col min="242" max="250" width="9.33203125" style="3" bestFit="1" customWidth="1"/>
    <col min="251" max="272" width="9.44140625" style="3" bestFit="1" customWidth="1"/>
    <col min="273" max="281" width="9.33203125" style="3" bestFit="1" customWidth="1"/>
    <col min="282" max="302" width="10" style="3" bestFit="1" customWidth="1"/>
    <col min="303" max="311" width="9.33203125" style="3" bestFit="1" customWidth="1"/>
    <col min="312" max="333" width="9.6640625" style="3" bestFit="1" customWidth="1"/>
    <col min="334" max="373" width="9.33203125" style="3" bestFit="1" customWidth="1"/>
    <col min="374" max="392" width="9.6640625" style="3" bestFit="1" customWidth="1"/>
    <col min="393" max="401" width="9.33203125" style="3" bestFit="1" customWidth="1"/>
    <col min="402" max="423" width="9.88671875" style="3" bestFit="1" customWidth="1"/>
    <col min="424" max="432" width="9.33203125" style="3" bestFit="1" customWidth="1"/>
    <col min="433" max="453" width="9.44140625" style="3" bestFit="1" customWidth="1"/>
    <col min="454" max="462" width="9.33203125" style="3" bestFit="1" customWidth="1"/>
    <col min="463" max="484" width="10.109375" style="3" bestFit="1" customWidth="1"/>
    <col min="485" max="493" width="9.33203125" style="3" bestFit="1" customWidth="1"/>
    <col min="494" max="514" width="9.44140625" style="3" bestFit="1" customWidth="1"/>
    <col min="515" max="554" width="9.33203125" style="3" bestFit="1" customWidth="1"/>
    <col min="555" max="576" width="9.88671875" style="3" bestFit="1" customWidth="1"/>
    <col min="577" max="585" width="9.33203125" style="3" bestFit="1" customWidth="1"/>
    <col min="586" max="606" width="9.6640625" style="3" bestFit="1" customWidth="1"/>
    <col min="607" max="615" width="9.33203125" style="3" bestFit="1" customWidth="1"/>
    <col min="616" max="637" width="9.44140625" style="3" bestFit="1" customWidth="1"/>
    <col min="638" max="646" width="9.33203125" style="3" bestFit="1" customWidth="1"/>
    <col min="647" max="667" width="10" style="3" bestFit="1" customWidth="1"/>
    <col min="668" max="676" width="9.33203125" style="3" bestFit="1" customWidth="1"/>
    <col min="677" max="681" width="9.6640625" style="3" bestFit="1" customWidth="1"/>
    <col min="682" max="682" width="11.44140625" style="3" bestFit="1" customWidth="1"/>
    <col min="683" max="683" width="9.109375" style="3"/>
    <col min="684" max="684" width="9.44140625" style="3" bestFit="1" customWidth="1"/>
    <col min="685" max="688" width="9.44140625" style="3" customWidth="1"/>
    <col min="689" max="689" width="11.44140625" style="612" bestFit="1" customWidth="1"/>
    <col min="690" max="690" width="9.33203125" style="612" bestFit="1" customWidth="1"/>
    <col min="691" max="691" width="9.109375" style="3"/>
    <col min="692" max="692" width="12.6640625" style="3" bestFit="1" customWidth="1"/>
    <col min="693" max="693" width="8.88671875" style="3" bestFit="1" customWidth="1"/>
    <col min="694" max="694" width="9.6640625" style="3" bestFit="1" customWidth="1"/>
    <col min="695" max="701" width="8.88671875" style="3" bestFit="1" customWidth="1"/>
    <col min="702" max="703" width="9.88671875" style="3" bestFit="1" customWidth="1"/>
    <col min="704" max="709" width="9.6640625" style="3" bestFit="1" customWidth="1"/>
    <col min="710" max="718" width="8.88671875" style="3" bestFit="1" customWidth="1"/>
    <col min="719" max="740" width="9.88671875" style="3" bestFit="1" customWidth="1"/>
    <col min="741" max="744" width="8.44140625" style="3" bestFit="1" customWidth="1"/>
    <col min="745" max="770" width="9.44140625" style="3" bestFit="1" customWidth="1"/>
    <col min="771" max="801" width="10.109375" style="3" bestFit="1" customWidth="1"/>
    <col min="802" max="831" width="9.44140625" style="3" bestFit="1" customWidth="1"/>
    <col min="832" max="862" width="8.88671875" style="3" bestFit="1" customWidth="1"/>
    <col min="863" max="893" width="9.88671875" style="3" bestFit="1" customWidth="1"/>
    <col min="894" max="923" width="9.6640625" style="3" bestFit="1" customWidth="1"/>
    <col min="924" max="954" width="9.44140625" style="3" bestFit="1" customWidth="1"/>
    <col min="955" max="984" width="10" style="3" bestFit="1" customWidth="1"/>
    <col min="985" max="1015" width="9.6640625" style="3" bestFit="1" customWidth="1"/>
    <col min="1016" max="1046" width="9.33203125" style="3" bestFit="1" customWidth="1"/>
    <col min="1047" max="1074" width="9.6640625" style="3" bestFit="1" customWidth="1"/>
    <col min="1075" max="1105" width="9.88671875" style="3" bestFit="1" customWidth="1"/>
    <col min="1106" max="1135" width="9.44140625" style="3" bestFit="1" customWidth="1"/>
    <col min="1136" max="1166" width="10.109375" style="3" bestFit="1" customWidth="1"/>
    <col min="1167" max="1196" width="9.44140625" style="3" bestFit="1" customWidth="1"/>
    <col min="1197" max="1227" width="8.88671875" style="3" bestFit="1" customWidth="1"/>
    <col min="1228" max="1258" width="9.88671875" style="3" bestFit="1" customWidth="1"/>
    <col min="1259" max="1288" width="9.6640625" style="3" bestFit="1" customWidth="1"/>
    <col min="1289" max="1319" width="9.44140625" style="3" bestFit="1" customWidth="1"/>
    <col min="1320" max="1349" width="10" style="3" bestFit="1" customWidth="1"/>
    <col min="1350" max="1365" width="9.6640625" style="3" bestFit="1" customWidth="1"/>
    <col min="1366" max="16384" width="9.109375" style="3"/>
  </cols>
  <sheetData>
    <row r="1" spans="1:690" s="6" customFormat="1" ht="39" customHeight="1">
      <c r="A1" s="941" t="s">
        <v>543</v>
      </c>
      <c r="B1" s="941" t="s">
        <v>544</v>
      </c>
      <c r="C1" s="941" t="s">
        <v>545</v>
      </c>
      <c r="D1" s="941" t="s">
        <v>546</v>
      </c>
      <c r="E1" s="941" t="s">
        <v>547</v>
      </c>
      <c r="F1" s="941" t="s">
        <v>548</v>
      </c>
      <c r="G1" s="941" t="s">
        <v>549</v>
      </c>
      <c r="H1" s="941" t="s">
        <v>55</v>
      </c>
      <c r="I1" s="941" t="s">
        <v>550</v>
      </c>
      <c r="J1" s="941" t="s">
        <v>551</v>
      </c>
      <c r="L1" s="12" t="s">
        <v>552</v>
      </c>
      <c r="ZM1" s="613"/>
      <c r="ZN1" s="613"/>
    </row>
    <row r="2" spans="1:690" ht="25.5" customHeight="1">
      <c r="A2" s="902" t="s">
        <v>894</v>
      </c>
      <c r="B2" s="1074" t="s">
        <v>1048</v>
      </c>
      <c r="C2" s="902">
        <v>537044.15480000002</v>
      </c>
      <c r="D2" s="902" t="s">
        <v>230</v>
      </c>
      <c r="E2" s="902">
        <v>537044.15480000002</v>
      </c>
      <c r="F2" s="902">
        <v>508798.75680000003</v>
      </c>
      <c r="G2" s="902">
        <f t="shared" ref="G2:G24" si="0">C2-F2</f>
        <v>28245.397999999986</v>
      </c>
      <c r="H2" s="814">
        <f>F2-E2</f>
        <v>-28245.397999999986</v>
      </c>
      <c r="I2" s="942">
        <f>H2/E2</f>
        <v>-5.2594181963527414E-2</v>
      </c>
      <c r="J2" s="802"/>
      <c r="L2" s="706">
        <f>F2/C2</f>
        <v>0.94740581803647261</v>
      </c>
      <c r="M2" s="693"/>
      <c r="N2" s="692"/>
    </row>
    <row r="3" spans="1:690" ht="25.5" customHeight="1">
      <c r="A3" s="902" t="s">
        <v>895</v>
      </c>
      <c r="B3" s="1074" t="s">
        <v>1049</v>
      </c>
      <c r="C3" s="902">
        <v>438396.60479999997</v>
      </c>
      <c r="D3" s="902" t="s">
        <v>230</v>
      </c>
      <c r="E3" s="902">
        <v>438396.60479999997</v>
      </c>
      <c r="F3" s="902">
        <v>434601.60879999993</v>
      </c>
      <c r="G3" s="902">
        <f t="shared" si="0"/>
        <v>3794.9960000000428</v>
      </c>
      <c r="H3" s="814">
        <f>F3-E3</f>
        <v>-3794.9960000000428</v>
      </c>
      <c r="I3" s="942">
        <f>H3/E3</f>
        <v>-8.6565360188666386E-3</v>
      </c>
      <c r="J3" s="802"/>
      <c r="L3" s="706">
        <f t="shared" ref="L3:L24" si="1">F3/C3</f>
        <v>0.99134346398113338</v>
      </c>
      <c r="M3" s="693"/>
      <c r="N3" s="692"/>
    </row>
    <row r="4" spans="1:690" ht="25.5" hidden="1" customHeight="1">
      <c r="A4" s="902" t="s">
        <v>897</v>
      </c>
      <c r="B4" s="1074" t="s">
        <v>898</v>
      </c>
      <c r="C4" s="902">
        <v>21604</v>
      </c>
      <c r="D4" s="902" t="s">
        <v>230</v>
      </c>
      <c r="E4" s="902">
        <v>0</v>
      </c>
      <c r="F4" s="902">
        <v>0</v>
      </c>
      <c r="G4" s="902">
        <f t="shared" si="0"/>
        <v>21604</v>
      </c>
      <c r="H4" s="814">
        <f t="shared" ref="H4:H24" si="2">F4-E4</f>
        <v>0</v>
      </c>
      <c r="I4" s="942" t="e">
        <f t="shared" ref="I4:I10" si="3">H4/E4</f>
        <v>#DIV/0!</v>
      </c>
      <c r="J4" s="802"/>
      <c r="L4" s="706">
        <f t="shared" si="1"/>
        <v>0</v>
      </c>
      <c r="M4" s="693"/>
      <c r="N4" s="692"/>
    </row>
    <row r="5" spans="1:690" ht="25.5" hidden="1" customHeight="1">
      <c r="A5" s="902" t="s">
        <v>899</v>
      </c>
      <c r="B5" s="1074" t="s">
        <v>900</v>
      </c>
      <c r="C5" s="902">
        <v>14403</v>
      </c>
      <c r="D5" s="902" t="s">
        <v>230</v>
      </c>
      <c r="E5" s="902">
        <v>0</v>
      </c>
      <c r="F5" s="902">
        <v>0</v>
      </c>
      <c r="G5" s="902">
        <f>C5-F5</f>
        <v>14403</v>
      </c>
      <c r="H5" s="814">
        <f>F5-E5</f>
        <v>0</v>
      </c>
      <c r="I5" s="942" t="e">
        <f>H5/E5</f>
        <v>#DIV/0!</v>
      </c>
      <c r="J5" s="802"/>
      <c r="L5" s="706">
        <f>F5/C5</f>
        <v>0</v>
      </c>
      <c r="M5" s="693"/>
      <c r="N5" s="692"/>
    </row>
    <row r="6" spans="1:690" ht="25.5" hidden="1" customHeight="1">
      <c r="A6" s="902" t="s">
        <v>901</v>
      </c>
      <c r="B6" s="1074" t="s">
        <v>902</v>
      </c>
      <c r="C6" s="902">
        <v>7129</v>
      </c>
      <c r="D6" s="902" t="s">
        <v>230</v>
      </c>
      <c r="E6" s="902">
        <v>0</v>
      </c>
      <c r="F6" s="902">
        <v>0</v>
      </c>
      <c r="G6" s="902">
        <f>C6-F6</f>
        <v>7129</v>
      </c>
      <c r="H6" s="814">
        <f>F6-E6</f>
        <v>0</v>
      </c>
      <c r="I6" s="942" t="e">
        <f>H6/E6</f>
        <v>#DIV/0!</v>
      </c>
      <c r="J6" s="802"/>
      <c r="L6" s="706">
        <f>F6/C6</f>
        <v>0</v>
      </c>
      <c r="M6" s="693"/>
      <c r="N6" s="692"/>
    </row>
    <row r="7" spans="1:690" ht="25.5" hidden="1" customHeight="1">
      <c r="A7" s="902" t="s">
        <v>903</v>
      </c>
      <c r="B7" s="1074" t="s">
        <v>904</v>
      </c>
      <c r="C7" s="902">
        <v>3601</v>
      </c>
      <c r="D7" s="902" t="s">
        <v>230</v>
      </c>
      <c r="E7" s="902">
        <v>0</v>
      </c>
      <c r="F7" s="902">
        <v>0</v>
      </c>
      <c r="G7" s="902">
        <f>C7-F7</f>
        <v>3601</v>
      </c>
      <c r="H7" s="814">
        <f>F7-E7</f>
        <v>0</v>
      </c>
      <c r="I7" s="942" t="e">
        <f>H7/E7</f>
        <v>#DIV/0!</v>
      </c>
      <c r="J7" s="802"/>
      <c r="L7" s="706">
        <f>F7/C7</f>
        <v>0</v>
      </c>
      <c r="M7" s="693"/>
      <c r="N7" s="692"/>
    </row>
    <row r="8" spans="1:690" ht="25.5" hidden="1" customHeight="1">
      <c r="A8" s="902" t="s">
        <v>905</v>
      </c>
      <c r="B8" s="1074" t="s">
        <v>906</v>
      </c>
      <c r="C8" s="902">
        <v>23250</v>
      </c>
      <c r="D8" s="902" t="s">
        <v>230</v>
      </c>
      <c r="E8" s="902">
        <v>0</v>
      </c>
      <c r="F8" s="902">
        <v>0</v>
      </c>
      <c r="G8" s="902">
        <f>C8-F8</f>
        <v>23250</v>
      </c>
      <c r="H8" s="814">
        <f>F8-E8</f>
        <v>0</v>
      </c>
      <c r="I8" s="942" t="e">
        <f>H8/E8</f>
        <v>#DIV/0!</v>
      </c>
      <c r="J8" s="802"/>
      <c r="L8" s="706">
        <f>F8/C8</f>
        <v>0</v>
      </c>
      <c r="M8" s="693"/>
      <c r="N8" s="692"/>
    </row>
    <row r="9" spans="1:690" ht="25.5" hidden="1" customHeight="1">
      <c r="A9" s="902" t="s">
        <v>909</v>
      </c>
      <c r="B9" s="1074" t="s">
        <v>910</v>
      </c>
      <c r="C9" s="902">
        <v>18500</v>
      </c>
      <c r="D9" s="902" t="s">
        <v>231</v>
      </c>
      <c r="E9" s="902">
        <v>0</v>
      </c>
      <c r="F9" s="902">
        <v>0</v>
      </c>
      <c r="G9" s="902">
        <f t="shared" si="0"/>
        <v>18500</v>
      </c>
      <c r="H9" s="814">
        <f t="shared" si="2"/>
        <v>0</v>
      </c>
      <c r="I9" s="942" t="e">
        <f t="shared" si="3"/>
        <v>#DIV/0!</v>
      </c>
      <c r="J9" s="802"/>
      <c r="L9" s="706">
        <f t="shared" si="1"/>
        <v>0</v>
      </c>
      <c r="M9" s="693"/>
      <c r="N9" s="692"/>
    </row>
    <row r="10" spans="1:690" ht="25.5" hidden="1" customHeight="1">
      <c r="A10" s="902" t="s">
        <v>918</v>
      </c>
      <c r="B10" s="1074" t="s">
        <v>919</v>
      </c>
      <c r="C10" s="902">
        <v>5632</v>
      </c>
      <c r="D10" s="902" t="s">
        <v>231</v>
      </c>
      <c r="E10" s="902">
        <v>0</v>
      </c>
      <c r="F10" s="902">
        <v>0</v>
      </c>
      <c r="G10" s="902">
        <f t="shared" si="0"/>
        <v>5632</v>
      </c>
      <c r="H10" s="814">
        <f t="shared" si="2"/>
        <v>0</v>
      </c>
      <c r="I10" s="942" t="e">
        <f t="shared" si="3"/>
        <v>#DIV/0!</v>
      </c>
      <c r="J10" s="802"/>
      <c r="L10" s="706">
        <f t="shared" si="1"/>
        <v>0</v>
      </c>
      <c r="M10" s="693"/>
      <c r="N10" s="692"/>
    </row>
    <row r="11" spans="1:690" ht="25.5" hidden="1" customHeight="1">
      <c r="A11" s="902" t="s">
        <v>923</v>
      </c>
      <c r="B11" s="1074" t="s">
        <v>924</v>
      </c>
      <c r="C11" s="902">
        <v>1</v>
      </c>
      <c r="D11" s="902" t="s">
        <v>226</v>
      </c>
      <c r="E11" s="902">
        <v>0</v>
      </c>
      <c r="F11" s="902">
        <v>0</v>
      </c>
      <c r="G11" s="902">
        <f t="shared" si="0"/>
        <v>1</v>
      </c>
      <c r="H11" s="814">
        <f t="shared" si="2"/>
        <v>0</v>
      </c>
      <c r="I11" s="942" t="e">
        <f t="shared" ref="I11:I28" si="4">H11/E11</f>
        <v>#DIV/0!</v>
      </c>
      <c r="J11" s="802"/>
      <c r="L11" s="706">
        <f>F11/C11</f>
        <v>0</v>
      </c>
      <c r="M11" s="693"/>
      <c r="N11" s="692"/>
    </row>
    <row r="12" spans="1:690" ht="25.5" hidden="1" customHeight="1">
      <c r="A12" s="902" t="s">
        <v>925</v>
      </c>
      <c r="B12" s="1074" t="s">
        <v>926</v>
      </c>
      <c r="C12" s="902">
        <v>1</v>
      </c>
      <c r="D12" s="902" t="s">
        <v>226</v>
      </c>
      <c r="E12" s="902">
        <v>0</v>
      </c>
      <c r="F12" s="902">
        <v>0</v>
      </c>
      <c r="G12" s="902">
        <f t="shared" si="0"/>
        <v>1</v>
      </c>
      <c r="H12" s="814">
        <f t="shared" si="2"/>
        <v>0</v>
      </c>
      <c r="I12" s="942" t="e">
        <f t="shared" si="4"/>
        <v>#DIV/0!</v>
      </c>
      <c r="J12" s="802"/>
      <c r="L12" s="706">
        <f t="shared" si="1"/>
        <v>0</v>
      </c>
      <c r="M12" s="693"/>
      <c r="N12" s="692"/>
    </row>
    <row r="13" spans="1:690" ht="25.5" hidden="1" customHeight="1">
      <c r="A13" s="902" t="s">
        <v>927</v>
      </c>
      <c r="B13" s="1074" t="s">
        <v>928</v>
      </c>
      <c r="C13" s="902">
        <v>1</v>
      </c>
      <c r="D13" s="902" t="s">
        <v>226</v>
      </c>
      <c r="E13" s="902">
        <v>0</v>
      </c>
      <c r="F13" s="902">
        <v>0</v>
      </c>
      <c r="G13" s="902">
        <f t="shared" si="0"/>
        <v>1</v>
      </c>
      <c r="H13" s="814">
        <f t="shared" si="2"/>
        <v>0</v>
      </c>
      <c r="I13" s="942" t="e">
        <f t="shared" si="4"/>
        <v>#DIV/0!</v>
      </c>
      <c r="J13" s="802"/>
      <c r="L13" s="706">
        <f t="shared" si="1"/>
        <v>0</v>
      </c>
      <c r="M13" s="693"/>
      <c r="N13" s="692"/>
    </row>
    <row r="14" spans="1:690" ht="25.5" hidden="1" customHeight="1">
      <c r="A14" s="902" t="s">
        <v>920</v>
      </c>
      <c r="B14" s="1074" t="s">
        <v>929</v>
      </c>
      <c r="C14" s="902">
        <v>6457</v>
      </c>
      <c r="D14" s="902" t="s">
        <v>232</v>
      </c>
      <c r="E14" s="902">
        <v>0</v>
      </c>
      <c r="F14" s="902">
        <v>0</v>
      </c>
      <c r="G14" s="902">
        <f t="shared" si="0"/>
        <v>6457</v>
      </c>
      <c r="H14" s="814">
        <f t="shared" si="2"/>
        <v>0</v>
      </c>
      <c r="I14" s="942" t="e">
        <f t="shared" si="4"/>
        <v>#DIV/0!</v>
      </c>
      <c r="J14" s="802"/>
      <c r="L14" s="706">
        <f t="shared" si="1"/>
        <v>0</v>
      </c>
      <c r="M14" s="693"/>
      <c r="N14" s="692"/>
    </row>
    <row r="15" spans="1:690" ht="25.5" hidden="1" customHeight="1">
      <c r="A15" s="902" t="s">
        <v>930</v>
      </c>
      <c r="B15" s="1074" t="s">
        <v>931</v>
      </c>
      <c r="C15" s="902">
        <v>153</v>
      </c>
      <c r="D15" s="902" t="s">
        <v>226</v>
      </c>
      <c r="E15" s="902">
        <v>0</v>
      </c>
      <c r="F15" s="902">
        <v>0</v>
      </c>
      <c r="G15" s="902">
        <f t="shared" si="0"/>
        <v>153</v>
      </c>
      <c r="H15" s="814">
        <f t="shared" si="2"/>
        <v>0</v>
      </c>
      <c r="I15" s="942" t="e">
        <f t="shared" si="4"/>
        <v>#DIV/0!</v>
      </c>
      <c r="J15" s="802"/>
      <c r="L15" s="706">
        <f t="shared" si="1"/>
        <v>0</v>
      </c>
      <c r="M15" s="693"/>
      <c r="N15" s="692"/>
    </row>
    <row r="16" spans="1:690" ht="25.5" hidden="1" customHeight="1">
      <c r="A16" s="902" t="s">
        <v>932</v>
      </c>
      <c r="B16" s="1074" t="s">
        <v>933</v>
      </c>
      <c r="C16" s="902">
        <v>2</v>
      </c>
      <c r="D16" s="902" t="s">
        <v>226</v>
      </c>
      <c r="E16" s="902">
        <v>0</v>
      </c>
      <c r="F16" s="902">
        <v>0</v>
      </c>
      <c r="G16" s="902">
        <f t="shared" si="0"/>
        <v>2</v>
      </c>
      <c r="H16" s="814">
        <f t="shared" si="2"/>
        <v>0</v>
      </c>
      <c r="I16" s="942" t="e">
        <f t="shared" si="4"/>
        <v>#DIV/0!</v>
      </c>
      <c r="J16" s="802"/>
      <c r="L16" s="706">
        <f t="shared" si="1"/>
        <v>0</v>
      </c>
      <c r="M16" s="693"/>
      <c r="N16" s="692"/>
    </row>
    <row r="17" spans="1:14" ht="25.5" hidden="1" customHeight="1">
      <c r="A17" s="902" t="s">
        <v>935</v>
      </c>
      <c r="B17" s="1074" t="s">
        <v>936</v>
      </c>
      <c r="C17" s="902">
        <v>1</v>
      </c>
      <c r="D17" s="902" t="s">
        <v>226</v>
      </c>
      <c r="E17" s="902">
        <v>0</v>
      </c>
      <c r="F17" s="902">
        <v>0</v>
      </c>
      <c r="G17" s="902">
        <f t="shared" si="0"/>
        <v>1</v>
      </c>
      <c r="H17" s="814">
        <f t="shared" si="2"/>
        <v>0</v>
      </c>
      <c r="I17" s="942" t="e">
        <f t="shared" si="4"/>
        <v>#DIV/0!</v>
      </c>
      <c r="J17" s="802"/>
      <c r="L17" s="706">
        <f t="shared" si="1"/>
        <v>0</v>
      </c>
      <c r="M17" s="693"/>
      <c r="N17" s="692"/>
    </row>
    <row r="18" spans="1:14" ht="25.5" hidden="1" customHeight="1">
      <c r="A18" s="902" t="s">
        <v>916</v>
      </c>
      <c r="B18" s="1074" t="s">
        <v>937</v>
      </c>
      <c r="C18" s="902">
        <v>5980</v>
      </c>
      <c r="D18" s="902" t="s">
        <v>232</v>
      </c>
      <c r="E18" s="902">
        <v>0</v>
      </c>
      <c r="F18" s="902">
        <v>0</v>
      </c>
      <c r="G18" s="902">
        <f t="shared" si="0"/>
        <v>5980</v>
      </c>
      <c r="H18" s="814">
        <f t="shared" si="2"/>
        <v>0</v>
      </c>
      <c r="I18" s="942" t="e">
        <f t="shared" si="4"/>
        <v>#DIV/0!</v>
      </c>
      <c r="J18" s="802"/>
      <c r="L18" s="706">
        <f t="shared" si="1"/>
        <v>0</v>
      </c>
      <c r="M18" s="693"/>
      <c r="N18" s="692"/>
    </row>
    <row r="19" spans="1:14" ht="25.5" hidden="1" customHeight="1">
      <c r="A19" s="902" t="s">
        <v>938</v>
      </c>
      <c r="B19" s="1074" t="s">
        <v>939</v>
      </c>
      <c r="C19" s="902">
        <v>3400</v>
      </c>
      <c r="D19" s="902" t="s">
        <v>232</v>
      </c>
      <c r="E19" s="902">
        <v>0</v>
      </c>
      <c r="F19" s="902">
        <v>0</v>
      </c>
      <c r="G19" s="902">
        <f t="shared" si="0"/>
        <v>3400</v>
      </c>
      <c r="H19" s="814">
        <f t="shared" si="2"/>
        <v>0</v>
      </c>
      <c r="I19" s="942" t="e">
        <f t="shared" si="4"/>
        <v>#DIV/0!</v>
      </c>
      <c r="J19" s="802"/>
      <c r="L19" s="706">
        <f t="shared" si="1"/>
        <v>0</v>
      </c>
      <c r="M19" s="693"/>
      <c r="N19" s="692"/>
    </row>
    <row r="20" spans="1:14" ht="25.5" customHeight="1">
      <c r="A20" s="902" t="s">
        <v>896</v>
      </c>
      <c r="B20" s="1074" t="s">
        <v>1050</v>
      </c>
      <c r="C20" s="902">
        <v>37333.795400000003</v>
      </c>
      <c r="D20" s="902" t="s">
        <v>230</v>
      </c>
      <c r="E20" s="902">
        <v>34317</v>
      </c>
      <c r="F20" s="902">
        <v>32820.839249999997</v>
      </c>
      <c r="G20" s="902">
        <f t="shared" si="0"/>
        <v>4512.9561500000054</v>
      </c>
      <c r="H20" s="814">
        <f t="shared" si="2"/>
        <v>-1496.1607500000027</v>
      </c>
      <c r="I20" s="942">
        <f t="shared" si="4"/>
        <v>-4.35982384823849E-2</v>
      </c>
      <c r="J20" s="802"/>
      <c r="L20" s="706">
        <f t="shared" si="1"/>
        <v>0.87911874210356855</v>
      </c>
      <c r="M20" s="693"/>
      <c r="N20" s="692"/>
    </row>
    <row r="21" spans="1:14" ht="25.5" customHeight="1">
      <c r="A21" s="902" t="s">
        <v>899</v>
      </c>
      <c r="B21" s="1074" t="s">
        <v>1051</v>
      </c>
      <c r="C21" s="902">
        <v>24889.196000000007</v>
      </c>
      <c r="D21" s="902" t="s">
        <v>230</v>
      </c>
      <c r="E21" s="902">
        <v>18913</v>
      </c>
      <c r="F21" s="902">
        <v>20126.157400000004</v>
      </c>
      <c r="G21" s="902">
        <f t="shared" si="0"/>
        <v>4763.0386000000035</v>
      </c>
      <c r="H21" s="814">
        <f t="shared" si="2"/>
        <v>1213.1574000000037</v>
      </c>
      <c r="I21" s="942">
        <f t="shared" si="4"/>
        <v>6.4144101940464424E-2</v>
      </c>
      <c r="J21" s="802"/>
      <c r="L21" s="706">
        <f t="shared" si="1"/>
        <v>0.80863027475857385</v>
      </c>
      <c r="M21" s="693"/>
      <c r="N21" s="692"/>
    </row>
    <row r="22" spans="1:14" ht="25.5" hidden="1" customHeight="1">
      <c r="A22" s="1075" t="s">
        <v>893</v>
      </c>
      <c r="B22" s="1076" t="s">
        <v>1012</v>
      </c>
      <c r="C22" s="1075">
        <v>95</v>
      </c>
      <c r="D22" s="1075" t="s">
        <v>233</v>
      </c>
      <c r="E22" s="1075">
        <v>0</v>
      </c>
      <c r="F22" s="1075">
        <v>0</v>
      </c>
      <c r="G22" s="1075">
        <f t="shared" si="0"/>
        <v>95</v>
      </c>
      <c r="H22" s="1077">
        <f t="shared" si="2"/>
        <v>0</v>
      </c>
      <c r="I22" s="1078" t="e">
        <f t="shared" si="4"/>
        <v>#DIV/0!</v>
      </c>
      <c r="J22" s="1079"/>
      <c r="L22" s="706">
        <f t="shared" si="1"/>
        <v>0</v>
      </c>
      <c r="M22" s="693"/>
      <c r="N22" s="692"/>
    </row>
    <row r="23" spans="1:14" ht="25.5" customHeight="1">
      <c r="A23" s="902" t="s">
        <v>901</v>
      </c>
      <c r="B23" s="1074" t="s">
        <v>902</v>
      </c>
      <c r="C23" s="902">
        <v>11675.547500000004</v>
      </c>
      <c r="D23" s="902" t="s">
        <v>230</v>
      </c>
      <c r="E23" s="902">
        <v>3718.7656992200009</v>
      </c>
      <c r="F23" s="902">
        <v>8985.0391</v>
      </c>
      <c r="G23" s="902">
        <f t="shared" si="0"/>
        <v>2690.5084000000043</v>
      </c>
      <c r="H23" s="814">
        <f t="shared" si="2"/>
        <v>5266.2734007799991</v>
      </c>
      <c r="I23" s="942">
        <f t="shared" si="4"/>
        <v>1.4161347680184806</v>
      </c>
      <c r="J23" s="802"/>
      <c r="L23" s="706">
        <f t="shared" si="1"/>
        <v>0.76956040819499016</v>
      </c>
      <c r="M23" s="693"/>
      <c r="N23" s="692"/>
    </row>
    <row r="24" spans="1:14" ht="25.5" customHeight="1">
      <c r="A24" s="902" t="s">
        <v>903</v>
      </c>
      <c r="B24" s="1074" t="s">
        <v>1052</v>
      </c>
      <c r="C24" s="902">
        <v>5253.22</v>
      </c>
      <c r="D24" s="902" t="s">
        <v>230</v>
      </c>
      <c r="E24" s="902"/>
      <c r="F24" s="902">
        <v>35.630000000000003</v>
      </c>
      <c r="G24" s="902">
        <f t="shared" si="0"/>
        <v>5217.59</v>
      </c>
      <c r="H24" s="814">
        <f t="shared" si="2"/>
        <v>35.630000000000003</v>
      </c>
      <c r="I24" s="942" t="e">
        <f t="shared" si="4"/>
        <v>#DIV/0!</v>
      </c>
      <c r="J24" s="802"/>
      <c r="L24" s="706">
        <f t="shared" si="1"/>
        <v>6.7825067292060868E-3</v>
      </c>
      <c r="M24" s="693"/>
      <c r="N24" s="692"/>
    </row>
    <row r="25" spans="1:14" ht="25.5" customHeight="1">
      <c r="A25" s="902" t="s">
        <v>920</v>
      </c>
      <c r="B25" s="1074" t="s">
        <v>1062</v>
      </c>
      <c r="C25" s="902">
        <v>8007</v>
      </c>
      <c r="D25" s="902" t="s">
        <v>232</v>
      </c>
      <c r="E25" s="902">
        <v>2122</v>
      </c>
      <c r="F25" s="902">
        <v>6371</v>
      </c>
      <c r="G25" s="902">
        <f t="shared" ref="G25:G31" si="5">C25-F25</f>
        <v>1636</v>
      </c>
      <c r="H25" s="814">
        <f t="shared" ref="H25:H35" si="6">F25-E25</f>
        <v>4249</v>
      </c>
      <c r="I25" s="942">
        <f t="shared" si="4"/>
        <v>2.0023562676720075</v>
      </c>
      <c r="J25" s="802"/>
      <c r="L25" s="706">
        <f>F25/C25</f>
        <v>0.79567878106656675</v>
      </c>
      <c r="M25" s="693"/>
      <c r="N25" s="1080"/>
    </row>
    <row r="26" spans="1:14" ht="25.5" customHeight="1">
      <c r="A26" s="902" t="s">
        <v>945</v>
      </c>
      <c r="B26" s="1074" t="s">
        <v>944</v>
      </c>
      <c r="C26" s="902">
        <v>119392.17</v>
      </c>
      <c r="D26" s="902" t="s">
        <v>230</v>
      </c>
      <c r="E26" s="902">
        <v>44665</v>
      </c>
      <c r="F26" s="902">
        <v>113139.871</v>
      </c>
      <c r="G26" s="902">
        <f t="shared" si="5"/>
        <v>6252.2989999999991</v>
      </c>
      <c r="H26" s="814">
        <f t="shared" si="6"/>
        <v>68474.870999999999</v>
      </c>
      <c r="I26" s="942">
        <f t="shared" si="4"/>
        <v>1.5330767043546401</v>
      </c>
      <c r="J26" s="802"/>
      <c r="L26" s="706">
        <f>F26/C26</f>
        <v>0.94763225260081962</v>
      </c>
      <c r="M26" s="693"/>
      <c r="N26" s="1080"/>
    </row>
    <row r="27" spans="1:14" ht="25.5" customHeight="1">
      <c r="A27" s="902" t="s">
        <v>1092</v>
      </c>
      <c r="B27" s="1074" t="s">
        <v>1093</v>
      </c>
      <c r="C27" s="902">
        <v>49593.974000000002</v>
      </c>
      <c r="D27" s="902" t="s">
        <v>1275</v>
      </c>
      <c r="E27" s="902">
        <v>7086.9788845999992</v>
      </c>
      <c r="F27" s="902">
        <v>39857.17</v>
      </c>
      <c r="G27" s="902">
        <f t="shared" si="5"/>
        <v>9736.8040000000037</v>
      </c>
      <c r="H27" s="814">
        <f t="shared" si="6"/>
        <v>32770.191115399997</v>
      </c>
      <c r="I27" s="942">
        <f t="shared" si="4"/>
        <v>4.6240001062525531</v>
      </c>
      <c r="J27" s="802"/>
      <c r="L27" s="706">
        <f>F27/C27</f>
        <v>0.80366961518348978</v>
      </c>
      <c r="M27" s="693"/>
      <c r="N27" s="1080"/>
    </row>
    <row r="28" spans="1:14" hidden="1">
      <c r="A28" s="902"/>
      <c r="B28" s="1074"/>
      <c r="C28" s="902"/>
      <c r="D28" s="902"/>
      <c r="E28" s="902"/>
      <c r="F28" s="902"/>
      <c r="G28" s="902">
        <f t="shared" si="5"/>
        <v>0</v>
      </c>
      <c r="H28" s="814">
        <f t="shared" si="6"/>
        <v>0</v>
      </c>
      <c r="I28" s="942" t="e">
        <f t="shared" si="4"/>
        <v>#DIV/0!</v>
      </c>
      <c r="J28" s="802"/>
      <c r="L28" s="706" t="e">
        <f t="shared" ref="L28:L35" si="7">F28/C28</f>
        <v>#DIV/0!</v>
      </c>
      <c r="M28" s="693"/>
      <c r="N28" s="692"/>
    </row>
    <row r="29" spans="1:14" hidden="1">
      <c r="A29" s="902"/>
      <c r="B29" s="1074"/>
      <c r="C29" s="902"/>
      <c r="D29" s="902"/>
      <c r="E29" s="902"/>
      <c r="F29" s="902"/>
      <c r="G29" s="902">
        <f>C29-F29</f>
        <v>0</v>
      </c>
      <c r="H29" s="814">
        <f t="shared" si="6"/>
        <v>0</v>
      </c>
      <c r="I29" s="942" t="e">
        <f t="shared" ref="I29:I35" si="8">H29/E29</f>
        <v>#DIV/0!</v>
      </c>
      <c r="J29" s="802"/>
      <c r="L29" s="706" t="e">
        <f t="shared" si="7"/>
        <v>#DIV/0!</v>
      </c>
      <c r="M29" s="693"/>
      <c r="N29" s="692"/>
    </row>
    <row r="30" spans="1:14" hidden="1">
      <c r="A30" s="902"/>
      <c r="B30" s="1074"/>
      <c r="C30" s="902"/>
      <c r="D30" s="902"/>
      <c r="E30" s="902"/>
      <c r="F30" s="902"/>
      <c r="G30" s="902">
        <f t="shared" si="5"/>
        <v>0</v>
      </c>
      <c r="H30" s="814">
        <f t="shared" si="6"/>
        <v>0</v>
      </c>
      <c r="I30" s="942" t="e">
        <f t="shared" si="8"/>
        <v>#DIV/0!</v>
      </c>
      <c r="J30" s="802"/>
      <c r="L30" s="706" t="e">
        <f t="shared" si="7"/>
        <v>#DIV/0!</v>
      </c>
      <c r="M30" s="693"/>
      <c r="N30" s="692"/>
    </row>
    <row r="31" spans="1:14" hidden="1">
      <c r="A31" s="902"/>
      <c r="B31" s="1074"/>
      <c r="C31" s="902"/>
      <c r="D31" s="902"/>
      <c r="E31" s="902"/>
      <c r="F31" s="902"/>
      <c r="G31" s="902">
        <f t="shared" si="5"/>
        <v>0</v>
      </c>
      <c r="H31" s="814">
        <f t="shared" si="6"/>
        <v>0</v>
      </c>
      <c r="I31" s="942" t="e">
        <f t="shared" si="8"/>
        <v>#DIV/0!</v>
      </c>
      <c r="J31" s="802"/>
      <c r="L31" s="706" t="e">
        <f t="shared" si="7"/>
        <v>#DIV/0!</v>
      </c>
      <c r="M31" s="693"/>
      <c r="N31" s="692"/>
    </row>
    <row r="32" spans="1:14" hidden="1">
      <c r="A32" s="902"/>
      <c r="B32" s="1074"/>
      <c r="C32" s="902"/>
      <c r="D32" s="902"/>
      <c r="E32" s="902"/>
      <c r="F32" s="902"/>
      <c r="G32" s="902">
        <f>C32-F32</f>
        <v>0</v>
      </c>
      <c r="H32" s="814">
        <f t="shared" si="6"/>
        <v>0</v>
      </c>
      <c r="I32" s="942" t="e">
        <f t="shared" si="8"/>
        <v>#DIV/0!</v>
      </c>
      <c r="J32" s="802"/>
      <c r="L32" s="706" t="e">
        <f t="shared" si="7"/>
        <v>#DIV/0!</v>
      </c>
      <c r="M32" s="693"/>
      <c r="N32" s="692"/>
    </row>
    <row r="33" spans="1:14" hidden="1">
      <c r="A33" s="902"/>
      <c r="B33" s="1074"/>
      <c r="C33" s="902"/>
      <c r="D33" s="902"/>
      <c r="E33" s="902"/>
      <c r="F33" s="902"/>
      <c r="G33" s="902">
        <f>C33-F33</f>
        <v>0</v>
      </c>
      <c r="H33" s="814">
        <f t="shared" si="6"/>
        <v>0</v>
      </c>
      <c r="I33" s="942" t="e">
        <f>H33/E33</f>
        <v>#DIV/0!</v>
      </c>
      <c r="J33" s="802"/>
      <c r="L33" s="706" t="e">
        <f t="shared" si="7"/>
        <v>#DIV/0!</v>
      </c>
      <c r="M33" s="693"/>
      <c r="N33" s="692"/>
    </row>
    <row r="34" spans="1:14" hidden="1">
      <c r="A34" s="902"/>
      <c r="B34" s="1074"/>
      <c r="C34" s="902"/>
      <c r="D34" s="902"/>
      <c r="E34" s="902"/>
      <c r="F34" s="902"/>
      <c r="G34" s="902">
        <f>C34-F34</f>
        <v>0</v>
      </c>
      <c r="H34" s="814">
        <f t="shared" si="6"/>
        <v>0</v>
      </c>
      <c r="I34" s="942" t="e">
        <f t="shared" si="8"/>
        <v>#DIV/0!</v>
      </c>
      <c r="J34" s="802"/>
      <c r="L34" s="706" t="e">
        <f t="shared" si="7"/>
        <v>#DIV/0!</v>
      </c>
      <c r="M34" s="693"/>
      <c r="N34" s="692"/>
    </row>
    <row r="35" spans="1:14" hidden="1">
      <c r="A35" s="902"/>
      <c r="B35" s="1074"/>
      <c r="C35" s="902"/>
      <c r="D35" s="902"/>
      <c r="E35" s="902"/>
      <c r="F35" s="902"/>
      <c r="G35" s="902">
        <f>C35-F35</f>
        <v>0</v>
      </c>
      <c r="H35" s="814">
        <f t="shared" si="6"/>
        <v>0</v>
      </c>
      <c r="I35" s="942" t="e">
        <f t="shared" si="8"/>
        <v>#DIV/0!</v>
      </c>
      <c r="J35" s="802"/>
      <c r="L35" s="706" t="e">
        <f t="shared" si="7"/>
        <v>#DIV/0!</v>
      </c>
      <c r="M35" s="693"/>
      <c r="N35" s="692"/>
    </row>
    <row r="36" spans="1:14">
      <c r="G36" s="614"/>
      <c r="H36" s="914"/>
    </row>
    <row r="37" spans="1:14">
      <c r="G37" s="614"/>
      <c r="H37" s="914"/>
    </row>
    <row r="38" spans="1:14">
      <c r="G38" s="614"/>
      <c r="H38" s="914"/>
    </row>
    <row r="39" spans="1:14">
      <c r="G39" s="614"/>
      <c r="H39" s="914"/>
    </row>
    <row r="40" spans="1:14">
      <c r="G40" s="614"/>
      <c r="H40" s="914"/>
    </row>
    <row r="41" spans="1:14">
      <c r="F41" s="1199"/>
      <c r="G41" s="614"/>
      <c r="H41" s="914"/>
    </row>
    <row r="42" spans="1:14">
      <c r="G42" s="614"/>
      <c r="H42" s="914"/>
    </row>
    <row r="43" spans="1:14">
      <c r="F43" s="1199"/>
      <c r="G43" s="614"/>
      <c r="H43" s="914"/>
    </row>
    <row r="44" spans="1:14">
      <c r="G44" s="614"/>
      <c r="H44" s="914"/>
    </row>
    <row r="45" spans="1:14">
      <c r="G45" s="614"/>
    </row>
    <row r="46" spans="1:14">
      <c r="G46" s="614"/>
    </row>
    <row r="47" spans="1:14">
      <c r="G47" s="614"/>
    </row>
    <row r="48" spans="1:14">
      <c r="G48" s="614"/>
    </row>
    <row r="49" spans="7:7">
      <c r="G49" s="614"/>
    </row>
    <row r="50" spans="7:7">
      <c r="G50" s="614"/>
    </row>
    <row r="51" spans="7:7">
      <c r="G51" s="614"/>
    </row>
    <row r="52" spans="7:7">
      <c r="G52" s="614"/>
    </row>
    <row r="53" spans="7:7">
      <c r="G53" s="614"/>
    </row>
    <row r="54" spans="7:7">
      <c r="G54" s="614"/>
    </row>
    <row r="55" spans="7:7">
      <c r="G55" s="614"/>
    </row>
    <row r="56" spans="7:7">
      <c r="G56" s="614"/>
    </row>
    <row r="57" spans="7:7">
      <c r="G57" s="614"/>
    </row>
    <row r="58" spans="7:7">
      <c r="G58" s="614"/>
    </row>
    <row r="59" spans="7:7">
      <c r="G59" s="614"/>
    </row>
    <row r="60" spans="7:7">
      <c r="G60" s="614"/>
    </row>
    <row r="61" spans="7:7">
      <c r="G61" s="614"/>
    </row>
    <row r="62" spans="7:7">
      <c r="G62" s="614"/>
    </row>
    <row r="63" spans="7:7">
      <c r="G63" s="614"/>
    </row>
    <row r="64" spans="7:7">
      <c r="G64" s="614"/>
    </row>
    <row r="65" spans="7:7">
      <c r="G65" s="614"/>
    </row>
    <row r="66" spans="7:7">
      <c r="G66" s="614"/>
    </row>
    <row r="67" spans="7:7">
      <c r="G67" s="614"/>
    </row>
    <row r="68" spans="7:7">
      <c r="G68" s="614"/>
    </row>
    <row r="69" spans="7:7">
      <c r="G69" s="614"/>
    </row>
    <row r="70" spans="7:7">
      <c r="G70" s="614"/>
    </row>
    <row r="71" spans="7:7">
      <c r="G71" s="614"/>
    </row>
    <row r="72" spans="7:7">
      <c r="G72" s="614"/>
    </row>
    <row r="73" spans="7:7">
      <c r="G73" s="614"/>
    </row>
    <row r="74" spans="7:7">
      <c r="G74" s="614"/>
    </row>
    <row r="75" spans="7:7">
      <c r="G75" s="614"/>
    </row>
    <row r="76" spans="7:7">
      <c r="G76" s="614"/>
    </row>
    <row r="77" spans="7:7">
      <c r="G77" s="614"/>
    </row>
    <row r="78" spans="7:7">
      <c r="G78" s="614"/>
    </row>
    <row r="79" spans="7:7">
      <c r="G79" s="614"/>
    </row>
    <row r="80" spans="7:7">
      <c r="G80" s="614"/>
    </row>
    <row r="81" spans="7:7">
      <c r="G81" s="614"/>
    </row>
    <row r="82" spans="7:7">
      <c r="G82" s="614"/>
    </row>
    <row r="83" spans="7:7">
      <c r="G83" s="614"/>
    </row>
    <row r="84" spans="7:7">
      <c r="G84" s="614"/>
    </row>
    <row r="85" spans="7:7">
      <c r="G85" s="614"/>
    </row>
    <row r="86" spans="7:7">
      <c r="G86" s="614"/>
    </row>
    <row r="87" spans="7:7">
      <c r="G87" s="614"/>
    </row>
    <row r="88" spans="7:7">
      <c r="G88" s="614"/>
    </row>
    <row r="89" spans="7:7">
      <c r="G89" s="614"/>
    </row>
    <row r="90" spans="7:7">
      <c r="G90" s="614"/>
    </row>
    <row r="91" spans="7:7">
      <c r="G91" s="614"/>
    </row>
    <row r="92" spans="7:7">
      <c r="G92" s="614"/>
    </row>
    <row r="93" spans="7:7">
      <c r="G93" s="614"/>
    </row>
    <row r="94" spans="7:7">
      <c r="G94" s="614"/>
    </row>
    <row r="95" spans="7:7">
      <c r="G95" s="614"/>
    </row>
    <row r="96" spans="7:7">
      <c r="G96" s="614"/>
    </row>
    <row r="97" spans="7:7">
      <c r="G97" s="614"/>
    </row>
    <row r="98" spans="7:7">
      <c r="G98" s="614"/>
    </row>
    <row r="99" spans="7:7">
      <c r="G99" s="614"/>
    </row>
    <row r="100" spans="7:7">
      <c r="G100" s="614"/>
    </row>
    <row r="101" spans="7:7">
      <c r="G101" s="614"/>
    </row>
    <row r="102" spans="7:7">
      <c r="G102" s="614"/>
    </row>
    <row r="103" spans="7:7">
      <c r="G103" s="614"/>
    </row>
    <row r="104" spans="7:7">
      <c r="G104" s="614"/>
    </row>
    <row r="105" spans="7:7">
      <c r="G105" s="614"/>
    </row>
    <row r="106" spans="7:7">
      <c r="G106" s="614"/>
    </row>
    <row r="107" spans="7:7">
      <c r="G107" s="614"/>
    </row>
    <row r="108" spans="7:7">
      <c r="G108" s="614"/>
    </row>
    <row r="109" spans="7:7">
      <c r="G109" s="614"/>
    </row>
    <row r="110" spans="7:7">
      <c r="G110" s="614"/>
    </row>
    <row r="111" spans="7:7">
      <c r="G111" s="614"/>
    </row>
    <row r="112" spans="7:7">
      <c r="G112" s="614"/>
    </row>
    <row r="113" spans="7:7">
      <c r="G113" s="614"/>
    </row>
    <row r="114" spans="7:7">
      <c r="G114" s="614"/>
    </row>
    <row r="115" spans="7:7">
      <c r="G115" s="614"/>
    </row>
    <row r="116" spans="7:7">
      <c r="G116" s="614"/>
    </row>
    <row r="117" spans="7:7">
      <c r="G117" s="614"/>
    </row>
    <row r="118" spans="7:7">
      <c r="G118" s="614"/>
    </row>
    <row r="119" spans="7:7">
      <c r="G119" s="614"/>
    </row>
    <row r="120" spans="7:7">
      <c r="G120" s="614"/>
    </row>
    <row r="121" spans="7:7">
      <c r="G121" s="614"/>
    </row>
    <row r="122" spans="7:7">
      <c r="G122" s="614"/>
    </row>
    <row r="123" spans="7:7">
      <c r="G123" s="614"/>
    </row>
    <row r="124" spans="7:7">
      <c r="G124" s="614"/>
    </row>
    <row r="125" spans="7:7">
      <c r="G125" s="614"/>
    </row>
    <row r="126" spans="7:7">
      <c r="G126" s="614"/>
    </row>
    <row r="127" spans="7:7">
      <c r="G127" s="614"/>
    </row>
    <row r="128" spans="7:7">
      <c r="G128" s="614"/>
    </row>
    <row r="129" spans="7:7">
      <c r="G129" s="614"/>
    </row>
    <row r="130" spans="7:7">
      <c r="G130" s="614"/>
    </row>
    <row r="131" spans="7:7">
      <c r="G131" s="614"/>
    </row>
    <row r="132" spans="7:7">
      <c r="G132" s="614"/>
    </row>
    <row r="133" spans="7:7">
      <c r="G133" s="614"/>
    </row>
    <row r="134" spans="7:7">
      <c r="G134" s="614"/>
    </row>
    <row r="135" spans="7:7">
      <c r="G135" s="614"/>
    </row>
    <row r="136" spans="7:7">
      <c r="G136" s="614"/>
    </row>
    <row r="137" spans="7:7">
      <c r="G137" s="614"/>
    </row>
    <row r="138" spans="7:7">
      <c r="G138" s="614"/>
    </row>
    <row r="139" spans="7:7">
      <c r="G139" s="614"/>
    </row>
  </sheetData>
  <autoFilter ref="A1:ZN35" xr:uid="{00AC2A4D-2659-4D7B-AB6F-540C7D75B5A9}">
    <filterColumn colId="8">
      <filters>
        <filter val="14.29%"/>
        <filter val="16.67%"/>
        <filter val="2.74%"/>
        <filter val="20.23%"/>
        <filter val="22.50%"/>
        <filter val="22.90%"/>
        <filter val="-3.61%"/>
        <filter val="-30.30%"/>
      </filters>
    </filterColumn>
  </autoFilter>
  <phoneticPr fontId="97" type="noConversion"/>
  <conditionalFormatting sqref="I2:I35">
    <cfRule type="cellIs" dxfId="14" priority="1" operator="lessThan">
      <formula>0</formula>
    </cfRule>
    <cfRule type="cellIs" dxfId="13"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38"/>
  <sheetViews>
    <sheetView zoomScale="70" zoomScaleNormal="70" workbookViewId="0">
      <selection activeCell="H23" sqref="H23"/>
    </sheetView>
  </sheetViews>
  <sheetFormatPr defaultRowHeight="14.4"/>
  <cols>
    <col min="1" max="1" width="8.33203125" customWidth="1"/>
    <col min="2" max="2" width="15.5546875" customWidth="1"/>
    <col min="3" max="3" width="23.88671875" customWidth="1"/>
    <col min="4" max="4" width="45.44140625" customWidth="1"/>
    <col min="5" max="5" width="32.5546875" customWidth="1"/>
    <col min="6" max="6" width="28.44140625" customWidth="1"/>
    <col min="7" max="7" width="24.44140625" customWidth="1"/>
    <col min="8" max="10" width="18.109375" customWidth="1"/>
    <col min="11" max="13" width="28.44140625" customWidth="1"/>
    <col min="14" max="14" width="36.44140625" customWidth="1"/>
    <col min="15" max="24" width="28.44140625" customWidth="1"/>
  </cols>
  <sheetData>
    <row r="1" spans="1:24" s="45" customFormat="1" ht="42">
      <c r="A1" s="995" t="s">
        <v>700</v>
      </c>
      <c r="B1" s="995" t="s">
        <v>39</v>
      </c>
      <c r="C1" s="1001" t="s">
        <v>701</v>
      </c>
      <c r="D1" s="995" t="s">
        <v>702</v>
      </c>
      <c r="E1" s="995" t="s">
        <v>953</v>
      </c>
      <c r="F1" s="995" t="s">
        <v>952</v>
      </c>
      <c r="G1" s="1000" t="s">
        <v>703</v>
      </c>
      <c r="H1" s="1000" t="s">
        <v>226</v>
      </c>
      <c r="I1" s="999" t="s">
        <v>704</v>
      </c>
      <c r="J1" s="999" t="s">
        <v>705</v>
      </c>
      <c r="K1" s="998" t="s">
        <v>706</v>
      </c>
      <c r="L1" s="998" t="s">
        <v>707</v>
      </c>
      <c r="M1" s="996" t="s">
        <v>708</v>
      </c>
      <c r="N1" s="996" t="s">
        <v>709</v>
      </c>
      <c r="O1" s="996" t="s">
        <v>951</v>
      </c>
      <c r="P1" s="996" t="s">
        <v>710</v>
      </c>
      <c r="Q1" s="998" t="s">
        <v>711</v>
      </c>
      <c r="R1" s="998" t="s">
        <v>712</v>
      </c>
      <c r="S1" s="998" t="s">
        <v>713</v>
      </c>
      <c r="T1" s="997" t="s">
        <v>714</v>
      </c>
      <c r="U1" s="996" t="s">
        <v>715</v>
      </c>
      <c r="V1" s="996" t="s">
        <v>950</v>
      </c>
      <c r="W1" s="996" t="s">
        <v>949</v>
      </c>
      <c r="X1" s="995" t="s">
        <v>672</v>
      </c>
    </row>
    <row r="2" spans="1:24" s="624" customFormat="1" ht="24.9" customHeight="1">
      <c r="A2" s="990">
        <v>1</v>
      </c>
      <c r="B2" s="994" t="s">
        <v>1036</v>
      </c>
      <c r="C2" s="994" t="s">
        <v>1095</v>
      </c>
      <c r="D2" s="994" t="s">
        <v>1104</v>
      </c>
      <c r="E2" s="990" t="s">
        <v>1129</v>
      </c>
      <c r="F2" s="990" t="s">
        <v>1130</v>
      </c>
      <c r="G2" s="1069" t="s">
        <v>1089</v>
      </c>
      <c r="H2" s="990" t="s">
        <v>1131</v>
      </c>
      <c r="I2" s="990">
        <v>886.84</v>
      </c>
      <c r="J2" s="990">
        <v>886.84</v>
      </c>
      <c r="K2" s="992">
        <v>46134</v>
      </c>
      <c r="L2" s="992">
        <v>46099</v>
      </c>
      <c r="M2" s="990" t="s">
        <v>1237</v>
      </c>
      <c r="N2" s="990" t="s">
        <v>1267</v>
      </c>
      <c r="O2" s="993"/>
      <c r="P2" s="992" t="s">
        <v>716</v>
      </c>
      <c r="Q2" s="992">
        <v>46154</v>
      </c>
      <c r="R2" s="992"/>
      <c r="S2" s="992"/>
      <c r="T2" s="991" t="str">
        <f t="shared" ref="T2:T18" si="0">+IF(ISBLANK(S2),"",(S2-L2))</f>
        <v/>
      </c>
      <c r="U2" s="990"/>
      <c r="V2" s="990">
        <v>2276400</v>
      </c>
      <c r="W2" s="1085">
        <f t="shared" ref="W2:W18" si="1">+J2/I2</f>
        <v>1</v>
      </c>
      <c r="X2" s="990" t="s">
        <v>1013</v>
      </c>
    </row>
    <row r="3" spans="1:24" s="624" customFormat="1" ht="24.9" customHeight="1">
      <c r="A3" s="990">
        <v>2</v>
      </c>
      <c r="B3" s="994" t="s">
        <v>1036</v>
      </c>
      <c r="C3" s="994" t="s">
        <v>1096</v>
      </c>
      <c r="D3" s="994" t="s">
        <v>1105</v>
      </c>
      <c r="E3" s="990" t="s">
        <v>1129</v>
      </c>
      <c r="F3" s="990" t="s">
        <v>1130</v>
      </c>
      <c r="G3" s="1069" t="s">
        <v>1132</v>
      </c>
      <c r="H3" s="990" t="s">
        <v>1133</v>
      </c>
      <c r="I3" s="990">
        <v>4768.07</v>
      </c>
      <c r="J3" s="990">
        <v>4636.53</v>
      </c>
      <c r="K3" s="992">
        <v>46134</v>
      </c>
      <c r="L3" s="990" t="s">
        <v>287</v>
      </c>
      <c r="M3" s="990" t="s">
        <v>287</v>
      </c>
      <c r="N3" s="990" t="s">
        <v>1262</v>
      </c>
      <c r="O3" s="993"/>
      <c r="P3" s="992" t="s">
        <v>716</v>
      </c>
      <c r="Q3" s="992">
        <v>46135</v>
      </c>
      <c r="R3" s="992"/>
      <c r="S3" s="992"/>
      <c r="T3" s="991" t="str">
        <f>+IF(ISBLANK(S3),"",(S3-L3))</f>
        <v/>
      </c>
      <c r="U3" s="990"/>
      <c r="V3" s="990">
        <v>3127500</v>
      </c>
      <c r="W3" s="1085">
        <f t="shared" si="1"/>
        <v>0.9724123177721804</v>
      </c>
      <c r="X3" s="990" t="s">
        <v>1013</v>
      </c>
    </row>
    <row r="4" spans="1:24" s="624" customFormat="1" ht="24.9" customHeight="1">
      <c r="A4" s="990">
        <v>3</v>
      </c>
      <c r="B4" s="994" t="s">
        <v>1036</v>
      </c>
      <c r="C4" s="994" t="s">
        <v>1097</v>
      </c>
      <c r="D4" s="994" t="s">
        <v>1106</v>
      </c>
      <c r="E4" s="990" t="s">
        <v>1129</v>
      </c>
      <c r="F4" s="990" t="s">
        <v>1130</v>
      </c>
      <c r="G4" s="1069" t="s">
        <v>1132</v>
      </c>
      <c r="H4" s="990" t="s">
        <v>1136</v>
      </c>
      <c r="I4" s="990">
        <v>6300</v>
      </c>
      <c r="J4" s="990">
        <v>6300</v>
      </c>
      <c r="K4" s="992">
        <v>46131</v>
      </c>
      <c r="L4" s="992">
        <v>46113</v>
      </c>
      <c r="M4" s="990" t="s">
        <v>1257</v>
      </c>
      <c r="N4" s="990" t="s">
        <v>1263</v>
      </c>
      <c r="O4" s="993"/>
      <c r="P4" s="992" t="s">
        <v>716</v>
      </c>
      <c r="Q4" s="992">
        <v>46155</v>
      </c>
      <c r="R4" s="992"/>
      <c r="S4" s="992"/>
      <c r="T4" s="991" t="str">
        <f t="shared" si="0"/>
        <v/>
      </c>
      <c r="U4" s="990"/>
      <c r="V4" s="990"/>
      <c r="W4" s="1085">
        <f>+J4/I4</f>
        <v>1</v>
      </c>
      <c r="X4" s="990" t="s">
        <v>1013</v>
      </c>
    </row>
    <row r="5" spans="1:24" s="624" customFormat="1" ht="24.9" customHeight="1">
      <c r="A5" s="990">
        <v>4</v>
      </c>
      <c r="B5" s="994" t="s">
        <v>1036</v>
      </c>
      <c r="C5" s="994" t="s">
        <v>1098</v>
      </c>
      <c r="D5" s="994" t="s">
        <v>1107</v>
      </c>
      <c r="E5" s="990" t="s">
        <v>382</v>
      </c>
      <c r="F5" s="990" t="s">
        <v>1130</v>
      </c>
      <c r="G5" s="1070" t="s">
        <v>899</v>
      </c>
      <c r="H5" s="990" t="s">
        <v>1133</v>
      </c>
      <c r="I5" s="990">
        <v>24889.196000000007</v>
      </c>
      <c r="J5" s="990">
        <v>22000</v>
      </c>
      <c r="K5" s="992">
        <v>46128</v>
      </c>
      <c r="L5" s="990" t="s">
        <v>287</v>
      </c>
      <c r="M5" s="990" t="s">
        <v>287</v>
      </c>
      <c r="N5" s="990" t="s">
        <v>1262</v>
      </c>
      <c r="O5" s="993"/>
      <c r="P5" s="992" t="s">
        <v>716</v>
      </c>
      <c r="Q5" s="992">
        <v>46130</v>
      </c>
      <c r="R5" s="992"/>
      <c r="S5" s="992"/>
      <c r="T5" s="991" t="str">
        <f t="shared" si="0"/>
        <v/>
      </c>
      <c r="U5" s="990"/>
      <c r="V5" s="990">
        <v>1085600</v>
      </c>
      <c r="W5" s="1085">
        <f>+J5/I5</f>
        <v>0.88391766451596077</v>
      </c>
      <c r="X5" s="990" t="s">
        <v>1013</v>
      </c>
    </row>
    <row r="6" spans="1:24" s="624" customFormat="1" ht="24.9" customHeight="1">
      <c r="A6" s="990">
        <v>5</v>
      </c>
      <c r="B6" s="994" t="s">
        <v>1036</v>
      </c>
      <c r="C6" s="994" t="s">
        <v>1099</v>
      </c>
      <c r="D6" s="994" t="s">
        <v>1108</v>
      </c>
      <c r="E6" s="990" t="s">
        <v>382</v>
      </c>
      <c r="F6" s="990" t="s">
        <v>1130</v>
      </c>
      <c r="G6" s="990" t="s">
        <v>1134</v>
      </c>
      <c r="H6" s="990" t="s">
        <v>1133</v>
      </c>
      <c r="I6" s="990">
        <v>16928.765700000004</v>
      </c>
      <c r="J6" s="990">
        <v>9020.67</v>
      </c>
      <c r="K6" s="992">
        <v>46128</v>
      </c>
      <c r="L6" s="990" t="s">
        <v>287</v>
      </c>
      <c r="M6" s="990" t="s">
        <v>287</v>
      </c>
      <c r="N6" s="990" t="s">
        <v>1262</v>
      </c>
      <c r="O6" s="993"/>
      <c r="P6" s="992" t="s">
        <v>716</v>
      </c>
      <c r="Q6" s="992">
        <v>46130</v>
      </c>
      <c r="R6" s="992"/>
      <c r="S6" s="992"/>
      <c r="T6" s="991" t="str">
        <f t="shared" si="0"/>
        <v/>
      </c>
      <c r="U6" s="990"/>
      <c r="V6" s="990">
        <v>9229840</v>
      </c>
      <c r="W6" s="1085">
        <f t="shared" si="1"/>
        <v>0.53286046719873958</v>
      </c>
      <c r="X6" s="990"/>
    </row>
    <row r="7" spans="1:24" s="624" customFormat="1" ht="24.9" customHeight="1">
      <c r="A7" s="990">
        <v>6</v>
      </c>
      <c r="B7" s="994" t="s">
        <v>1036</v>
      </c>
      <c r="C7" s="994" t="s">
        <v>1100</v>
      </c>
      <c r="D7" s="994" t="s">
        <v>1109</v>
      </c>
      <c r="E7" s="990" t="s">
        <v>382</v>
      </c>
      <c r="F7" s="990" t="s">
        <v>1130</v>
      </c>
      <c r="G7" s="990" t="s">
        <v>1135</v>
      </c>
      <c r="H7" s="990" t="s">
        <v>232</v>
      </c>
      <c r="I7" s="990">
        <v>21915.21</v>
      </c>
      <c r="J7" s="990">
        <v>17414.14</v>
      </c>
      <c r="K7" s="992">
        <v>46128</v>
      </c>
      <c r="L7" s="990" t="s">
        <v>287</v>
      </c>
      <c r="M7" s="990" t="s">
        <v>287</v>
      </c>
      <c r="N7" s="990" t="s">
        <v>1262</v>
      </c>
      <c r="O7" s="993"/>
      <c r="P7" s="992" t="s">
        <v>716</v>
      </c>
      <c r="Q7" s="992">
        <v>46158</v>
      </c>
      <c r="R7" s="992"/>
      <c r="S7" s="992"/>
      <c r="T7" s="991" t="str">
        <f t="shared" si="0"/>
        <v/>
      </c>
      <c r="U7" s="990"/>
      <c r="V7" s="990">
        <v>1474500</v>
      </c>
      <c r="W7" s="1085">
        <f t="shared" si="1"/>
        <v>0.79461433406296356</v>
      </c>
      <c r="X7" s="990"/>
    </row>
    <row r="8" spans="1:24" s="624" customFormat="1" ht="24.9" customHeight="1">
      <c r="A8" s="990">
        <v>7</v>
      </c>
      <c r="B8" s="994" t="s">
        <v>1036</v>
      </c>
      <c r="C8" s="994" t="s">
        <v>1101</v>
      </c>
      <c r="D8" s="994" t="s">
        <v>1110</v>
      </c>
      <c r="E8" s="990" t="s">
        <v>382</v>
      </c>
      <c r="F8" s="990" t="s">
        <v>1130</v>
      </c>
      <c r="G8" s="990" t="s">
        <v>909</v>
      </c>
      <c r="H8" s="990" t="s">
        <v>1136</v>
      </c>
      <c r="I8" s="990">
        <v>11681.77</v>
      </c>
      <c r="J8" s="990">
        <v>10000</v>
      </c>
      <c r="K8" s="992">
        <v>46130</v>
      </c>
      <c r="L8" s="992">
        <v>46159</v>
      </c>
      <c r="M8" s="990" t="s">
        <v>1301</v>
      </c>
      <c r="N8" s="990" t="s">
        <v>1268</v>
      </c>
      <c r="O8" s="993"/>
      <c r="P8" s="992" t="s">
        <v>716</v>
      </c>
      <c r="Q8" s="992">
        <v>46159</v>
      </c>
      <c r="R8" s="992"/>
      <c r="S8" s="992"/>
      <c r="T8" s="991" t="str">
        <f t="shared" si="0"/>
        <v/>
      </c>
      <c r="U8" s="990"/>
      <c r="V8" s="990">
        <v>2212000</v>
      </c>
      <c r="W8" s="1085">
        <f t="shared" si="1"/>
        <v>0.85603465913127885</v>
      </c>
      <c r="X8" s="990"/>
    </row>
    <row r="9" spans="1:24" s="624" customFormat="1" ht="24.9" customHeight="1">
      <c r="A9" s="990">
        <v>8</v>
      </c>
      <c r="B9" s="994" t="s">
        <v>1036</v>
      </c>
      <c r="C9" s="994" t="s">
        <v>1102</v>
      </c>
      <c r="D9" s="994" t="s">
        <v>1111</v>
      </c>
      <c r="E9" s="990" t="s">
        <v>382</v>
      </c>
      <c r="F9" s="990" t="s">
        <v>1130</v>
      </c>
      <c r="G9" s="990" t="s">
        <v>1137</v>
      </c>
      <c r="H9" s="990" t="s">
        <v>1136</v>
      </c>
      <c r="I9" s="990">
        <v>5712</v>
      </c>
      <c r="J9" s="990"/>
      <c r="K9" s="992">
        <v>46130</v>
      </c>
      <c r="L9" s="992"/>
      <c r="M9" s="990"/>
      <c r="N9" s="990" t="s">
        <v>1306</v>
      </c>
      <c r="O9" s="993"/>
      <c r="P9" s="992" t="s">
        <v>716</v>
      </c>
      <c r="Q9" s="992">
        <v>46159</v>
      </c>
      <c r="R9" s="992"/>
      <c r="S9" s="992"/>
      <c r="T9" s="991" t="str">
        <f t="shared" si="0"/>
        <v/>
      </c>
      <c r="U9" s="990"/>
      <c r="V9" s="990">
        <v>324720</v>
      </c>
      <c r="W9" s="1085">
        <f t="shared" si="1"/>
        <v>0</v>
      </c>
      <c r="X9" s="990"/>
    </row>
    <row r="10" spans="1:24" s="624" customFormat="1" ht="24.9" customHeight="1">
      <c r="A10" s="990">
        <v>9</v>
      </c>
      <c r="B10" s="994" t="s">
        <v>1036</v>
      </c>
      <c r="C10" s="994" t="s">
        <v>1103</v>
      </c>
      <c r="D10" s="994" t="s">
        <v>1112</v>
      </c>
      <c r="E10" s="990" t="s">
        <v>382</v>
      </c>
      <c r="F10" s="990" t="s">
        <v>1130</v>
      </c>
      <c r="G10" s="990" t="s">
        <v>1138</v>
      </c>
      <c r="H10" s="990" t="s">
        <v>226</v>
      </c>
      <c r="I10" s="990">
        <v>65</v>
      </c>
      <c r="J10" s="990">
        <v>65</v>
      </c>
      <c r="K10" s="992">
        <v>46131</v>
      </c>
      <c r="L10" s="992">
        <v>46142</v>
      </c>
      <c r="M10" s="990" t="s">
        <v>1258</v>
      </c>
      <c r="N10" s="990" t="s">
        <v>1264</v>
      </c>
      <c r="O10" s="993"/>
      <c r="P10" s="992" t="s">
        <v>716</v>
      </c>
      <c r="Q10" s="992">
        <v>46160</v>
      </c>
      <c r="R10" s="992"/>
      <c r="S10" s="992"/>
      <c r="T10" s="991" t="str">
        <f t="shared" si="0"/>
        <v/>
      </c>
      <c r="U10" s="990"/>
      <c r="V10" s="990">
        <v>105400</v>
      </c>
      <c r="W10" s="1085">
        <f t="shared" si="1"/>
        <v>1</v>
      </c>
      <c r="X10" s="990"/>
    </row>
    <row r="11" spans="1:24" s="624" customFormat="1" ht="24.9" customHeight="1">
      <c r="A11" s="990">
        <v>10</v>
      </c>
      <c r="B11" s="994" t="s">
        <v>1036</v>
      </c>
      <c r="C11" s="994" t="s">
        <v>1113</v>
      </c>
      <c r="D11" s="994" t="s">
        <v>1114</v>
      </c>
      <c r="E11" s="990" t="s">
        <v>382</v>
      </c>
      <c r="F11" s="990" t="s">
        <v>1130</v>
      </c>
      <c r="G11" s="990" t="s">
        <v>1092</v>
      </c>
      <c r="H11" s="990" t="s">
        <v>1057</v>
      </c>
      <c r="I11" s="990">
        <v>49593.974000000002</v>
      </c>
      <c r="J11" s="990">
        <v>45000</v>
      </c>
      <c r="K11" s="992">
        <v>46131</v>
      </c>
      <c r="L11" s="990" t="s">
        <v>287</v>
      </c>
      <c r="M11" s="990" t="s">
        <v>287</v>
      </c>
      <c r="N11" s="990" t="s">
        <v>1262</v>
      </c>
      <c r="O11" s="993"/>
      <c r="P11" s="992" t="s">
        <v>716</v>
      </c>
      <c r="Q11" s="992">
        <v>46132</v>
      </c>
      <c r="R11" s="992"/>
      <c r="S11" s="992"/>
      <c r="T11" s="991" t="str">
        <f t="shared" si="0"/>
        <v/>
      </c>
      <c r="U11" s="990"/>
      <c r="V11" s="990">
        <v>10350400</v>
      </c>
      <c r="W11" s="1085">
        <f t="shared" si="1"/>
        <v>0.90736830244739008</v>
      </c>
      <c r="X11" s="990"/>
    </row>
    <row r="12" spans="1:24" s="624" customFormat="1" ht="24.9" customHeight="1">
      <c r="A12" s="990">
        <v>11</v>
      </c>
      <c r="B12" s="994" t="s">
        <v>1036</v>
      </c>
      <c r="C12" s="994" t="s">
        <v>1115</v>
      </c>
      <c r="D12" s="994" t="s">
        <v>1117</v>
      </c>
      <c r="E12" s="990" t="s">
        <v>948</v>
      </c>
      <c r="F12" s="990" t="s">
        <v>1130</v>
      </c>
      <c r="G12" s="990" t="s">
        <v>1139</v>
      </c>
      <c r="H12" s="990" t="s">
        <v>232</v>
      </c>
      <c r="I12" s="990">
        <v>1350</v>
      </c>
      <c r="J12" s="990">
        <v>1350</v>
      </c>
      <c r="K12" s="992">
        <v>46137</v>
      </c>
      <c r="L12" s="992">
        <v>46082</v>
      </c>
      <c r="M12" s="990" t="s">
        <v>1259</v>
      </c>
      <c r="N12" s="990" t="s">
        <v>1265</v>
      </c>
      <c r="O12" s="993"/>
      <c r="P12" s="992" t="s">
        <v>716</v>
      </c>
      <c r="Q12" s="992">
        <v>46166</v>
      </c>
      <c r="R12" s="992"/>
      <c r="S12" s="992"/>
      <c r="T12" s="991" t="str">
        <f t="shared" si="0"/>
        <v/>
      </c>
      <c r="U12" s="990"/>
      <c r="V12" s="990">
        <v>95000</v>
      </c>
      <c r="W12" s="1085">
        <f t="shared" si="1"/>
        <v>1</v>
      </c>
      <c r="X12" s="990"/>
    </row>
    <row r="13" spans="1:24" s="624" customFormat="1" ht="24.9" customHeight="1">
      <c r="A13" s="990">
        <v>12</v>
      </c>
      <c r="B13" s="994" t="s">
        <v>1036</v>
      </c>
      <c r="C13" s="994" t="s">
        <v>1116</v>
      </c>
      <c r="D13" s="994" t="s">
        <v>1118</v>
      </c>
      <c r="E13" s="990" t="s">
        <v>948</v>
      </c>
      <c r="F13" s="990" t="s">
        <v>1130</v>
      </c>
      <c r="G13" s="990" t="s">
        <v>934</v>
      </c>
      <c r="H13" s="990" t="s">
        <v>226</v>
      </c>
      <c r="I13" s="990">
        <v>17</v>
      </c>
      <c r="J13" s="990">
        <v>17</v>
      </c>
      <c r="K13" s="992">
        <v>46134</v>
      </c>
      <c r="L13" s="992">
        <v>46142</v>
      </c>
      <c r="M13" s="990" t="s">
        <v>1260</v>
      </c>
      <c r="N13" s="990" t="s">
        <v>1266</v>
      </c>
      <c r="O13" s="993"/>
      <c r="P13" s="992" t="s">
        <v>716</v>
      </c>
      <c r="Q13" s="992">
        <v>46163</v>
      </c>
      <c r="R13" s="992"/>
      <c r="S13" s="992"/>
      <c r="T13" s="991" t="str">
        <f t="shared" si="0"/>
        <v/>
      </c>
      <c r="U13" s="990"/>
      <c r="V13" s="990">
        <v>22500</v>
      </c>
      <c r="W13" s="1085">
        <f t="shared" si="1"/>
        <v>1</v>
      </c>
      <c r="X13" s="990"/>
    </row>
    <row r="14" spans="1:24" s="624" customFormat="1" ht="24.9" customHeight="1">
      <c r="A14" s="990">
        <v>13</v>
      </c>
      <c r="B14" s="994" t="s">
        <v>1036</v>
      </c>
      <c r="C14" s="994" t="s">
        <v>1119</v>
      </c>
      <c r="D14" s="994" t="s">
        <v>1121</v>
      </c>
      <c r="E14" s="990" t="s">
        <v>948</v>
      </c>
      <c r="F14" s="990" t="s">
        <v>947</v>
      </c>
      <c r="G14" s="990" t="s">
        <v>1140</v>
      </c>
      <c r="H14" s="990" t="s">
        <v>232</v>
      </c>
      <c r="I14" s="990">
        <v>8463.652</v>
      </c>
      <c r="J14" s="990">
        <v>8463.652</v>
      </c>
      <c r="K14" s="992">
        <v>46131</v>
      </c>
      <c r="L14" s="992">
        <v>46153</v>
      </c>
      <c r="M14" s="990" t="s">
        <v>1272</v>
      </c>
      <c r="N14" s="990" t="s">
        <v>1269</v>
      </c>
      <c r="O14" s="993"/>
      <c r="P14" s="992" t="s">
        <v>716</v>
      </c>
      <c r="Q14" s="992">
        <v>46193</v>
      </c>
      <c r="R14" s="992"/>
      <c r="S14" s="992"/>
      <c r="T14" s="991" t="str">
        <f t="shared" si="0"/>
        <v/>
      </c>
      <c r="U14" s="990"/>
      <c r="V14" s="990">
        <v>1196000</v>
      </c>
      <c r="W14" s="1085">
        <f t="shared" si="1"/>
        <v>1</v>
      </c>
      <c r="X14" s="990"/>
    </row>
    <row r="15" spans="1:24" s="624" customFormat="1" ht="24.9" customHeight="1">
      <c r="A15" s="990">
        <v>14</v>
      </c>
      <c r="B15" s="994" t="s">
        <v>1036</v>
      </c>
      <c r="C15" s="994" t="s">
        <v>1120</v>
      </c>
      <c r="D15" s="994" t="s">
        <v>1122</v>
      </c>
      <c r="E15" s="990" t="s">
        <v>948</v>
      </c>
      <c r="F15" s="990" t="s">
        <v>947</v>
      </c>
      <c r="G15" s="990" t="s">
        <v>1079</v>
      </c>
      <c r="H15" s="990" t="s">
        <v>226</v>
      </c>
      <c r="I15" s="990">
        <v>4</v>
      </c>
      <c r="J15" s="990">
        <v>4</v>
      </c>
      <c r="K15" s="992">
        <v>46130</v>
      </c>
      <c r="L15" s="992">
        <v>46167</v>
      </c>
      <c r="M15" s="990" t="s">
        <v>1276</v>
      </c>
      <c r="N15" s="990" t="s">
        <v>1270</v>
      </c>
      <c r="O15" s="993"/>
      <c r="P15" s="992" t="s">
        <v>716</v>
      </c>
      <c r="Q15" s="992">
        <v>46191</v>
      </c>
      <c r="R15" s="992"/>
      <c r="S15" s="992"/>
      <c r="T15" s="991" t="str">
        <f t="shared" si="0"/>
        <v/>
      </c>
      <c r="U15" s="990"/>
      <c r="V15" s="990">
        <v>112000</v>
      </c>
      <c r="W15" s="1085">
        <f t="shared" si="1"/>
        <v>1</v>
      </c>
      <c r="X15" s="990"/>
    </row>
    <row r="16" spans="1:24" s="624" customFormat="1" ht="24.9" customHeight="1">
      <c r="A16" s="990">
        <v>15</v>
      </c>
      <c r="B16" s="994" t="s">
        <v>1036</v>
      </c>
      <c r="C16" s="994" t="s">
        <v>1123</v>
      </c>
      <c r="D16" s="994" t="s">
        <v>1126</v>
      </c>
      <c r="E16" s="990" t="s">
        <v>948</v>
      </c>
      <c r="F16" s="990" t="s">
        <v>947</v>
      </c>
      <c r="G16" s="990" t="s">
        <v>1141</v>
      </c>
      <c r="H16" s="990" t="s">
        <v>226</v>
      </c>
      <c r="I16" s="990">
        <v>146</v>
      </c>
      <c r="J16" s="990">
        <v>146</v>
      </c>
      <c r="K16" s="992">
        <v>46128</v>
      </c>
      <c r="L16" s="992">
        <v>46138</v>
      </c>
      <c r="M16" s="990" t="s">
        <v>1261</v>
      </c>
      <c r="N16" s="990" t="s">
        <v>1271</v>
      </c>
      <c r="O16" s="993"/>
      <c r="P16" s="992" t="s">
        <v>716</v>
      </c>
      <c r="Q16" s="992">
        <v>46190</v>
      </c>
      <c r="R16" s="992"/>
      <c r="S16" s="992"/>
      <c r="T16" s="991" t="str">
        <f t="shared" si="0"/>
        <v/>
      </c>
      <c r="U16" s="990"/>
      <c r="V16" s="990">
        <v>1347200</v>
      </c>
      <c r="W16" s="1085">
        <f t="shared" si="1"/>
        <v>1</v>
      </c>
      <c r="X16" s="990"/>
    </row>
    <row r="17" spans="1:24" s="624" customFormat="1" ht="24.9" customHeight="1">
      <c r="A17" s="990">
        <v>16</v>
      </c>
      <c r="B17" s="994" t="s">
        <v>1036</v>
      </c>
      <c r="C17" s="994" t="s">
        <v>1124</v>
      </c>
      <c r="D17" s="994" t="s">
        <v>1127</v>
      </c>
      <c r="E17" s="990" t="s">
        <v>948</v>
      </c>
      <c r="F17" s="990" t="s">
        <v>947</v>
      </c>
      <c r="G17" s="990" t="s">
        <v>1081</v>
      </c>
      <c r="H17" s="990" t="s">
        <v>226</v>
      </c>
      <c r="I17" s="990">
        <v>1</v>
      </c>
      <c r="J17" s="990">
        <v>1</v>
      </c>
      <c r="K17" s="992">
        <v>46127</v>
      </c>
      <c r="L17" s="992">
        <v>46167</v>
      </c>
      <c r="M17" s="990" t="s">
        <v>1276</v>
      </c>
      <c r="N17" s="990" t="s">
        <v>1270</v>
      </c>
      <c r="O17" s="993"/>
      <c r="P17" s="992" t="s">
        <v>716</v>
      </c>
      <c r="Q17" s="992">
        <v>46202</v>
      </c>
      <c r="R17" s="992"/>
      <c r="S17" s="992"/>
      <c r="T17" s="991" t="str">
        <f t="shared" si="0"/>
        <v/>
      </c>
      <c r="U17" s="990"/>
      <c r="V17" s="990">
        <v>30000</v>
      </c>
      <c r="W17" s="1085">
        <f t="shared" si="1"/>
        <v>1</v>
      </c>
      <c r="X17" s="990"/>
    </row>
    <row r="18" spans="1:24" s="624" customFormat="1" ht="24.9" customHeight="1">
      <c r="A18" s="990">
        <v>17</v>
      </c>
      <c r="B18" s="994" t="s">
        <v>1036</v>
      </c>
      <c r="C18" s="994" t="s">
        <v>1125</v>
      </c>
      <c r="D18" s="994" t="s">
        <v>1128</v>
      </c>
      <c r="E18" s="990" t="s">
        <v>948</v>
      </c>
      <c r="F18" s="990" t="s">
        <v>947</v>
      </c>
      <c r="G18" s="990" t="s">
        <v>1141</v>
      </c>
      <c r="H18" s="990" t="s">
        <v>226</v>
      </c>
      <c r="I18" s="990">
        <v>264</v>
      </c>
      <c r="J18" s="990">
        <v>264</v>
      </c>
      <c r="K18" s="992">
        <v>46131</v>
      </c>
      <c r="L18" s="992">
        <v>46138</v>
      </c>
      <c r="M18" s="990" t="s">
        <v>1261</v>
      </c>
      <c r="N18" s="990" t="s">
        <v>1271</v>
      </c>
      <c r="O18" s="993"/>
      <c r="P18" s="992" t="s">
        <v>716</v>
      </c>
      <c r="Q18" s="992">
        <v>46205</v>
      </c>
      <c r="R18" s="992"/>
      <c r="S18" s="992"/>
      <c r="T18" s="991" t="str">
        <f t="shared" si="0"/>
        <v/>
      </c>
      <c r="U18" s="990"/>
      <c r="V18" s="990">
        <v>506400</v>
      </c>
      <c r="W18" s="1085">
        <f t="shared" si="1"/>
        <v>1</v>
      </c>
      <c r="X18" s="990"/>
    </row>
    <row r="19" spans="1:24">
      <c r="P19" s="1137"/>
    </row>
    <row r="20" spans="1:24">
      <c r="K20" s="989"/>
      <c r="L20" s="823"/>
    </row>
    <row r="21" spans="1:24">
      <c r="L21" s="594"/>
    </row>
    <row r="22" spans="1:24">
      <c r="K22" s="480"/>
    </row>
    <row r="33" customFormat="1"/>
    <row r="34" customFormat="1"/>
    <row r="35" customFormat="1"/>
    <row r="36" customFormat="1"/>
    <row r="37" customFormat="1"/>
    <row r="38" customFormat="1"/>
  </sheetData>
  <autoFilter ref="A1:X18" xr:uid="{B30E0C7E-98B1-40E5-8194-9AF3A31D50EB}"/>
  <conditionalFormatting sqref="W2:W18">
    <cfRule type="dataBar" priority="1">
      <dataBar>
        <cfvo type="num" val="0"/>
        <cfvo type="num" val="1"/>
        <color rgb="FF00B050"/>
      </dataBar>
      <extLst>
        <ext xmlns:x14="http://schemas.microsoft.com/office/spreadsheetml/2009/9/main" uri="{B025F937-C7B1-47D3-B67F-A62EFF666E3E}">
          <x14:id>{01095410-1ED0-4F3A-8057-8B172EBA9D3F}</x14:id>
        </ext>
      </extLst>
    </cfRule>
  </conditionalFormatting>
  <dataValidations count="5">
    <dataValidation allowBlank="1" prompt="Details to be collected from Mr Ahmad Shaikh" sqref="K1 D1:F1" xr:uid="{16A636F8-E78B-439D-BED6-D9217097AD53}"/>
    <dataValidation allowBlank="1" prompt="UPDATED BY KHATEEB MUHAMMAD MUHYIDDEEN" sqref="T1 C1" xr:uid="{CD712E1E-2908-450D-AF29-9F9F9D23411D}"/>
    <dataValidation allowBlank="1" showInputMessage="1" showErrorMessage="1" prompt="Actual Date Arrived" sqref="S1" xr:uid="{AB5D4CC6-0C69-426C-829D-AEE412A5C6BD}"/>
    <dataValidation allowBlank="1" showInputMessage="1" prompt="Expected Date of Arrival" sqref="R1" xr:uid="{5436AFBD-FBE8-4132-A18D-FB970D669A26}"/>
    <dataValidation allowBlank="1" showInputMessage="1" prompt="As per P6 Schedule or in very rare case Expert Judgement" sqref="Q1" xr:uid="{177730AB-950C-4F79-9EDA-6E85A046D285}"/>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01095410-1ED0-4F3A-8057-8B172EBA9D3F}">
            <x14:dataBar minLength="0" maxLength="100" gradient="0">
              <x14:cfvo type="num">
                <xm:f>0</xm:f>
              </x14:cfvo>
              <x14:cfvo type="num">
                <xm:f>1</xm:f>
              </x14:cfvo>
              <x14:negativeFillColor rgb="FFFF0000"/>
              <x14:axisColor rgb="FF000000"/>
            </x14:dataBar>
          </x14:cfRule>
          <xm:sqref>W2:W18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U24"/>
  <sheetViews>
    <sheetView zoomScaleNormal="100" workbookViewId="0">
      <selection activeCell="E17" sqref="E17"/>
    </sheetView>
  </sheetViews>
  <sheetFormatPr defaultColWidth="9.109375" defaultRowHeight="14.4"/>
  <cols>
    <col min="1" max="1" width="53.109375" bestFit="1" customWidth="1"/>
    <col min="2" max="2" width="15.44140625" customWidth="1"/>
    <col min="3" max="7" width="13.88671875" customWidth="1"/>
    <col min="8" max="8" width="14.33203125" customWidth="1"/>
    <col min="9" max="10" width="13.88671875" customWidth="1"/>
  </cols>
  <sheetData>
    <row r="1" spans="1:21" ht="16.2" thickBot="1">
      <c r="A1" s="2082" t="s">
        <v>774</v>
      </c>
      <c r="B1" s="2082"/>
      <c r="C1" s="2082"/>
      <c r="D1" s="2082"/>
      <c r="E1" s="2082"/>
      <c r="F1" s="2082"/>
      <c r="G1" s="2082"/>
      <c r="H1" s="2082"/>
      <c r="I1" s="2082"/>
      <c r="J1" s="2082"/>
    </row>
    <row r="2" spans="1:21" s="45" customFormat="1" ht="30" customHeight="1">
      <c r="A2" s="207" t="s">
        <v>109</v>
      </c>
      <c r="B2" s="210" t="s">
        <v>775</v>
      </c>
      <c r="C2" s="210" t="s">
        <v>776</v>
      </c>
      <c r="D2" s="210" t="s">
        <v>777</v>
      </c>
      <c r="E2" s="210" t="s">
        <v>778</v>
      </c>
      <c r="F2" s="210" t="s">
        <v>779</v>
      </c>
      <c r="G2" s="210" t="s">
        <v>780</v>
      </c>
      <c r="H2" s="208" t="s">
        <v>781</v>
      </c>
      <c r="I2" s="208" t="s">
        <v>782</v>
      </c>
      <c r="J2" s="209" t="s">
        <v>783</v>
      </c>
    </row>
    <row r="3" spans="1:21">
      <c r="A3" s="244" t="s">
        <v>1160</v>
      </c>
      <c r="B3" s="907">
        <v>46546</v>
      </c>
      <c r="C3" s="907">
        <v>46552</v>
      </c>
      <c r="D3" s="1082">
        <v>46583</v>
      </c>
      <c r="E3" s="1082">
        <v>46589</v>
      </c>
      <c r="F3" s="910"/>
      <c r="G3" s="910"/>
      <c r="H3" s="798">
        <v>0</v>
      </c>
      <c r="I3" s="908"/>
      <c r="J3" s="909"/>
    </row>
    <row r="4" spans="1:21">
      <c r="A4" s="245" t="s">
        <v>1161</v>
      </c>
      <c r="B4" s="907">
        <v>46553</v>
      </c>
      <c r="C4" s="907">
        <v>46564</v>
      </c>
      <c r="D4" s="1082">
        <v>46582</v>
      </c>
      <c r="E4" s="1082">
        <v>46593</v>
      </c>
      <c r="F4" s="910"/>
      <c r="G4" s="910"/>
      <c r="H4" s="798">
        <v>0</v>
      </c>
      <c r="I4" s="908"/>
      <c r="J4" s="909"/>
    </row>
    <row r="5" spans="1:21">
      <c r="A5" s="245" t="s">
        <v>1162</v>
      </c>
      <c r="B5" s="907">
        <v>46466</v>
      </c>
      <c r="C5" s="907">
        <v>46471</v>
      </c>
      <c r="D5" s="1082">
        <v>46508</v>
      </c>
      <c r="E5" s="1082">
        <v>46513</v>
      </c>
      <c r="F5" s="910"/>
      <c r="G5" s="910"/>
      <c r="H5" s="798">
        <v>0</v>
      </c>
      <c r="I5" s="908"/>
      <c r="J5" s="909"/>
    </row>
    <row r="6" spans="1:21" ht="15" thickBot="1">
      <c r="A6" s="246" t="s">
        <v>1163</v>
      </c>
      <c r="B6" s="688">
        <v>46515</v>
      </c>
      <c r="C6" s="688">
        <v>46520</v>
      </c>
      <c r="D6" s="1139">
        <v>46558</v>
      </c>
      <c r="E6" s="1139">
        <v>46564</v>
      </c>
      <c r="F6" s="688"/>
      <c r="G6" s="688"/>
      <c r="H6" s="1140">
        <v>0</v>
      </c>
      <c r="I6" s="689"/>
      <c r="J6" s="690"/>
    </row>
    <row r="10" spans="1:21">
      <c r="D10" s="93"/>
      <c r="E10" s="93"/>
      <c r="F10" s="93"/>
      <c r="G10" s="93"/>
      <c r="J10" s="573"/>
      <c r="K10" s="597"/>
      <c r="L10" s="597"/>
    </row>
    <row r="11" spans="1:21">
      <c r="D11" s="93"/>
      <c r="E11" s="93"/>
      <c r="F11" s="93"/>
      <c r="G11" s="93"/>
      <c r="J11" s="573"/>
      <c r="K11" s="597"/>
      <c r="L11" s="597"/>
    </row>
    <row r="12" spans="1:21">
      <c r="D12" s="93"/>
      <c r="E12" s="93"/>
      <c r="F12" s="93"/>
      <c r="G12" s="93"/>
      <c r="J12" s="573"/>
      <c r="K12" s="597"/>
      <c r="L12" s="597"/>
    </row>
    <row r="13" spans="1:21">
      <c r="D13" s="93"/>
      <c r="E13" s="93"/>
      <c r="F13" s="93"/>
      <c r="G13" s="93"/>
      <c r="H13" s="93"/>
      <c r="I13" s="573"/>
      <c r="J13" s="597"/>
      <c r="K13" s="597"/>
      <c r="L13" s="597"/>
      <c r="N13" s="597"/>
      <c r="O13" s="597"/>
      <c r="P13" s="597"/>
      <c r="Q13" s="597"/>
      <c r="R13" s="597"/>
      <c r="S13" s="597"/>
      <c r="U13" s="597"/>
    </row>
    <row r="14" spans="1:21">
      <c r="C14" s="93"/>
      <c r="D14" s="93"/>
      <c r="E14" s="93"/>
      <c r="F14" s="93"/>
      <c r="G14" s="93"/>
      <c r="H14" s="93"/>
      <c r="I14" s="573"/>
      <c r="J14" s="597"/>
      <c r="K14" s="597"/>
      <c r="L14" s="597"/>
      <c r="N14" s="597"/>
      <c r="O14" s="597"/>
      <c r="P14" s="597"/>
      <c r="Q14" s="597"/>
      <c r="R14" s="597"/>
      <c r="S14" s="597"/>
      <c r="U14" s="597"/>
    </row>
    <row r="15" spans="1:21">
      <c r="C15" s="93"/>
      <c r="D15" s="93"/>
      <c r="E15" s="93"/>
      <c r="F15" s="93"/>
      <c r="G15" s="93"/>
      <c r="H15" s="597"/>
      <c r="I15" s="573"/>
      <c r="J15" s="597"/>
      <c r="K15" s="597"/>
      <c r="L15" s="597"/>
      <c r="N15" s="597"/>
      <c r="O15" s="597"/>
      <c r="P15" s="597"/>
      <c r="Q15" s="597"/>
      <c r="R15" s="597"/>
      <c r="S15" s="597"/>
      <c r="U15" s="597"/>
    </row>
    <row r="16" spans="1:21">
      <c r="C16" s="93"/>
      <c r="D16" s="93"/>
      <c r="E16" s="93"/>
      <c r="F16" s="93"/>
      <c r="G16" s="93"/>
      <c r="H16" s="597"/>
      <c r="I16" s="573"/>
      <c r="J16" s="597"/>
      <c r="K16" s="597"/>
      <c r="L16" s="597"/>
      <c r="N16" s="597"/>
      <c r="O16" s="597"/>
      <c r="P16" s="597"/>
      <c r="Q16" s="597"/>
      <c r="R16" s="597"/>
      <c r="S16" s="597"/>
      <c r="U16" s="597"/>
    </row>
    <row r="17" spans="3:21">
      <c r="C17" s="93"/>
      <c r="D17" s="93"/>
      <c r="E17" s="1086"/>
      <c r="F17" s="1086"/>
      <c r="G17" s="93"/>
      <c r="H17" s="597"/>
      <c r="I17" s="573"/>
      <c r="J17" s="597"/>
      <c r="K17" s="597"/>
      <c r="N17" s="597"/>
      <c r="O17" s="597"/>
      <c r="P17" s="597"/>
      <c r="Q17" s="597"/>
      <c r="R17" s="597"/>
      <c r="S17" s="597"/>
      <c r="U17" s="597"/>
    </row>
    <row r="18" spans="3:21">
      <c r="C18" s="93"/>
      <c r="D18" s="93"/>
      <c r="E18" s="93"/>
      <c r="F18" s="93"/>
      <c r="G18" s="93"/>
      <c r="H18" s="597"/>
      <c r="I18" s="573"/>
      <c r="J18" s="597"/>
      <c r="K18" s="597"/>
    </row>
    <row r="19" spans="3:21">
      <c r="C19" s="93"/>
      <c r="D19" s="93"/>
      <c r="E19" s="93"/>
      <c r="F19" s="93"/>
      <c r="G19" s="93"/>
      <c r="H19" s="597"/>
      <c r="I19" s="573"/>
      <c r="J19" s="597"/>
      <c r="K19" s="597"/>
    </row>
    <row r="20" spans="3:21">
      <c r="C20" s="93"/>
      <c r="D20" s="93"/>
      <c r="E20" s="93"/>
      <c r="F20" s="93"/>
      <c r="G20" s="93"/>
      <c r="H20" s="597"/>
      <c r="I20" s="597"/>
      <c r="K20" s="573"/>
    </row>
    <row r="21" spans="3:21">
      <c r="C21" s="93"/>
      <c r="D21" s="93"/>
      <c r="E21" s="93"/>
      <c r="F21" s="93"/>
      <c r="G21" s="93"/>
      <c r="H21" s="597"/>
      <c r="I21" s="597"/>
      <c r="K21" s="573"/>
    </row>
    <row r="22" spans="3:21">
      <c r="C22" s="93"/>
      <c r="D22" s="93"/>
      <c r="E22" s="93"/>
      <c r="F22" s="93"/>
      <c r="H22" s="597"/>
      <c r="I22" s="597"/>
      <c r="K22" s="573"/>
    </row>
    <row r="23" spans="3:21">
      <c r="E23" s="594"/>
      <c r="F23" s="480"/>
    </row>
    <row r="24" spans="3:21">
      <c r="E24" s="823"/>
    </row>
  </sheetData>
  <mergeCells count="1">
    <mergeCell ref="A1:J1"/>
  </mergeCells>
  <pageMargins left="0.7" right="0.7" top="0.75" bottom="0.75" header="0.3" footer="0.3"/>
  <headerFooter>
    <oddFooter>&amp;L_x000D_&amp;1#&amp;"Calibri"&amp;10&amp;K000000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I25" sqref="I25"/>
    </sheetView>
  </sheetViews>
  <sheetFormatPr defaultRowHeight="14.4"/>
  <cols>
    <col min="1" max="1" width="11.33203125" style="37"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1" width="12" customWidth="1"/>
    <col min="22" max="22" width="15.44140625" bestFit="1" customWidth="1"/>
    <col min="23" max="26" width="12" customWidth="1"/>
    <col min="27" max="39" width="14.33203125" bestFit="1" customWidth="1"/>
    <col min="40" max="40" width="10.44140625" bestFit="1" customWidth="1"/>
  </cols>
  <sheetData>
    <row r="1" spans="1:22" ht="15" thickBot="1">
      <c r="B1" s="36">
        <f>SUM(B4:B35)</f>
        <v>492999</v>
      </c>
      <c r="E1" s="36">
        <f>SUM(E4:E35)</f>
        <v>492999</v>
      </c>
    </row>
    <row r="2" spans="1:22">
      <c r="A2" s="38"/>
      <c r="B2" s="2073" t="s">
        <v>718</v>
      </c>
      <c r="C2" s="2074"/>
      <c r="D2" s="2075"/>
      <c r="E2" s="2076" t="s">
        <v>719</v>
      </c>
      <c r="F2" s="2077"/>
      <c r="G2" s="18"/>
      <c r="H2" s="2078" t="s">
        <v>784</v>
      </c>
      <c r="I2" s="2079"/>
      <c r="J2" s="18"/>
      <c r="K2" s="2067" t="s">
        <v>722</v>
      </c>
      <c r="L2" s="2068"/>
      <c r="M2" s="951"/>
      <c r="N2" s="2069" t="s">
        <v>785</v>
      </c>
      <c r="O2" s="2070"/>
    </row>
    <row r="3" spans="1:22" ht="15" thickBot="1">
      <c r="A3" s="39" t="s">
        <v>786</v>
      </c>
      <c r="B3" s="28" t="s">
        <v>787</v>
      </c>
      <c r="C3" s="21" t="s">
        <v>788</v>
      </c>
      <c r="D3" s="20" t="s">
        <v>789</v>
      </c>
      <c r="E3" s="28" t="s">
        <v>790</v>
      </c>
      <c r="F3" s="21" t="s">
        <v>788</v>
      </c>
      <c r="G3" s="20" t="s">
        <v>789</v>
      </c>
      <c r="H3" s="28" t="s">
        <v>791</v>
      </c>
      <c r="I3" s="21" t="s">
        <v>792</v>
      </c>
      <c r="J3" s="21" t="s">
        <v>793</v>
      </c>
      <c r="K3" s="28" t="s">
        <v>794</v>
      </c>
      <c r="L3" s="21" t="s">
        <v>792</v>
      </c>
      <c r="M3" s="21" t="s">
        <v>795</v>
      </c>
      <c r="N3" s="28" t="s">
        <v>791</v>
      </c>
      <c r="O3" s="22" t="s">
        <v>792</v>
      </c>
      <c r="P3" s="952"/>
    </row>
    <row r="4" spans="1:22">
      <c r="A4" s="953">
        <f>+'EV-Chart Data'!A4</f>
        <v>46068</v>
      </c>
      <c r="B4" s="29">
        <v>7385</v>
      </c>
      <c r="C4" s="23">
        <f>+B4</f>
        <v>7385</v>
      </c>
      <c r="D4" s="25">
        <f>C4/$B$1</f>
        <v>1.4979746409221926E-2</v>
      </c>
      <c r="E4" s="29">
        <v>7385</v>
      </c>
      <c r="F4" s="23">
        <f>E4</f>
        <v>7385</v>
      </c>
      <c r="G4" s="25">
        <f>F4/$E$1</f>
        <v>1.4979746409221926E-2</v>
      </c>
      <c r="H4" s="41"/>
      <c r="I4" s="23"/>
      <c r="J4" s="25" t="str">
        <f t="shared" ref="J4:J12" si="0">IF(H4="","",I4/$B$1)</f>
        <v/>
      </c>
      <c r="K4" s="29"/>
      <c r="L4" s="23"/>
      <c r="M4" s="25"/>
      <c r="N4" s="29"/>
      <c r="O4" s="23"/>
      <c r="Q4" s="2" t="s">
        <v>728</v>
      </c>
    </row>
    <row r="5" spans="1:22">
      <c r="A5" s="953">
        <f>EOMONTH(A4,1)</f>
        <v>46112</v>
      </c>
      <c r="B5" s="29">
        <v>22824</v>
      </c>
      <c r="C5" s="23">
        <f>+B5+C4</f>
        <v>30209</v>
      </c>
      <c r="D5" s="25">
        <f t="shared" ref="D5:D22" si="1">C5/$B$1</f>
        <v>6.1275986361027102E-2</v>
      </c>
      <c r="E5" s="29">
        <v>22824</v>
      </c>
      <c r="F5" s="23">
        <f t="shared" ref="F5:F22" si="2">F4+E5</f>
        <v>30209</v>
      </c>
      <c r="G5" s="25">
        <f t="shared" ref="G5:G22" si="3">F5/$E$1</f>
        <v>6.1275986361027102E-2</v>
      </c>
      <c r="H5" s="41">
        <v>50642</v>
      </c>
      <c r="I5" s="23">
        <f>ROUND(I4+H5,0)</f>
        <v>50642</v>
      </c>
      <c r="J5" s="25">
        <f t="shared" si="0"/>
        <v>0.10272231789516814</v>
      </c>
      <c r="K5" s="29"/>
      <c r="L5" s="23"/>
      <c r="M5" s="25"/>
      <c r="N5" s="29">
        <f t="shared" ref="N5:N12" si="4">ROUND(H5-E5,0)</f>
        <v>27818</v>
      </c>
      <c r="O5" s="23">
        <f t="shared" ref="O5:O12" si="5">N5+O4</f>
        <v>27818</v>
      </c>
    </row>
    <row r="6" spans="1:22">
      <c r="A6" s="953">
        <f t="shared" ref="A6:A24" si="6">EOMONTH(A5,1)</f>
        <v>46142</v>
      </c>
      <c r="B6" s="29">
        <v>40729</v>
      </c>
      <c r="C6" s="23">
        <f t="shared" ref="C6:C22" si="7">+B6+C5</f>
        <v>70938</v>
      </c>
      <c r="D6" s="25">
        <f t="shared" si="1"/>
        <v>0.14389075839910426</v>
      </c>
      <c r="E6" s="29">
        <v>40729</v>
      </c>
      <c r="F6" s="23">
        <f t="shared" si="2"/>
        <v>70938</v>
      </c>
      <c r="G6" s="25">
        <f t="shared" si="3"/>
        <v>0.14389075839910426</v>
      </c>
      <c r="H6" s="699">
        <v>42906</v>
      </c>
      <c r="I6" s="23">
        <f t="shared" ref="I6:I12" si="8">+H6+I5</f>
        <v>93548</v>
      </c>
      <c r="J6" s="25">
        <f t="shared" si="0"/>
        <v>0.18975292039131925</v>
      </c>
      <c r="K6" s="29"/>
      <c r="L6" s="23"/>
      <c r="M6" s="25"/>
      <c r="N6" s="29">
        <f t="shared" si="4"/>
        <v>2177</v>
      </c>
      <c r="O6" s="23">
        <f t="shared" si="5"/>
        <v>29995</v>
      </c>
    </row>
    <row r="7" spans="1:22">
      <c r="A7" s="953">
        <f t="shared" si="6"/>
        <v>46173</v>
      </c>
      <c r="B7" s="29">
        <v>29147</v>
      </c>
      <c r="C7" s="23">
        <f t="shared" si="7"/>
        <v>100085</v>
      </c>
      <c r="D7" s="25">
        <f t="shared" si="1"/>
        <v>0.20301258217562307</v>
      </c>
      <c r="E7" s="29">
        <v>29147</v>
      </c>
      <c r="F7" s="23">
        <f t="shared" si="2"/>
        <v>100085</v>
      </c>
      <c r="G7" s="25">
        <f t="shared" si="3"/>
        <v>0.20301258217562307</v>
      </c>
      <c r="H7" s="699">
        <v>49734</v>
      </c>
      <c r="I7" s="23">
        <f t="shared" si="8"/>
        <v>143282</v>
      </c>
      <c r="J7" s="25">
        <f t="shared" si="0"/>
        <v>0.2906334495607496</v>
      </c>
      <c r="K7" s="29"/>
      <c r="L7" s="23"/>
      <c r="M7" s="25"/>
      <c r="N7" s="29">
        <f t="shared" si="4"/>
        <v>20587</v>
      </c>
      <c r="O7" s="23">
        <f t="shared" si="5"/>
        <v>50582</v>
      </c>
    </row>
    <row r="8" spans="1:22">
      <c r="A8" s="953">
        <f t="shared" si="6"/>
        <v>46203</v>
      </c>
      <c r="B8" s="29">
        <v>26425</v>
      </c>
      <c r="C8" s="23">
        <f t="shared" si="7"/>
        <v>126510</v>
      </c>
      <c r="D8" s="25">
        <f t="shared" si="1"/>
        <v>0.25661309657828918</v>
      </c>
      <c r="E8" s="29">
        <v>26425</v>
      </c>
      <c r="F8" s="23">
        <f t="shared" si="2"/>
        <v>126510</v>
      </c>
      <c r="G8" s="25">
        <f t="shared" si="3"/>
        <v>0.25661309657828918</v>
      </c>
      <c r="H8" s="41">
        <v>71456</v>
      </c>
      <c r="I8" s="23">
        <f t="shared" si="8"/>
        <v>214738</v>
      </c>
      <c r="J8" s="25">
        <f t="shared" si="0"/>
        <v>0.43557492003026377</v>
      </c>
      <c r="K8" s="29"/>
      <c r="L8" s="23"/>
      <c r="M8" s="25"/>
      <c r="N8" s="29">
        <f t="shared" si="4"/>
        <v>45031</v>
      </c>
      <c r="O8" s="23">
        <f t="shared" si="5"/>
        <v>95613</v>
      </c>
      <c r="Q8" s="2" t="s">
        <v>729</v>
      </c>
      <c r="V8" s="810"/>
    </row>
    <row r="9" spans="1:22">
      <c r="A9" s="953">
        <f t="shared" si="6"/>
        <v>46234</v>
      </c>
      <c r="B9" s="29">
        <v>34097</v>
      </c>
      <c r="C9" s="23">
        <f t="shared" si="7"/>
        <v>160607</v>
      </c>
      <c r="D9" s="25">
        <f t="shared" si="1"/>
        <v>0.32577550867243138</v>
      </c>
      <c r="E9" s="29">
        <v>34097</v>
      </c>
      <c r="F9" s="23">
        <f t="shared" si="2"/>
        <v>160607</v>
      </c>
      <c r="G9" s="25">
        <f t="shared" si="3"/>
        <v>0.32577550867243138</v>
      </c>
      <c r="H9" s="41">
        <v>69946</v>
      </c>
      <c r="I9" s="23">
        <f t="shared" si="8"/>
        <v>284684</v>
      </c>
      <c r="J9" s="25">
        <f t="shared" si="0"/>
        <v>0.57745350396248263</v>
      </c>
      <c r="K9" s="29"/>
      <c r="L9" s="23"/>
      <c r="M9" s="25"/>
      <c r="N9" s="29">
        <f t="shared" si="4"/>
        <v>35849</v>
      </c>
      <c r="O9" s="23">
        <f t="shared" si="5"/>
        <v>131462</v>
      </c>
      <c r="V9" s="810"/>
    </row>
    <row r="10" spans="1:22">
      <c r="A10" s="953">
        <f t="shared" si="6"/>
        <v>46265</v>
      </c>
      <c r="B10" s="29">
        <v>37252</v>
      </c>
      <c r="C10" s="23">
        <f t="shared" si="7"/>
        <v>197859</v>
      </c>
      <c r="D10" s="25">
        <f t="shared" si="1"/>
        <v>0.40133752806800826</v>
      </c>
      <c r="E10" s="29">
        <v>37252</v>
      </c>
      <c r="F10" s="23">
        <f t="shared" si="2"/>
        <v>197859</v>
      </c>
      <c r="G10" s="25">
        <f t="shared" si="3"/>
        <v>0.40133752806800826</v>
      </c>
      <c r="H10" s="41">
        <v>58515</v>
      </c>
      <c r="I10" s="23">
        <f t="shared" si="8"/>
        <v>343199</v>
      </c>
      <c r="J10" s="25">
        <f t="shared" si="0"/>
        <v>0.69614542828687276</v>
      </c>
      <c r="K10" s="29"/>
      <c r="L10" s="23"/>
      <c r="M10" s="25"/>
      <c r="N10" s="29">
        <f t="shared" si="4"/>
        <v>21263</v>
      </c>
      <c r="O10" s="23">
        <f t="shared" si="5"/>
        <v>152725</v>
      </c>
      <c r="S10" s="720"/>
      <c r="T10" s="720"/>
      <c r="U10" s="720"/>
      <c r="V10" s="810"/>
    </row>
    <row r="11" spans="1:22">
      <c r="A11" s="953">
        <f t="shared" si="6"/>
        <v>46295</v>
      </c>
      <c r="B11" s="29">
        <v>27580</v>
      </c>
      <c r="C11" s="23">
        <f t="shared" si="7"/>
        <v>225439</v>
      </c>
      <c r="D11" s="25">
        <f t="shared" si="1"/>
        <v>0.45728084641145317</v>
      </c>
      <c r="E11" s="29">
        <v>27580</v>
      </c>
      <c r="F11" s="23">
        <f t="shared" si="2"/>
        <v>225439</v>
      </c>
      <c r="G11" s="25">
        <f t="shared" si="3"/>
        <v>0.45728084641145317</v>
      </c>
      <c r="H11" s="41">
        <v>36748</v>
      </c>
      <c r="I11" s="23">
        <f t="shared" si="8"/>
        <v>379947</v>
      </c>
      <c r="J11" s="25">
        <f t="shared" si="0"/>
        <v>0.77068513323556442</v>
      </c>
      <c r="K11" s="29"/>
      <c r="L11" s="23"/>
      <c r="M11" s="25"/>
      <c r="N11" s="29">
        <f t="shared" si="4"/>
        <v>9168</v>
      </c>
      <c r="O11" s="23">
        <f t="shared" si="5"/>
        <v>161893</v>
      </c>
      <c r="T11" s="720"/>
      <c r="V11" s="810"/>
    </row>
    <row r="12" spans="1:22">
      <c r="A12" s="953">
        <f t="shared" si="6"/>
        <v>46326</v>
      </c>
      <c r="B12" s="29">
        <v>29557</v>
      </c>
      <c r="C12" s="23">
        <f t="shared" si="7"/>
        <v>254996</v>
      </c>
      <c r="D12" s="25">
        <f t="shared" si="1"/>
        <v>0.51723431487690641</v>
      </c>
      <c r="E12" s="29">
        <v>29557</v>
      </c>
      <c r="F12" s="23">
        <f t="shared" si="2"/>
        <v>254996</v>
      </c>
      <c r="G12" s="25">
        <f t="shared" si="3"/>
        <v>0.51723431487690641</v>
      </c>
      <c r="H12" s="41">
        <v>11060</v>
      </c>
      <c r="I12" s="23">
        <f t="shared" si="8"/>
        <v>391007</v>
      </c>
      <c r="J12" s="25">
        <f t="shared" si="0"/>
        <v>0.79311925581999154</v>
      </c>
      <c r="K12" s="29">
        <v>11386.034523809494</v>
      </c>
      <c r="L12" s="23">
        <v>391007</v>
      </c>
      <c r="M12" s="25">
        <f t="shared" ref="M12:M22" si="9">IF(K12="",M11,L12/$E$1)</f>
        <v>0.79311925581999154</v>
      </c>
      <c r="N12" s="29">
        <f t="shared" si="4"/>
        <v>-18497</v>
      </c>
      <c r="O12" s="23">
        <f t="shared" si="5"/>
        <v>143396</v>
      </c>
      <c r="S12" s="720"/>
      <c r="T12" s="720"/>
    </row>
    <row r="13" spans="1:22">
      <c r="A13" s="953">
        <f t="shared" si="6"/>
        <v>46356</v>
      </c>
      <c r="B13" s="29">
        <v>34360</v>
      </c>
      <c r="C13" s="23">
        <f t="shared" si="7"/>
        <v>289356</v>
      </c>
      <c r="D13" s="25">
        <f t="shared" si="1"/>
        <v>0.58693019661297485</v>
      </c>
      <c r="E13" s="29">
        <v>34360</v>
      </c>
      <c r="F13" s="23">
        <f t="shared" si="2"/>
        <v>289356</v>
      </c>
      <c r="G13" s="25">
        <f t="shared" si="3"/>
        <v>0.58693019661297485</v>
      </c>
      <c r="H13" s="41"/>
      <c r="I13" s="23"/>
      <c r="J13" s="25"/>
      <c r="K13" s="29">
        <v>16235.61088435372</v>
      </c>
      <c r="L13" s="23">
        <f>+K13+L12</f>
        <v>407242.61088435369</v>
      </c>
      <c r="M13" s="25">
        <f t="shared" si="9"/>
        <v>0.82605159621896529</v>
      </c>
      <c r="N13" s="29"/>
      <c r="O13" s="23"/>
      <c r="S13" s="804"/>
      <c r="T13" s="720"/>
      <c r="V13" s="810">
        <f>F7-I7</f>
        <v>-43197</v>
      </c>
    </row>
    <row r="14" spans="1:22">
      <c r="A14" s="953">
        <f t="shared" si="6"/>
        <v>46387</v>
      </c>
      <c r="B14" s="29">
        <v>39093</v>
      </c>
      <c r="C14" s="23">
        <f t="shared" si="7"/>
        <v>328449</v>
      </c>
      <c r="D14" s="25">
        <f t="shared" si="1"/>
        <v>0.66622650350203549</v>
      </c>
      <c r="E14" s="29">
        <v>39093</v>
      </c>
      <c r="F14" s="23">
        <f t="shared" si="2"/>
        <v>328449</v>
      </c>
      <c r="G14" s="25">
        <f t="shared" si="3"/>
        <v>0.66622650350203549</v>
      </c>
      <c r="H14" s="29"/>
      <c r="I14" s="23"/>
      <c r="J14" s="25"/>
      <c r="K14" s="29">
        <v>19236.010884353731</v>
      </c>
      <c r="L14" s="23">
        <f t="shared" ref="L14:L22" si="10">+K14+L13</f>
        <v>426478.62176870741</v>
      </c>
      <c r="M14" s="25">
        <f t="shared" si="9"/>
        <v>0.86506995301959522</v>
      </c>
      <c r="N14" s="29"/>
      <c r="O14" s="23"/>
      <c r="T14" s="720"/>
      <c r="V14" s="810"/>
    </row>
    <row r="15" spans="1:22">
      <c r="A15" s="953">
        <f t="shared" si="6"/>
        <v>46418</v>
      </c>
      <c r="B15" s="29">
        <v>41580</v>
      </c>
      <c r="C15" s="23">
        <f t="shared" si="7"/>
        <v>370029</v>
      </c>
      <c r="D15" s="25">
        <f t="shared" si="1"/>
        <v>0.7505674453700717</v>
      </c>
      <c r="E15" s="29">
        <v>41580</v>
      </c>
      <c r="F15" s="23">
        <f t="shared" si="2"/>
        <v>370029</v>
      </c>
      <c r="G15" s="25">
        <f t="shared" si="3"/>
        <v>0.7505674453700717</v>
      </c>
      <c r="H15" s="29"/>
      <c r="I15" s="23"/>
      <c r="J15" s="25"/>
      <c r="K15" s="29">
        <v>21723.010884353735</v>
      </c>
      <c r="L15" s="23">
        <f t="shared" si="10"/>
        <v>448201.63265306113</v>
      </c>
      <c r="M15" s="25">
        <f t="shared" si="9"/>
        <v>0.9091329447992007</v>
      </c>
      <c r="N15" s="29"/>
      <c r="O15" s="23"/>
      <c r="S15" s="720"/>
      <c r="T15" s="720"/>
      <c r="V15" s="810"/>
    </row>
    <row r="16" spans="1:22">
      <c r="A16" s="953">
        <f t="shared" si="6"/>
        <v>46446</v>
      </c>
      <c r="B16" s="29">
        <v>24045</v>
      </c>
      <c r="C16" s="23">
        <f t="shared" si="7"/>
        <v>394074</v>
      </c>
      <c r="D16" s="25">
        <f t="shared" si="1"/>
        <v>0.79934036377355733</v>
      </c>
      <c r="E16" s="29">
        <v>24045</v>
      </c>
      <c r="F16" s="23">
        <f t="shared" si="2"/>
        <v>394074</v>
      </c>
      <c r="G16" s="25">
        <f t="shared" si="3"/>
        <v>0.79934036377355733</v>
      </c>
      <c r="H16" s="29"/>
      <c r="I16" s="23"/>
      <c r="J16" s="25"/>
      <c r="K16" s="29">
        <v>4188.0108843537328</v>
      </c>
      <c r="L16" s="23">
        <f t="shared" si="10"/>
        <v>452389.64353741484</v>
      </c>
      <c r="M16" s="25">
        <f t="shared" si="9"/>
        <v>0.91762791311425551</v>
      </c>
      <c r="N16" s="29"/>
      <c r="O16" s="23"/>
      <c r="T16" s="720"/>
      <c r="U16" s="720"/>
    </row>
    <row r="17" spans="1:22">
      <c r="A17" s="953">
        <f t="shared" si="6"/>
        <v>46477</v>
      </c>
      <c r="B17" s="29">
        <v>33775</v>
      </c>
      <c r="C17" s="23">
        <f t="shared" si="7"/>
        <v>427849</v>
      </c>
      <c r="D17" s="25">
        <f t="shared" si="1"/>
        <v>0.86784963052663389</v>
      </c>
      <c r="E17" s="29">
        <v>33775</v>
      </c>
      <c r="F17" s="23">
        <f t="shared" si="2"/>
        <v>427849</v>
      </c>
      <c r="G17" s="25">
        <f t="shared" si="3"/>
        <v>0.86784963052663389</v>
      </c>
      <c r="H17" s="29"/>
      <c r="I17" s="23"/>
      <c r="J17" s="25"/>
      <c r="K17" s="29">
        <v>13229.109297052151</v>
      </c>
      <c r="L17" s="23">
        <f t="shared" si="10"/>
        <v>465618.75283446698</v>
      </c>
      <c r="M17" s="25">
        <f t="shared" si="9"/>
        <v>0.94446186064163817</v>
      </c>
      <c r="N17" s="29"/>
      <c r="O17" s="23"/>
      <c r="T17" s="720"/>
      <c r="V17" s="720"/>
    </row>
    <row r="18" spans="1:22">
      <c r="A18" s="953">
        <f t="shared" si="6"/>
        <v>46507</v>
      </c>
      <c r="B18" s="29">
        <v>26970</v>
      </c>
      <c r="C18" s="23">
        <f t="shared" si="7"/>
        <v>454819</v>
      </c>
      <c r="D18" s="25">
        <f t="shared" si="1"/>
        <v>0.92255562384507883</v>
      </c>
      <c r="E18" s="29">
        <v>26970</v>
      </c>
      <c r="F18" s="23">
        <f t="shared" si="2"/>
        <v>454819</v>
      </c>
      <c r="G18" s="25">
        <f t="shared" si="3"/>
        <v>0.92255562384507883</v>
      </c>
      <c r="H18" s="29"/>
      <c r="I18" s="23"/>
      <c r="J18" s="25"/>
      <c r="K18" s="29">
        <v>7218.8235827664685</v>
      </c>
      <c r="L18" s="23">
        <f t="shared" si="10"/>
        <v>472837.57641723345</v>
      </c>
      <c r="M18" s="25">
        <f t="shared" si="9"/>
        <v>0.95910453452691269</v>
      </c>
      <c r="N18" s="29"/>
      <c r="O18" s="23"/>
      <c r="T18" s="720"/>
      <c r="V18" s="720"/>
    </row>
    <row r="19" spans="1:22">
      <c r="A19" s="953">
        <f t="shared" si="6"/>
        <v>46538</v>
      </c>
      <c r="B19" s="29">
        <v>19548</v>
      </c>
      <c r="C19" s="23">
        <f t="shared" si="7"/>
        <v>474367</v>
      </c>
      <c r="D19" s="25">
        <f t="shared" si="1"/>
        <v>0.96220681989212964</v>
      </c>
      <c r="E19" s="29">
        <v>19548</v>
      </c>
      <c r="F19" s="23">
        <f t="shared" si="2"/>
        <v>474367</v>
      </c>
      <c r="G19" s="25">
        <f t="shared" si="3"/>
        <v>0.96220681989212964</v>
      </c>
      <c r="H19" s="29"/>
      <c r="I19" s="23"/>
      <c r="J19" s="25"/>
      <c r="K19" s="29">
        <v>1529.4235827664536</v>
      </c>
      <c r="L19" s="23">
        <f t="shared" si="10"/>
        <v>474366.99999999988</v>
      </c>
      <c r="M19" s="25">
        <f t="shared" si="9"/>
        <v>0.96220681989212942</v>
      </c>
      <c r="N19" s="29"/>
      <c r="O19" s="23"/>
      <c r="T19" s="720"/>
    </row>
    <row r="20" spans="1:22">
      <c r="A20" s="953">
        <f t="shared" si="6"/>
        <v>46568</v>
      </c>
      <c r="B20" s="29">
        <v>13806</v>
      </c>
      <c r="C20" s="23">
        <f t="shared" si="7"/>
        <v>488173</v>
      </c>
      <c r="D20" s="25">
        <f t="shared" si="1"/>
        <v>0.9902109334907373</v>
      </c>
      <c r="E20" s="29">
        <v>13806</v>
      </c>
      <c r="F20" s="23">
        <f t="shared" si="2"/>
        <v>488173</v>
      </c>
      <c r="G20" s="25">
        <f t="shared" si="3"/>
        <v>0.9902109334907373</v>
      </c>
      <c r="H20" s="29"/>
      <c r="I20" s="23"/>
      <c r="J20" s="25"/>
      <c r="K20" s="29">
        <v>13806</v>
      </c>
      <c r="L20" s="23">
        <f t="shared" si="10"/>
        <v>488172.99999999988</v>
      </c>
      <c r="M20" s="25">
        <f t="shared" si="9"/>
        <v>0.99021093349073708</v>
      </c>
      <c r="N20" s="29"/>
      <c r="O20" s="23"/>
      <c r="T20" s="720"/>
      <c r="U20" s="595"/>
      <c r="V20" s="720"/>
    </row>
    <row r="21" spans="1:22">
      <c r="A21" s="953">
        <f t="shared" si="6"/>
        <v>46599</v>
      </c>
      <c r="B21" s="29">
        <v>3386</v>
      </c>
      <c r="C21" s="23">
        <f t="shared" si="7"/>
        <v>491559</v>
      </c>
      <c r="D21" s="25">
        <f t="shared" si="1"/>
        <v>0.99707910158032775</v>
      </c>
      <c r="E21" s="29">
        <v>3386</v>
      </c>
      <c r="F21" s="23">
        <f t="shared" si="2"/>
        <v>491559</v>
      </c>
      <c r="G21" s="25">
        <f t="shared" si="3"/>
        <v>0.99707910158032775</v>
      </c>
      <c r="H21" s="29"/>
      <c r="I21" s="23"/>
      <c r="J21" s="25"/>
      <c r="K21" s="29">
        <v>3386</v>
      </c>
      <c r="L21" s="23">
        <f t="shared" si="10"/>
        <v>491558.99999999988</v>
      </c>
      <c r="M21" s="25">
        <f t="shared" si="9"/>
        <v>0.99707910158032753</v>
      </c>
      <c r="N21" s="29"/>
      <c r="O21" s="23"/>
      <c r="T21" s="720"/>
    </row>
    <row r="22" spans="1:22">
      <c r="A22" s="953">
        <f t="shared" si="6"/>
        <v>46630</v>
      </c>
      <c r="B22" s="29">
        <v>1440</v>
      </c>
      <c r="C22" s="23">
        <f t="shared" si="7"/>
        <v>492999</v>
      </c>
      <c r="D22" s="25">
        <f t="shared" si="1"/>
        <v>1</v>
      </c>
      <c r="E22" s="29">
        <v>1440</v>
      </c>
      <c r="F22" s="23">
        <f t="shared" si="2"/>
        <v>492999</v>
      </c>
      <c r="G22" s="25">
        <f t="shared" si="3"/>
        <v>1</v>
      </c>
      <c r="H22" s="29"/>
      <c r="I22" s="23"/>
      <c r="J22" s="25"/>
      <c r="K22" s="29">
        <v>1440</v>
      </c>
      <c r="L22" s="23">
        <f t="shared" si="10"/>
        <v>492998.99999999988</v>
      </c>
      <c r="M22" s="25">
        <f t="shared" si="9"/>
        <v>0.99999999999999978</v>
      </c>
      <c r="N22" s="29"/>
      <c r="O22" s="23"/>
      <c r="R22" s="2" t="s">
        <v>730</v>
      </c>
      <c r="T22" s="720"/>
      <c r="V22" s="594">
        <f>+Progress!O27</f>
        <v>391007</v>
      </c>
    </row>
    <row r="23" spans="1:22">
      <c r="A23" s="953">
        <f t="shared" si="6"/>
        <v>46660</v>
      </c>
      <c r="B23" s="41"/>
      <c r="C23" s="23"/>
      <c r="D23" s="25"/>
      <c r="E23" s="29"/>
      <c r="F23" s="23"/>
      <c r="G23" s="25"/>
      <c r="H23" s="29"/>
      <c r="I23" s="23"/>
      <c r="J23" s="25"/>
      <c r="K23" s="29"/>
      <c r="L23" s="23"/>
      <c r="M23" s="25"/>
      <c r="N23" s="29"/>
      <c r="O23" s="23"/>
      <c r="T23" s="720"/>
      <c r="U23" s="720"/>
      <c r="V23" s="720">
        <f>+V22-I7</f>
        <v>247725</v>
      </c>
    </row>
    <row r="24" spans="1:22">
      <c r="A24" s="953">
        <f t="shared" si="6"/>
        <v>46691</v>
      </c>
      <c r="B24" s="41"/>
      <c r="C24" s="23"/>
      <c r="D24" s="25"/>
      <c r="E24" s="29"/>
      <c r="F24" s="23"/>
      <c r="G24" s="25"/>
      <c r="H24" s="29"/>
      <c r="I24" s="23"/>
      <c r="J24" s="25"/>
      <c r="K24" s="29"/>
      <c r="L24" s="23"/>
      <c r="M24" s="25"/>
      <c r="N24" s="29"/>
      <c r="O24" s="23"/>
      <c r="T24" s="720"/>
    </row>
    <row r="25" spans="1:22">
      <c r="A25" s="953"/>
      <c r="B25" s="41"/>
      <c r="C25" s="23"/>
      <c r="D25" s="25"/>
      <c r="E25" s="29"/>
      <c r="F25" s="23"/>
      <c r="G25" s="25"/>
      <c r="H25" s="29"/>
      <c r="I25" s="23"/>
      <c r="J25" s="1117"/>
      <c r="K25" s="29"/>
      <c r="L25" s="23"/>
      <c r="M25" s="25"/>
      <c r="N25" s="29"/>
      <c r="O25" s="23"/>
      <c r="T25" s="720"/>
    </row>
    <row r="26" spans="1:22">
      <c r="A26" s="953"/>
      <c r="B26" s="41"/>
      <c r="C26" s="23"/>
      <c r="D26" s="25"/>
      <c r="E26" s="29"/>
      <c r="F26" s="23"/>
      <c r="G26" s="25"/>
      <c r="H26" s="29"/>
      <c r="I26" s="23"/>
      <c r="J26" s="25"/>
      <c r="K26" s="29"/>
      <c r="L26" s="23"/>
      <c r="M26" s="25"/>
      <c r="N26" s="29"/>
      <c r="O26" s="23"/>
      <c r="T26" s="720"/>
    </row>
    <row r="27" spans="1:22">
      <c r="A27" s="953"/>
      <c r="B27" s="41"/>
      <c r="C27" s="23"/>
      <c r="D27" s="25"/>
      <c r="E27" s="29"/>
      <c r="F27" s="23"/>
      <c r="G27" s="25"/>
      <c r="H27" s="29"/>
      <c r="I27" s="23"/>
      <c r="J27" s="25"/>
      <c r="K27" s="29"/>
      <c r="L27" s="23"/>
      <c r="M27" s="25"/>
      <c r="N27" s="29"/>
      <c r="O27" s="23"/>
      <c r="T27" s="720"/>
    </row>
    <row r="28" spans="1:22">
      <c r="A28" s="953"/>
      <c r="B28" s="41"/>
      <c r="C28" s="23"/>
      <c r="D28" s="25"/>
      <c r="E28" s="29"/>
      <c r="F28" s="23"/>
      <c r="G28" s="25"/>
      <c r="H28" s="29"/>
      <c r="I28" s="23"/>
      <c r="J28" s="25"/>
      <c r="K28" s="29"/>
      <c r="L28" s="23"/>
      <c r="M28" s="25"/>
      <c r="N28" s="29"/>
      <c r="O28" s="23"/>
      <c r="T28" s="720"/>
    </row>
    <row r="29" spans="1:22">
      <c r="A29" s="953"/>
      <c r="B29" s="41"/>
      <c r="C29" s="23"/>
      <c r="D29" s="24"/>
      <c r="E29" s="29"/>
      <c r="F29" s="23"/>
      <c r="G29" s="24"/>
      <c r="H29" s="29"/>
      <c r="I29" s="23"/>
      <c r="J29" s="25"/>
      <c r="K29" s="721"/>
      <c r="L29" s="23"/>
      <c r="M29" s="25"/>
      <c r="N29" s="29"/>
      <c r="O29" s="23"/>
      <c r="S29" s="720"/>
      <c r="T29" s="720"/>
    </row>
    <row r="30" spans="1:22">
      <c r="A30" s="953"/>
      <c r="B30" s="41"/>
      <c r="C30" s="23"/>
      <c r="D30" s="24"/>
      <c r="E30" s="29"/>
      <c r="F30" s="23"/>
      <c r="G30" s="24"/>
      <c r="H30" s="29"/>
      <c r="I30" s="23"/>
      <c r="J30" s="24"/>
      <c r="K30" s="721"/>
      <c r="L30" s="23"/>
      <c r="M30" s="25"/>
      <c r="N30" s="29"/>
      <c r="O30" s="23"/>
      <c r="R30" s="720"/>
      <c r="T30" s="720"/>
    </row>
    <row r="31" spans="1:22">
      <c r="A31" s="953"/>
      <c r="B31" s="41"/>
      <c r="C31" s="23"/>
      <c r="D31" s="24"/>
      <c r="E31" s="29"/>
      <c r="F31" s="23"/>
      <c r="G31" s="24"/>
      <c r="H31" s="29"/>
      <c r="I31" s="23"/>
      <c r="J31" s="24"/>
      <c r="K31" s="721"/>
      <c r="L31" s="23"/>
      <c r="M31" s="25"/>
      <c r="N31" s="29"/>
      <c r="O31" s="23"/>
      <c r="T31" s="720"/>
    </row>
    <row r="32" spans="1:22">
      <c r="A32" s="953"/>
      <c r="B32" s="29"/>
      <c r="C32" s="23"/>
      <c r="D32" s="24"/>
      <c r="E32" s="29"/>
      <c r="F32" s="23"/>
      <c r="G32" s="24"/>
      <c r="H32" s="29"/>
      <c r="I32" s="23"/>
      <c r="J32" s="24"/>
      <c r="K32" s="721"/>
      <c r="L32" s="23"/>
      <c r="M32" s="25"/>
      <c r="N32" s="29"/>
      <c r="O32" s="23"/>
      <c r="T32" s="720"/>
    </row>
    <row r="33" spans="1:50">
      <c r="A33" s="953"/>
      <c r="B33" s="29"/>
      <c r="C33" s="23"/>
      <c r="D33" s="24"/>
      <c r="E33" s="29"/>
      <c r="F33" s="23"/>
      <c r="G33" s="24"/>
      <c r="H33" s="29"/>
      <c r="I33" s="23"/>
      <c r="J33" s="24"/>
      <c r="K33" s="29"/>
      <c r="L33" s="23"/>
      <c r="M33" s="25"/>
      <c r="N33" s="29"/>
      <c r="O33" s="26"/>
    </row>
    <row r="34" spans="1:50">
      <c r="A34" s="953"/>
      <c r="B34" s="29"/>
      <c r="C34" s="23"/>
      <c r="D34" s="24"/>
      <c r="E34" s="29"/>
      <c r="F34" s="23"/>
      <c r="G34" s="24"/>
      <c r="H34" s="29"/>
      <c r="I34" s="23"/>
      <c r="J34" s="24"/>
      <c r="K34" s="29"/>
      <c r="L34" s="23"/>
      <c r="M34" s="25"/>
      <c r="N34" s="29"/>
      <c r="O34" s="26"/>
    </row>
    <row r="35" spans="1:50">
      <c r="A35" s="953"/>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 thickBot="1"/>
    <row r="38" spans="1:50" ht="27" thickTop="1" thickBot="1">
      <c r="B38" s="2064" t="s">
        <v>731</v>
      </c>
      <c r="C38" s="2065"/>
      <c r="D38" s="2065"/>
      <c r="E38" s="2065"/>
      <c r="F38" s="2065"/>
      <c r="G38" s="2065"/>
      <c r="H38" s="2065"/>
      <c r="I38" s="2065"/>
      <c r="J38" s="2065"/>
      <c r="K38" s="2065"/>
      <c r="L38" s="2065"/>
      <c r="M38" s="2065"/>
      <c r="N38" s="2065"/>
      <c r="O38" s="2065"/>
      <c r="P38" s="2065"/>
      <c r="Q38" s="2066"/>
      <c r="R38" s="30"/>
      <c r="S38" s="30"/>
      <c r="T38" s="30"/>
      <c r="U38" s="30"/>
      <c r="V38" s="30"/>
      <c r="W38" s="31"/>
      <c r="X38" s="1"/>
      <c r="Y38" s="1"/>
      <c r="Z38" s="1"/>
    </row>
    <row r="39" spans="1:50" ht="15" thickTop="1">
      <c r="B39" s="594"/>
    </row>
    <row r="40" spans="1:50">
      <c r="B40" s="594"/>
      <c r="E40" s="93"/>
      <c r="F40" s="573"/>
      <c r="G40" s="93"/>
      <c r="H40" s="573"/>
      <c r="I40" s="573"/>
      <c r="K40" s="573"/>
      <c r="L40" s="594"/>
      <c r="M40" s="615"/>
      <c r="N40" s="573"/>
      <c r="O40" s="953"/>
      <c r="P40" s="953"/>
      <c r="Q40" s="953"/>
      <c r="R40" s="953"/>
      <c r="S40" s="953"/>
      <c r="T40" s="953"/>
      <c r="U40" s="953"/>
      <c r="V40" s="953"/>
      <c r="W40" s="953"/>
      <c r="X40" s="953"/>
      <c r="Y40" s="953"/>
      <c r="Z40" s="953"/>
      <c r="AA40" s="953"/>
      <c r="AB40" s="953"/>
      <c r="AC40" s="953"/>
      <c r="AD40" s="953"/>
      <c r="AE40" s="953"/>
      <c r="AF40" s="953"/>
      <c r="AG40" s="953"/>
      <c r="AH40" s="953"/>
      <c r="AI40" s="953"/>
      <c r="AJ40" s="953"/>
      <c r="AK40" s="953"/>
      <c r="AL40" s="953"/>
      <c r="AM40" s="953"/>
      <c r="AN40" s="953"/>
      <c r="AO40" s="953"/>
      <c r="AP40" s="953"/>
      <c r="AQ40" s="953"/>
      <c r="AR40" s="953"/>
      <c r="AS40" s="953"/>
      <c r="AT40" s="953"/>
      <c r="AU40" s="573"/>
      <c r="AV40" s="573"/>
      <c r="AW40" s="573"/>
      <c r="AX40" s="573"/>
    </row>
    <row r="41" spans="1:50">
      <c r="B41" s="594"/>
      <c r="E41" s="93"/>
      <c r="F41" s="573"/>
      <c r="G41" s="93"/>
      <c r="H41" s="573"/>
      <c r="I41" s="573">
        <f>K12-I42</f>
        <v>11386.034523809494</v>
      </c>
      <c r="J41" s="615"/>
      <c r="K41" s="573"/>
      <c r="L41" s="615"/>
      <c r="M41" s="615"/>
      <c r="N41" s="573"/>
      <c r="O41" s="573"/>
      <c r="P41" s="594"/>
      <c r="Q41" s="594"/>
      <c r="R41" s="594"/>
      <c r="S41" s="594"/>
      <c r="T41" s="594"/>
      <c r="U41" s="594"/>
      <c r="V41" s="594"/>
      <c r="W41" s="594"/>
      <c r="X41" s="594"/>
      <c r="Y41" s="594"/>
      <c r="Z41" s="594"/>
      <c r="AA41" s="594"/>
      <c r="AB41" s="594"/>
      <c r="AC41" s="594"/>
      <c r="AD41" s="594"/>
      <c r="AE41" s="594"/>
      <c r="AF41" s="594"/>
      <c r="AG41" s="594"/>
      <c r="AH41" s="594"/>
      <c r="AI41" s="594"/>
      <c r="AJ41" s="594"/>
      <c r="AK41" s="594"/>
      <c r="AL41" s="594"/>
      <c r="AM41" s="594"/>
    </row>
    <row r="42" spans="1:50">
      <c r="B42" s="594"/>
      <c r="E42" s="93"/>
      <c r="F42" s="573"/>
      <c r="G42" s="93"/>
      <c r="H42" s="573"/>
      <c r="I42" s="573">
        <f>L22-E1</f>
        <v>0</v>
      </c>
      <c r="J42" s="615"/>
      <c r="K42" s="573"/>
      <c r="L42" s="615"/>
      <c r="M42" s="615"/>
      <c r="N42" s="573"/>
      <c r="O42" s="573"/>
      <c r="P42" s="594"/>
      <c r="Q42" s="594"/>
      <c r="R42" s="594"/>
      <c r="S42" s="594"/>
      <c r="T42" s="594"/>
      <c r="U42" s="594"/>
      <c r="V42" s="594"/>
      <c r="W42" s="594"/>
      <c r="X42" s="594"/>
      <c r="Y42" s="594"/>
      <c r="Z42" s="594"/>
      <c r="AA42" s="594"/>
      <c r="AB42" s="594"/>
      <c r="AC42" s="594"/>
      <c r="AD42" s="594"/>
      <c r="AE42" s="594"/>
      <c r="AF42" s="594"/>
      <c r="AG42" s="594"/>
      <c r="AH42" s="594"/>
      <c r="AI42" s="594"/>
      <c r="AJ42" s="594"/>
      <c r="AK42" s="594"/>
      <c r="AL42" s="594"/>
      <c r="AM42" s="594"/>
      <c r="AN42" s="573"/>
    </row>
    <row r="43" spans="1:50">
      <c r="B43" s="594"/>
      <c r="E43" s="93"/>
      <c r="F43" s="573"/>
      <c r="G43" s="93"/>
      <c r="H43" s="573"/>
      <c r="I43" s="573"/>
      <c r="J43" s="615"/>
      <c r="K43" s="573"/>
      <c r="L43" s="615"/>
      <c r="M43" s="615"/>
      <c r="N43" s="573"/>
      <c r="O43" s="573"/>
      <c r="P43" s="594"/>
      <c r="Q43" s="594"/>
      <c r="R43" s="594"/>
      <c r="S43" s="594"/>
      <c r="T43" s="594"/>
      <c r="U43" s="594"/>
      <c r="V43" s="594"/>
      <c r="W43" s="594"/>
      <c r="X43" s="594"/>
      <c r="Y43" s="594"/>
      <c r="Z43" s="594"/>
      <c r="AA43" s="594"/>
      <c r="AB43" s="594"/>
      <c r="AC43" s="594"/>
      <c r="AD43" s="594"/>
      <c r="AE43" s="594"/>
      <c r="AF43" s="594"/>
      <c r="AG43" s="594"/>
      <c r="AH43" s="594"/>
      <c r="AI43" s="594"/>
      <c r="AJ43" s="594"/>
      <c r="AK43" s="594"/>
      <c r="AL43" s="594"/>
      <c r="AM43" s="594"/>
      <c r="AN43" s="573"/>
      <c r="AO43" s="573"/>
      <c r="AP43" s="573"/>
      <c r="AQ43" s="573"/>
      <c r="AR43" s="573"/>
      <c r="AS43" s="573"/>
      <c r="AT43" s="573"/>
      <c r="AU43" s="573"/>
      <c r="AV43" s="573"/>
      <c r="AW43" s="573"/>
    </row>
    <row r="44" spans="1:50">
      <c r="E44" s="93"/>
      <c r="F44" s="573"/>
      <c r="G44" s="93"/>
      <c r="H44" s="573"/>
      <c r="I44" s="573"/>
      <c r="J44" s="615"/>
      <c r="K44" s="573"/>
      <c r="L44" s="615"/>
      <c r="M44" s="615"/>
      <c r="N44" s="573"/>
      <c r="O44" s="573"/>
      <c r="P44" s="594"/>
      <c r="Q44" s="594"/>
      <c r="R44" s="594"/>
      <c r="S44" s="594"/>
      <c r="T44" s="594"/>
      <c r="U44" s="594"/>
      <c r="V44" s="594"/>
      <c r="W44" s="594"/>
      <c r="X44" s="594"/>
      <c r="Y44" s="594"/>
      <c r="Z44" s="594"/>
      <c r="AA44" s="594"/>
      <c r="AB44" s="594"/>
      <c r="AC44" s="594"/>
      <c r="AD44" s="594"/>
      <c r="AE44" s="594"/>
      <c r="AF44" s="594"/>
      <c r="AG44" s="594"/>
      <c r="AH44" s="594"/>
      <c r="AI44" s="594"/>
      <c r="AJ44" s="594"/>
      <c r="AK44" s="594"/>
      <c r="AL44" s="594"/>
      <c r="AM44" s="594"/>
      <c r="AN44" s="573"/>
      <c r="AO44" s="573"/>
      <c r="AP44" s="573"/>
      <c r="AQ44" s="573"/>
      <c r="AR44" s="573"/>
      <c r="AS44" s="573"/>
      <c r="AT44" s="573"/>
      <c r="AU44" s="573"/>
      <c r="AV44" s="573"/>
      <c r="AW44" s="573"/>
      <c r="AX44" s="573"/>
    </row>
    <row r="45" spans="1:50">
      <c r="E45">
        <v>622</v>
      </c>
      <c r="F45">
        <v>21968</v>
      </c>
      <c r="G45">
        <v>66225</v>
      </c>
      <c r="H45">
        <v>82840</v>
      </c>
      <c r="I45">
        <v>113315</v>
      </c>
      <c r="J45">
        <v>142231</v>
      </c>
      <c r="K45">
        <v>172063</v>
      </c>
      <c r="L45">
        <v>209983</v>
      </c>
      <c r="M45">
        <v>245938</v>
      </c>
      <c r="N45">
        <v>274353</v>
      </c>
      <c r="O45">
        <v>300475</v>
      </c>
      <c r="P45" s="1116">
        <v>323374</v>
      </c>
      <c r="Q45" s="1116">
        <v>342705</v>
      </c>
      <c r="R45" s="1116">
        <v>352525</v>
      </c>
      <c r="S45" s="1116">
        <v>364501</v>
      </c>
      <c r="T45" s="1116">
        <v>372797</v>
      </c>
      <c r="U45" s="1116">
        <v>388134</v>
      </c>
      <c r="V45" s="1116">
        <v>394914</v>
      </c>
      <c r="W45" s="1116">
        <v>397729</v>
      </c>
      <c r="X45" s="594"/>
      <c r="Y45" s="594"/>
      <c r="Z45" s="594"/>
      <c r="AA45" s="594"/>
      <c r="AB45" s="594"/>
      <c r="AC45" s="594"/>
      <c r="AD45" s="594"/>
      <c r="AE45" s="594"/>
      <c r="AF45" s="594"/>
      <c r="AG45" s="594"/>
      <c r="AH45" s="594"/>
      <c r="AI45" s="594"/>
      <c r="AJ45" s="594"/>
      <c r="AK45" s="594"/>
      <c r="AL45" s="594"/>
      <c r="AM45" s="594"/>
    </row>
    <row r="46" spans="1:50">
      <c r="A46" s="694"/>
      <c r="B46" s="93"/>
      <c r="C46" s="93"/>
      <c r="K46" s="573"/>
    </row>
    <row r="47" spans="1:50">
      <c r="A47" s="694"/>
      <c r="B47" s="573"/>
      <c r="C47" s="93"/>
      <c r="H47" s="595"/>
      <c r="I47" s="594"/>
      <c r="J47" s="594"/>
      <c r="K47" s="594"/>
    </row>
    <row r="48" spans="1:50">
      <c r="A48" s="694"/>
      <c r="B48" s="93"/>
      <c r="C48" s="93"/>
      <c r="H48" s="595"/>
      <c r="K48" s="594"/>
    </row>
    <row r="49" spans="1:36">
      <c r="A49" s="694"/>
      <c r="B49" s="573"/>
      <c r="C49" s="93"/>
      <c r="K49" s="594"/>
      <c r="L49" s="594"/>
      <c r="M49" s="93"/>
      <c r="N49" s="93"/>
      <c r="O49" s="93"/>
      <c r="P49" s="93"/>
      <c r="Q49" s="93"/>
      <c r="R49" s="93"/>
      <c r="S49" s="93"/>
      <c r="T49" s="93"/>
      <c r="U49" s="93"/>
      <c r="V49" s="93"/>
      <c r="W49" s="93"/>
      <c r="X49" s="93"/>
      <c r="Y49" s="93"/>
      <c r="Z49" s="93"/>
      <c r="AA49" s="93"/>
      <c r="AB49" s="93"/>
      <c r="AC49" s="93"/>
      <c r="AD49" s="93"/>
      <c r="AE49" s="93"/>
      <c r="AF49" s="93"/>
      <c r="AG49" s="93"/>
      <c r="AH49" s="93"/>
      <c r="AI49" s="93"/>
      <c r="AJ49" s="93"/>
    </row>
    <row r="50" spans="1:36">
      <c r="A50" s="694"/>
      <c r="B50" s="573"/>
      <c r="C50" s="93"/>
      <c r="D50" s="573"/>
      <c r="E50" s="573"/>
      <c r="F50" s="573"/>
      <c r="K50" s="594"/>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row>
    <row r="51" spans="1:36">
      <c r="B51" s="615"/>
      <c r="C51" s="93"/>
      <c r="D51" s="573"/>
      <c r="E51" s="573"/>
      <c r="F51" s="57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573"/>
    </row>
    <row r="52" spans="1:36">
      <c r="A52" s="695"/>
      <c r="B52" s="573"/>
      <c r="C52" s="93"/>
      <c r="D52" s="573"/>
      <c r="E52" s="573"/>
      <c r="F52" s="573"/>
      <c r="K52" s="594"/>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row>
    <row r="53" spans="1:36">
      <c r="A53" s="696"/>
      <c r="B53" s="615"/>
      <c r="C53" s="93"/>
      <c r="D53" s="573"/>
      <c r="E53" s="573"/>
      <c r="F53" s="573"/>
      <c r="K53" s="594"/>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row>
    <row r="54" spans="1:36">
      <c r="A54" s="697"/>
      <c r="B54" s="615"/>
      <c r="C54" s="93"/>
      <c r="D54" s="573"/>
      <c r="E54" s="573"/>
      <c r="F54" s="573"/>
      <c r="I54" s="594"/>
      <c r="K54" s="594"/>
    </row>
    <row r="55" spans="1:36">
      <c r="A55" s="697"/>
      <c r="B55" s="573"/>
      <c r="C55" s="93"/>
      <c r="D55" s="9"/>
      <c r="E55" s="573"/>
      <c r="H55" s="5"/>
      <c r="I55" s="594"/>
      <c r="K55" s="594"/>
    </row>
    <row r="56" spans="1:36">
      <c r="A56" s="697"/>
      <c r="B56" s="573"/>
      <c r="C56" s="691"/>
      <c r="D56" s="9"/>
      <c r="E56" s="573"/>
      <c r="H56" s="5"/>
      <c r="I56" s="93"/>
      <c r="K56" s="594"/>
    </row>
    <row r="57" spans="1:36">
      <c r="A57" s="697"/>
      <c r="B57" s="594"/>
      <c r="D57" s="16"/>
      <c r="E57" s="16"/>
      <c r="H57" s="5"/>
      <c r="I57" s="93"/>
      <c r="K57" s="594"/>
    </row>
    <row r="58" spans="1:36">
      <c r="A58" s="697"/>
      <c r="B58" s="594"/>
      <c r="H58" s="5"/>
      <c r="I58" s="93"/>
      <c r="K58" s="594"/>
    </row>
    <row r="59" spans="1:36">
      <c r="A59" s="697"/>
      <c r="B59" s="594"/>
      <c r="H59" s="5"/>
      <c r="I59" s="93"/>
      <c r="K59" s="594"/>
    </row>
    <row r="60" spans="1:36">
      <c r="A60" s="697"/>
      <c r="B60" s="594"/>
      <c r="H60" s="5"/>
      <c r="I60" s="93"/>
      <c r="K60" s="594"/>
    </row>
    <row r="61" spans="1:36">
      <c r="B61" s="594"/>
      <c r="I61" s="93"/>
      <c r="K61" s="594"/>
    </row>
    <row r="62" spans="1:36">
      <c r="B62" s="594"/>
      <c r="I62" s="93"/>
      <c r="K62" s="594"/>
    </row>
    <row r="63" spans="1:36">
      <c r="B63" s="594"/>
      <c r="I63" s="93"/>
      <c r="K63" s="594"/>
    </row>
    <row r="64" spans="1:36">
      <c r="I64" s="93"/>
      <c r="K64" s="594"/>
    </row>
    <row r="65" spans="9:11">
      <c r="I65" s="93"/>
      <c r="K65" s="594"/>
    </row>
    <row r="66" spans="9:11">
      <c r="I66" s="93"/>
      <c r="K66" s="594"/>
    </row>
    <row r="67" spans="9:11">
      <c r="I67" s="93"/>
      <c r="K67" s="594"/>
    </row>
    <row r="68" spans="9:11">
      <c r="I68" s="93"/>
      <c r="K68" s="594"/>
    </row>
    <row r="69" spans="9:11">
      <c r="I69" s="93"/>
      <c r="K69" s="573"/>
    </row>
    <row r="70" spans="9:11">
      <c r="I70" s="93"/>
    </row>
    <row r="71" spans="9:11">
      <c r="I71" s="93"/>
    </row>
    <row r="72" spans="9:11">
      <c r="I72" s="93"/>
    </row>
    <row r="73" spans="9:11">
      <c r="I73" s="93"/>
    </row>
    <row r="74" spans="9:11">
      <c r="I74" s="9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8"/>
  <sheetViews>
    <sheetView zoomScale="130" zoomScaleNormal="130" workbookViewId="0">
      <selection activeCell="I18" sqref="I18"/>
    </sheetView>
  </sheetViews>
  <sheetFormatPr defaultRowHeight="14.4"/>
  <cols>
    <col min="1" max="1" width="4.6640625" customWidth="1"/>
    <col min="2" max="2" width="52.33203125" customWidth="1"/>
    <col min="3" max="5" width="10.6640625" customWidth="1"/>
    <col min="6" max="6" width="12.44140625" bestFit="1" customWidth="1"/>
    <col min="7" max="7" width="8.6640625" customWidth="1"/>
    <col min="8" max="8" width="9.88671875" bestFit="1" customWidth="1"/>
    <col min="9" max="9" width="12.109375" style="45" customWidth="1"/>
    <col min="10" max="11" width="9.109375" style="45"/>
    <col min="12" max="15" width="11.109375" style="45" bestFit="1" customWidth="1"/>
  </cols>
  <sheetData>
    <row r="1" spans="1:15" ht="33.75" customHeight="1" thickBot="1">
      <c r="A1" s="2083" t="str">
        <f>"Milestones "&amp;'General Information'!C3</f>
        <v>Milestones Completion of Infrastructure Works in The Second Industrial City in Makkah Al-Mukarramah</v>
      </c>
      <c r="B1" s="2084"/>
      <c r="C1" s="2084"/>
      <c r="D1" s="2084"/>
      <c r="E1" s="2084"/>
      <c r="F1" s="2084"/>
      <c r="G1" s="2085"/>
    </row>
    <row r="2" spans="1:15" ht="27.6" thickTop="1" thickBot="1">
      <c r="A2" s="717" t="s">
        <v>86</v>
      </c>
      <c r="B2" s="718" t="s">
        <v>87</v>
      </c>
      <c r="C2" s="718" t="s">
        <v>88</v>
      </c>
      <c r="D2" s="718" t="s">
        <v>732</v>
      </c>
      <c r="E2" s="718" t="s">
        <v>90</v>
      </c>
      <c r="F2" s="718"/>
      <c r="G2" s="719" t="s">
        <v>91</v>
      </c>
      <c r="I2" s="796" t="s">
        <v>733</v>
      </c>
      <c r="J2" s="796" t="s">
        <v>734</v>
      </c>
      <c r="K2"/>
      <c r="L2"/>
    </row>
    <row r="3" spans="1:15" s="27" customFormat="1" ht="21.6" customHeight="1">
      <c r="A3" s="103" t="s">
        <v>735</v>
      </c>
      <c r="B3" s="100" t="str">
        <f>"Contract Duration
Current Contract Weeks : "&amp;TEXT(I3, "0")&amp;" of "&amp;TEXT(L3, "0")</f>
        <v>Contract Duration
Current Contract Weeks : 35 of 78</v>
      </c>
      <c r="C3" s="101">
        <f>(C13-C4)/7</f>
        <v>77.857142857142861</v>
      </c>
      <c r="D3" s="101">
        <f>(D13-D4)/7</f>
        <v>77.857142857142861</v>
      </c>
      <c r="E3" s="101">
        <f>(E13-E4)/7</f>
        <v>82</v>
      </c>
      <c r="F3" s="102" t="s">
        <v>638</v>
      </c>
      <c r="G3" s="104">
        <f>(D3-E3)*7</f>
        <v>-28.999999999999972</v>
      </c>
      <c r="I3" s="797">
        <f>+Quality!O6</f>
        <v>35</v>
      </c>
      <c r="J3" s="797">
        <f>ROUNDUP(I3,0)</f>
        <v>35</v>
      </c>
      <c r="L3" s="797">
        <f>+C3</f>
        <v>77.857142857142861</v>
      </c>
      <c r="M3" s="616"/>
      <c r="N3" s="617"/>
      <c r="O3" s="617"/>
    </row>
    <row r="4" spans="1:15">
      <c r="A4" s="105">
        <v>1</v>
      </c>
      <c r="B4" s="99" t="s">
        <v>1174</v>
      </c>
      <c r="C4" s="97">
        <v>46068</v>
      </c>
      <c r="D4" s="97">
        <f>C4</f>
        <v>46068</v>
      </c>
      <c r="E4" s="97">
        <f>C4</f>
        <v>46068</v>
      </c>
      <c r="F4" s="98" t="s">
        <v>114</v>
      </c>
      <c r="G4" s="106">
        <f t="shared" ref="G4:G14" si="0">D4-E4</f>
        <v>0</v>
      </c>
    </row>
    <row r="5" spans="1:15">
      <c r="A5" s="105">
        <v>2</v>
      </c>
      <c r="B5" s="99" t="s">
        <v>1175</v>
      </c>
      <c r="C5" s="97">
        <v>46068</v>
      </c>
      <c r="D5" s="97">
        <f t="shared" ref="D5:D14" si="1">C5</f>
        <v>46068</v>
      </c>
      <c r="E5" s="97">
        <f>C5</f>
        <v>46068</v>
      </c>
      <c r="F5" s="98" t="s">
        <v>114</v>
      </c>
      <c r="G5" s="106">
        <f t="shared" si="0"/>
        <v>0</v>
      </c>
      <c r="I5"/>
    </row>
    <row r="6" spans="1:15">
      <c r="A6" s="105">
        <v>3</v>
      </c>
      <c r="B6" s="99" t="s">
        <v>1176</v>
      </c>
      <c r="C6" s="97">
        <v>46613</v>
      </c>
      <c r="D6" s="97">
        <f t="shared" si="1"/>
        <v>46613</v>
      </c>
      <c r="E6" s="97">
        <v>46642</v>
      </c>
      <c r="F6" s="98" t="s">
        <v>1212</v>
      </c>
      <c r="G6" s="106">
        <f t="shared" si="0"/>
        <v>-29</v>
      </c>
      <c r="I6"/>
      <c r="J6" s="621"/>
      <c r="K6" s="621"/>
      <c r="L6" s="621"/>
      <c r="M6" s="621"/>
      <c r="N6" s="621"/>
      <c r="O6" s="621"/>
    </row>
    <row r="7" spans="1:15">
      <c r="A7" s="105">
        <v>4</v>
      </c>
      <c r="B7" t="s">
        <v>1149</v>
      </c>
      <c r="C7" s="97">
        <v>46095</v>
      </c>
      <c r="D7" s="97">
        <f t="shared" si="1"/>
        <v>46095</v>
      </c>
      <c r="E7" s="97">
        <v>46179</v>
      </c>
      <c r="F7" s="98" t="s">
        <v>114</v>
      </c>
      <c r="G7" s="106">
        <f t="shared" si="0"/>
        <v>-84</v>
      </c>
      <c r="I7"/>
      <c r="J7" s="621"/>
      <c r="K7" s="621"/>
      <c r="L7" s="622"/>
      <c r="M7" s="622"/>
      <c r="N7" s="621"/>
      <c r="O7" s="622"/>
    </row>
    <row r="8" spans="1:15">
      <c r="A8" s="105">
        <v>5</v>
      </c>
      <c r="B8" t="s">
        <v>1142</v>
      </c>
      <c r="C8" s="97">
        <v>46095</v>
      </c>
      <c r="D8" s="97">
        <f t="shared" si="1"/>
        <v>46095</v>
      </c>
      <c r="E8" s="97">
        <v>46082</v>
      </c>
      <c r="F8" s="98" t="s">
        <v>114</v>
      </c>
      <c r="G8" s="106">
        <f t="shared" si="0"/>
        <v>13</v>
      </c>
      <c r="I8"/>
      <c r="J8" s="621"/>
      <c r="K8" s="621"/>
      <c r="L8" s="622"/>
      <c r="M8" s="622"/>
      <c r="N8" s="621"/>
      <c r="O8" s="622"/>
    </row>
    <row r="9" spans="1:15">
      <c r="A9" s="105">
        <v>6</v>
      </c>
      <c r="B9" t="s">
        <v>1143</v>
      </c>
      <c r="C9" s="97">
        <v>46095</v>
      </c>
      <c r="D9" s="97">
        <f t="shared" si="1"/>
        <v>46095</v>
      </c>
      <c r="E9" s="97">
        <v>46179</v>
      </c>
      <c r="F9" s="98" t="s">
        <v>114</v>
      </c>
      <c r="G9" s="106">
        <f t="shared" si="0"/>
        <v>-84</v>
      </c>
      <c r="I9"/>
      <c r="J9" s="621"/>
      <c r="K9" s="621"/>
      <c r="L9" s="622"/>
      <c r="M9" s="622"/>
      <c r="N9" s="622"/>
      <c r="O9" s="622"/>
    </row>
    <row r="10" spans="1:15">
      <c r="A10" s="105">
        <v>7</v>
      </c>
      <c r="B10" t="s">
        <v>1153</v>
      </c>
      <c r="C10" s="97">
        <v>46250</v>
      </c>
      <c r="D10" s="97">
        <f t="shared" si="1"/>
        <v>46250</v>
      </c>
      <c r="E10" s="97">
        <v>46263</v>
      </c>
      <c r="F10" s="98" t="s">
        <v>114</v>
      </c>
      <c r="G10" s="106">
        <f t="shared" si="0"/>
        <v>-13</v>
      </c>
      <c r="I10"/>
      <c r="J10" s="621"/>
      <c r="K10" s="621"/>
      <c r="L10" s="622"/>
      <c r="M10" s="622"/>
      <c r="N10" s="622"/>
      <c r="O10" s="622"/>
    </row>
    <row r="11" spans="1:15">
      <c r="A11" s="105">
        <v>8</v>
      </c>
      <c r="B11" t="s">
        <v>1034</v>
      </c>
      <c r="C11" s="97">
        <v>46370</v>
      </c>
      <c r="D11" s="97">
        <f t="shared" si="1"/>
        <v>46370</v>
      </c>
      <c r="E11" s="97">
        <v>46412</v>
      </c>
      <c r="F11" s="98" t="s">
        <v>1212</v>
      </c>
      <c r="G11" s="106">
        <f t="shared" si="0"/>
        <v>-42</v>
      </c>
      <c r="I11"/>
      <c r="J11" s="621"/>
      <c r="K11" s="621"/>
      <c r="L11" s="621"/>
      <c r="M11" s="622"/>
      <c r="N11" s="621"/>
      <c r="O11" s="622"/>
    </row>
    <row r="12" spans="1:15">
      <c r="A12" s="105">
        <v>9</v>
      </c>
      <c r="B12" t="s">
        <v>1156</v>
      </c>
      <c r="C12" s="97">
        <v>46552</v>
      </c>
      <c r="D12" s="97">
        <f t="shared" si="1"/>
        <v>46552</v>
      </c>
      <c r="E12" s="97">
        <v>46581</v>
      </c>
      <c r="F12" s="98" t="s">
        <v>1212</v>
      </c>
      <c r="G12" s="106">
        <f t="shared" si="0"/>
        <v>-29</v>
      </c>
      <c r="I12"/>
      <c r="J12" s="621"/>
      <c r="K12" s="621"/>
      <c r="L12" s="622"/>
      <c r="M12" s="622"/>
      <c r="N12" s="622"/>
      <c r="O12" s="622"/>
    </row>
    <row r="13" spans="1:15">
      <c r="A13" s="105">
        <v>10</v>
      </c>
      <c r="B13" t="s">
        <v>1158</v>
      </c>
      <c r="C13" s="97">
        <v>46613</v>
      </c>
      <c r="D13" s="97">
        <f t="shared" si="1"/>
        <v>46613</v>
      </c>
      <c r="E13" s="97">
        <v>46642</v>
      </c>
      <c r="F13" s="98" t="s">
        <v>1212</v>
      </c>
      <c r="G13" s="106">
        <f t="shared" si="0"/>
        <v>-29</v>
      </c>
      <c r="I13" s="621"/>
      <c r="J13" s="621"/>
      <c r="K13" s="621"/>
      <c r="L13" s="622"/>
      <c r="M13" s="622"/>
      <c r="N13" s="622"/>
      <c r="O13" s="622"/>
    </row>
    <row r="14" spans="1:15" ht="15" thickBot="1">
      <c r="A14" s="1143">
        <v>11</v>
      </c>
      <c r="B14" s="1144" t="s">
        <v>860</v>
      </c>
      <c r="C14" s="1145">
        <f>C13</f>
        <v>46613</v>
      </c>
      <c r="D14" s="1145">
        <f t="shared" si="1"/>
        <v>46613</v>
      </c>
      <c r="E14" s="1145">
        <f>E13</f>
        <v>46642</v>
      </c>
      <c r="F14" s="1156" t="s">
        <v>1212</v>
      </c>
      <c r="G14" s="1146">
        <f t="shared" si="0"/>
        <v>-29</v>
      </c>
      <c r="I14" s="621"/>
      <c r="J14" s="621"/>
      <c r="K14" s="621"/>
      <c r="L14" s="622"/>
      <c r="M14" s="622"/>
      <c r="N14" s="622"/>
      <c r="O14" s="622"/>
    </row>
    <row r="15" spans="1:15" ht="15" thickTop="1"/>
    <row r="18" spans="2:17">
      <c r="E18" s="93"/>
      <c r="F18" s="93"/>
      <c r="H18" s="93"/>
      <c r="I18" s="618"/>
      <c r="J18" s="619"/>
      <c r="K18" s="620"/>
      <c r="L18" s="619"/>
      <c r="M18" s="620"/>
      <c r="N18" s="620"/>
      <c r="O18" s="619"/>
      <c r="P18" s="597"/>
      <c r="Q18" s="573"/>
    </row>
    <row r="19" spans="2:17">
      <c r="B19" s="1125" t="s">
        <v>819</v>
      </c>
      <c r="C19" s="1125" t="s">
        <v>1029</v>
      </c>
      <c r="D19" s="1125" t="s">
        <v>1030</v>
      </c>
      <c r="E19" s="1126" t="s">
        <v>1031</v>
      </c>
      <c r="F19" s="1126" t="s">
        <v>1032</v>
      </c>
      <c r="G19" s="1125" t="s">
        <v>589</v>
      </c>
      <c r="H19" s="1126" t="s">
        <v>1033</v>
      </c>
      <c r="I19" s="1127"/>
      <c r="J19" s="1128"/>
      <c r="K19" s="1129"/>
      <c r="L19" s="1128"/>
      <c r="M19" s="620"/>
      <c r="N19" s="620"/>
      <c r="O19" s="619"/>
      <c r="P19" s="597"/>
      <c r="Q19" s="573"/>
    </row>
    <row r="20" spans="2:17">
      <c r="B20" s="1125"/>
      <c r="C20" s="1125"/>
      <c r="D20" s="1125"/>
      <c r="E20" s="1126"/>
      <c r="F20" s="1126"/>
      <c r="G20" s="1126"/>
      <c r="H20" s="1126"/>
      <c r="I20" s="1127"/>
      <c r="J20" s="1128"/>
      <c r="K20" s="1128"/>
      <c r="L20" s="1128"/>
      <c r="M20" s="619"/>
      <c r="N20" s="619"/>
      <c r="O20" s="619"/>
      <c r="P20" s="597"/>
    </row>
    <row r="21" spans="2:17">
      <c r="B21" s="1125"/>
      <c r="C21" s="1125"/>
      <c r="D21" s="1125"/>
      <c r="E21" s="1126"/>
      <c r="F21" s="1126"/>
      <c r="G21" s="1126"/>
      <c r="H21" s="1126"/>
      <c r="I21" s="1127"/>
      <c r="J21" s="1128"/>
      <c r="K21" s="1128"/>
      <c r="L21" s="1128"/>
      <c r="M21" s="619"/>
      <c r="N21" s="619"/>
      <c r="O21" s="619"/>
      <c r="P21" s="597"/>
    </row>
    <row r="22" spans="2:17">
      <c r="B22" s="1125"/>
      <c r="C22" s="1125"/>
      <c r="D22" s="1125"/>
      <c r="E22" s="1125"/>
      <c r="F22" s="1126"/>
      <c r="G22" s="1125"/>
      <c r="H22" s="1126"/>
      <c r="I22" s="1128"/>
      <c r="J22" s="1128"/>
      <c r="K22" s="1128"/>
      <c r="L22" s="1128"/>
      <c r="M22" s="619"/>
      <c r="N22" s="619"/>
      <c r="O22" s="619"/>
      <c r="P22" s="597"/>
    </row>
    <row r="23" spans="2:17">
      <c r="B23" s="1125"/>
      <c r="C23" s="1125"/>
      <c r="D23" s="1125"/>
      <c r="E23" s="1126"/>
      <c r="F23" s="1126"/>
      <c r="G23" s="1126"/>
      <c r="H23" s="1126"/>
      <c r="I23" s="1128"/>
      <c r="J23" s="1128"/>
      <c r="K23" s="1128"/>
      <c r="L23" s="1128"/>
      <c r="M23" s="619"/>
      <c r="N23" s="619"/>
      <c r="O23" s="619"/>
      <c r="P23" s="597"/>
    </row>
    <row r="24" spans="2:17">
      <c r="B24" s="1125"/>
      <c r="C24" s="1125"/>
      <c r="D24" s="1125"/>
      <c r="E24" s="1126"/>
      <c r="F24" s="1126"/>
      <c r="G24" s="1126"/>
      <c r="H24" s="1126"/>
      <c r="I24" s="1127"/>
      <c r="J24" s="1128"/>
      <c r="K24" s="1128"/>
      <c r="L24" s="1128"/>
      <c r="M24" s="619"/>
      <c r="N24" s="619"/>
      <c r="O24" s="619"/>
      <c r="P24" s="597"/>
    </row>
    <row r="25" spans="2:17">
      <c r="B25" s="1125"/>
      <c r="C25" s="1125"/>
      <c r="D25" s="1125"/>
      <c r="E25" s="1126"/>
      <c r="F25" s="1126"/>
      <c r="G25" s="1126"/>
      <c r="H25" s="1126"/>
      <c r="I25" s="1127"/>
      <c r="J25" s="1128"/>
      <c r="K25" s="1128"/>
      <c r="L25" s="1128"/>
      <c r="M25" s="619"/>
      <c r="N25" s="619"/>
      <c r="O25" s="619"/>
      <c r="P25" s="597"/>
    </row>
    <row r="26" spans="2:17">
      <c r="B26" s="1125"/>
      <c r="C26" s="1125"/>
      <c r="D26" s="1125"/>
      <c r="E26" s="1126"/>
      <c r="F26" s="1126"/>
      <c r="G26" s="1126"/>
      <c r="H26" s="1126"/>
      <c r="I26" s="1127"/>
      <c r="J26" s="1128"/>
      <c r="K26" s="1128"/>
      <c r="L26" s="1128"/>
      <c r="M26" s="619"/>
      <c r="N26" s="619"/>
      <c r="O26" s="619"/>
      <c r="P26" s="597"/>
    </row>
    <row r="27" spans="2:17">
      <c r="E27" s="93"/>
      <c r="F27" s="93"/>
      <c r="G27" s="93"/>
      <c r="H27" s="93"/>
      <c r="I27" s="618"/>
      <c r="J27" s="619"/>
      <c r="K27" s="619"/>
      <c r="L27" s="619"/>
      <c r="M27" s="619"/>
      <c r="N27" s="619"/>
      <c r="O27" s="619"/>
      <c r="P27" s="597"/>
    </row>
    <row r="28" spans="2:17">
      <c r="E28" s="93"/>
      <c r="F28" s="93"/>
      <c r="H28" s="93"/>
      <c r="I28" s="618"/>
      <c r="J28" s="619"/>
      <c r="K28" s="619"/>
      <c r="M28" s="619"/>
      <c r="N28" s="619"/>
      <c r="P28" s="597"/>
      <c r="Q28" s="573"/>
    </row>
    <row r="29" spans="2:17">
      <c r="E29" s="93"/>
      <c r="F29" s="93"/>
      <c r="H29" s="93"/>
      <c r="I29" s="618"/>
      <c r="J29" s="619"/>
      <c r="K29" s="619"/>
      <c r="M29" s="619"/>
      <c r="N29" s="619"/>
      <c r="P29" s="597"/>
      <c r="Q29" s="573"/>
    </row>
    <row r="30" spans="2:17" ht="43.2">
      <c r="B30" t="s">
        <v>819</v>
      </c>
      <c r="C30" t="s">
        <v>1029</v>
      </c>
      <c r="D30" t="s">
        <v>1030</v>
      </c>
      <c r="E30" s="93" t="s">
        <v>1031</v>
      </c>
      <c r="F30" s="93" t="s">
        <v>1032</v>
      </c>
      <c r="G30" t="s">
        <v>1144</v>
      </c>
      <c r="H30" s="93" t="s">
        <v>1145</v>
      </c>
      <c r="I30" s="618" t="s">
        <v>589</v>
      </c>
      <c r="J30" s="619" t="s">
        <v>1033</v>
      </c>
      <c r="K30" s="619" t="s">
        <v>824</v>
      </c>
      <c r="L30" s="45" t="s">
        <v>825</v>
      </c>
      <c r="M30" s="619" t="s">
        <v>1035</v>
      </c>
      <c r="N30" s="619" t="s">
        <v>1146</v>
      </c>
      <c r="O30" s="45" t="s">
        <v>1147</v>
      </c>
      <c r="P30" s="597"/>
      <c r="Q30" s="573"/>
    </row>
    <row r="31" spans="2:17">
      <c r="B31" t="s">
        <v>1148</v>
      </c>
      <c r="C31" t="s">
        <v>1149</v>
      </c>
      <c r="D31">
        <v>0</v>
      </c>
      <c r="E31" s="93"/>
      <c r="F31" s="93">
        <v>46095</v>
      </c>
      <c r="H31" s="93"/>
      <c r="I31" s="618"/>
      <c r="J31" s="219">
        <v>46095</v>
      </c>
      <c r="K31" s="619">
        <v>0</v>
      </c>
      <c r="L31" s="619">
        <v>0</v>
      </c>
      <c r="M31" s="619">
        <v>17</v>
      </c>
      <c r="N31" s="619">
        <v>0</v>
      </c>
      <c r="O31" s="619">
        <v>0</v>
      </c>
      <c r="P31" s="597"/>
      <c r="Q31" s="573"/>
    </row>
    <row r="32" spans="2:17">
      <c r="B32" t="s">
        <v>1150</v>
      </c>
      <c r="C32" t="s">
        <v>1142</v>
      </c>
      <c r="D32">
        <v>0</v>
      </c>
      <c r="E32" s="93"/>
      <c r="F32" s="93">
        <v>46095</v>
      </c>
      <c r="G32" s="93"/>
      <c r="H32" s="93"/>
      <c r="J32" s="219">
        <v>46095</v>
      </c>
      <c r="K32" s="619">
        <v>0</v>
      </c>
      <c r="L32" s="619">
        <v>0</v>
      </c>
      <c r="M32" s="619">
        <v>17</v>
      </c>
      <c r="N32" s="619">
        <v>0</v>
      </c>
      <c r="O32" s="45">
        <v>0</v>
      </c>
      <c r="P32" s="597"/>
    </row>
    <row r="33" spans="2:16">
      <c r="B33" t="s">
        <v>1151</v>
      </c>
      <c r="C33" t="s">
        <v>1143</v>
      </c>
      <c r="D33">
        <v>0</v>
      </c>
      <c r="E33" s="93"/>
      <c r="F33" s="93">
        <v>46126</v>
      </c>
      <c r="G33" s="93"/>
      <c r="H33" s="93"/>
      <c r="J33" s="219">
        <v>46126</v>
      </c>
      <c r="K33" s="619">
        <v>0</v>
      </c>
      <c r="L33" s="619">
        <v>0</v>
      </c>
      <c r="M33" s="619">
        <v>11</v>
      </c>
      <c r="N33" s="619">
        <v>0</v>
      </c>
      <c r="O33" s="45">
        <v>0</v>
      </c>
      <c r="P33" s="597"/>
    </row>
    <row r="34" spans="2:16">
      <c r="B34" t="s">
        <v>1152</v>
      </c>
      <c r="C34" t="s">
        <v>1153</v>
      </c>
      <c r="D34">
        <v>0</v>
      </c>
      <c r="E34" s="93"/>
      <c r="F34" s="93">
        <v>46250</v>
      </c>
      <c r="G34" s="93"/>
      <c r="H34" s="93"/>
      <c r="J34" s="219">
        <v>46250</v>
      </c>
      <c r="K34" s="619">
        <v>0</v>
      </c>
      <c r="L34" s="619">
        <v>0</v>
      </c>
      <c r="M34" s="619">
        <v>15</v>
      </c>
      <c r="N34" s="619">
        <v>0</v>
      </c>
      <c r="O34" s="619">
        <v>0</v>
      </c>
      <c r="P34" s="597"/>
    </row>
    <row r="35" spans="2:16">
      <c r="B35" t="s">
        <v>1154</v>
      </c>
      <c r="C35" t="s">
        <v>1034</v>
      </c>
      <c r="D35">
        <v>0</v>
      </c>
      <c r="E35" s="93"/>
      <c r="F35" s="93">
        <v>46370</v>
      </c>
      <c r="G35" s="93"/>
      <c r="H35" s="93"/>
      <c r="J35" s="219">
        <v>46370</v>
      </c>
      <c r="K35" s="619">
        <v>0</v>
      </c>
      <c r="L35" s="619">
        <v>0</v>
      </c>
      <c r="M35" s="619">
        <v>13</v>
      </c>
      <c r="N35" s="619">
        <v>0</v>
      </c>
      <c r="O35" s="45">
        <v>0</v>
      </c>
      <c r="P35" s="597"/>
    </row>
    <row r="36" spans="2:16">
      <c r="B36" t="s">
        <v>1155</v>
      </c>
      <c r="C36" t="s">
        <v>1156</v>
      </c>
      <c r="D36">
        <v>0</v>
      </c>
      <c r="E36" s="93"/>
      <c r="F36" s="93">
        <v>46552</v>
      </c>
      <c r="G36" s="93"/>
      <c r="H36" s="93"/>
      <c r="J36" s="219">
        <v>46552</v>
      </c>
      <c r="K36" s="619">
        <v>0</v>
      </c>
      <c r="L36" s="619">
        <v>0</v>
      </c>
      <c r="M36" s="619">
        <v>16</v>
      </c>
      <c r="N36" s="619">
        <v>0</v>
      </c>
      <c r="O36" s="619">
        <v>0</v>
      </c>
      <c r="P36" s="597"/>
    </row>
    <row r="37" spans="2:16">
      <c r="B37" t="s">
        <v>1157</v>
      </c>
      <c r="C37" t="s">
        <v>1158</v>
      </c>
      <c r="D37">
        <v>0</v>
      </c>
      <c r="E37" s="93"/>
      <c r="F37" s="93">
        <v>46613</v>
      </c>
      <c r="G37" s="93"/>
      <c r="H37" s="93"/>
      <c r="J37" s="219">
        <v>46613</v>
      </c>
      <c r="K37" s="619">
        <v>0</v>
      </c>
      <c r="L37" s="619">
        <v>0</v>
      </c>
      <c r="M37" s="619">
        <v>0</v>
      </c>
      <c r="N37" s="619">
        <v>0</v>
      </c>
      <c r="O37" s="45">
        <v>0</v>
      </c>
      <c r="P37" s="597"/>
    </row>
    <row r="38" spans="2:16">
      <c r="B38" t="s">
        <v>1159</v>
      </c>
      <c r="C38" t="s">
        <v>860</v>
      </c>
      <c r="D38">
        <v>0</v>
      </c>
      <c r="E38" s="93"/>
      <c r="F38" s="93">
        <v>46613</v>
      </c>
      <c r="G38" s="93"/>
      <c r="H38" s="93"/>
      <c r="J38" s="219">
        <v>46613</v>
      </c>
      <c r="K38" s="619">
        <v>0</v>
      </c>
      <c r="L38" s="619">
        <v>0</v>
      </c>
      <c r="M38" s="619">
        <v>0</v>
      </c>
      <c r="N38" s="619">
        <v>0</v>
      </c>
      <c r="O38" s="619">
        <v>0</v>
      </c>
      <c r="P38" s="597"/>
    </row>
    <row r="40" spans="2:16" ht="43.2">
      <c r="B40" t="s">
        <v>819</v>
      </c>
      <c r="C40" t="s">
        <v>1029</v>
      </c>
      <c r="D40" t="s">
        <v>1030</v>
      </c>
      <c r="E40" t="s">
        <v>1031</v>
      </c>
      <c r="F40" t="s">
        <v>1032</v>
      </c>
      <c r="G40" t="s">
        <v>1144</v>
      </c>
      <c r="H40" t="s">
        <v>1145</v>
      </c>
      <c r="I40" s="45" t="s">
        <v>824</v>
      </c>
      <c r="J40" s="45" t="s">
        <v>589</v>
      </c>
      <c r="K40" s="45" t="s">
        <v>1033</v>
      </c>
      <c r="L40" s="45" t="s">
        <v>1035</v>
      </c>
      <c r="M40" s="45" t="s">
        <v>825</v>
      </c>
      <c r="N40" s="45" t="s">
        <v>1146</v>
      </c>
      <c r="O40" s="45" t="s">
        <v>821</v>
      </c>
    </row>
    <row r="41" spans="2:16">
      <c r="B41" t="s">
        <v>1148</v>
      </c>
      <c r="C41" t="s">
        <v>1149</v>
      </c>
      <c r="D41">
        <v>0</v>
      </c>
      <c r="F41" s="93">
        <v>46095</v>
      </c>
      <c r="I41" s="619">
        <v>0</v>
      </c>
      <c r="K41" s="219">
        <v>46114</v>
      </c>
      <c r="L41" s="45">
        <v>14</v>
      </c>
      <c r="M41" s="619">
        <v>0</v>
      </c>
      <c r="N41" s="45">
        <v>0</v>
      </c>
      <c r="O41" s="45">
        <v>0</v>
      </c>
    </row>
    <row r="42" spans="2:16" ht="28.8">
      <c r="B42" t="s">
        <v>1150</v>
      </c>
      <c r="C42" t="s">
        <v>1142</v>
      </c>
      <c r="D42">
        <v>0</v>
      </c>
      <c r="F42" s="93">
        <v>46095</v>
      </c>
      <c r="H42" s="93">
        <v>46082</v>
      </c>
      <c r="I42" s="619">
        <v>0</v>
      </c>
      <c r="K42" s="45" t="s">
        <v>1177</v>
      </c>
      <c r="M42" s="619">
        <v>1</v>
      </c>
      <c r="N42" s="45">
        <v>0</v>
      </c>
      <c r="O42" s="45">
        <v>0</v>
      </c>
    </row>
    <row r="43" spans="2:16">
      <c r="B43" t="s">
        <v>1151</v>
      </c>
      <c r="C43" t="s">
        <v>1143</v>
      </c>
      <c r="D43">
        <v>0</v>
      </c>
      <c r="F43" s="93">
        <v>46126</v>
      </c>
      <c r="I43" s="619">
        <v>0</v>
      </c>
      <c r="K43" s="219">
        <v>46133</v>
      </c>
      <c r="L43" s="45">
        <v>5</v>
      </c>
      <c r="M43" s="619">
        <v>0</v>
      </c>
      <c r="N43" s="45">
        <v>0</v>
      </c>
      <c r="O43" s="45">
        <v>0</v>
      </c>
    </row>
    <row r="44" spans="2:16">
      <c r="B44" t="s">
        <v>1152</v>
      </c>
      <c r="C44" t="s">
        <v>1153</v>
      </c>
      <c r="D44">
        <v>0</v>
      </c>
      <c r="F44" s="93">
        <v>46250</v>
      </c>
      <c r="I44" s="619">
        <v>0</v>
      </c>
      <c r="K44" s="219">
        <v>46257</v>
      </c>
      <c r="L44" s="45">
        <v>9</v>
      </c>
      <c r="M44" s="619">
        <v>0</v>
      </c>
      <c r="N44" s="45">
        <v>0</v>
      </c>
      <c r="O44" s="45">
        <v>0</v>
      </c>
    </row>
    <row r="45" spans="2:16">
      <c r="B45" t="s">
        <v>1154</v>
      </c>
      <c r="C45" t="s">
        <v>1034</v>
      </c>
      <c r="D45">
        <v>0</v>
      </c>
      <c r="F45" s="93">
        <v>46370</v>
      </c>
      <c r="I45" s="619">
        <v>0</v>
      </c>
      <c r="K45" s="219">
        <v>46370</v>
      </c>
      <c r="L45" s="45">
        <v>13</v>
      </c>
      <c r="M45" s="619">
        <v>0</v>
      </c>
      <c r="N45" s="45">
        <v>0</v>
      </c>
      <c r="O45" s="45">
        <v>0</v>
      </c>
    </row>
    <row r="46" spans="2:16">
      <c r="B46" t="s">
        <v>1155</v>
      </c>
      <c r="C46" t="s">
        <v>1156</v>
      </c>
      <c r="D46">
        <v>0</v>
      </c>
      <c r="F46" s="93">
        <v>46552</v>
      </c>
      <c r="I46" s="619">
        <v>0</v>
      </c>
      <c r="K46" s="219">
        <v>46548</v>
      </c>
      <c r="L46" s="45">
        <v>19</v>
      </c>
      <c r="M46" s="619">
        <v>0</v>
      </c>
      <c r="N46" s="45">
        <v>0</v>
      </c>
      <c r="O46" s="45">
        <v>0</v>
      </c>
    </row>
    <row r="47" spans="2:16">
      <c r="B47" t="s">
        <v>1157</v>
      </c>
      <c r="C47" t="s">
        <v>1158</v>
      </c>
      <c r="D47">
        <v>0</v>
      </c>
      <c r="F47" s="93">
        <v>46613</v>
      </c>
      <c r="I47" s="619">
        <v>0</v>
      </c>
      <c r="K47" s="219">
        <v>46609</v>
      </c>
      <c r="L47" s="45">
        <v>3</v>
      </c>
      <c r="M47" s="619">
        <v>0</v>
      </c>
      <c r="N47" s="45">
        <v>0</v>
      </c>
      <c r="O47" s="45">
        <v>0</v>
      </c>
    </row>
    <row r="48" spans="2:16">
      <c r="B48" t="s">
        <v>1159</v>
      </c>
      <c r="C48" t="s">
        <v>860</v>
      </c>
      <c r="D48">
        <v>0</v>
      </c>
      <c r="F48" s="93">
        <v>46613</v>
      </c>
      <c r="I48" s="619">
        <v>0</v>
      </c>
      <c r="K48" s="219">
        <v>46609</v>
      </c>
      <c r="L48" s="45">
        <v>3</v>
      </c>
      <c r="M48" s="619">
        <v>0</v>
      </c>
      <c r="N48" s="45">
        <v>0</v>
      </c>
      <c r="O48" s="45">
        <v>0</v>
      </c>
    </row>
  </sheetData>
  <mergeCells count="1">
    <mergeCell ref="A1:G1"/>
  </mergeCells>
  <conditionalFormatting sqref="F4:F13">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70" zoomScaleNormal="70" workbookViewId="0">
      <selection activeCell="F17" sqref="F17:G17"/>
    </sheetView>
  </sheetViews>
  <sheetFormatPr defaultColWidth="9.109375" defaultRowHeight="14.4"/>
  <cols>
    <col min="1" max="1" width="6" style="58" customWidth="1"/>
    <col min="2" max="2" width="11.44140625" style="58" customWidth="1"/>
    <col min="3" max="3" width="17" style="58" customWidth="1"/>
    <col min="4" max="4" width="54" style="58" customWidth="1"/>
    <col min="5" max="5" width="26.33203125" style="58" customWidth="1"/>
    <col min="6" max="6" width="56.33203125" style="58" customWidth="1"/>
    <col min="7" max="7" width="51.44140625" style="58"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49"/>
      <c r="B1" s="49"/>
      <c r="C1" s="49"/>
      <c r="D1" s="49"/>
      <c r="E1" s="49"/>
      <c r="F1" s="49"/>
      <c r="G1" s="49"/>
    </row>
    <row r="2" spans="1:15" ht="17.399999999999999" hidden="1">
      <c r="A2" s="50"/>
      <c r="B2" s="52"/>
      <c r="C2" s="52"/>
      <c r="D2" s="52"/>
      <c r="E2" s="52"/>
      <c r="F2" s="52"/>
      <c r="G2" s="52"/>
    </row>
    <row r="3" spans="1:15" ht="17.399999999999999" hidden="1">
      <c r="A3" s="50"/>
      <c r="B3" s="52"/>
      <c r="C3" s="52"/>
      <c r="D3" s="52"/>
      <c r="E3" s="52"/>
      <c r="F3" s="52"/>
      <c r="G3" s="52"/>
      <c r="M3" s="93">
        <f>'General Information'!L1</f>
        <v>46308</v>
      </c>
      <c r="N3" s="13" t="s">
        <v>49</v>
      </c>
      <c r="O3" s="13" t="s">
        <v>736</v>
      </c>
    </row>
    <row r="4" spans="1:15" ht="17.399999999999999" hidden="1">
      <c r="A4" s="50"/>
      <c r="B4" s="51"/>
      <c r="C4" s="51"/>
      <c r="D4" s="51"/>
      <c r="E4" s="51"/>
      <c r="F4" s="51"/>
      <c r="G4" s="51"/>
      <c r="N4" t="s">
        <v>591</v>
      </c>
      <c r="O4" t="s">
        <v>48</v>
      </c>
    </row>
    <row r="5" spans="1:15" ht="17.399999999999999" hidden="1">
      <c r="A5" s="50"/>
      <c r="B5" s="52"/>
      <c r="C5" s="52"/>
      <c r="D5" s="52"/>
      <c r="E5" s="52"/>
      <c r="F5" s="52"/>
      <c r="G5" s="52"/>
      <c r="N5" t="s">
        <v>105</v>
      </c>
      <c r="O5" t="s">
        <v>57</v>
      </c>
    </row>
    <row r="6" spans="1:15" ht="17.399999999999999" hidden="1">
      <c r="A6" s="50"/>
      <c r="B6" s="52"/>
      <c r="C6" s="52"/>
      <c r="D6" s="52"/>
      <c r="E6" s="52"/>
      <c r="F6" s="52"/>
      <c r="G6" s="52"/>
      <c r="O6" t="s">
        <v>737</v>
      </c>
    </row>
    <row r="7" spans="1:15" hidden="1">
      <c r="A7" s="54"/>
      <c r="B7" s="53"/>
      <c r="C7" s="53"/>
      <c r="D7" s="53"/>
      <c r="E7" s="53"/>
      <c r="F7" s="53"/>
      <c r="G7" s="53"/>
      <c r="O7" t="s">
        <v>738</v>
      </c>
    </row>
    <row r="8" spans="1:15" ht="34.5" hidden="1" customHeight="1">
      <c r="A8" s="56"/>
      <c r="B8" s="55"/>
      <c r="C8" s="55"/>
      <c r="D8" s="55"/>
      <c r="E8" s="55"/>
      <c r="F8" s="55"/>
      <c r="G8" s="55"/>
      <c r="O8" t="s">
        <v>739</v>
      </c>
    </row>
    <row r="9" spans="1:15" ht="36.9" customHeight="1">
      <c r="A9" s="56"/>
      <c r="B9" s="2088" t="s">
        <v>740</v>
      </c>
      <c r="C9" s="2089"/>
      <c r="D9" s="2089"/>
      <c r="E9" s="2089"/>
      <c r="F9" s="2089"/>
      <c r="G9" s="2089"/>
      <c r="H9" s="2089"/>
      <c r="I9" s="2089"/>
      <c r="J9" s="2089"/>
    </row>
    <row r="10" spans="1:15" ht="57.6" customHeight="1">
      <c r="A10" s="53"/>
      <c r="B10" s="954" t="s">
        <v>207</v>
      </c>
      <c r="C10" s="954" t="s">
        <v>208</v>
      </c>
      <c r="D10" s="954" t="s">
        <v>209</v>
      </c>
      <c r="E10" s="954" t="s">
        <v>736</v>
      </c>
      <c r="F10" s="2090" t="s">
        <v>211</v>
      </c>
      <c r="G10" s="2091"/>
      <c r="H10" s="954" t="s">
        <v>213</v>
      </c>
      <c r="I10" s="955" t="s">
        <v>214</v>
      </c>
      <c r="J10" s="955" t="s">
        <v>215</v>
      </c>
    </row>
    <row r="11" spans="1:15" s="446" customFormat="1" ht="55.2" customHeight="1">
      <c r="A11" s="571"/>
      <c r="B11" s="956">
        <v>1</v>
      </c>
      <c r="C11" s="957"/>
      <c r="D11" s="958"/>
      <c r="E11" s="956"/>
      <c r="F11" s="2086"/>
      <c r="G11" s="2087"/>
      <c r="H11" s="95"/>
      <c r="I11" s="94"/>
      <c r="J11" s="96">
        <f>I11-C11</f>
        <v>0</v>
      </c>
    </row>
    <row r="12" spans="1:15" ht="55.2" customHeight="1">
      <c r="A12" s="57"/>
      <c r="B12" s="956">
        <f>+B11+1</f>
        <v>2</v>
      </c>
      <c r="C12" s="957"/>
      <c r="D12" s="958"/>
      <c r="E12" s="956"/>
      <c r="F12" s="2086"/>
      <c r="G12" s="2087"/>
      <c r="H12" s="95"/>
      <c r="I12" s="94"/>
      <c r="J12" s="96">
        <f>I12-C12</f>
        <v>0</v>
      </c>
    </row>
    <row r="13" spans="1:15" ht="55.2" customHeight="1">
      <c r="A13" s="57"/>
      <c r="B13" s="956">
        <f>+B12+1</f>
        <v>3</v>
      </c>
      <c r="C13" s="957"/>
      <c r="D13" s="958"/>
      <c r="E13" s="956"/>
      <c r="F13" s="2086"/>
      <c r="G13" s="2087"/>
      <c r="H13" s="95"/>
      <c r="I13" s="94"/>
      <c r="J13" s="96">
        <f>I13-C13</f>
        <v>0</v>
      </c>
    </row>
    <row r="14" spans="1:15" ht="55.2" customHeight="1">
      <c r="A14" s="57"/>
      <c r="B14" s="956">
        <f>+B13+1</f>
        <v>4</v>
      </c>
      <c r="C14" s="957"/>
      <c r="D14" s="958"/>
      <c r="E14" s="956"/>
      <c r="F14" s="2086"/>
      <c r="G14" s="2087"/>
      <c r="H14" s="95"/>
      <c r="I14" s="94"/>
      <c r="J14" s="96">
        <f>I14-C14</f>
        <v>0</v>
      </c>
    </row>
    <row r="15" spans="1:15" ht="55.2" customHeight="1">
      <c r="A15" s="57"/>
      <c r="B15" s="956">
        <f>+B14+1</f>
        <v>5</v>
      </c>
      <c r="C15" s="957"/>
      <c r="D15" s="958"/>
      <c r="E15" s="956"/>
      <c r="F15" s="2086"/>
      <c r="G15" s="2087"/>
      <c r="H15" s="95"/>
      <c r="I15" s="94"/>
      <c r="J15" s="96"/>
    </row>
    <row r="16" spans="1:15" ht="55.2" customHeight="1">
      <c r="A16" s="57"/>
      <c r="B16" s="956">
        <f>+B15+1</f>
        <v>6</v>
      </c>
      <c r="C16" s="957"/>
      <c r="D16" s="958"/>
      <c r="E16" s="956"/>
      <c r="F16" s="2086"/>
      <c r="G16" s="2087"/>
      <c r="H16" s="95"/>
      <c r="I16" s="94"/>
      <c r="J16" s="96"/>
    </row>
    <row r="17" spans="1:10" ht="55.2" customHeight="1">
      <c r="A17" s="57"/>
      <c r="B17" s="956">
        <v>7</v>
      </c>
      <c r="C17" s="957"/>
      <c r="D17" s="958"/>
      <c r="E17" s="956"/>
      <c r="F17" s="2086"/>
      <c r="G17" s="2087"/>
      <c r="H17" s="95"/>
      <c r="I17" s="94"/>
      <c r="J17" s="96"/>
    </row>
    <row r="18" spans="1:10" ht="55.2" customHeight="1">
      <c r="A18" s="57"/>
      <c r="B18" s="956">
        <v>8</v>
      </c>
      <c r="C18" s="957"/>
      <c r="D18" s="958"/>
      <c r="E18" s="956"/>
      <c r="F18" s="2086"/>
      <c r="G18" s="2087"/>
      <c r="H18" s="95"/>
      <c r="I18" s="94"/>
      <c r="J18" s="96"/>
    </row>
    <row r="19" spans="1:10" ht="55.2" customHeight="1">
      <c r="A19" s="57"/>
      <c r="B19" s="956">
        <v>9</v>
      </c>
      <c r="C19" s="957"/>
      <c r="D19" s="958"/>
      <c r="E19" s="956"/>
      <c r="F19" s="2086"/>
      <c r="G19" s="2087"/>
      <c r="H19" s="95"/>
      <c r="I19" s="94"/>
      <c r="J19" s="96"/>
    </row>
    <row r="20" spans="1:10" ht="55.2" customHeight="1">
      <c r="A20" s="57"/>
      <c r="B20" s="956">
        <v>10</v>
      </c>
      <c r="C20" s="957"/>
      <c r="D20" s="958"/>
      <c r="E20" s="956"/>
      <c r="F20" s="2086"/>
      <c r="G20" s="2087"/>
      <c r="H20" s="95"/>
      <c r="I20" s="94"/>
      <c r="J20" s="96"/>
    </row>
    <row r="21" spans="1:10" ht="55.2" customHeight="1">
      <c r="A21" s="57"/>
      <c r="B21" s="956">
        <v>11</v>
      </c>
      <c r="C21" s="957"/>
      <c r="D21" s="958"/>
      <c r="E21" s="956"/>
      <c r="F21" s="2086"/>
      <c r="G21" s="2087"/>
      <c r="H21" s="95"/>
      <c r="I21" s="94"/>
      <c r="J21" s="96"/>
    </row>
    <row r="22" spans="1:10" ht="55.2" customHeight="1">
      <c r="A22" s="57"/>
      <c r="B22" s="956">
        <v>12</v>
      </c>
      <c r="C22" s="957"/>
      <c r="D22" s="958"/>
      <c r="E22" s="956"/>
      <c r="F22" s="2086"/>
      <c r="G22" s="2087"/>
      <c r="H22" s="95"/>
      <c r="I22" s="94"/>
      <c r="J22" s="96"/>
    </row>
    <row r="23" spans="1:10" ht="55.2" customHeight="1">
      <c r="A23" s="57"/>
      <c r="B23" s="956">
        <v>13</v>
      </c>
      <c r="C23" s="957"/>
      <c r="D23" s="958"/>
      <c r="E23" s="956"/>
      <c r="F23" s="2086"/>
      <c r="G23" s="2087"/>
      <c r="H23" s="95"/>
      <c r="I23" s="94"/>
      <c r="J23" s="96"/>
    </row>
    <row r="24" spans="1:10" ht="55.2" customHeight="1">
      <c r="A24" s="57"/>
      <c r="B24" s="956">
        <v>14</v>
      </c>
      <c r="C24" s="957"/>
      <c r="D24" s="958"/>
      <c r="E24" s="956"/>
      <c r="F24" s="2086"/>
      <c r="G24" s="2087"/>
      <c r="H24" s="95"/>
      <c r="I24" s="94"/>
      <c r="J24" s="96"/>
    </row>
    <row r="25" spans="1:10" ht="55.2" customHeight="1">
      <c r="A25" s="57"/>
      <c r="B25" s="956">
        <v>15</v>
      </c>
      <c r="C25" s="957"/>
      <c r="D25" s="958"/>
      <c r="E25" s="956"/>
      <c r="F25" s="2086"/>
      <c r="G25" s="2087"/>
      <c r="H25" s="95"/>
      <c r="I25" s="94"/>
      <c r="J25" s="96"/>
    </row>
    <row r="26" spans="1:10" ht="55.2" customHeight="1">
      <c r="A26" s="57"/>
      <c r="B26" s="956">
        <v>16</v>
      </c>
      <c r="C26" s="957"/>
      <c r="D26" s="958"/>
      <c r="E26" s="956"/>
      <c r="F26" s="2086"/>
      <c r="G26" s="2087"/>
      <c r="H26" s="95"/>
      <c r="I26" s="94"/>
      <c r="J26" s="96"/>
    </row>
    <row r="27" spans="1:10" ht="55.2" customHeight="1">
      <c r="A27" s="57"/>
      <c r="B27" s="956">
        <v>17</v>
      </c>
      <c r="C27" s="957"/>
      <c r="D27" s="958"/>
      <c r="E27" s="956"/>
      <c r="F27" s="2086"/>
      <c r="G27" s="2087"/>
      <c r="H27" s="95"/>
      <c r="I27" s="94"/>
      <c r="J27" s="96"/>
    </row>
    <row r="28" spans="1:10" ht="55.2" customHeight="1">
      <c r="A28" s="57"/>
      <c r="B28" s="956">
        <v>18</v>
      </c>
      <c r="C28" s="957"/>
      <c r="D28" s="958"/>
      <c r="E28" s="956"/>
      <c r="F28" s="2086"/>
      <c r="G28" s="2087"/>
      <c r="H28" s="95"/>
      <c r="I28" s="94"/>
      <c r="J28" s="96"/>
    </row>
    <row r="29" spans="1:10" ht="55.2" customHeight="1">
      <c r="A29" s="57"/>
      <c r="B29" s="956">
        <v>19</v>
      </c>
      <c r="C29" s="957"/>
      <c r="D29" s="958"/>
      <c r="E29" s="956"/>
      <c r="F29" s="2086"/>
      <c r="G29" s="2087"/>
      <c r="H29" s="95"/>
      <c r="I29" s="94"/>
      <c r="J29" s="96"/>
    </row>
    <row r="30" spans="1:10" ht="55.2" customHeight="1">
      <c r="A30" s="57"/>
      <c r="B30" s="956">
        <v>20</v>
      </c>
      <c r="C30" s="957"/>
      <c r="D30" s="958"/>
      <c r="E30" s="956"/>
      <c r="F30" s="2086"/>
      <c r="G30" s="2087"/>
      <c r="H30" s="95"/>
      <c r="I30" s="94"/>
      <c r="J30" s="96"/>
    </row>
    <row r="31" spans="1:10" ht="55.2" customHeight="1">
      <c r="A31" s="57"/>
      <c r="B31" s="956">
        <v>21</v>
      </c>
      <c r="C31" s="957"/>
      <c r="D31" s="958"/>
      <c r="E31" s="956"/>
      <c r="F31" s="2086"/>
      <c r="G31" s="2087"/>
      <c r="H31" s="95"/>
      <c r="I31" s="94"/>
      <c r="J31" s="96"/>
    </row>
    <row r="32" spans="1:10" ht="55.2" customHeight="1">
      <c r="A32" s="57"/>
      <c r="B32" s="956">
        <v>22</v>
      </c>
      <c r="C32" s="957"/>
      <c r="D32" s="958"/>
      <c r="E32" s="956"/>
      <c r="F32" s="2086"/>
      <c r="G32" s="2087"/>
      <c r="H32" s="95"/>
      <c r="I32" s="94"/>
      <c r="J32" s="96"/>
    </row>
    <row r="33" spans="1:10" ht="55.2" customHeight="1">
      <c r="A33" s="57"/>
      <c r="B33" s="956">
        <v>23</v>
      </c>
      <c r="C33" s="957"/>
      <c r="D33" s="958"/>
      <c r="E33" s="956"/>
      <c r="F33" s="2086"/>
      <c r="G33" s="2087"/>
      <c r="H33" s="95"/>
      <c r="I33" s="94"/>
      <c r="J33" s="96"/>
    </row>
    <row r="34" spans="1:10" ht="55.2" customHeight="1">
      <c r="A34" s="57"/>
      <c r="B34" s="956">
        <v>24</v>
      </c>
      <c r="C34" s="957"/>
      <c r="D34" s="958"/>
      <c r="E34" s="956"/>
      <c r="F34" s="2086"/>
      <c r="G34" s="2087"/>
      <c r="H34" s="95"/>
      <c r="I34" s="94"/>
      <c r="J34" s="96"/>
    </row>
    <row r="35" spans="1:10" ht="55.2" customHeight="1">
      <c r="A35" s="57"/>
      <c r="B35" s="956">
        <v>25</v>
      </c>
      <c r="C35" s="957"/>
      <c r="D35" s="958"/>
      <c r="E35" s="956"/>
      <c r="F35" s="2086"/>
      <c r="G35" s="2087"/>
      <c r="H35" s="95"/>
      <c r="I35" s="94"/>
      <c r="J35" s="96"/>
    </row>
    <row r="36" spans="1:10" ht="55.2" customHeight="1">
      <c r="A36" s="57"/>
      <c r="B36" s="956">
        <v>26</v>
      </c>
      <c r="C36" s="957"/>
      <c r="D36" s="958"/>
      <c r="E36" s="956"/>
      <c r="F36" s="2086"/>
      <c r="G36" s="2087"/>
      <c r="H36" s="95"/>
      <c r="I36" s="94"/>
      <c r="J36" s="96"/>
    </row>
    <row r="37" spans="1:10" ht="55.2" customHeight="1">
      <c r="A37" s="57"/>
      <c r="B37" s="956">
        <v>27</v>
      </c>
      <c r="C37" s="957"/>
      <c r="D37" s="958"/>
      <c r="E37" s="956"/>
      <c r="F37" s="2086"/>
      <c r="G37" s="2087"/>
      <c r="H37" s="95"/>
      <c r="I37" s="94"/>
      <c r="J37" s="96"/>
    </row>
    <row r="38" spans="1:10" ht="55.2" customHeight="1">
      <c r="A38" s="57"/>
      <c r="B38" s="956">
        <v>28</v>
      </c>
      <c r="C38" s="957"/>
      <c r="D38" s="958"/>
      <c r="E38" s="956"/>
      <c r="F38" s="2086"/>
      <c r="G38" s="2087"/>
      <c r="H38" s="95"/>
      <c r="I38" s="94"/>
      <c r="J38" s="96"/>
    </row>
    <row r="39" spans="1:10" ht="55.2" customHeight="1">
      <c r="A39" s="57"/>
      <c r="B39" s="956">
        <v>29</v>
      </c>
      <c r="C39" s="957"/>
      <c r="D39" s="958"/>
      <c r="E39" s="956"/>
      <c r="F39" s="2086"/>
      <c r="G39" s="2087"/>
      <c r="H39" s="95"/>
      <c r="I39" s="94"/>
      <c r="J39" s="96"/>
    </row>
    <row r="40" spans="1:10" ht="55.2" customHeight="1">
      <c r="A40" s="57"/>
      <c r="B40" s="956">
        <v>30</v>
      </c>
      <c r="C40" s="957"/>
      <c r="D40" s="958"/>
      <c r="E40" s="956"/>
      <c r="F40" s="2086"/>
      <c r="G40" s="2087"/>
      <c r="H40" s="95"/>
      <c r="I40" s="94"/>
      <c r="J40" s="96"/>
    </row>
    <row r="41" spans="1:10" ht="55.2" customHeight="1">
      <c r="A41" s="57"/>
      <c r="B41" s="956">
        <v>31</v>
      </c>
      <c r="C41" s="957"/>
      <c r="D41" s="958"/>
      <c r="E41" s="956"/>
      <c r="F41" s="2086"/>
      <c r="G41" s="2087"/>
      <c r="H41" s="95"/>
      <c r="I41" s="94"/>
      <c r="J41" s="96"/>
    </row>
    <row r="42" spans="1:10" ht="55.2" customHeight="1">
      <c r="A42" s="57"/>
      <c r="B42" s="956">
        <v>32</v>
      </c>
      <c r="C42" s="957"/>
      <c r="D42" s="958"/>
      <c r="E42" s="956"/>
      <c r="F42" s="2086"/>
      <c r="G42" s="2087"/>
      <c r="H42" s="95"/>
      <c r="I42" s="94"/>
      <c r="J42" s="96"/>
    </row>
    <row r="43" spans="1:10" ht="55.2" customHeight="1">
      <c r="A43" s="57"/>
      <c r="B43" s="956">
        <v>33</v>
      </c>
      <c r="C43" s="957"/>
      <c r="D43" s="958"/>
      <c r="E43" s="956"/>
      <c r="F43" s="2086"/>
      <c r="G43" s="2087"/>
      <c r="H43" s="95"/>
      <c r="I43" s="94"/>
      <c r="J43" s="96"/>
    </row>
    <row r="44" spans="1:10" ht="55.2" customHeight="1">
      <c r="A44" s="57"/>
      <c r="B44" s="956">
        <v>34</v>
      </c>
      <c r="C44" s="957"/>
      <c r="D44" s="958"/>
      <c r="E44" s="956"/>
      <c r="F44" s="2086"/>
      <c r="G44" s="2087"/>
      <c r="H44" s="95"/>
      <c r="I44" s="94"/>
      <c r="J44" s="96"/>
    </row>
    <row r="45" spans="1:10" ht="55.2" customHeight="1">
      <c r="A45" s="57"/>
      <c r="B45" s="956">
        <v>35</v>
      </c>
      <c r="C45" s="957"/>
      <c r="D45" s="958"/>
      <c r="E45" s="956"/>
      <c r="F45" s="2086"/>
      <c r="G45" s="2087"/>
      <c r="H45" s="95"/>
      <c r="I45" s="94"/>
      <c r="J45" s="96"/>
    </row>
    <row r="46" spans="1:10" ht="55.2" customHeight="1">
      <c r="A46" s="57"/>
      <c r="B46" s="956">
        <v>36</v>
      </c>
      <c r="C46" s="957"/>
      <c r="D46" s="958"/>
      <c r="E46" s="956"/>
      <c r="F46" s="2086"/>
      <c r="G46" s="2087"/>
      <c r="H46" s="95"/>
      <c r="I46" s="94"/>
      <c r="J46" s="96"/>
    </row>
    <row r="47" spans="1:10" ht="55.2" customHeight="1">
      <c r="A47" s="57"/>
      <c r="B47" s="956">
        <v>37</v>
      </c>
      <c r="C47" s="957"/>
      <c r="D47" s="958"/>
      <c r="E47" s="956"/>
      <c r="F47" s="2086"/>
      <c r="G47" s="2087"/>
      <c r="H47" s="95"/>
      <c r="I47" s="94"/>
      <c r="J47" s="96"/>
    </row>
    <row r="48" spans="1:10" ht="55.2" customHeight="1">
      <c r="A48" s="57"/>
      <c r="B48" s="956">
        <v>38</v>
      </c>
      <c r="C48" s="957"/>
      <c r="D48" s="958"/>
      <c r="E48" s="956"/>
      <c r="F48" s="2086"/>
      <c r="G48" s="2087"/>
      <c r="H48" s="95"/>
      <c r="I48" s="94"/>
      <c r="J48" s="96"/>
    </row>
    <row r="49" spans="1:10" ht="55.2" customHeight="1">
      <c r="A49" s="57"/>
      <c r="B49" s="956">
        <v>39</v>
      </c>
      <c r="C49" s="957"/>
      <c r="D49" s="958"/>
      <c r="E49" s="956"/>
      <c r="F49" s="2086"/>
      <c r="G49" s="2087"/>
      <c r="H49" s="95"/>
      <c r="I49" s="94"/>
      <c r="J49" s="96"/>
    </row>
    <row r="50" spans="1:10" ht="55.2" customHeight="1">
      <c r="A50" s="57"/>
      <c r="B50" s="956">
        <v>40</v>
      </c>
      <c r="C50" s="957"/>
      <c r="D50" s="958"/>
      <c r="E50" s="956"/>
      <c r="F50" s="2086"/>
      <c r="G50" s="2087"/>
      <c r="H50" s="95"/>
      <c r="I50" s="94"/>
      <c r="J50" s="96"/>
    </row>
    <row r="51" spans="1:10" ht="55.2" customHeight="1">
      <c r="A51" s="57"/>
      <c r="B51" s="956">
        <v>41</v>
      </c>
      <c r="C51" s="957"/>
      <c r="D51" s="958"/>
      <c r="E51" s="956"/>
      <c r="F51" s="2086"/>
      <c r="G51" s="2087"/>
      <c r="H51" s="95"/>
      <c r="I51" s="94"/>
      <c r="J51" s="96"/>
    </row>
    <row r="52" spans="1:10" ht="55.2" customHeight="1">
      <c r="A52" s="57"/>
      <c r="B52" s="956">
        <v>42</v>
      </c>
      <c r="C52" s="957"/>
      <c r="D52" s="958"/>
      <c r="E52" s="956"/>
      <c r="F52" s="2086"/>
      <c r="G52" s="2087"/>
      <c r="H52" s="95"/>
      <c r="I52" s="94"/>
      <c r="J52" s="96"/>
    </row>
    <row r="53" spans="1:10" ht="55.2" customHeight="1">
      <c r="A53" s="57"/>
      <c r="B53" s="956">
        <v>43</v>
      </c>
      <c r="C53" s="957"/>
      <c r="D53" s="958"/>
      <c r="E53" s="956"/>
      <c r="F53" s="2086"/>
      <c r="G53" s="2087"/>
      <c r="H53" s="95"/>
      <c r="I53" s="94"/>
      <c r="J53" s="96"/>
    </row>
    <row r="54" spans="1:10" ht="55.2" customHeight="1">
      <c r="A54" s="57"/>
      <c r="B54" s="956">
        <v>44</v>
      </c>
      <c r="C54" s="957"/>
      <c r="D54" s="958"/>
      <c r="E54" s="956"/>
      <c r="F54" s="2086"/>
      <c r="G54" s="2087"/>
      <c r="H54" s="95"/>
      <c r="I54" s="94"/>
      <c r="J54" s="96"/>
    </row>
    <row r="55" spans="1:10" ht="55.2" customHeight="1">
      <c r="A55" s="57"/>
      <c r="B55" s="956">
        <v>45</v>
      </c>
      <c r="C55" s="957"/>
      <c r="D55" s="958"/>
      <c r="E55" s="956"/>
      <c r="F55" s="2086"/>
      <c r="G55" s="2087"/>
      <c r="H55" s="95"/>
      <c r="I55" s="94"/>
      <c r="J55" s="96"/>
    </row>
    <row r="56" spans="1:10" ht="55.2" customHeight="1">
      <c r="A56" s="57"/>
      <c r="B56" s="956">
        <v>46</v>
      </c>
      <c r="C56" s="957"/>
      <c r="D56" s="958"/>
      <c r="E56" s="956"/>
      <c r="F56" s="2086"/>
      <c r="G56" s="2087"/>
      <c r="H56" s="95"/>
      <c r="I56" s="94"/>
      <c r="J56" s="96"/>
    </row>
    <row r="57" spans="1:10" ht="55.2" customHeight="1">
      <c r="A57" s="57"/>
      <c r="B57" s="956">
        <v>47</v>
      </c>
      <c r="C57" s="957"/>
      <c r="D57" s="958"/>
      <c r="E57" s="956"/>
      <c r="F57" s="2086"/>
      <c r="G57" s="2087"/>
      <c r="H57" s="95"/>
      <c r="I57" s="94"/>
      <c r="J57" s="96"/>
    </row>
    <row r="58" spans="1:10" ht="55.2" customHeight="1">
      <c r="A58" s="57"/>
      <c r="B58" s="956">
        <v>48</v>
      </c>
      <c r="C58" s="957"/>
      <c r="D58" s="958"/>
      <c r="E58" s="956"/>
      <c r="F58" s="2086"/>
      <c r="G58" s="2087"/>
      <c r="H58" s="95"/>
      <c r="I58" s="94"/>
      <c r="J58" s="96"/>
    </row>
    <row r="59" spans="1:10" ht="55.2" customHeight="1">
      <c r="A59" s="57"/>
      <c r="B59" s="956">
        <v>49</v>
      </c>
      <c r="C59" s="957"/>
      <c r="D59" s="958"/>
      <c r="E59" s="956"/>
      <c r="F59" s="2086"/>
      <c r="G59" s="2087"/>
      <c r="H59" s="95"/>
      <c r="I59" s="94"/>
      <c r="J59" s="96"/>
    </row>
    <row r="60" spans="1:10" ht="55.2" customHeight="1">
      <c r="A60" s="57"/>
      <c r="B60" s="956">
        <v>50</v>
      </c>
      <c r="C60" s="957"/>
      <c r="D60" s="958"/>
      <c r="E60" s="956"/>
      <c r="F60" s="2086"/>
      <c r="G60" s="2087"/>
      <c r="H60" s="95"/>
      <c r="I60" s="94"/>
      <c r="J60" s="96"/>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s>
  <dataValidations count="2">
    <dataValidation type="list" allowBlank="1" showInputMessage="1" showErrorMessage="1" sqref="H11:H60" xr:uid="{609D7632-8751-46CC-B6D4-6A4EDEB90116}">
      <formula1>$N$4:$N$5</formula1>
    </dataValidation>
    <dataValidation type="list" allowBlank="1" showInputMessage="1" showErrorMessage="1" sqref="E11:E20" xr:uid="{91798FE9-E08D-4577-87A7-A1EAF2B09BD3}">
      <formula1>$O$4:$O$8</formula1>
    </dataValidation>
  </dataValidations>
  <pageMargins left="0.75" right="0.75" top="1.2" bottom="1" header="0.3" footer="0.3"/>
  <pageSetup paperSize="8" scale="70" fitToHeight="50" orientation="landscape" r:id="rId1"/>
  <headerFooter>
    <oddHeader>&amp;L&amp;"Janna LT,Bold"&amp;24MODON RISK REGISTER&amp;R&amp;G</oddHeader>
    <oddFooter>&amp;L&amp;"Janna LT,Regular"Document Reference Number: ORG1-06-002-MOD-TS0-0-PRM-TEM-1126-00Rev: 00Issued: 7 March 2016_x000D_&amp;1#&amp;"Calibri"&amp;10&amp;K000000 Data sensitivity - Public&amp;R&amp;"Janna LT,Regular"&amp;F&amp;APage &amp;P of &amp;N</oddFooter>
  </headerFooter>
  <colBreaks count="1" manualBreakCount="1">
    <brk id="25"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activeCell="I14" sqref="I14"/>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2.33203125" bestFit="1" customWidth="1"/>
  </cols>
  <sheetData>
    <row r="1" spans="1:17" ht="21.6" thickBot="1">
      <c r="A1" s="135" t="s">
        <v>796</v>
      </c>
      <c r="B1" s="136"/>
      <c r="C1" s="136"/>
      <c r="D1" s="136"/>
      <c r="E1" s="136"/>
      <c r="F1" s="136"/>
      <c r="G1" s="136"/>
      <c r="H1" s="136"/>
      <c r="I1" s="136"/>
      <c r="J1" s="136"/>
      <c r="K1" s="137"/>
      <c r="P1" s="59" t="str">
        <f>'General Information'!$K$1</f>
        <v>Data Date</v>
      </c>
      <c r="Q1" s="60">
        <f>'General Information'!$L$1</f>
        <v>46308</v>
      </c>
    </row>
    <row r="2" spans="1:17" ht="18">
      <c r="A2" s="132" t="s">
        <v>797</v>
      </c>
      <c r="B2" s="130"/>
      <c r="C2" s="130"/>
      <c r="D2" s="130"/>
      <c r="E2" s="130"/>
      <c r="F2" s="130"/>
      <c r="G2" s="130"/>
      <c r="H2" s="130"/>
      <c r="I2" s="130"/>
      <c r="J2" s="130"/>
      <c r="K2" s="131"/>
    </row>
    <row r="3" spans="1:17" ht="15.6">
      <c r="A3" s="2094" t="s">
        <v>798</v>
      </c>
      <c r="B3" s="1390"/>
      <c r="C3" s="1390"/>
      <c r="D3" s="1390"/>
      <c r="E3" s="1391"/>
      <c r="F3" s="1392" t="s">
        <v>799</v>
      </c>
      <c r="G3" s="1390"/>
      <c r="H3" s="1390"/>
      <c r="I3" s="1390"/>
      <c r="J3" s="1390"/>
      <c r="K3" s="1391"/>
    </row>
    <row r="4" spans="1:17" ht="15.6">
      <c r="A4" s="133" t="s">
        <v>800</v>
      </c>
      <c r="B4" s="120" t="s">
        <v>801</v>
      </c>
      <c r="C4" s="120" t="s">
        <v>802</v>
      </c>
      <c r="D4" s="120" t="s">
        <v>803</v>
      </c>
      <c r="E4" s="121" t="s">
        <v>338</v>
      </c>
      <c r="F4" s="119" t="s">
        <v>804</v>
      </c>
      <c r="G4" s="120" t="s">
        <v>805</v>
      </c>
      <c r="H4" s="120" t="s">
        <v>806</v>
      </c>
      <c r="I4" s="120" t="s">
        <v>807</v>
      </c>
      <c r="J4" s="120" t="s">
        <v>808</v>
      </c>
      <c r="K4" s="121"/>
    </row>
    <row r="5" spans="1:17" ht="15.6">
      <c r="A5" s="134">
        <v>399</v>
      </c>
      <c r="B5" s="126">
        <v>57</v>
      </c>
      <c r="C5" s="126">
        <v>32</v>
      </c>
      <c r="D5" s="126">
        <v>310</v>
      </c>
      <c r="E5" s="127">
        <f>D5/A5</f>
        <v>0.77694235588972427</v>
      </c>
      <c r="F5" s="128">
        <f>+C5</f>
        <v>32</v>
      </c>
      <c r="G5" s="126">
        <v>27</v>
      </c>
      <c r="H5" s="126">
        <v>0</v>
      </c>
      <c r="I5" s="129">
        <v>5</v>
      </c>
      <c r="J5" s="2092">
        <f>+G5+H5-I5</f>
        <v>22</v>
      </c>
      <c r="K5" s="2093"/>
    </row>
    <row r="6" spans="1:17" ht="18">
      <c r="A6" s="2095" t="s">
        <v>809</v>
      </c>
      <c r="B6" s="1505"/>
      <c r="C6" s="1506"/>
      <c r="D6" s="1504" t="s">
        <v>810</v>
      </c>
      <c r="E6" s="1505"/>
      <c r="F6" s="1505"/>
      <c r="G6" s="1506"/>
      <c r="H6" s="1504" t="s">
        <v>811</v>
      </c>
      <c r="I6" s="1505"/>
      <c r="J6" s="1505"/>
      <c r="K6" s="1506"/>
    </row>
    <row r="7" spans="1:17" ht="15.6" customHeight="1">
      <c r="A7" s="2096"/>
      <c r="B7" s="1517"/>
      <c r="C7" s="1518"/>
      <c r="D7" s="1507" t="s">
        <v>812</v>
      </c>
      <c r="E7" s="1508"/>
      <c r="F7" s="1508" t="s">
        <v>813</v>
      </c>
      <c r="G7" s="1512"/>
      <c r="H7" s="1531"/>
      <c r="I7" s="1517"/>
      <c r="J7" s="1517"/>
      <c r="K7" s="1518"/>
    </row>
    <row r="8" spans="1:17" ht="15.6">
      <c r="A8" s="133" t="s">
        <v>814</v>
      </c>
      <c r="B8" s="120" t="s">
        <v>815</v>
      </c>
      <c r="C8" s="121" t="s">
        <v>816</v>
      </c>
      <c r="D8" s="119" t="s">
        <v>814</v>
      </c>
      <c r="E8" s="120" t="s">
        <v>815</v>
      </c>
      <c r="F8" s="120" t="s">
        <v>814</v>
      </c>
      <c r="G8" s="121" t="s">
        <v>815</v>
      </c>
      <c r="H8" s="119" t="s">
        <v>814</v>
      </c>
      <c r="I8" s="120" t="s">
        <v>815</v>
      </c>
      <c r="J8" s="120" t="s">
        <v>808</v>
      </c>
      <c r="K8" s="121"/>
    </row>
    <row r="9" spans="1:17" ht="15.6">
      <c r="A9" s="123">
        <v>67</v>
      </c>
      <c r="B9" s="123">
        <v>66</v>
      </c>
      <c r="C9" s="125">
        <f>A9-B9</f>
        <v>1</v>
      </c>
      <c r="D9" s="122">
        <v>7</v>
      </c>
      <c r="E9" s="123">
        <v>6</v>
      </c>
      <c r="F9" s="123">
        <v>89</v>
      </c>
      <c r="G9" s="124">
        <v>83</v>
      </c>
      <c r="H9" s="122">
        <v>8</v>
      </c>
      <c r="I9" s="123">
        <v>8</v>
      </c>
      <c r="J9" s="2092">
        <f>H9-I9</f>
        <v>0</v>
      </c>
      <c r="K9" s="2093"/>
    </row>
    <row r="13" spans="1:17">
      <c r="G13" s="800"/>
      <c r="H13" s="800" t="s">
        <v>735</v>
      </c>
    </row>
    <row r="15" spans="1:17">
      <c r="H15" s="800"/>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Q19" zoomScale="85" zoomScaleNormal="85" workbookViewId="0">
      <selection activeCell="AC43" sqref="AC43"/>
    </sheetView>
  </sheetViews>
  <sheetFormatPr defaultColWidth="9.109375" defaultRowHeight="14.4"/>
  <cols>
    <col min="1" max="1" width="22.33203125" style="3" bestFit="1" customWidth="1"/>
    <col min="2" max="26" width="7.6640625" style="3" customWidth="1"/>
    <col min="27" max="40" width="5.6640625" style="3" customWidth="1"/>
    <col min="41" max="16384" width="9.109375" style="3"/>
  </cols>
  <sheetData>
    <row r="1" spans="1:26" ht="34.5" customHeight="1">
      <c r="A1" s="2120" t="s">
        <v>741</v>
      </c>
      <c r="B1" s="2121"/>
      <c r="C1" s="2121"/>
      <c r="D1" s="2121"/>
      <c r="E1" s="2121"/>
      <c r="F1" s="2121"/>
      <c r="G1" s="2121"/>
      <c r="H1" s="2121"/>
      <c r="I1" s="2121"/>
      <c r="J1" s="2121"/>
      <c r="K1" s="2121"/>
      <c r="L1" s="2121"/>
      <c r="M1" s="2121"/>
      <c r="N1" s="2121"/>
      <c r="O1" s="2121"/>
      <c r="P1" s="2121"/>
      <c r="Q1" s="2121"/>
      <c r="R1" s="2121"/>
      <c r="S1" s="2121"/>
      <c r="T1" s="2121"/>
      <c r="U1" s="2121"/>
      <c r="V1" s="2121"/>
      <c r="W1" s="2121"/>
      <c r="X1" s="2121"/>
      <c r="Y1" s="2121"/>
      <c r="Z1" s="2121"/>
    </row>
    <row r="2" spans="1:26" ht="59.7" customHeight="1">
      <c r="A2" s="61" t="s">
        <v>742</v>
      </c>
      <c r="B2" s="610">
        <f>+'EV-Chart Data'!A4</f>
        <v>46068</v>
      </c>
      <c r="C2" s="610">
        <f t="shared" ref="C2:T2" si="0">EOMONTH(B2,1)</f>
        <v>46112</v>
      </c>
      <c r="D2" s="610">
        <f t="shared" si="0"/>
        <v>46142</v>
      </c>
      <c r="E2" s="610">
        <f t="shared" si="0"/>
        <v>46173</v>
      </c>
      <c r="F2" s="610">
        <f t="shared" si="0"/>
        <v>46203</v>
      </c>
      <c r="G2" s="610">
        <f t="shared" si="0"/>
        <v>46234</v>
      </c>
      <c r="H2" s="610">
        <f t="shared" si="0"/>
        <v>46265</v>
      </c>
      <c r="I2" s="610">
        <f t="shared" si="0"/>
        <v>46295</v>
      </c>
      <c r="J2" s="610">
        <f t="shared" si="0"/>
        <v>46326</v>
      </c>
      <c r="K2" s="610">
        <f t="shared" si="0"/>
        <v>46356</v>
      </c>
      <c r="L2" s="610">
        <f t="shared" si="0"/>
        <v>46387</v>
      </c>
      <c r="M2" s="610">
        <f t="shared" si="0"/>
        <v>46418</v>
      </c>
      <c r="N2" s="610">
        <f t="shared" si="0"/>
        <v>46446</v>
      </c>
      <c r="O2" s="610">
        <f t="shared" si="0"/>
        <v>46477</v>
      </c>
      <c r="P2" s="610">
        <f t="shared" si="0"/>
        <v>46507</v>
      </c>
      <c r="Q2" s="610">
        <f t="shared" si="0"/>
        <v>46538</v>
      </c>
      <c r="R2" s="610">
        <f t="shared" si="0"/>
        <v>46568</v>
      </c>
      <c r="S2" s="610">
        <f t="shared" si="0"/>
        <v>46599</v>
      </c>
      <c r="T2" s="610">
        <f t="shared" si="0"/>
        <v>46630</v>
      </c>
      <c r="U2" s="610"/>
      <c r="V2" s="610"/>
      <c r="W2" s="610"/>
      <c r="X2" s="610"/>
      <c r="Y2" s="610"/>
      <c r="Z2" s="610"/>
    </row>
    <row r="3" spans="1:26" ht="34.5" customHeight="1">
      <c r="A3" s="62" t="s">
        <v>743</v>
      </c>
      <c r="B3" s="63">
        <v>12</v>
      </c>
      <c r="C3" s="63">
        <v>12</v>
      </c>
      <c r="D3" s="63">
        <v>12</v>
      </c>
      <c r="E3" s="63">
        <v>12</v>
      </c>
      <c r="F3" s="63">
        <v>12</v>
      </c>
      <c r="G3" s="63">
        <v>12</v>
      </c>
      <c r="H3" s="63">
        <v>12</v>
      </c>
      <c r="I3" s="63">
        <v>12</v>
      </c>
      <c r="J3" s="63">
        <v>12</v>
      </c>
      <c r="K3" s="63">
        <v>12</v>
      </c>
      <c r="L3" s="63">
        <v>12</v>
      </c>
      <c r="M3" s="63">
        <v>12</v>
      </c>
      <c r="N3" s="63">
        <v>12</v>
      </c>
      <c r="O3" s="63">
        <v>12</v>
      </c>
      <c r="P3" s="63">
        <v>12</v>
      </c>
      <c r="Q3" s="63">
        <v>12</v>
      </c>
      <c r="R3" s="63">
        <v>12</v>
      </c>
      <c r="S3" s="63">
        <v>12</v>
      </c>
      <c r="T3" s="63">
        <v>12</v>
      </c>
      <c r="U3" s="63"/>
      <c r="V3" s="63"/>
      <c r="W3" s="63"/>
      <c r="X3" s="63"/>
      <c r="Y3" s="63"/>
      <c r="Z3" s="63"/>
    </row>
    <row r="4" spans="1:26" ht="34.5" customHeight="1">
      <c r="A4" s="62" t="s">
        <v>744</v>
      </c>
      <c r="B4" s="63">
        <f>B3</f>
        <v>12</v>
      </c>
      <c r="C4" s="63">
        <f>B4+C3</f>
        <v>24</v>
      </c>
      <c r="D4" s="63">
        <f t="shared" ref="D4:T4" si="1">C4+D3</f>
        <v>36</v>
      </c>
      <c r="E4" s="63">
        <f t="shared" si="1"/>
        <v>48</v>
      </c>
      <c r="F4" s="63">
        <f t="shared" si="1"/>
        <v>60</v>
      </c>
      <c r="G4" s="63">
        <f t="shared" si="1"/>
        <v>72</v>
      </c>
      <c r="H4" s="63">
        <f t="shared" si="1"/>
        <v>84</v>
      </c>
      <c r="I4" s="63">
        <f t="shared" si="1"/>
        <v>96</v>
      </c>
      <c r="J4" s="63">
        <f t="shared" si="1"/>
        <v>108</v>
      </c>
      <c r="K4" s="63">
        <f t="shared" si="1"/>
        <v>120</v>
      </c>
      <c r="L4" s="63">
        <f t="shared" si="1"/>
        <v>132</v>
      </c>
      <c r="M4" s="63">
        <f t="shared" si="1"/>
        <v>144</v>
      </c>
      <c r="N4" s="63">
        <f t="shared" si="1"/>
        <v>156</v>
      </c>
      <c r="O4" s="63">
        <f t="shared" si="1"/>
        <v>168</v>
      </c>
      <c r="P4" s="63">
        <f t="shared" si="1"/>
        <v>180</v>
      </c>
      <c r="Q4" s="63">
        <f t="shared" si="1"/>
        <v>192</v>
      </c>
      <c r="R4" s="63">
        <f t="shared" si="1"/>
        <v>204</v>
      </c>
      <c r="S4" s="63">
        <f t="shared" si="1"/>
        <v>216</v>
      </c>
      <c r="T4" s="63">
        <f t="shared" si="1"/>
        <v>228</v>
      </c>
      <c r="U4" s="63"/>
      <c r="V4" s="63"/>
      <c r="W4" s="63"/>
      <c r="X4" s="63"/>
      <c r="Y4" s="63"/>
      <c r="Z4" s="63"/>
    </row>
    <row r="5" spans="1:26" ht="34.5" customHeight="1">
      <c r="A5" s="62" t="s">
        <v>745</v>
      </c>
      <c r="B5" s="63"/>
      <c r="C5" s="1150">
        <f>AVERAGE(19,22,23,24)</f>
        <v>22</v>
      </c>
      <c r="D5" s="1150">
        <f>AVERAGE(24,25,25,25)</f>
        <v>24.75</v>
      </c>
      <c r="E5" s="1150">
        <f>AVERAGE(25,25,27,27)</f>
        <v>26</v>
      </c>
      <c r="F5" s="1150">
        <f>AVERAGE(27,27,27,27,27)</f>
        <v>27</v>
      </c>
      <c r="G5" s="1150">
        <f>AVERAGE(27,27,27,27)</f>
        <v>27</v>
      </c>
      <c r="H5" s="1150">
        <f>AVERAGE(27,27,27,27)</f>
        <v>27</v>
      </c>
      <c r="I5" s="1150">
        <f>AVERAGE(27,27,27,27,27)</f>
        <v>27</v>
      </c>
      <c r="J5" s="1150">
        <f>AVERAGE(27,27)</f>
        <v>27</v>
      </c>
      <c r="K5" s="63"/>
      <c r="L5" s="63"/>
      <c r="M5" s="63"/>
      <c r="N5" s="63"/>
      <c r="O5" s="63"/>
      <c r="P5" s="63"/>
      <c r="Q5" s="63"/>
      <c r="R5" s="63"/>
      <c r="S5" s="63"/>
      <c r="T5" s="63"/>
      <c r="U5" s="63"/>
      <c r="V5" s="63"/>
      <c r="W5" s="63"/>
      <c r="X5" s="63"/>
      <c r="Y5" s="63"/>
      <c r="Z5" s="63"/>
    </row>
    <row r="6" spans="1:26" ht="34.5" customHeight="1">
      <c r="A6" s="64" t="s">
        <v>746</v>
      </c>
      <c r="B6" s="65">
        <f>B5</f>
        <v>0</v>
      </c>
      <c r="C6" s="65">
        <f t="shared" ref="C6:T6" si="2">C5+B6</f>
        <v>22</v>
      </c>
      <c r="D6" s="1195">
        <f t="shared" si="2"/>
        <v>46.75</v>
      </c>
      <c r="E6" s="1195">
        <f t="shared" si="2"/>
        <v>72.75</v>
      </c>
      <c r="F6" s="1195">
        <f t="shared" si="2"/>
        <v>99.75</v>
      </c>
      <c r="G6" s="1195">
        <f t="shared" si="2"/>
        <v>126.75</v>
      </c>
      <c r="H6" s="1195">
        <f t="shared" si="2"/>
        <v>153.75</v>
      </c>
      <c r="I6" s="1195">
        <f t="shared" si="2"/>
        <v>180.75</v>
      </c>
      <c r="J6" s="1195">
        <f t="shared" si="2"/>
        <v>207.75</v>
      </c>
      <c r="K6" s="1195">
        <f t="shared" si="2"/>
        <v>207.75</v>
      </c>
      <c r="L6" s="1195">
        <f t="shared" si="2"/>
        <v>207.75</v>
      </c>
      <c r="M6" s="1195">
        <f t="shared" si="2"/>
        <v>207.75</v>
      </c>
      <c r="N6" s="1195">
        <f t="shared" si="2"/>
        <v>207.75</v>
      </c>
      <c r="O6" s="1195">
        <f t="shared" si="2"/>
        <v>207.75</v>
      </c>
      <c r="P6" s="1195">
        <f t="shared" si="2"/>
        <v>207.75</v>
      </c>
      <c r="Q6" s="1195">
        <f t="shared" si="2"/>
        <v>207.75</v>
      </c>
      <c r="R6" s="1195">
        <f t="shared" si="2"/>
        <v>207.75</v>
      </c>
      <c r="S6" s="1195">
        <f t="shared" si="2"/>
        <v>207.75</v>
      </c>
      <c r="T6" s="1195">
        <f t="shared" si="2"/>
        <v>207.75</v>
      </c>
      <c r="U6" s="65"/>
      <c r="V6" s="65"/>
      <c r="W6" s="65"/>
      <c r="X6" s="65"/>
      <c r="Y6" s="65"/>
      <c r="Z6" s="65"/>
    </row>
    <row r="7" spans="1:26" ht="34.5" customHeight="1">
      <c r="A7" s="64" t="s">
        <v>747</v>
      </c>
      <c r="B7" s="65"/>
      <c r="C7" s="65"/>
      <c r="D7" s="65">
        <f>+D3</f>
        <v>12</v>
      </c>
      <c r="E7" s="63">
        <v>12</v>
      </c>
      <c r="F7" s="63">
        <v>12</v>
      </c>
      <c r="G7" s="63">
        <v>12</v>
      </c>
      <c r="H7" s="63">
        <v>12</v>
      </c>
      <c r="I7" s="63">
        <v>12</v>
      </c>
      <c r="J7" s="63">
        <v>12</v>
      </c>
      <c r="K7" s="63">
        <v>12</v>
      </c>
      <c r="L7" s="63">
        <v>12</v>
      </c>
      <c r="M7" s="63">
        <v>12</v>
      </c>
      <c r="N7" s="63">
        <v>12</v>
      </c>
      <c r="O7" s="63">
        <v>12</v>
      </c>
      <c r="P7" s="63">
        <v>12</v>
      </c>
      <c r="Q7" s="63">
        <v>12</v>
      </c>
      <c r="R7" s="63">
        <v>12</v>
      </c>
      <c r="S7" s="63">
        <v>12</v>
      </c>
      <c r="T7" s="63">
        <v>12</v>
      </c>
      <c r="U7" s="65"/>
      <c r="V7" s="65"/>
      <c r="W7" s="65"/>
      <c r="X7" s="65"/>
      <c r="Y7" s="65"/>
      <c r="Z7" s="65"/>
    </row>
    <row r="8" spans="1:26" ht="34.5" customHeight="1" thickBot="1">
      <c r="A8" s="66" t="s">
        <v>748</v>
      </c>
      <c r="B8" s="67">
        <v>0</v>
      </c>
      <c r="C8" s="67">
        <v>3</v>
      </c>
      <c r="D8" s="67"/>
      <c r="E8" s="67"/>
      <c r="F8" s="67"/>
      <c r="G8" s="67"/>
      <c r="H8" s="67"/>
      <c r="I8" s="67"/>
      <c r="J8" s="67"/>
      <c r="K8" s="67"/>
      <c r="L8" s="67"/>
      <c r="M8" s="67"/>
      <c r="N8" s="67"/>
      <c r="O8" s="67"/>
      <c r="P8" s="67"/>
      <c r="Q8" s="67"/>
      <c r="R8" s="67"/>
      <c r="S8" s="67"/>
      <c r="T8" s="67"/>
      <c r="U8" s="67"/>
      <c r="V8" s="67"/>
      <c r="W8" s="67"/>
      <c r="X8" s="67"/>
      <c r="Y8" s="67"/>
      <c r="Z8" s="67"/>
    </row>
    <row r="9" spans="1:26" ht="34.5" customHeight="1" thickTop="1">
      <c r="A9" s="2122" t="s">
        <v>749</v>
      </c>
      <c r="B9" s="2123"/>
      <c r="C9" s="2123"/>
      <c r="D9" s="2123"/>
      <c r="E9" s="2123"/>
      <c r="F9" s="2123"/>
      <c r="G9" s="2123"/>
      <c r="H9" s="2123"/>
      <c r="I9" s="2123"/>
      <c r="J9" s="2123"/>
      <c r="K9" s="2123"/>
      <c r="L9" s="2123"/>
      <c r="M9" s="2123"/>
      <c r="N9" s="2123"/>
      <c r="O9" s="2123"/>
      <c r="P9" s="2123"/>
      <c r="Q9" s="2123"/>
      <c r="R9" s="2123"/>
      <c r="S9" s="2123"/>
      <c r="T9" s="2123"/>
      <c r="U9" s="2123"/>
      <c r="V9" s="2123"/>
      <c r="W9" s="2123"/>
      <c r="X9" s="2123"/>
      <c r="Y9" s="2123"/>
      <c r="Z9" s="2123"/>
    </row>
    <row r="10" spans="1:26" ht="59.7" customHeight="1">
      <c r="A10" s="61" t="s">
        <v>742</v>
      </c>
      <c r="B10" s="610">
        <f>+B2</f>
        <v>46068</v>
      </c>
      <c r="C10" s="610">
        <f t="shared" ref="C10:T10" si="3">EOMONTH(B10,1)</f>
        <v>46112</v>
      </c>
      <c r="D10" s="610">
        <f t="shared" si="3"/>
        <v>46142</v>
      </c>
      <c r="E10" s="610">
        <f t="shared" si="3"/>
        <v>46173</v>
      </c>
      <c r="F10" s="610">
        <f t="shared" si="3"/>
        <v>46203</v>
      </c>
      <c r="G10" s="610">
        <f t="shared" si="3"/>
        <v>46234</v>
      </c>
      <c r="H10" s="610">
        <f t="shared" si="3"/>
        <v>46265</v>
      </c>
      <c r="I10" s="610">
        <f t="shared" si="3"/>
        <v>46295</v>
      </c>
      <c r="J10" s="610">
        <f t="shared" si="3"/>
        <v>46326</v>
      </c>
      <c r="K10" s="610">
        <f t="shared" si="3"/>
        <v>46356</v>
      </c>
      <c r="L10" s="610">
        <f t="shared" si="3"/>
        <v>46387</v>
      </c>
      <c r="M10" s="610">
        <f t="shared" si="3"/>
        <v>46418</v>
      </c>
      <c r="N10" s="610">
        <f t="shared" si="3"/>
        <v>46446</v>
      </c>
      <c r="O10" s="610">
        <f t="shared" si="3"/>
        <v>46477</v>
      </c>
      <c r="P10" s="610">
        <f t="shared" si="3"/>
        <v>46507</v>
      </c>
      <c r="Q10" s="610">
        <f t="shared" si="3"/>
        <v>46538</v>
      </c>
      <c r="R10" s="610">
        <f t="shared" si="3"/>
        <v>46568</v>
      </c>
      <c r="S10" s="610">
        <f t="shared" si="3"/>
        <v>46599</v>
      </c>
      <c r="T10" s="610">
        <f t="shared" si="3"/>
        <v>46630</v>
      </c>
      <c r="U10" s="610"/>
      <c r="V10" s="610"/>
      <c r="W10" s="610"/>
      <c r="X10" s="610"/>
      <c r="Y10" s="610"/>
      <c r="Z10" s="610"/>
    </row>
    <row r="11" spans="1:26" ht="34.5" customHeight="1">
      <c r="A11" s="62" t="s">
        <v>743</v>
      </c>
      <c r="B11" s="63">
        <v>19</v>
      </c>
      <c r="C11" s="63">
        <v>31</v>
      </c>
      <c r="D11" s="63">
        <v>46</v>
      </c>
      <c r="E11" s="63">
        <v>51</v>
      </c>
      <c r="F11" s="63">
        <v>55</v>
      </c>
      <c r="G11" s="63">
        <v>105</v>
      </c>
      <c r="H11" s="63">
        <v>139</v>
      </c>
      <c r="I11" s="63">
        <v>112</v>
      </c>
      <c r="J11" s="63">
        <v>116</v>
      </c>
      <c r="K11" s="63">
        <v>137</v>
      </c>
      <c r="L11" s="63">
        <v>150</v>
      </c>
      <c r="M11" s="63">
        <v>161</v>
      </c>
      <c r="N11" s="63">
        <v>96</v>
      </c>
      <c r="O11" s="63">
        <v>118</v>
      </c>
      <c r="P11" s="63">
        <v>104</v>
      </c>
      <c r="Q11" s="63">
        <v>56</v>
      </c>
      <c r="R11" s="63">
        <v>17</v>
      </c>
      <c r="S11" s="63">
        <v>6</v>
      </c>
      <c r="T11" s="63">
        <v>6</v>
      </c>
      <c r="U11" s="63"/>
      <c r="V11" s="63"/>
      <c r="W11" s="63"/>
      <c r="X11" s="63"/>
      <c r="Y11" s="63"/>
      <c r="Z11" s="63"/>
    </row>
    <row r="12" spans="1:26" ht="34.5" customHeight="1">
      <c r="A12" s="62" t="s">
        <v>744</v>
      </c>
      <c r="B12" s="63">
        <f>B11</f>
        <v>19</v>
      </c>
      <c r="C12" s="63">
        <f t="shared" ref="C12:H12" si="4">B12+C11</f>
        <v>50</v>
      </c>
      <c r="D12" s="63">
        <f t="shared" si="4"/>
        <v>96</v>
      </c>
      <c r="E12" s="63">
        <f t="shared" si="4"/>
        <v>147</v>
      </c>
      <c r="F12" s="63">
        <f t="shared" si="4"/>
        <v>202</v>
      </c>
      <c r="G12" s="63">
        <f t="shared" si="4"/>
        <v>307</v>
      </c>
      <c r="H12" s="63">
        <f t="shared" si="4"/>
        <v>446</v>
      </c>
      <c r="I12" s="63">
        <f t="shared" ref="I12:T12" si="5">H12+I11</f>
        <v>558</v>
      </c>
      <c r="J12" s="63">
        <f t="shared" si="5"/>
        <v>674</v>
      </c>
      <c r="K12" s="63">
        <f t="shared" si="5"/>
        <v>811</v>
      </c>
      <c r="L12" s="63">
        <f t="shared" si="5"/>
        <v>961</v>
      </c>
      <c r="M12" s="63">
        <f t="shared" si="5"/>
        <v>1122</v>
      </c>
      <c r="N12" s="63">
        <f t="shared" si="5"/>
        <v>1218</v>
      </c>
      <c r="O12" s="63">
        <f t="shared" si="5"/>
        <v>1336</v>
      </c>
      <c r="P12" s="63">
        <f t="shared" si="5"/>
        <v>1440</v>
      </c>
      <c r="Q12" s="63">
        <f t="shared" si="5"/>
        <v>1496</v>
      </c>
      <c r="R12" s="63">
        <f t="shared" si="5"/>
        <v>1513</v>
      </c>
      <c r="S12" s="63">
        <f t="shared" si="5"/>
        <v>1519</v>
      </c>
      <c r="T12" s="63">
        <f t="shared" si="5"/>
        <v>1525</v>
      </c>
      <c r="U12" s="63"/>
      <c r="V12" s="63"/>
      <c r="W12" s="63"/>
      <c r="X12" s="63"/>
      <c r="Y12" s="63"/>
      <c r="Z12" s="63"/>
    </row>
    <row r="13" spans="1:26" ht="34.5" customHeight="1">
      <c r="A13" s="62" t="s">
        <v>745</v>
      </c>
      <c r="B13" s="63"/>
      <c r="C13" s="1150">
        <f>AVERAGE(63,69,69,72)</f>
        <v>68.25</v>
      </c>
      <c r="D13" s="1150">
        <f>AVERAGE(69,128,128,129)</f>
        <v>113.5</v>
      </c>
      <c r="E13" s="1150">
        <f>AVERAGE(129,116,117)</f>
        <v>120.66666666666667</v>
      </c>
      <c r="F13" s="1150">
        <f>AVERAGE(136,135,135,116,116)</f>
        <v>127.6</v>
      </c>
      <c r="G13" s="1150">
        <f>AVERAGE(116,112,110,111)</f>
        <v>112.25</v>
      </c>
      <c r="H13" s="1150">
        <f>AVERAGE(118,118,119,119)</f>
        <v>118.5</v>
      </c>
      <c r="I13" s="1150">
        <f>AVERAGE(120,125,117,117,128)</f>
        <v>121.4</v>
      </c>
      <c r="J13" s="1150">
        <f>AVERAGE(121,119)</f>
        <v>120</v>
      </c>
      <c r="K13" s="63"/>
      <c r="L13" s="63"/>
      <c r="M13" s="63"/>
      <c r="N13" s="63"/>
      <c r="O13" s="63"/>
      <c r="P13" s="63"/>
      <c r="Q13" s="63"/>
      <c r="R13" s="63"/>
      <c r="S13" s="63"/>
      <c r="T13" s="63"/>
      <c r="U13" s="63"/>
      <c r="V13" s="63"/>
      <c r="W13" s="63"/>
      <c r="X13" s="63"/>
      <c r="Y13" s="63"/>
      <c r="Z13" s="63"/>
    </row>
    <row r="14" spans="1:26" ht="34.5" customHeight="1">
      <c r="A14" s="64" t="s">
        <v>746</v>
      </c>
      <c r="B14" s="65">
        <f>B13</f>
        <v>0</v>
      </c>
      <c r="C14" s="1195">
        <f t="shared" ref="C14:T14" si="6">C13+B14</f>
        <v>68.25</v>
      </c>
      <c r="D14" s="1195">
        <f t="shared" si="6"/>
        <v>181.75</v>
      </c>
      <c r="E14" s="1195">
        <f t="shared" si="6"/>
        <v>302.41666666666669</v>
      </c>
      <c r="F14" s="1195">
        <f t="shared" si="6"/>
        <v>430.01666666666665</v>
      </c>
      <c r="G14" s="1195">
        <f t="shared" si="6"/>
        <v>542.26666666666665</v>
      </c>
      <c r="H14" s="1195">
        <f t="shared" si="6"/>
        <v>660.76666666666665</v>
      </c>
      <c r="I14" s="1195">
        <f t="shared" si="6"/>
        <v>782.16666666666663</v>
      </c>
      <c r="J14" s="1195">
        <f t="shared" si="6"/>
        <v>902.16666666666663</v>
      </c>
      <c r="K14" s="1195">
        <f t="shared" si="6"/>
        <v>902.16666666666663</v>
      </c>
      <c r="L14" s="1195">
        <f t="shared" si="6"/>
        <v>902.16666666666663</v>
      </c>
      <c r="M14" s="1195">
        <f t="shared" si="6"/>
        <v>902.16666666666663</v>
      </c>
      <c r="N14" s="1195">
        <f t="shared" si="6"/>
        <v>902.16666666666663</v>
      </c>
      <c r="O14" s="1195">
        <f t="shared" si="6"/>
        <v>902.16666666666663</v>
      </c>
      <c r="P14" s="1195">
        <f t="shared" si="6"/>
        <v>902.16666666666663</v>
      </c>
      <c r="Q14" s="1195">
        <f t="shared" si="6"/>
        <v>902.16666666666663</v>
      </c>
      <c r="R14" s="1195">
        <f t="shared" si="6"/>
        <v>902.16666666666663</v>
      </c>
      <c r="S14" s="1195">
        <f t="shared" si="6"/>
        <v>902.16666666666663</v>
      </c>
      <c r="T14" s="1195">
        <f t="shared" si="6"/>
        <v>902.16666666666663</v>
      </c>
      <c r="U14" s="65"/>
      <c r="V14" s="65"/>
      <c r="W14" s="65"/>
      <c r="X14" s="65"/>
      <c r="Y14" s="65"/>
      <c r="Z14" s="65"/>
    </row>
    <row r="15" spans="1:26" ht="34.5" customHeight="1">
      <c r="A15" s="64" t="s">
        <v>747</v>
      </c>
      <c r="B15" s="65"/>
      <c r="C15" s="65"/>
      <c r="D15" s="65">
        <f>+D11</f>
        <v>46</v>
      </c>
      <c r="E15" s="65">
        <f>+E11</f>
        <v>51</v>
      </c>
      <c r="F15" s="65">
        <f>+F11</f>
        <v>55</v>
      </c>
      <c r="G15" s="65">
        <f t="shared" ref="G15:T15" si="7">+G11</f>
        <v>105</v>
      </c>
      <c r="H15" s="65">
        <f t="shared" si="7"/>
        <v>139</v>
      </c>
      <c r="I15" s="65">
        <f t="shared" si="7"/>
        <v>112</v>
      </c>
      <c r="J15" s="65">
        <f t="shared" si="7"/>
        <v>116</v>
      </c>
      <c r="K15" s="65">
        <f t="shared" si="7"/>
        <v>137</v>
      </c>
      <c r="L15" s="65">
        <f t="shared" si="7"/>
        <v>150</v>
      </c>
      <c r="M15" s="65">
        <f t="shared" si="7"/>
        <v>161</v>
      </c>
      <c r="N15" s="65">
        <f t="shared" si="7"/>
        <v>96</v>
      </c>
      <c r="O15" s="65">
        <f t="shared" si="7"/>
        <v>118</v>
      </c>
      <c r="P15" s="65">
        <f t="shared" si="7"/>
        <v>104</v>
      </c>
      <c r="Q15" s="65">
        <f t="shared" si="7"/>
        <v>56</v>
      </c>
      <c r="R15" s="65">
        <f t="shared" si="7"/>
        <v>17</v>
      </c>
      <c r="S15" s="65">
        <f t="shared" si="7"/>
        <v>6</v>
      </c>
      <c r="T15" s="65">
        <f t="shared" si="7"/>
        <v>6</v>
      </c>
      <c r="U15" s="65"/>
      <c r="V15" s="65"/>
      <c r="W15" s="65"/>
      <c r="X15" s="65"/>
      <c r="Y15" s="65"/>
      <c r="Z15" s="65"/>
    </row>
    <row r="16" spans="1:26" ht="34.5" customHeight="1" thickBot="1">
      <c r="A16" s="66" t="s">
        <v>750</v>
      </c>
      <c r="B16" s="67">
        <v>0</v>
      </c>
      <c r="C16" s="67">
        <v>0</v>
      </c>
      <c r="D16" s="67">
        <v>0</v>
      </c>
      <c r="E16" s="67">
        <v>0</v>
      </c>
      <c r="F16" s="67">
        <v>0</v>
      </c>
      <c r="G16" s="67">
        <v>0</v>
      </c>
      <c r="H16" s="67">
        <v>0</v>
      </c>
      <c r="I16" s="67">
        <v>0</v>
      </c>
      <c r="J16" s="67">
        <v>0</v>
      </c>
      <c r="K16" s="67">
        <v>0</v>
      </c>
      <c r="L16" s="67">
        <v>0</v>
      </c>
      <c r="M16" s="67">
        <v>0</v>
      </c>
      <c r="N16" s="67">
        <v>0</v>
      </c>
      <c r="O16" s="67">
        <v>0</v>
      </c>
      <c r="P16" s="67"/>
      <c r="Q16" s="67"/>
      <c r="R16" s="67"/>
      <c r="S16" s="67"/>
      <c r="T16" s="67"/>
      <c r="U16" s="67"/>
      <c r="V16" s="67"/>
      <c r="W16" s="67"/>
      <c r="X16" s="67"/>
      <c r="Y16" s="67"/>
      <c r="Z16" s="67"/>
    </row>
    <row r="17" spans="1:41" ht="34.5" customHeight="1" thickTop="1">
      <c r="B17" s="612"/>
      <c r="C17" s="612"/>
      <c r="D17" s="612"/>
      <c r="E17" s="612"/>
      <c r="F17" s="612"/>
      <c r="G17" s="612"/>
      <c r="H17" s="612"/>
      <c r="I17" s="612"/>
      <c r="J17" s="612"/>
      <c r="K17" s="612"/>
      <c r="L17" s="612"/>
      <c r="M17" s="612"/>
      <c r="N17" s="612"/>
      <c r="O17" s="612"/>
      <c r="P17" s="612"/>
      <c r="Q17" s="612"/>
      <c r="R17" s="612"/>
      <c r="S17" s="612"/>
      <c r="T17" s="612"/>
      <c r="U17" s="612"/>
      <c r="V17" s="612"/>
      <c r="W17" s="612"/>
      <c r="X17" s="612"/>
      <c r="Y17" s="612"/>
      <c r="Z17" s="612"/>
      <c r="AA17" s="611"/>
      <c r="AB17" s="611"/>
      <c r="AC17" s="611"/>
      <c r="AD17" s="611"/>
      <c r="AE17" s="611"/>
      <c r="AF17" s="611"/>
      <c r="AG17" s="611"/>
      <c r="AH17" s="611"/>
      <c r="AI17" s="611"/>
      <c r="AJ17" s="611"/>
      <c r="AK17" s="611"/>
      <c r="AL17" s="611"/>
      <c r="AM17" s="611"/>
      <c r="AN17" s="611"/>
    </row>
    <row r="18" spans="1:41" ht="34.5" customHeight="1">
      <c r="A18" s="2113" t="s">
        <v>751</v>
      </c>
      <c r="B18" s="2114"/>
      <c r="C18" s="2114"/>
      <c r="D18" s="2114"/>
      <c r="E18" s="2114"/>
      <c r="F18" s="2114"/>
      <c r="G18" s="2114"/>
      <c r="H18" s="2114"/>
      <c r="I18" s="2115"/>
      <c r="AG18" s="2118" t="s">
        <v>724</v>
      </c>
      <c r="AH18" s="2119"/>
      <c r="AI18" s="2117">
        <f>EOMONTH('General Information'!$L$1,0)</f>
        <v>46326</v>
      </c>
      <c r="AJ18" s="2117"/>
      <c r="AK18" s="2117"/>
      <c r="AL18" s="2117"/>
      <c r="AM18" s="2116">
        <f>EOMONTH(AI18,1)</f>
        <v>46356</v>
      </c>
      <c r="AN18" s="2116"/>
      <c r="AO18" s="2116"/>
    </row>
    <row r="19" spans="1:41" ht="34.5" customHeight="1">
      <c r="A19" s="68" t="s">
        <v>74</v>
      </c>
      <c r="B19" s="2106" t="s">
        <v>188</v>
      </c>
      <c r="C19" s="2106"/>
      <c r="D19" s="2106" t="s">
        <v>55</v>
      </c>
      <c r="E19" s="2106"/>
      <c r="F19" s="2106" t="s">
        <v>752</v>
      </c>
      <c r="G19" s="2106"/>
      <c r="H19" s="2106" t="s">
        <v>753</v>
      </c>
      <c r="I19" s="2112"/>
      <c r="AI19" s="611"/>
      <c r="AJ19" s="611"/>
      <c r="AK19" s="611"/>
      <c r="AL19" s="611"/>
      <c r="AM19" s="611"/>
      <c r="AN19" s="611"/>
    </row>
    <row r="20" spans="1:41" ht="34.5" customHeight="1">
      <c r="A20" s="959">
        <f>HLOOKUP($AI$18,$B$2:$Z$7,2,FALSE)</f>
        <v>12</v>
      </c>
      <c r="B20" s="2099">
        <v>27</v>
      </c>
      <c r="C20" s="2099"/>
      <c r="D20" s="2111">
        <f>B20-A20</f>
        <v>15</v>
      </c>
      <c r="E20" s="2111"/>
      <c r="F20" s="2102">
        <f>HLOOKUP($AM$18,$B$2:$Z$7,6,FALSE)</f>
        <v>12</v>
      </c>
      <c r="G20" s="2103"/>
      <c r="H20" s="2102">
        <f>HLOOKUP($AI$18,$B$2:$Z$8,7,FALSE)</f>
        <v>0</v>
      </c>
      <c r="I20" s="2103"/>
      <c r="U20" s="812"/>
      <c r="AI20" s="611"/>
      <c r="AJ20" s="611"/>
      <c r="AK20" s="611"/>
      <c r="AL20" s="611"/>
      <c r="AM20" s="611"/>
      <c r="AN20" s="611"/>
    </row>
    <row r="21" spans="1:41">
      <c r="A21" s="611"/>
      <c r="B21" s="611"/>
      <c r="C21" s="611"/>
      <c r="D21" s="611"/>
      <c r="E21" s="611"/>
      <c r="F21" s="611"/>
      <c r="G21" s="611"/>
      <c r="H21" s="611"/>
      <c r="I21" s="611"/>
      <c r="J21" s="611"/>
      <c r="K21" s="611"/>
      <c r="L21" s="611"/>
      <c r="M21" s="611"/>
      <c r="N21" s="611"/>
      <c r="O21" s="611"/>
      <c r="P21" s="611"/>
      <c r="Q21" s="611"/>
      <c r="R21" s="611"/>
      <c r="S21" s="611"/>
      <c r="T21" s="611"/>
      <c r="U21" s="611"/>
      <c r="V21" s="611"/>
      <c r="W21" s="611"/>
      <c r="X21" s="611"/>
      <c r="Y21" s="611"/>
      <c r="Z21" s="611"/>
      <c r="AA21" s="611"/>
      <c r="AB21" s="611"/>
      <c r="AC21" s="611"/>
      <c r="AD21" s="611"/>
      <c r="AE21" s="611"/>
      <c r="AF21" s="611"/>
      <c r="AG21" s="611"/>
      <c r="AH21" s="611"/>
      <c r="AI21" s="611"/>
      <c r="AJ21" s="611"/>
      <c r="AK21" s="611"/>
      <c r="AL21" s="611"/>
      <c r="AM21" s="611"/>
      <c r="AN21" s="611"/>
    </row>
    <row r="22" spans="1:41" ht="34.950000000000003" customHeight="1">
      <c r="A22" s="2113" t="s">
        <v>754</v>
      </c>
      <c r="B22" s="2114"/>
      <c r="C22" s="2114"/>
      <c r="D22" s="2114"/>
      <c r="E22" s="2114"/>
      <c r="F22" s="2114"/>
      <c r="G22" s="2114"/>
      <c r="H22" s="2114"/>
      <c r="I22" s="2115"/>
      <c r="J22" s="611"/>
      <c r="L22" s="2113" t="s">
        <v>755</v>
      </c>
      <c r="M22" s="2114"/>
      <c r="N22" s="2114"/>
      <c r="O22" s="2114"/>
      <c r="P22" s="2114"/>
      <c r="Q22" s="2114"/>
      <c r="R22" s="2114"/>
      <c r="S22" s="2114"/>
      <c r="T22" s="2114"/>
      <c r="U22" s="2114"/>
      <c r="V22" s="2114"/>
      <c r="W22" s="2114"/>
      <c r="X22" s="2114"/>
      <c r="Y22" s="2114"/>
      <c r="Z22" s="2114"/>
      <c r="AA22" s="2114"/>
      <c r="AK22" s="611"/>
      <c r="AL22" s="611"/>
      <c r="AM22" s="611"/>
      <c r="AN22" s="611"/>
    </row>
    <row r="23" spans="1:41" ht="39.450000000000003" customHeight="1">
      <c r="A23" s="68" t="s">
        <v>74</v>
      </c>
      <c r="B23" s="2106" t="s">
        <v>188</v>
      </c>
      <c r="C23" s="2106"/>
      <c r="D23" s="2106" t="s">
        <v>55</v>
      </c>
      <c r="E23" s="2106"/>
      <c r="F23" s="2106" t="s">
        <v>752</v>
      </c>
      <c r="G23" s="2106"/>
      <c r="H23" s="2106" t="s">
        <v>753</v>
      </c>
      <c r="I23" s="2112"/>
      <c r="J23" s="611"/>
      <c r="L23" s="2132" t="s">
        <v>194</v>
      </c>
      <c r="M23" s="2112"/>
      <c r="N23" s="2106" t="s">
        <v>756</v>
      </c>
      <c r="O23" s="2112"/>
      <c r="P23" s="2106" t="s">
        <v>757</v>
      </c>
      <c r="Q23" s="2112"/>
      <c r="R23" s="2106" t="s">
        <v>758</v>
      </c>
      <c r="S23" s="2112"/>
      <c r="T23" s="2106" t="s">
        <v>759</v>
      </c>
      <c r="U23" s="2112"/>
      <c r="V23" s="2106" t="s">
        <v>760</v>
      </c>
      <c r="W23" s="2112"/>
      <c r="X23" s="2106" t="s">
        <v>761</v>
      </c>
      <c r="Y23" s="2112"/>
      <c r="Z23" s="2106" t="s">
        <v>762</v>
      </c>
      <c r="AA23" s="2112"/>
      <c r="AB23" s="2126" t="s">
        <v>84</v>
      </c>
      <c r="AC23" s="2127"/>
      <c r="AK23" s="611"/>
      <c r="AL23" s="611"/>
      <c r="AM23" s="611"/>
      <c r="AN23" s="611"/>
    </row>
    <row r="24" spans="1:41" ht="44.7" customHeight="1">
      <c r="A24" s="959">
        <f>HLOOKUP($AI$18,$B$10:$Z$15,2,FALSE)</f>
        <v>116</v>
      </c>
      <c r="B24" s="2099">
        <f>HLOOKUP($AI$18,$B$10:$Z$15,4,FALSE)</f>
        <v>120</v>
      </c>
      <c r="C24" s="2099"/>
      <c r="D24" s="2111">
        <f>B24-A24</f>
        <v>4</v>
      </c>
      <c r="E24" s="2111"/>
      <c r="F24" s="2102">
        <f>HLOOKUP($AM$18,$B$10:$Z$15,6,FALSE)</f>
        <v>137</v>
      </c>
      <c r="G24" s="2103"/>
      <c r="H24" s="2102">
        <f>HLOOKUP($AI$18,$B$10:$Z$16,7,FALSE)</f>
        <v>0</v>
      </c>
      <c r="I24" s="2103"/>
      <c r="J24" s="611"/>
      <c r="K24" s="611"/>
      <c r="L24" s="2133" t="s">
        <v>763</v>
      </c>
      <c r="M24" s="2134"/>
      <c r="N24" s="2124">
        <v>60</v>
      </c>
      <c r="O24" s="2125"/>
      <c r="P24" s="2124">
        <v>1</v>
      </c>
      <c r="Q24" s="2125"/>
      <c r="R24" s="2124">
        <v>0</v>
      </c>
      <c r="S24" s="2125"/>
      <c r="T24" s="2124">
        <v>20</v>
      </c>
      <c r="U24" s="2125"/>
      <c r="V24" s="2124">
        <v>2</v>
      </c>
      <c r="W24" s="2125"/>
      <c r="X24" s="2102">
        <v>2</v>
      </c>
      <c r="Y24" s="2102"/>
      <c r="Z24" s="2099">
        <v>20</v>
      </c>
      <c r="AA24" s="2102"/>
      <c r="AB24" s="2128">
        <f>SUM(N24:AA24)</f>
        <v>105</v>
      </c>
      <c r="AC24" s="2129"/>
      <c r="AE24" s="812"/>
      <c r="AF24" s="812"/>
      <c r="AG24" s="812"/>
      <c r="AH24" s="812"/>
      <c r="AK24" s="611"/>
      <c r="AL24" s="611"/>
      <c r="AM24" s="611"/>
      <c r="AN24" s="611"/>
    </row>
    <row r="25" spans="1:41" ht="40.200000000000003" customHeight="1">
      <c r="A25" s="611"/>
      <c r="B25" s="611"/>
      <c r="C25" s="611"/>
      <c r="D25" s="611"/>
      <c r="E25" s="611"/>
      <c r="F25" s="611"/>
      <c r="G25" s="611"/>
      <c r="H25" s="611"/>
      <c r="I25" s="611"/>
      <c r="J25" s="611"/>
      <c r="K25" s="611"/>
      <c r="L25" s="2130" t="s">
        <v>188</v>
      </c>
      <c r="M25" s="2131"/>
      <c r="N25" s="2124">
        <v>57</v>
      </c>
      <c r="O25" s="2125"/>
      <c r="P25" s="2124">
        <v>0</v>
      </c>
      <c r="Q25" s="2125"/>
      <c r="R25" s="2124">
        <v>0</v>
      </c>
      <c r="S25" s="2125"/>
      <c r="T25" s="2124">
        <v>36</v>
      </c>
      <c r="U25" s="2125"/>
      <c r="V25" s="2124">
        <v>0</v>
      </c>
      <c r="W25" s="2125"/>
      <c r="X25" s="2102">
        <v>0</v>
      </c>
      <c r="Y25" s="2102"/>
      <c r="Z25" s="2102">
        <v>26</v>
      </c>
      <c r="AA25" s="2102"/>
      <c r="AB25" s="2128">
        <f>SUM(N25:AA25)</f>
        <v>119</v>
      </c>
      <c r="AC25" s="2129"/>
      <c r="AE25" s="812"/>
      <c r="AF25" s="812"/>
      <c r="AK25" s="611"/>
      <c r="AL25" s="611"/>
      <c r="AM25" s="611"/>
      <c r="AN25" s="611"/>
    </row>
    <row r="26" spans="1:41">
      <c r="A26" s="611"/>
      <c r="B26" s="611"/>
      <c r="C26" s="611"/>
      <c r="D26" s="611"/>
      <c r="E26" s="611"/>
      <c r="F26" s="611"/>
      <c r="G26" s="611"/>
      <c r="H26" s="611"/>
      <c r="I26" s="611"/>
      <c r="J26" s="611"/>
      <c r="K26" s="611"/>
      <c r="L26" s="611"/>
      <c r="M26" s="611"/>
      <c r="N26" s="611"/>
      <c r="O26" s="611"/>
      <c r="P26" s="611"/>
      <c r="Q26" s="611"/>
      <c r="R26" s="611"/>
      <c r="S26" s="611"/>
      <c r="T26" s="611"/>
      <c r="U26" s="611"/>
      <c r="V26" s="611"/>
      <c r="W26" s="611"/>
      <c r="X26" s="611"/>
      <c r="Y26" s="611"/>
      <c r="Z26" s="611"/>
      <c r="AA26" s="611"/>
      <c r="AK26" s="611"/>
      <c r="AL26" s="611"/>
      <c r="AM26" s="611"/>
      <c r="AN26" s="611"/>
    </row>
    <row r="27" spans="1:41">
      <c r="A27" s="611"/>
      <c r="B27" s="611"/>
      <c r="C27" s="611"/>
      <c r="D27" s="611"/>
      <c r="E27" s="611"/>
      <c r="F27" s="611"/>
      <c r="G27" s="611"/>
      <c r="H27" s="611"/>
      <c r="I27" s="611"/>
      <c r="J27" s="611"/>
      <c r="K27" s="611"/>
      <c r="L27" s="611"/>
      <c r="M27" s="611"/>
      <c r="N27" s="611"/>
      <c r="O27" s="611"/>
      <c r="P27" s="611"/>
      <c r="Q27" s="611"/>
      <c r="R27" s="611"/>
      <c r="S27" s="611"/>
      <c r="T27" s="611"/>
      <c r="U27" s="611"/>
      <c r="V27" s="611"/>
      <c r="W27" s="611"/>
      <c r="X27" s="611"/>
      <c r="Y27" s="611"/>
      <c r="Z27" s="611"/>
      <c r="AA27" s="611"/>
      <c r="AB27" s="611"/>
      <c r="AC27" s="611"/>
      <c r="AD27" s="611"/>
      <c r="AE27" s="611"/>
      <c r="AF27" s="611"/>
      <c r="AG27" s="611"/>
      <c r="AH27" s="611"/>
      <c r="AI27" s="611"/>
      <c r="AJ27" s="611"/>
      <c r="AK27" s="611"/>
      <c r="AL27" s="611"/>
      <c r="AM27" s="611"/>
      <c r="AN27" s="611"/>
    </row>
    <row r="28" spans="1:41">
      <c r="A28" s="611"/>
      <c r="B28" s="611"/>
      <c r="C28" s="611"/>
      <c r="D28" s="611"/>
      <c r="E28" s="611"/>
      <c r="F28" s="611"/>
      <c r="G28" s="611"/>
      <c r="H28" s="611"/>
      <c r="I28" s="611"/>
      <c r="J28" s="611"/>
      <c r="K28" s="611"/>
      <c r="L28" s="611"/>
      <c r="M28" s="611"/>
      <c r="N28" s="611"/>
      <c r="O28" s="611"/>
      <c r="P28" s="611"/>
      <c r="Q28" s="611"/>
      <c r="R28" s="611"/>
      <c r="S28" s="611"/>
      <c r="T28" s="611"/>
      <c r="U28" s="611"/>
      <c r="V28" s="611"/>
      <c r="W28" s="611"/>
      <c r="X28" s="611"/>
      <c r="Y28" s="611"/>
      <c r="Z28" s="611"/>
      <c r="AA28" s="611"/>
      <c r="AB28" s="611"/>
      <c r="AC28" s="611"/>
      <c r="AD28" s="611"/>
      <c r="AE28" s="611"/>
      <c r="AF28" s="611"/>
      <c r="AG28" s="611"/>
      <c r="AH28" s="611"/>
      <c r="AI28" s="611"/>
      <c r="AJ28" s="611"/>
      <c r="AK28" s="611"/>
      <c r="AL28" s="611"/>
      <c r="AM28" s="611"/>
      <c r="AN28" s="611"/>
    </row>
    <row r="29" spans="1:41">
      <c r="A29" s="611"/>
      <c r="B29" s="611"/>
      <c r="C29" s="611"/>
      <c r="D29" s="611"/>
      <c r="E29" s="611"/>
      <c r="F29" s="611"/>
      <c r="G29" s="611"/>
      <c r="H29" s="611"/>
      <c r="I29" s="611"/>
      <c r="J29" s="611"/>
      <c r="K29" s="611"/>
      <c r="L29" s="611"/>
      <c r="M29" s="611"/>
      <c r="N29" s="611"/>
      <c r="O29" s="611"/>
      <c r="P29" s="611"/>
      <c r="Q29" s="611"/>
      <c r="R29" s="611"/>
      <c r="S29" s="611"/>
      <c r="T29" s="611"/>
      <c r="U29" s="611"/>
      <c r="V29" s="611"/>
      <c r="W29" s="611"/>
      <c r="X29" s="611"/>
      <c r="Y29" s="611"/>
      <c r="Z29" s="611"/>
      <c r="AA29" s="611"/>
      <c r="AB29" s="611"/>
      <c r="AC29" s="611"/>
      <c r="AD29" s="611"/>
      <c r="AE29" s="611"/>
      <c r="AF29" s="611"/>
      <c r="AG29" s="611"/>
      <c r="AH29" s="611"/>
      <c r="AI29" s="611"/>
      <c r="AJ29" s="611"/>
      <c r="AK29" s="611"/>
      <c r="AL29" s="611"/>
      <c r="AM29" s="611"/>
      <c r="AN29" s="611"/>
    </row>
    <row r="30" spans="1:41">
      <c r="A30" s="611"/>
      <c r="B30" s="611"/>
      <c r="C30" s="611"/>
      <c r="D30" s="611"/>
      <c r="E30" s="611"/>
      <c r="F30" s="611"/>
      <c r="G30" s="611"/>
      <c r="H30" s="611"/>
      <c r="I30" s="611"/>
      <c r="J30" s="611"/>
      <c r="K30" s="611"/>
      <c r="L30" s="611"/>
      <c r="M30" s="611"/>
      <c r="N30" s="611"/>
      <c r="O30" s="611"/>
      <c r="P30" s="611"/>
      <c r="Q30" s="611"/>
      <c r="R30" s="611"/>
      <c r="S30" s="611"/>
      <c r="T30" s="611"/>
      <c r="U30" s="611"/>
      <c r="V30" s="611"/>
      <c r="W30" s="611"/>
      <c r="X30" s="611"/>
      <c r="Y30" s="611"/>
      <c r="Z30" s="611"/>
      <c r="AA30" s="611"/>
      <c r="AB30" s="611"/>
      <c r="AC30" s="611"/>
      <c r="AD30" s="611"/>
      <c r="AE30" s="611"/>
      <c r="AF30" s="611"/>
      <c r="AG30" s="611"/>
      <c r="AH30" s="611"/>
      <c r="AI30" s="611"/>
      <c r="AJ30" s="611"/>
      <c r="AK30" s="611"/>
      <c r="AL30" s="611"/>
      <c r="AM30" s="611"/>
      <c r="AN30" s="611"/>
    </row>
    <row r="31" spans="1:41">
      <c r="A31" s="611"/>
      <c r="B31" s="611"/>
      <c r="C31" s="611"/>
      <c r="D31" s="611"/>
      <c r="E31" s="611"/>
      <c r="F31" s="611"/>
      <c r="G31" s="611"/>
      <c r="H31" s="611"/>
      <c r="I31" s="611"/>
      <c r="J31" s="611"/>
      <c r="K31" s="611"/>
      <c r="L31" s="611"/>
      <c r="M31" s="611"/>
      <c r="N31" s="611"/>
      <c r="O31" s="611"/>
      <c r="P31" s="611"/>
      <c r="Q31" s="611"/>
      <c r="R31" s="611"/>
      <c r="S31" s="611"/>
      <c r="T31" s="611"/>
      <c r="U31" s="611"/>
      <c r="V31" s="611"/>
      <c r="W31" s="611"/>
      <c r="X31" s="611"/>
      <c r="Y31" s="611"/>
      <c r="Z31" s="611"/>
      <c r="AA31" s="611"/>
      <c r="AB31" s="611"/>
      <c r="AC31" s="611"/>
      <c r="AD31" s="611"/>
      <c r="AE31" s="611"/>
      <c r="AF31" s="611"/>
      <c r="AG31" s="611"/>
      <c r="AH31" s="611"/>
      <c r="AI31" s="611"/>
      <c r="AJ31" s="611"/>
      <c r="AK31" s="611"/>
      <c r="AL31" s="611"/>
      <c r="AM31" s="611"/>
      <c r="AN31" s="611"/>
    </row>
    <row r="32" spans="1:41" ht="34.5" customHeight="1">
      <c r="A32" s="2104" t="s">
        <v>764</v>
      </c>
      <c r="B32" s="2105"/>
      <c r="C32" s="2105"/>
      <c r="D32" s="2105"/>
      <c r="E32" s="2105"/>
      <c r="F32" s="2105"/>
      <c r="G32" s="2105"/>
      <c r="H32" s="2105"/>
      <c r="I32" s="2105"/>
      <c r="J32" s="2105"/>
      <c r="K32" s="2105"/>
      <c r="L32" s="2105"/>
      <c r="M32" s="2105"/>
      <c r="N32" s="2105"/>
      <c r="O32" s="2105"/>
      <c r="P32" s="2105"/>
      <c r="Q32" s="2105"/>
      <c r="R32" s="2105"/>
      <c r="S32" s="2105"/>
      <c r="T32" s="2105"/>
      <c r="U32" s="2105"/>
      <c r="V32" s="2105"/>
      <c r="W32" s="2105"/>
      <c r="X32" s="2105"/>
      <c r="Y32" s="2105"/>
      <c r="Z32" s="2105"/>
    </row>
    <row r="33" spans="1:40" ht="67.95" customHeight="1">
      <c r="A33" s="61" t="s">
        <v>742</v>
      </c>
      <c r="B33" s="610">
        <f>+B2</f>
        <v>46068</v>
      </c>
      <c r="C33" s="610">
        <f t="shared" ref="C33:T33" si="8">EOMONTH(B33,1)</f>
        <v>46112</v>
      </c>
      <c r="D33" s="610">
        <f t="shared" si="8"/>
        <v>46142</v>
      </c>
      <c r="E33" s="610">
        <f t="shared" si="8"/>
        <v>46173</v>
      </c>
      <c r="F33" s="610">
        <f t="shared" si="8"/>
        <v>46203</v>
      </c>
      <c r="G33" s="610">
        <f t="shared" si="8"/>
        <v>46234</v>
      </c>
      <c r="H33" s="610">
        <f t="shared" si="8"/>
        <v>46265</v>
      </c>
      <c r="I33" s="610">
        <f t="shared" si="8"/>
        <v>46295</v>
      </c>
      <c r="J33" s="610">
        <f t="shared" si="8"/>
        <v>46326</v>
      </c>
      <c r="K33" s="610">
        <f t="shared" si="8"/>
        <v>46356</v>
      </c>
      <c r="L33" s="610">
        <f t="shared" si="8"/>
        <v>46387</v>
      </c>
      <c r="M33" s="610">
        <f t="shared" si="8"/>
        <v>46418</v>
      </c>
      <c r="N33" s="610">
        <f t="shared" si="8"/>
        <v>46446</v>
      </c>
      <c r="O33" s="610">
        <f t="shared" si="8"/>
        <v>46477</v>
      </c>
      <c r="P33" s="610">
        <f t="shared" si="8"/>
        <v>46507</v>
      </c>
      <c r="Q33" s="610">
        <f t="shared" si="8"/>
        <v>46538</v>
      </c>
      <c r="R33" s="610">
        <f t="shared" si="8"/>
        <v>46568</v>
      </c>
      <c r="S33" s="610">
        <f t="shared" si="8"/>
        <v>46599</v>
      </c>
      <c r="T33" s="610">
        <f t="shared" si="8"/>
        <v>46630</v>
      </c>
      <c r="U33" s="610"/>
      <c r="V33" s="610"/>
      <c r="W33" s="610"/>
      <c r="X33" s="610"/>
      <c r="Y33" s="610"/>
      <c r="Z33" s="610"/>
    </row>
    <row r="34" spans="1:40" ht="40.5" customHeight="1">
      <c r="A34" s="62" t="s">
        <v>743</v>
      </c>
      <c r="B34" s="63">
        <v>0</v>
      </c>
      <c r="C34" s="63">
        <v>9</v>
      </c>
      <c r="D34" s="63">
        <v>19</v>
      </c>
      <c r="E34" s="63">
        <v>25</v>
      </c>
      <c r="F34" s="63">
        <v>35</v>
      </c>
      <c r="G34" s="63">
        <v>50</v>
      </c>
      <c r="H34" s="63">
        <v>56</v>
      </c>
      <c r="I34" s="63">
        <v>58</v>
      </c>
      <c r="J34" s="63">
        <v>49</v>
      </c>
      <c r="K34" s="63">
        <v>50</v>
      </c>
      <c r="L34" s="63">
        <v>53</v>
      </c>
      <c r="M34" s="63">
        <v>44</v>
      </c>
      <c r="N34" s="63">
        <v>26</v>
      </c>
      <c r="O34" s="63">
        <v>25</v>
      </c>
      <c r="P34" s="63">
        <v>21</v>
      </c>
      <c r="Q34" s="63">
        <v>13</v>
      </c>
      <c r="R34" s="63">
        <v>4</v>
      </c>
      <c r="S34" s="63">
        <v>2</v>
      </c>
      <c r="T34" s="63">
        <v>0</v>
      </c>
      <c r="U34" s="63"/>
      <c r="V34" s="63"/>
      <c r="W34" s="63"/>
      <c r="X34" s="63"/>
      <c r="Y34" s="63"/>
      <c r="Z34" s="63"/>
    </row>
    <row r="35" spans="1:40" ht="40.5" customHeight="1">
      <c r="A35" s="62" t="s">
        <v>744</v>
      </c>
      <c r="B35" s="63">
        <f>B34</f>
        <v>0</v>
      </c>
      <c r="C35" s="63">
        <f>B35+C34</f>
        <v>9</v>
      </c>
      <c r="D35" s="63">
        <f t="shared" ref="D35:T35" si="9">C35+D34</f>
        <v>28</v>
      </c>
      <c r="E35" s="63">
        <f t="shared" si="9"/>
        <v>53</v>
      </c>
      <c r="F35" s="63">
        <f t="shared" si="9"/>
        <v>88</v>
      </c>
      <c r="G35" s="63">
        <f t="shared" si="9"/>
        <v>138</v>
      </c>
      <c r="H35" s="63">
        <f t="shared" si="9"/>
        <v>194</v>
      </c>
      <c r="I35" s="63">
        <f t="shared" si="9"/>
        <v>252</v>
      </c>
      <c r="J35" s="63">
        <f t="shared" si="9"/>
        <v>301</v>
      </c>
      <c r="K35" s="63">
        <f t="shared" si="9"/>
        <v>351</v>
      </c>
      <c r="L35" s="63">
        <f t="shared" si="9"/>
        <v>404</v>
      </c>
      <c r="M35" s="63">
        <f t="shared" si="9"/>
        <v>448</v>
      </c>
      <c r="N35" s="63">
        <f t="shared" si="9"/>
        <v>474</v>
      </c>
      <c r="O35" s="63">
        <f t="shared" si="9"/>
        <v>499</v>
      </c>
      <c r="P35" s="63">
        <f t="shared" si="9"/>
        <v>520</v>
      </c>
      <c r="Q35" s="63">
        <f t="shared" si="9"/>
        <v>533</v>
      </c>
      <c r="R35" s="63">
        <f t="shared" si="9"/>
        <v>537</v>
      </c>
      <c r="S35" s="63">
        <f t="shared" si="9"/>
        <v>539</v>
      </c>
      <c r="T35" s="63">
        <f t="shared" si="9"/>
        <v>539</v>
      </c>
      <c r="U35" s="63"/>
      <c r="V35" s="63"/>
      <c r="W35" s="63"/>
      <c r="X35" s="63"/>
      <c r="Y35" s="63"/>
      <c r="Z35" s="63"/>
    </row>
    <row r="36" spans="1:40" ht="28.5" customHeight="1">
      <c r="A36" s="62" t="s">
        <v>745</v>
      </c>
      <c r="B36" s="63"/>
      <c r="C36" s="1150">
        <f>AVERAGE(54,61,62,64)</f>
        <v>60.25</v>
      </c>
      <c r="D36" s="1150">
        <f>AVERAGE(61,68,68,69)</f>
        <v>66.5</v>
      </c>
      <c r="E36" s="1150">
        <f>AVERAGE(69,62,66,67)</f>
        <v>66</v>
      </c>
      <c r="F36" s="1150">
        <f>AVERAGE(71,72,72,68,68)</f>
        <v>70.2</v>
      </c>
      <c r="G36" s="1150">
        <f>AVERAGE(68,64,62,63)</f>
        <v>64.25</v>
      </c>
      <c r="H36" s="1150">
        <f>AVERAGE(66,66,67,67)</f>
        <v>66.5</v>
      </c>
      <c r="I36" s="1150">
        <f>AVERAGE(68,69,65,65,72)</f>
        <v>67.8</v>
      </c>
      <c r="J36" s="1150">
        <f>AVERAGE(65,64)</f>
        <v>64.5</v>
      </c>
      <c r="K36" s="63"/>
      <c r="L36" s="63"/>
      <c r="M36" s="63"/>
      <c r="N36" s="63"/>
      <c r="O36" s="63"/>
      <c r="P36" s="63"/>
      <c r="Q36" s="63"/>
      <c r="R36" s="63"/>
      <c r="S36" s="63"/>
      <c r="T36" s="63"/>
      <c r="U36" s="63"/>
      <c r="V36" s="63"/>
      <c r="W36" s="63"/>
      <c r="X36" s="63"/>
      <c r="Y36" s="63"/>
      <c r="Z36" s="63"/>
    </row>
    <row r="37" spans="1:40" ht="28.5" customHeight="1">
      <c r="A37" s="64" t="s">
        <v>746</v>
      </c>
      <c r="B37" s="65">
        <f>B36</f>
        <v>0</v>
      </c>
      <c r="C37" s="1195">
        <f t="shared" ref="C37:T37" si="10">C36+B37</f>
        <v>60.25</v>
      </c>
      <c r="D37" s="1195">
        <f t="shared" si="10"/>
        <v>126.75</v>
      </c>
      <c r="E37" s="1195">
        <f t="shared" si="10"/>
        <v>192.75</v>
      </c>
      <c r="F37" s="1195">
        <f t="shared" si="10"/>
        <v>262.95</v>
      </c>
      <c r="G37" s="1195">
        <f t="shared" si="10"/>
        <v>327.2</v>
      </c>
      <c r="H37" s="1195">
        <f t="shared" si="10"/>
        <v>393.7</v>
      </c>
      <c r="I37" s="1195">
        <f t="shared" si="10"/>
        <v>461.5</v>
      </c>
      <c r="J37" s="1195">
        <f t="shared" si="10"/>
        <v>526</v>
      </c>
      <c r="K37" s="1195">
        <f t="shared" si="10"/>
        <v>526</v>
      </c>
      <c r="L37" s="1195">
        <f t="shared" si="10"/>
        <v>526</v>
      </c>
      <c r="M37" s="1195">
        <f t="shared" si="10"/>
        <v>526</v>
      </c>
      <c r="N37" s="1195">
        <f t="shared" si="10"/>
        <v>526</v>
      </c>
      <c r="O37" s="1195">
        <f t="shared" si="10"/>
        <v>526</v>
      </c>
      <c r="P37" s="1195">
        <f t="shared" si="10"/>
        <v>526</v>
      </c>
      <c r="Q37" s="1195">
        <f t="shared" si="10"/>
        <v>526</v>
      </c>
      <c r="R37" s="1195">
        <f t="shared" si="10"/>
        <v>526</v>
      </c>
      <c r="S37" s="1195">
        <f t="shared" si="10"/>
        <v>526</v>
      </c>
      <c r="T37" s="1195">
        <f t="shared" si="10"/>
        <v>526</v>
      </c>
      <c r="U37" s="65"/>
      <c r="V37" s="65"/>
      <c r="W37" s="65"/>
      <c r="X37" s="65"/>
      <c r="Y37" s="65"/>
      <c r="Z37" s="65"/>
    </row>
    <row r="38" spans="1:40" s="34" customFormat="1" ht="28.5" customHeight="1" thickBot="1">
      <c r="A38" s="66" t="s">
        <v>747</v>
      </c>
      <c r="B38" s="67"/>
      <c r="C38" s="67"/>
      <c r="D38" s="67"/>
      <c r="E38" s="67">
        <f>+E34</f>
        <v>25</v>
      </c>
      <c r="F38" s="67">
        <f>+F34</f>
        <v>35</v>
      </c>
      <c r="G38" s="67">
        <f>+G34</f>
        <v>50</v>
      </c>
      <c r="H38" s="67">
        <f t="shared" ref="H38:T38" si="11">+H34</f>
        <v>56</v>
      </c>
      <c r="I38" s="67">
        <f t="shared" si="11"/>
        <v>58</v>
      </c>
      <c r="J38" s="67">
        <f t="shared" si="11"/>
        <v>49</v>
      </c>
      <c r="K38" s="67">
        <f t="shared" si="11"/>
        <v>50</v>
      </c>
      <c r="L38" s="67">
        <f t="shared" si="11"/>
        <v>53</v>
      </c>
      <c r="M38" s="67">
        <f t="shared" si="11"/>
        <v>44</v>
      </c>
      <c r="N38" s="67">
        <f t="shared" si="11"/>
        <v>26</v>
      </c>
      <c r="O38" s="67">
        <f t="shared" si="11"/>
        <v>25</v>
      </c>
      <c r="P38" s="67">
        <f t="shared" si="11"/>
        <v>21</v>
      </c>
      <c r="Q38" s="67">
        <f t="shared" si="11"/>
        <v>13</v>
      </c>
      <c r="R38" s="67">
        <f t="shared" si="11"/>
        <v>4</v>
      </c>
      <c r="S38" s="67">
        <f t="shared" si="11"/>
        <v>2</v>
      </c>
      <c r="T38" s="67">
        <f t="shared" si="11"/>
        <v>0</v>
      </c>
      <c r="U38" s="67"/>
      <c r="V38" s="67"/>
      <c r="W38" s="67"/>
      <c r="X38" s="67"/>
      <c r="Y38" s="67"/>
      <c r="Z38" s="67"/>
    </row>
    <row r="39" spans="1:40" ht="15" thickTop="1">
      <c r="A39" s="611"/>
      <c r="B39" s="611"/>
      <c r="C39" s="611"/>
      <c r="D39" s="611"/>
      <c r="E39" s="611"/>
      <c r="F39" s="611"/>
      <c r="G39" s="611"/>
      <c r="H39" s="611"/>
      <c r="I39" s="611"/>
      <c r="J39" s="611"/>
      <c r="K39" s="611"/>
      <c r="L39" s="611"/>
      <c r="M39" s="611"/>
      <c r="N39" s="611"/>
      <c r="O39" s="611"/>
      <c r="P39" s="611"/>
      <c r="Q39" s="611"/>
      <c r="R39" s="611"/>
      <c r="S39" s="611"/>
      <c r="T39" s="611"/>
      <c r="U39" s="611"/>
      <c r="V39" s="611"/>
      <c r="W39" s="611"/>
      <c r="X39" s="611"/>
      <c r="Y39" s="611"/>
      <c r="Z39" s="611"/>
      <c r="AA39" s="611"/>
      <c r="AB39" s="611"/>
      <c r="AC39" s="611"/>
      <c r="AD39" s="611"/>
      <c r="AE39" s="611"/>
      <c r="AF39" s="611"/>
      <c r="AG39" s="611"/>
      <c r="AH39" s="611"/>
      <c r="AI39" s="611"/>
      <c r="AJ39" s="611"/>
      <c r="AK39" s="611"/>
      <c r="AL39" s="611"/>
      <c r="AM39" s="611"/>
      <c r="AN39" s="611"/>
    </row>
    <row r="41" spans="1:40">
      <c r="A41" s="2109" t="s">
        <v>765</v>
      </c>
      <c r="B41" s="2110"/>
      <c r="C41" s="2110"/>
      <c r="D41" s="2110"/>
      <c r="E41" s="2110"/>
      <c r="F41" s="2110"/>
      <c r="G41" s="2110"/>
      <c r="H41" s="2110"/>
      <c r="I41" s="2110"/>
    </row>
    <row r="42" spans="1:40" ht="30" customHeight="1">
      <c r="A42" s="68" t="s">
        <v>74</v>
      </c>
      <c r="B42" s="2106" t="s">
        <v>188</v>
      </c>
      <c r="C42" s="2106"/>
      <c r="D42" s="2106" t="s">
        <v>196</v>
      </c>
      <c r="E42" s="2106"/>
      <c r="F42" s="2107" t="s">
        <v>55</v>
      </c>
      <c r="G42" s="2108"/>
      <c r="H42" s="2106" t="s">
        <v>752</v>
      </c>
      <c r="I42" s="2106"/>
    </row>
    <row r="43" spans="1:40">
      <c r="A43" s="959">
        <f>HLOOKUP($AI$18,$B$33:$AN$38,2,FALSE)</f>
        <v>49</v>
      </c>
      <c r="B43" s="2099">
        <f>HLOOKUP($AI$18,$B$33:$AN$38,4,FALSE)</f>
        <v>64.5</v>
      </c>
      <c r="C43" s="2099"/>
      <c r="D43" s="2102"/>
      <c r="E43" s="2102"/>
      <c r="F43" s="2100">
        <f>B43-A43</f>
        <v>15.5</v>
      </c>
      <c r="G43" s="2101"/>
      <c r="H43" s="2102">
        <f>HLOOKUP($AM$18,$B$33:$AN$38,6,FALSE)</f>
        <v>50</v>
      </c>
      <c r="I43" s="2103"/>
    </row>
    <row r="47" spans="1:40">
      <c r="O47" s="812"/>
    </row>
    <row r="49" spans="1:19" s="411" customFormat="1" ht="27" customHeight="1">
      <c r="A49" s="572" t="s">
        <v>195</v>
      </c>
      <c r="B49" s="2098" t="s">
        <v>766</v>
      </c>
      <c r="C49" s="2098" t="s">
        <v>767</v>
      </c>
      <c r="D49" s="2098" t="s">
        <v>768</v>
      </c>
      <c r="E49" s="2098" t="s">
        <v>769</v>
      </c>
      <c r="F49" s="2098" t="s">
        <v>770</v>
      </c>
      <c r="G49" s="2098" t="s">
        <v>771</v>
      </c>
      <c r="H49" s="2098" t="s">
        <v>772</v>
      </c>
      <c r="I49" s="2098"/>
      <c r="J49" s="2098" t="s">
        <v>773</v>
      </c>
      <c r="K49" s="2098"/>
      <c r="L49" s="2098" t="s">
        <v>771</v>
      </c>
      <c r="M49" s="2098"/>
      <c r="N49" s="2098" t="s">
        <v>739</v>
      </c>
      <c r="O49" s="2098"/>
      <c r="P49" s="2098" t="s">
        <v>84</v>
      </c>
      <c r="Q49" s="2098"/>
    </row>
    <row r="50" spans="1:19" s="411" customFormat="1" ht="27" customHeight="1">
      <c r="A50" s="572" t="s">
        <v>763</v>
      </c>
      <c r="B50" s="2097">
        <v>5</v>
      </c>
      <c r="C50" s="2097"/>
      <c r="D50" s="2097">
        <v>5</v>
      </c>
      <c r="E50" s="2097"/>
      <c r="F50" s="2097">
        <v>2</v>
      </c>
      <c r="G50" s="2097"/>
      <c r="H50" s="2097">
        <v>17</v>
      </c>
      <c r="I50" s="2097"/>
      <c r="J50" s="2097">
        <v>0</v>
      </c>
      <c r="K50" s="2097"/>
      <c r="L50" s="2097">
        <v>4</v>
      </c>
      <c r="M50" s="2097"/>
      <c r="N50" s="2097">
        <v>17</v>
      </c>
      <c r="O50" s="2097"/>
      <c r="P50" s="2097">
        <f>SUM(B50:O50)</f>
        <v>50</v>
      </c>
      <c r="Q50" s="2097"/>
      <c r="R50" s="813"/>
      <c r="S50" s="813"/>
    </row>
    <row r="51" spans="1:19" s="411" customFormat="1" ht="27" customHeight="1">
      <c r="A51" s="572" t="s">
        <v>188</v>
      </c>
      <c r="B51" s="2097">
        <v>13</v>
      </c>
      <c r="C51" s="2097"/>
      <c r="D51" s="2097">
        <v>5</v>
      </c>
      <c r="E51" s="2097"/>
      <c r="F51" s="2097">
        <v>7</v>
      </c>
      <c r="G51" s="2097"/>
      <c r="H51" s="2097">
        <v>20</v>
      </c>
      <c r="I51" s="2097"/>
      <c r="J51" s="2097">
        <v>2</v>
      </c>
      <c r="K51" s="2097"/>
      <c r="L51" s="2097">
        <v>3</v>
      </c>
      <c r="M51" s="2097"/>
      <c r="N51" s="2097">
        <v>14</v>
      </c>
      <c r="O51" s="2097"/>
      <c r="P51" s="2097">
        <f>SUM(B51:O51)</f>
        <v>64</v>
      </c>
      <c r="Q51" s="2097"/>
    </row>
    <row r="52" spans="1:19" s="411" customFormat="1" ht="27" customHeight="1">
      <c r="A52" s="572" t="s">
        <v>196</v>
      </c>
      <c r="B52" s="2097"/>
      <c r="C52" s="2097"/>
      <c r="D52" s="2097"/>
      <c r="E52" s="2097"/>
      <c r="F52" s="2097"/>
      <c r="G52" s="2097"/>
      <c r="H52" s="2097"/>
      <c r="I52" s="2097"/>
      <c r="J52" s="2097"/>
      <c r="K52" s="2097"/>
      <c r="L52" s="2097"/>
      <c r="M52" s="2097"/>
      <c r="N52" s="2097"/>
      <c r="O52" s="2097"/>
      <c r="P52" s="2097">
        <f>SUM(B52:O52)</f>
        <v>0</v>
      </c>
      <c r="Q52" s="2097"/>
    </row>
    <row r="54" spans="1:19">
      <c r="Q54" s="812"/>
    </row>
  </sheetData>
  <mergeCells count="93">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 ref="B52:C52"/>
    <mergeCell ref="D52:E52"/>
    <mergeCell ref="F52:G52"/>
    <mergeCell ref="H52:I52"/>
    <mergeCell ref="J52:K52"/>
    <mergeCell ref="Z23:AA23"/>
    <mergeCell ref="H50:I50"/>
    <mergeCell ref="J50:K50"/>
    <mergeCell ref="L50:M50"/>
    <mergeCell ref="N50:O50"/>
    <mergeCell ref="P50:Q50"/>
    <mergeCell ref="H24:I24"/>
    <mergeCell ref="H49:I49"/>
    <mergeCell ref="J49:K49"/>
    <mergeCell ref="L49:M49"/>
    <mergeCell ref="N49:O49"/>
    <mergeCell ref="P49:Q49"/>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AM18:AO18"/>
    <mergeCell ref="F20:G20"/>
    <mergeCell ref="B20:C20"/>
    <mergeCell ref="D20:E20"/>
    <mergeCell ref="B19:C19"/>
    <mergeCell ref="D19:E19"/>
    <mergeCell ref="F19:G19"/>
    <mergeCell ref="AI18:AL18"/>
    <mergeCell ref="AG18:AH18"/>
    <mergeCell ref="A18:I18"/>
    <mergeCell ref="H19:I19"/>
    <mergeCell ref="H20:I20"/>
    <mergeCell ref="B24:C24"/>
    <mergeCell ref="D24:E24"/>
    <mergeCell ref="F24:G24"/>
    <mergeCell ref="H23:I23"/>
    <mergeCell ref="A22:I22"/>
    <mergeCell ref="B23:C23"/>
    <mergeCell ref="D23:E23"/>
    <mergeCell ref="F23:G23"/>
    <mergeCell ref="B43:C43"/>
    <mergeCell ref="F43:G43"/>
    <mergeCell ref="H43:I43"/>
    <mergeCell ref="D43:E43"/>
    <mergeCell ref="A32:Z32"/>
    <mergeCell ref="B42:C42"/>
    <mergeCell ref="F42:G42"/>
    <mergeCell ref="H42:I42"/>
    <mergeCell ref="D42:E42"/>
    <mergeCell ref="A41:I41"/>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4"/>
  <sheetViews>
    <sheetView rightToLeft="1" view="pageBreakPreview" zoomScale="85" zoomScaleNormal="44" zoomScaleSheetLayoutView="85" workbookViewId="0">
      <selection sqref="A1:XFD1048576"/>
    </sheetView>
  </sheetViews>
  <sheetFormatPr defaultColWidth="8.6640625" defaultRowHeight="14.4"/>
  <cols>
    <col min="1" max="1" width="16.44140625" style="34" bestFit="1" customWidth="1"/>
    <col min="2" max="2" width="22.33203125" style="34" customWidth="1"/>
    <col min="3" max="3" width="22.44140625" style="34" customWidth="1"/>
    <col min="4" max="4" width="26.109375" style="34" customWidth="1"/>
    <col min="5" max="5" width="2.109375" style="34" customWidth="1"/>
    <col min="6" max="6" width="31.44140625" style="34" customWidth="1"/>
    <col min="7" max="10" width="10.88671875" style="34" customWidth="1"/>
    <col min="11" max="11" width="2.109375" style="34" customWidth="1"/>
    <col min="12" max="22" width="16.109375" style="34" customWidth="1"/>
    <col min="23" max="16384" width="8.6640625" style="34"/>
  </cols>
  <sheetData>
    <row r="1" spans="1:24" ht="45.9" customHeight="1" thickBot="1">
      <c r="A1" s="2154" t="s">
        <v>1178</v>
      </c>
      <c r="B1" s="2155"/>
      <c r="C1" s="2155"/>
      <c r="D1" s="2155"/>
      <c r="E1" s="2155"/>
      <c r="F1" s="2155"/>
      <c r="G1" s="2155"/>
      <c r="H1" s="2155"/>
      <c r="I1" s="2155"/>
      <c r="J1" s="2155"/>
      <c r="K1" s="2155"/>
      <c r="L1" s="2155"/>
      <c r="M1" s="2155"/>
      <c r="N1" s="2155"/>
      <c r="O1" s="2156"/>
      <c r="P1" s="1047"/>
      <c r="Q1" s="1047"/>
      <c r="R1" s="1047"/>
      <c r="S1" s="1047"/>
      <c r="T1" s="1047"/>
      <c r="U1" s="1047"/>
      <c r="V1" s="1047"/>
    </row>
    <row r="2" spans="1:24" ht="31.5" customHeight="1" thickBot="1">
      <c r="A2" s="2148" t="s">
        <v>991</v>
      </c>
      <c r="B2" s="2149"/>
      <c r="C2" s="2149"/>
      <c r="D2" s="2150"/>
      <c r="F2" s="2157" t="s">
        <v>990</v>
      </c>
      <c r="G2" s="2158"/>
      <c r="H2" s="2158"/>
      <c r="I2" s="2158"/>
      <c r="J2" s="2159"/>
      <c r="L2" s="2137" t="s">
        <v>989</v>
      </c>
      <c r="M2" s="2138"/>
      <c r="N2" s="2138"/>
      <c r="O2" s="2142"/>
      <c r="P2" s="1033"/>
      <c r="Q2" s="1033"/>
      <c r="R2" s="1033"/>
      <c r="S2" s="1033"/>
      <c r="T2" s="1033"/>
      <c r="U2" s="1033"/>
      <c r="V2" s="1033"/>
    </row>
    <row r="3" spans="1:24" ht="31.5" customHeight="1">
      <c r="A3" s="1045" t="s">
        <v>988</v>
      </c>
      <c r="B3" s="1046" t="s">
        <v>987</v>
      </c>
      <c r="C3" s="1045" t="s">
        <v>986</v>
      </c>
      <c r="D3" s="1044" t="s">
        <v>985</v>
      </c>
      <c r="F3" s="1043" t="s">
        <v>961</v>
      </c>
      <c r="G3" s="1014" t="s">
        <v>967</v>
      </c>
      <c r="H3" s="1014" t="s">
        <v>984</v>
      </c>
      <c r="I3" s="1014" t="s">
        <v>965</v>
      </c>
      <c r="J3" s="1014" t="s">
        <v>983</v>
      </c>
      <c r="L3" s="1042"/>
      <c r="M3" s="1041"/>
      <c r="N3" s="1041"/>
      <c r="O3" s="1040"/>
      <c r="P3" s="1026"/>
      <c r="Q3" s="1026"/>
      <c r="R3" s="1026"/>
      <c r="S3" s="1026"/>
      <c r="T3" s="1026"/>
      <c r="U3" s="1026"/>
      <c r="V3" s="1026"/>
    </row>
    <row r="4" spans="1:24" ht="31.5" customHeight="1">
      <c r="A4" s="1035" t="s">
        <v>982</v>
      </c>
      <c r="B4" s="1039" t="s">
        <v>1179</v>
      </c>
      <c r="C4" s="1035" t="s">
        <v>981</v>
      </c>
      <c r="D4" s="1039" t="s">
        <v>980</v>
      </c>
      <c r="F4" s="1023" t="s">
        <v>1180</v>
      </c>
      <c r="G4" s="1020">
        <v>3754</v>
      </c>
      <c r="H4" s="1019">
        <v>2736</v>
      </c>
      <c r="I4" s="1019">
        <f>G4-H4</f>
        <v>1018</v>
      </c>
      <c r="J4" s="1018">
        <f>H4/G4</f>
        <v>0.72882258923814602</v>
      </c>
      <c r="L4" s="1029"/>
      <c r="M4" s="1026"/>
      <c r="N4" s="1026"/>
      <c r="O4" s="1028"/>
      <c r="P4" s="1026"/>
      <c r="Q4" s="1026"/>
      <c r="R4" s="1026"/>
      <c r="S4" s="1026"/>
      <c r="T4" s="1026"/>
      <c r="U4" s="1026"/>
      <c r="V4" s="1026"/>
      <c r="W4" s="1022"/>
      <c r="X4" s="1022"/>
    </row>
    <row r="5" spans="1:24" ht="31.5" customHeight="1">
      <c r="A5" s="1035" t="s">
        <v>979</v>
      </c>
      <c r="B5" s="1038" t="s">
        <v>978</v>
      </c>
      <c r="C5" s="1035" t="s">
        <v>977</v>
      </c>
      <c r="D5" s="1037" t="s">
        <v>1181</v>
      </c>
      <c r="F5" s="1031" t="s">
        <v>1182</v>
      </c>
      <c r="G5" s="1013">
        <v>8463.652</v>
      </c>
      <c r="H5" s="1013">
        <v>6923</v>
      </c>
      <c r="I5" s="1012">
        <f>G5-H5</f>
        <v>1540.652</v>
      </c>
      <c r="J5" s="1011">
        <f>H5/G5</f>
        <v>0.81796841363515416</v>
      </c>
      <c r="L5" s="1029"/>
      <c r="M5" s="1026"/>
      <c r="N5" s="1026"/>
      <c r="O5" s="1028"/>
      <c r="P5" s="1026"/>
      <c r="Q5" s="1026"/>
      <c r="R5" s="1026"/>
      <c r="S5" s="1026"/>
      <c r="T5" s="1026"/>
      <c r="U5" s="1026"/>
      <c r="V5" s="1026"/>
      <c r="W5" s="1022"/>
      <c r="X5" s="1022"/>
    </row>
    <row r="6" spans="1:24" ht="31.5" customHeight="1">
      <c r="A6" s="1035" t="s">
        <v>976</v>
      </c>
      <c r="B6" s="1036">
        <f>Progress!G28</f>
        <v>0.55242619025633488</v>
      </c>
      <c r="C6" s="1035" t="s">
        <v>975</v>
      </c>
      <c r="D6" s="1034">
        <f>Progress!H28</f>
        <v>0.77077088673181049</v>
      </c>
      <c r="F6" s="1023" t="s">
        <v>1183</v>
      </c>
      <c r="G6" s="1020">
        <v>5</v>
      </c>
      <c r="H6" s="1212">
        <v>4.68</v>
      </c>
      <c r="I6" s="1213">
        <f>G6-H6</f>
        <v>0.32000000000000028</v>
      </c>
      <c r="J6" s="1018">
        <f>H6/G6</f>
        <v>0.93599999999999994</v>
      </c>
      <c r="L6" s="1029"/>
      <c r="M6" s="1026"/>
      <c r="N6" s="1026"/>
      <c r="O6" s="1028"/>
      <c r="P6" s="1026"/>
      <c r="Q6" s="1026"/>
      <c r="R6" s="1026"/>
      <c r="S6" s="1026"/>
      <c r="T6" s="1026"/>
      <c r="U6" s="1026"/>
      <c r="V6" s="1026"/>
      <c r="W6" s="1022"/>
      <c r="X6" s="1022"/>
    </row>
    <row r="7" spans="1:24" ht="31.5" customHeight="1" thickBot="1">
      <c r="F7" s="1031" t="s">
        <v>1184</v>
      </c>
      <c r="G7" s="1013">
        <v>3920.63</v>
      </c>
      <c r="H7" s="1013">
        <v>3078.92</v>
      </c>
      <c r="I7" s="1012">
        <f>G7-H7</f>
        <v>841.71</v>
      </c>
      <c r="J7" s="1011">
        <f>H7/G7</f>
        <v>0.78531256456232801</v>
      </c>
      <c r="L7" s="1029"/>
      <c r="M7" s="1026"/>
      <c r="N7" s="1026"/>
      <c r="O7" s="1028"/>
      <c r="P7" s="1026"/>
      <c r="Q7" s="1026"/>
      <c r="R7" s="1026"/>
      <c r="S7" s="1026"/>
      <c r="T7" s="1026"/>
      <c r="U7" s="1026"/>
      <c r="V7" s="1026"/>
      <c r="W7" s="1022"/>
      <c r="X7" s="1022"/>
    </row>
    <row r="8" spans="1:24" ht="31.5" customHeight="1" thickBot="1">
      <c r="A8" s="2137" t="s">
        <v>974</v>
      </c>
      <c r="B8" s="2138"/>
      <c r="C8" s="2138"/>
      <c r="D8" s="2142"/>
      <c r="F8" s="1023"/>
      <c r="G8" s="1020"/>
      <c r="H8" s="1020"/>
      <c r="I8" s="1019"/>
      <c r="J8" s="1018"/>
      <c r="L8" s="1029"/>
      <c r="M8" s="1026"/>
      <c r="N8" s="1026"/>
      <c r="O8" s="1028"/>
      <c r="P8" s="1026"/>
      <c r="Q8" s="1026"/>
      <c r="R8" s="1026"/>
      <c r="S8" s="1026"/>
      <c r="T8" s="1026"/>
      <c r="U8" s="1026"/>
      <c r="V8" s="1026"/>
      <c r="W8" s="1022"/>
      <c r="X8" s="1022"/>
    </row>
    <row r="9" spans="1:24" ht="31.5" customHeight="1">
      <c r="A9" s="2147" t="s">
        <v>973</v>
      </c>
      <c r="B9" s="2147"/>
      <c r="C9" s="1014" t="s">
        <v>972</v>
      </c>
      <c r="D9" s="1014" t="s">
        <v>971</v>
      </c>
      <c r="F9" s="1031"/>
      <c r="G9" s="1013"/>
      <c r="H9" s="1012"/>
      <c r="I9" s="1012"/>
      <c r="J9" s="1011"/>
      <c r="L9" s="1029"/>
      <c r="M9" s="1026"/>
      <c r="N9" s="1026"/>
      <c r="O9" s="1028"/>
      <c r="P9" s="1026"/>
      <c r="Q9" s="1027"/>
      <c r="R9" s="1026"/>
      <c r="S9" s="1026"/>
      <c r="T9" s="1026"/>
      <c r="U9" s="1026"/>
      <c r="V9" s="1026"/>
      <c r="W9" s="1022"/>
      <c r="X9" s="1022"/>
    </row>
    <row r="10" spans="1:24" ht="31.5" customHeight="1" thickBot="1">
      <c r="A10" s="2140" t="s">
        <v>970</v>
      </c>
      <c r="B10" s="2141"/>
      <c r="C10" s="1030">
        <v>27242056</v>
      </c>
      <c r="D10" s="1018">
        <f>+C10/$C$21</f>
        <v>0.52362875170714307</v>
      </c>
      <c r="F10" s="1031"/>
      <c r="G10" s="1020"/>
      <c r="H10" s="1020"/>
      <c r="I10" s="1019"/>
      <c r="J10" s="1018"/>
      <c r="L10" s="1004"/>
      <c r="M10" s="1003"/>
      <c r="N10" s="1003"/>
      <c r="O10" s="1002"/>
      <c r="W10" s="1022"/>
      <c r="X10" s="1022"/>
    </row>
    <row r="11" spans="1:24" ht="31.5" customHeight="1" thickBot="1">
      <c r="A11" s="2135" t="s">
        <v>1185</v>
      </c>
      <c r="B11" s="2135"/>
      <c r="C11" s="1032">
        <v>3513100</v>
      </c>
      <c r="D11" s="1011">
        <f>+C11/$C$21</f>
        <v>6.7526480659989993E-2</v>
      </c>
      <c r="F11" s="1023"/>
      <c r="G11" s="1013"/>
      <c r="H11" s="1013"/>
      <c r="I11" s="1012"/>
      <c r="J11" s="1011"/>
      <c r="W11" s="1022"/>
      <c r="X11" s="1022"/>
    </row>
    <row r="12" spans="1:24" ht="31.5" customHeight="1" thickBot="1">
      <c r="A12" s="2140" t="s">
        <v>1183</v>
      </c>
      <c r="B12" s="2141"/>
      <c r="C12" s="1030">
        <v>5910360</v>
      </c>
      <c r="D12" s="1018">
        <f>+C12/$C$21</f>
        <v>0.11360502411931868</v>
      </c>
      <c r="F12" s="2137" t="s">
        <v>969</v>
      </c>
      <c r="G12" s="2138"/>
      <c r="H12" s="2138"/>
      <c r="I12" s="2138"/>
      <c r="J12" s="2142"/>
      <c r="L12" s="2137" t="s">
        <v>968</v>
      </c>
      <c r="M12" s="2138"/>
      <c r="N12" s="2138"/>
      <c r="O12" s="2138"/>
      <c r="P12" s="1033"/>
      <c r="Q12" s="1033"/>
      <c r="R12" s="1033"/>
      <c r="S12" s="1033"/>
      <c r="T12" s="1033"/>
      <c r="U12" s="1033"/>
      <c r="V12" s="1033"/>
    </row>
    <row r="13" spans="1:24" ht="31.5" customHeight="1">
      <c r="A13" s="2135" t="s">
        <v>1184</v>
      </c>
      <c r="B13" s="2135"/>
      <c r="C13" s="1032">
        <v>15360000</v>
      </c>
      <c r="D13" s="1011">
        <f>+C13/$C$21</f>
        <v>0.29523974351354826</v>
      </c>
      <c r="F13" s="1014" t="s">
        <v>961</v>
      </c>
      <c r="G13" s="1014" t="s">
        <v>967</v>
      </c>
      <c r="H13" s="1014" t="s">
        <v>966</v>
      </c>
      <c r="I13" s="1014" t="s">
        <v>965</v>
      </c>
      <c r="J13" s="1014" t="s">
        <v>964</v>
      </c>
      <c r="L13" s="1008"/>
      <c r="M13" s="1007"/>
      <c r="N13" s="1008"/>
      <c r="O13" s="1007"/>
      <c r="W13" s="1022"/>
    </row>
    <row r="14" spans="1:24" ht="31.5" customHeight="1">
      <c r="A14" s="2140"/>
      <c r="B14" s="2141"/>
      <c r="C14" s="1030"/>
      <c r="D14" s="1018"/>
      <c r="F14" s="1031" t="s">
        <v>1186</v>
      </c>
      <c r="G14" s="1013">
        <v>8463.652</v>
      </c>
      <c r="H14" s="1013">
        <v>8463.652</v>
      </c>
      <c r="I14" s="1012">
        <f t="shared" ref="I14:I20" si="0">+G14-H14</f>
        <v>0</v>
      </c>
      <c r="J14" s="1011">
        <f t="shared" ref="J14:J20" si="1">H14/G14</f>
        <v>1</v>
      </c>
      <c r="L14" s="1008"/>
      <c r="M14" s="1007"/>
      <c r="N14" s="1008"/>
      <c r="O14" s="1007"/>
      <c r="W14" s="1022"/>
    </row>
    <row r="15" spans="1:24" ht="31.5" customHeight="1">
      <c r="A15" s="2135"/>
      <c r="B15" s="2135"/>
      <c r="C15" s="1032"/>
      <c r="D15" s="1011"/>
      <c r="F15" s="1138" t="s">
        <v>1187</v>
      </c>
      <c r="G15" s="1020">
        <v>100</v>
      </c>
      <c r="H15" s="1021">
        <v>100</v>
      </c>
      <c r="I15" s="1019">
        <f t="shared" si="0"/>
        <v>0</v>
      </c>
      <c r="J15" s="1018">
        <f t="shared" si="1"/>
        <v>1</v>
      </c>
      <c r="L15" s="1008"/>
      <c r="M15" s="1007"/>
      <c r="N15" s="1008"/>
      <c r="O15" s="1007"/>
      <c r="W15" s="1022"/>
    </row>
    <row r="16" spans="1:24" ht="31.5" customHeight="1">
      <c r="A16" s="2140"/>
      <c r="B16" s="2141"/>
      <c r="C16" s="1030"/>
      <c r="D16" s="1018"/>
      <c r="F16" s="1031" t="s">
        <v>1188</v>
      </c>
      <c r="G16" s="1013">
        <v>46</v>
      </c>
      <c r="H16" s="1013">
        <v>46</v>
      </c>
      <c r="I16" s="1012">
        <f t="shared" si="0"/>
        <v>0</v>
      </c>
      <c r="J16" s="1011">
        <f t="shared" si="1"/>
        <v>1</v>
      </c>
      <c r="L16" s="1008"/>
      <c r="M16" s="1007"/>
      <c r="N16" s="1008"/>
      <c r="O16" s="1007"/>
      <c r="W16" s="1022"/>
    </row>
    <row r="17" spans="1:24" ht="31.5" customHeight="1">
      <c r="A17" s="2135"/>
      <c r="B17" s="2135"/>
      <c r="C17" s="1032"/>
      <c r="D17" s="1011"/>
      <c r="F17" s="1138" t="s">
        <v>1189</v>
      </c>
      <c r="G17" s="1020">
        <v>247</v>
      </c>
      <c r="H17" s="1021">
        <v>247</v>
      </c>
      <c r="I17" s="1019">
        <f>+G17-H17</f>
        <v>0</v>
      </c>
      <c r="J17" s="1018">
        <f t="shared" si="1"/>
        <v>1</v>
      </c>
      <c r="L17" s="1008"/>
      <c r="M17" s="1007"/>
      <c r="N17" s="1008"/>
      <c r="O17" s="1007"/>
      <c r="W17" s="1022"/>
    </row>
    <row r="18" spans="1:24" ht="31.5" customHeight="1">
      <c r="A18" s="2140"/>
      <c r="B18" s="2141"/>
      <c r="C18" s="1030"/>
      <c r="D18" s="1018"/>
      <c r="F18" s="1031" t="s">
        <v>1190</v>
      </c>
      <c r="G18" s="1013">
        <v>15</v>
      </c>
      <c r="H18" s="1013">
        <v>15</v>
      </c>
      <c r="I18" s="1019">
        <f t="shared" si="0"/>
        <v>0</v>
      </c>
      <c r="J18" s="1011">
        <f>H18/G18</f>
        <v>1</v>
      </c>
      <c r="L18" s="1008"/>
      <c r="M18" s="1007"/>
      <c r="N18" s="1008"/>
      <c r="O18" s="1007"/>
      <c r="Q18" s="1022"/>
      <c r="W18" s="1022"/>
    </row>
    <row r="19" spans="1:24" ht="31.5" customHeight="1">
      <c r="A19" s="2135"/>
      <c r="B19" s="2135"/>
      <c r="C19" s="1032"/>
      <c r="D19" s="1011"/>
      <c r="F19" s="1138" t="s">
        <v>1191</v>
      </c>
      <c r="G19" s="1020">
        <v>4</v>
      </c>
      <c r="H19" s="1020">
        <v>4</v>
      </c>
      <c r="I19" s="1019">
        <f t="shared" si="0"/>
        <v>0</v>
      </c>
      <c r="J19" s="1018">
        <f>H19/G19</f>
        <v>1</v>
      </c>
      <c r="L19" s="1008"/>
      <c r="M19" s="1007"/>
      <c r="N19" s="1008"/>
      <c r="O19" s="1007"/>
      <c r="W19" s="1022"/>
    </row>
    <row r="20" spans="1:24" ht="31.5" customHeight="1">
      <c r="A20" s="2140"/>
      <c r="B20" s="2141"/>
      <c r="C20" s="1030"/>
      <c r="D20" s="1018"/>
      <c r="F20" s="1031" t="s">
        <v>1192</v>
      </c>
      <c r="G20" s="1013">
        <v>1</v>
      </c>
      <c r="H20" s="1013">
        <v>1</v>
      </c>
      <c r="I20" s="1012">
        <f t="shared" si="0"/>
        <v>0</v>
      </c>
      <c r="J20" s="1011">
        <f t="shared" si="1"/>
        <v>1</v>
      </c>
      <c r="L20" s="1029"/>
      <c r="M20" s="1028"/>
      <c r="N20" s="1029"/>
      <c r="O20" s="1028"/>
      <c r="P20" s="1027"/>
      <c r="Q20" s="1026"/>
      <c r="R20" s="1026"/>
      <c r="S20" s="1026"/>
      <c r="T20" s="1026"/>
      <c r="U20" s="1026"/>
      <c r="V20" s="1026"/>
      <c r="W20" s="1022"/>
    </row>
    <row r="21" spans="1:24" ht="31.5" customHeight="1" thickBot="1">
      <c r="A21" s="2143" t="s">
        <v>963</v>
      </c>
      <c r="B21" s="2143"/>
      <c r="C21" s="1025">
        <f>+SUM(C10:C20)</f>
        <v>52025516</v>
      </c>
      <c r="D21" s="1024">
        <f>SUM(D10:D20)</f>
        <v>1</v>
      </c>
      <c r="F21" s="1005"/>
      <c r="G21" s="1021"/>
      <c r="H21" s="1020"/>
      <c r="I21" s="1019"/>
      <c r="J21" s="1018"/>
      <c r="L21" s="1004"/>
      <c r="M21" s="1002"/>
      <c r="N21" s="1004"/>
      <c r="O21" s="1002"/>
      <c r="X21" s="1022"/>
    </row>
    <row r="22" spans="1:24" ht="31.5" customHeight="1" thickBot="1">
      <c r="A22" s="2144" t="s">
        <v>962</v>
      </c>
      <c r="B22" s="2145"/>
      <c r="C22" s="2145"/>
      <c r="D22" s="2146"/>
      <c r="F22" s="1083"/>
      <c r="G22" s="1013"/>
      <c r="H22" s="1013"/>
      <c r="I22" s="1012"/>
      <c r="J22" s="1011"/>
      <c r="L22" s="1017"/>
      <c r="M22" s="1015"/>
      <c r="N22" s="1016"/>
      <c r="O22" s="1015"/>
    </row>
    <row r="23" spans="1:24" ht="31.5" customHeight="1">
      <c r="A23" s="2147" t="s">
        <v>961</v>
      </c>
      <c r="B23" s="2147"/>
      <c r="C23" s="1014" t="s">
        <v>960</v>
      </c>
      <c r="D23" s="1014" t="s">
        <v>959</v>
      </c>
      <c r="F23" s="1009"/>
      <c r="G23" s="1013"/>
      <c r="H23" s="1013"/>
      <c r="I23" s="1012"/>
      <c r="J23" s="1011"/>
      <c r="L23" s="1008"/>
      <c r="M23" s="1007"/>
      <c r="O23" s="1007"/>
    </row>
    <row r="24" spans="1:24" ht="31.5" customHeight="1" thickBot="1">
      <c r="A24" s="2135" t="s">
        <v>1193</v>
      </c>
      <c r="B24" s="2135"/>
      <c r="C24" s="1010">
        <v>46068</v>
      </c>
      <c r="D24" s="1005" t="s">
        <v>958</v>
      </c>
      <c r="L24" s="1008"/>
      <c r="M24" s="1007"/>
      <c r="O24" s="1007"/>
    </row>
    <row r="25" spans="1:24" ht="31.5" customHeight="1" thickBot="1">
      <c r="A25" s="2139" t="s">
        <v>1194</v>
      </c>
      <c r="B25" s="2139"/>
      <c r="C25" s="1006">
        <v>46068</v>
      </c>
      <c r="D25" s="1009" t="s">
        <v>958</v>
      </c>
      <c r="F25" s="2137" t="s">
        <v>957</v>
      </c>
      <c r="G25" s="2138"/>
      <c r="H25" s="2138"/>
      <c r="I25" s="2138"/>
      <c r="J25" s="2142"/>
      <c r="L25" s="1008"/>
      <c r="M25" s="1007"/>
      <c r="O25" s="1007"/>
    </row>
    <row r="26" spans="1:24" ht="49.5" customHeight="1">
      <c r="A26" s="2135" t="s">
        <v>1195</v>
      </c>
      <c r="B26" s="2135"/>
      <c r="C26" s="1010">
        <v>46613</v>
      </c>
      <c r="D26" s="1005" t="s">
        <v>1016</v>
      </c>
      <c r="F26" s="1138" t="s">
        <v>1315</v>
      </c>
      <c r="G26" s="1138"/>
      <c r="H26" s="1138"/>
      <c r="I26" s="1138"/>
      <c r="J26" s="1138"/>
      <c r="L26" s="1008"/>
      <c r="M26" s="1007"/>
      <c r="O26" s="1007"/>
    </row>
    <row r="27" spans="1:24" ht="49.5" customHeight="1">
      <c r="A27" s="2139" t="s">
        <v>1196</v>
      </c>
      <c r="B27" s="2139"/>
      <c r="C27" s="1006">
        <v>46095</v>
      </c>
      <c r="D27" s="1009" t="s">
        <v>958</v>
      </c>
      <c r="F27" s="1138" t="s">
        <v>1316</v>
      </c>
      <c r="G27" s="1138"/>
      <c r="H27" s="1138"/>
      <c r="I27" s="1138"/>
      <c r="J27" s="1138"/>
      <c r="L27" s="1008"/>
      <c r="M27" s="1007"/>
      <c r="O27" s="1007"/>
    </row>
    <row r="28" spans="1:24" ht="49.5" customHeight="1">
      <c r="A28" s="2135" t="s">
        <v>1197</v>
      </c>
      <c r="B28" s="2135"/>
      <c r="C28" s="1010">
        <v>46095</v>
      </c>
      <c r="D28" s="1005" t="s">
        <v>958</v>
      </c>
      <c r="F28" s="2136" t="s">
        <v>1317</v>
      </c>
      <c r="G28" s="2136"/>
      <c r="H28" s="2136"/>
      <c r="I28" s="2136"/>
      <c r="J28" s="2136"/>
      <c r="L28" s="1008"/>
      <c r="M28" s="1007"/>
      <c r="O28" s="1007"/>
    </row>
    <row r="29" spans="1:24" ht="49.5" customHeight="1" thickBot="1">
      <c r="A29" s="2139" t="s">
        <v>1198</v>
      </c>
      <c r="B29" s="2139"/>
      <c r="C29" s="1006">
        <v>46095</v>
      </c>
      <c r="D29" s="1009" t="s">
        <v>958</v>
      </c>
      <c r="F29" s="2136"/>
      <c r="G29" s="2136"/>
      <c r="H29" s="2136"/>
      <c r="I29" s="2136"/>
      <c r="J29" s="2136"/>
      <c r="L29" s="1004"/>
      <c r="M29" s="1002"/>
      <c r="N29" s="1003"/>
      <c r="O29" s="1002"/>
    </row>
    <row r="30" spans="1:24" ht="49.5" customHeight="1">
      <c r="A30" s="2135" t="s">
        <v>1199</v>
      </c>
      <c r="B30" s="2135"/>
      <c r="C30" s="1010">
        <v>46250</v>
      </c>
      <c r="D30" s="1005" t="s">
        <v>958</v>
      </c>
      <c r="F30" s="2136" t="s">
        <v>956</v>
      </c>
      <c r="G30" s="2136"/>
      <c r="H30" s="2136"/>
      <c r="I30" s="2136"/>
      <c r="J30" s="2136"/>
      <c r="L30" s="1008"/>
      <c r="M30" s="1007"/>
      <c r="O30" s="1007"/>
    </row>
    <row r="31" spans="1:24" ht="66.75" customHeight="1">
      <c r="A31" s="2139" t="s">
        <v>1200</v>
      </c>
      <c r="B31" s="2139"/>
      <c r="C31" s="1006">
        <v>46370</v>
      </c>
      <c r="D31" s="1009" t="s">
        <v>1016</v>
      </c>
      <c r="F31" s="2136" t="s">
        <v>955</v>
      </c>
      <c r="G31" s="2136"/>
      <c r="H31" s="2136"/>
      <c r="I31" s="2136"/>
      <c r="J31" s="2136"/>
      <c r="L31" s="1008"/>
      <c r="M31" s="1007"/>
    </row>
    <row r="32" spans="1:24" ht="66.75" customHeight="1">
      <c r="A32" s="2135" t="s">
        <v>1201</v>
      </c>
      <c r="B32" s="2135"/>
      <c r="C32" s="1010">
        <v>46552</v>
      </c>
      <c r="D32" s="1005" t="s">
        <v>1016</v>
      </c>
      <c r="F32" s="2136" t="s">
        <v>954</v>
      </c>
      <c r="G32" s="2136"/>
      <c r="H32" s="2136"/>
      <c r="I32" s="2136"/>
      <c r="J32" s="2136"/>
      <c r="L32" s="1008"/>
      <c r="M32" s="1007"/>
    </row>
    <row r="33" spans="1:15" ht="66.75" customHeight="1">
      <c r="A33" s="2139" t="s">
        <v>1202</v>
      </c>
      <c r="B33" s="2139"/>
      <c r="C33" s="1006">
        <v>46613</v>
      </c>
      <c r="D33" s="1009" t="s">
        <v>1016</v>
      </c>
      <c r="F33" s="2151" t="s">
        <v>1203</v>
      </c>
      <c r="G33" s="2152"/>
      <c r="H33" s="2152"/>
      <c r="I33" s="2152"/>
      <c r="J33" s="2153"/>
      <c r="L33" s="1008"/>
      <c r="M33" s="1007"/>
    </row>
    <row r="34" spans="1:15" ht="74.25" customHeight="1" thickBot="1">
      <c r="A34" s="2135" t="s">
        <v>1204</v>
      </c>
      <c r="B34" s="2135"/>
      <c r="C34" s="1010">
        <v>46613</v>
      </c>
      <c r="D34" s="1005" t="s">
        <v>1016</v>
      </c>
      <c r="F34" s="2136" t="s">
        <v>1205</v>
      </c>
      <c r="G34" s="2136"/>
      <c r="H34" s="2136"/>
      <c r="I34" s="2136"/>
      <c r="J34" s="2136"/>
      <c r="L34" s="1004"/>
      <c r="M34" s="1002"/>
      <c r="N34" s="1003"/>
      <c r="O34" s="1002"/>
    </row>
  </sheetData>
  <mergeCells count="41">
    <mergeCell ref="A33:B33"/>
    <mergeCell ref="F33:J33"/>
    <mergeCell ref="A34:B34"/>
    <mergeCell ref="F34:J34"/>
    <mergeCell ref="A1:O1"/>
    <mergeCell ref="A29:B29"/>
    <mergeCell ref="F29:J29"/>
    <mergeCell ref="A30:B30"/>
    <mergeCell ref="F30:J30"/>
    <mergeCell ref="F25:J25"/>
    <mergeCell ref="A26:B26"/>
    <mergeCell ref="A27:B27"/>
    <mergeCell ref="F2:J2"/>
    <mergeCell ref="A17:B17"/>
    <mergeCell ref="A10:B10"/>
    <mergeCell ref="L2:O2"/>
    <mergeCell ref="A8:D8"/>
    <mergeCell ref="A9:B9"/>
    <mergeCell ref="A2:D2"/>
    <mergeCell ref="A23:B23"/>
    <mergeCell ref="A24:B24"/>
    <mergeCell ref="A16:B16"/>
    <mergeCell ref="A11:B11"/>
    <mergeCell ref="A20:B20"/>
    <mergeCell ref="A15:B15"/>
    <mergeCell ref="A32:B32"/>
    <mergeCell ref="F32:J32"/>
    <mergeCell ref="L12:O12"/>
    <mergeCell ref="A31:B31"/>
    <mergeCell ref="F31:J31"/>
    <mergeCell ref="A25:B25"/>
    <mergeCell ref="A12:B12"/>
    <mergeCell ref="F12:J12"/>
    <mergeCell ref="A13:B13"/>
    <mergeCell ref="A14:B14"/>
    <mergeCell ref="A28:B28"/>
    <mergeCell ref="A21:B21"/>
    <mergeCell ref="F28:J28"/>
    <mergeCell ref="A18:B18"/>
    <mergeCell ref="A19:B19"/>
    <mergeCell ref="A22:D22"/>
  </mergeCells>
  <printOptions horizontalCentered="1" verticalCentered="1"/>
  <pageMargins left="0.25" right="0.25" top="0.25" bottom="0.25" header="0.3" footer="0.3"/>
  <pageSetup paperSize="8" scale="60" orientation="landscape" r:id="rId1"/>
  <headerFooter>
    <oddFooter>&amp;L_x000D_&amp;1#&amp;"Aptos"&amp;10&amp;K000000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U1" zoomScale="64" zoomScaleNormal="64" zoomScaleSheetLayoutView="64" workbookViewId="0">
      <selection activeCell="Y3" sqref="Y3"/>
    </sheetView>
  </sheetViews>
  <sheetFormatPr defaultRowHeight="14.4"/>
  <cols>
    <col min="1" max="1" width="6.33203125" style="1049" bestFit="1" customWidth="1"/>
    <col min="2" max="2" width="11.88671875" style="1049" customWidth="1"/>
    <col min="3" max="3" width="18.5546875" style="1049" hidden="1" customWidth="1"/>
    <col min="4" max="4" width="39.109375" style="1049" customWidth="1"/>
    <col min="5" max="5" width="67.6640625" style="1049" customWidth="1"/>
    <col min="6" max="6" width="22.44140625" style="1049" bestFit="1" customWidth="1"/>
    <col min="7" max="7" width="26.44140625" style="1049" bestFit="1" customWidth="1"/>
    <col min="8" max="8" width="26.88671875" style="1049" bestFit="1" customWidth="1"/>
    <col min="9" max="9" width="29.88671875" style="1049" customWidth="1"/>
    <col min="10" max="10" width="22.88671875" style="1049" bestFit="1" customWidth="1"/>
    <col min="11" max="11" width="26.6640625" style="1049" bestFit="1" customWidth="1"/>
    <col min="12" max="12" width="32.44140625" style="1049" bestFit="1" customWidth="1"/>
    <col min="13" max="14" width="27.88671875" style="1048" bestFit="1" customWidth="1"/>
    <col min="15" max="15" width="95.5546875" style="1048" bestFit="1" customWidth="1"/>
    <col min="16" max="16" width="95.5546875" style="1048" customWidth="1"/>
    <col min="17" max="17" width="92.109375" style="1048" customWidth="1"/>
    <col min="18" max="18" width="103.109375" style="1048" customWidth="1"/>
    <col min="19" max="19" width="56.21875" style="1048" customWidth="1"/>
    <col min="20" max="20" width="62.88671875" style="1048" customWidth="1"/>
    <col min="21" max="21" width="50" style="1048" customWidth="1"/>
    <col min="22" max="22" width="104.88671875" style="1048" customWidth="1"/>
    <col min="23" max="23" width="41" style="5" hidden="1" customWidth="1"/>
    <col min="24" max="28" width="38.109375" style="5" customWidth="1"/>
    <col min="29" max="29" width="44.109375" bestFit="1" customWidth="1"/>
    <col min="30" max="30" width="39.109375" bestFit="1" customWidth="1"/>
    <col min="31" max="31" width="45.44140625" bestFit="1" customWidth="1"/>
    <col min="32" max="32" width="63.44140625" bestFit="1" customWidth="1"/>
    <col min="33" max="33" width="85.109375" bestFit="1" customWidth="1"/>
    <col min="34" max="34" width="41.109375" bestFit="1" customWidth="1"/>
    <col min="35" max="35" width="67.6640625" bestFit="1" customWidth="1"/>
    <col min="36" max="36" width="39.44140625" bestFit="1" customWidth="1"/>
  </cols>
  <sheetData>
    <row r="1" spans="1:28" ht="153.6" customHeight="1" thickBot="1">
      <c r="A1" s="2160" t="s">
        <v>1015</v>
      </c>
      <c r="B1" s="2161"/>
      <c r="C1" s="2161"/>
      <c r="D1" s="2161"/>
      <c r="E1" s="2161"/>
      <c r="F1" s="2161"/>
      <c r="G1" s="2161"/>
      <c r="H1" s="2161"/>
      <c r="I1" s="2161"/>
      <c r="J1" s="2161"/>
      <c r="K1" s="2161"/>
      <c r="L1" s="2161"/>
      <c r="M1" s="2161"/>
      <c r="N1" s="2161"/>
      <c r="O1" s="2161"/>
      <c r="P1" s="2161"/>
      <c r="Q1" s="2161"/>
      <c r="R1" s="2161"/>
      <c r="S1" s="2161"/>
      <c r="T1" s="2161"/>
      <c r="U1" s="2161"/>
      <c r="V1" s="2161"/>
      <c r="W1" s="2161"/>
      <c r="X1" s="2161"/>
      <c r="Y1" s="2161"/>
      <c r="Z1" s="2161"/>
      <c r="AA1" s="2161"/>
      <c r="AB1" s="2162"/>
    </row>
    <row r="2" spans="1:28" ht="90.6" thickBot="1">
      <c r="A2" s="1067" t="s">
        <v>673</v>
      </c>
      <c r="B2" s="1065" t="s">
        <v>1011</v>
      </c>
      <c r="C2" s="1065" t="s">
        <v>1010</v>
      </c>
      <c r="D2" s="1065" t="s">
        <v>39</v>
      </c>
      <c r="E2" s="1065" t="s">
        <v>1009</v>
      </c>
      <c r="F2" s="1065" t="s">
        <v>1008</v>
      </c>
      <c r="G2" s="1065" t="s">
        <v>988</v>
      </c>
      <c r="H2" s="1065" t="s">
        <v>1007</v>
      </c>
      <c r="I2" s="1065" t="s">
        <v>1006</v>
      </c>
      <c r="J2" s="1066" t="s">
        <v>1005</v>
      </c>
      <c r="K2" s="1065" t="s">
        <v>1004</v>
      </c>
      <c r="L2" s="1064" t="s">
        <v>1003</v>
      </c>
      <c r="M2" s="1063" t="s">
        <v>1002</v>
      </c>
      <c r="N2" s="1062" t="s">
        <v>1001</v>
      </c>
      <c r="O2" s="1061" t="s">
        <v>1000</v>
      </c>
      <c r="P2" s="1061" t="s">
        <v>999</v>
      </c>
      <c r="Q2" s="1061" t="s">
        <v>998</v>
      </c>
      <c r="R2" s="1061" t="s">
        <v>997</v>
      </c>
      <c r="S2" s="1061" t="s">
        <v>996</v>
      </c>
      <c r="T2" s="1061" t="s">
        <v>995</v>
      </c>
      <c r="U2" s="1061" t="s">
        <v>1208</v>
      </c>
      <c r="V2" s="1061" t="s">
        <v>1207</v>
      </c>
      <c r="W2" s="1060" t="s">
        <v>994</v>
      </c>
      <c r="X2" s="1060" t="s">
        <v>1025</v>
      </c>
      <c r="Y2" s="1060" t="s">
        <v>1026</v>
      </c>
      <c r="Z2" s="1059" t="s">
        <v>1027</v>
      </c>
      <c r="AA2" s="1059" t="s">
        <v>1028</v>
      </c>
      <c r="AB2" s="1058" t="s">
        <v>993</v>
      </c>
    </row>
    <row r="3" spans="1:28" ht="408.6" customHeight="1" thickBot="1">
      <c r="A3" s="1057">
        <v>1</v>
      </c>
      <c r="B3" s="1055" t="s">
        <v>992</v>
      </c>
      <c r="C3" s="1055"/>
      <c r="D3" s="1055" t="s">
        <v>1036</v>
      </c>
      <c r="E3" s="1056" t="s">
        <v>1206</v>
      </c>
      <c r="F3" s="1148" t="s">
        <v>1211</v>
      </c>
      <c r="G3" s="1055" t="s">
        <v>987</v>
      </c>
      <c r="H3" s="1053">
        <v>46068</v>
      </c>
      <c r="I3" s="1053">
        <v>46613</v>
      </c>
      <c r="J3" s="1054">
        <v>18</v>
      </c>
      <c r="K3" s="1053">
        <v>46613</v>
      </c>
      <c r="L3" s="1052">
        <v>52025516</v>
      </c>
      <c r="M3" s="1051">
        <v>1</v>
      </c>
      <c r="N3" s="1051">
        <v>1</v>
      </c>
      <c r="O3" s="1071" t="s">
        <v>1308</v>
      </c>
      <c r="P3" s="1071" t="s">
        <v>1308</v>
      </c>
      <c r="Q3" s="1071" t="s">
        <v>1395</v>
      </c>
      <c r="R3" s="1215" t="s">
        <v>1326</v>
      </c>
      <c r="S3" s="1051"/>
      <c r="T3" s="1051"/>
      <c r="U3" s="1051" t="s">
        <v>1312</v>
      </c>
      <c r="V3" s="1071" t="s">
        <v>1310</v>
      </c>
      <c r="W3" s="1068"/>
      <c r="X3" s="1142">
        <v>0.5524</v>
      </c>
      <c r="Y3" s="1142">
        <v>0.77080000000000004</v>
      </c>
      <c r="Z3" s="1072">
        <v>40099753.079999998</v>
      </c>
      <c r="AA3" s="1072">
        <v>29797667.100000001</v>
      </c>
      <c r="AB3" s="1073">
        <f>+K3</f>
        <v>46613</v>
      </c>
    </row>
    <row r="4" spans="1:28" ht="100.5" customHeight="1">
      <c r="A4"/>
      <c r="B4"/>
      <c r="C4"/>
      <c r="D4"/>
      <c r="E4"/>
      <c r="F4"/>
      <c r="G4"/>
      <c r="H4"/>
      <c r="I4"/>
      <c r="J4"/>
      <c r="K4"/>
      <c r="L4"/>
      <c r="M4"/>
      <c r="N4"/>
      <c r="O4"/>
      <c r="P4" s="1084"/>
      <c r="Q4"/>
      <c r="R4"/>
      <c r="S4"/>
      <c r="T4"/>
      <c r="U4"/>
      <c r="V4"/>
    </row>
    <row r="5" spans="1:28" ht="14.4"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 customHeight="1">
      <c r="A17"/>
      <c r="B17"/>
      <c r="C17"/>
      <c r="D17"/>
      <c r="E17"/>
      <c r="F17"/>
      <c r="G17"/>
      <c r="H17"/>
      <c r="I17"/>
      <c r="J17"/>
      <c r="K17"/>
      <c r="L17"/>
      <c r="M17"/>
      <c r="N17"/>
      <c r="O17"/>
      <c r="P17"/>
      <c r="Q17"/>
      <c r="R17"/>
      <c r="S17"/>
      <c r="T17"/>
      <c r="U17"/>
      <c r="V17"/>
    </row>
    <row r="18" spans="1:43" ht="129.9" customHeight="1">
      <c r="A18"/>
      <c r="B18"/>
      <c r="C18"/>
      <c r="D18"/>
      <c r="E18"/>
      <c r="F18"/>
      <c r="G18"/>
      <c r="H18"/>
      <c r="I18"/>
      <c r="J18"/>
      <c r="K18"/>
      <c r="L18"/>
      <c r="M18"/>
      <c r="N18"/>
      <c r="O18"/>
      <c r="P18"/>
      <c r="Q18"/>
      <c r="R18"/>
      <c r="S18"/>
      <c r="T18"/>
      <c r="U18"/>
      <c r="V18"/>
    </row>
    <row r="19" spans="1:43" ht="129.9" customHeight="1">
      <c r="A19"/>
      <c r="B19"/>
      <c r="C19"/>
      <c r="D19"/>
      <c r="E19"/>
      <c r="F19"/>
      <c r="G19"/>
      <c r="H19"/>
      <c r="I19"/>
      <c r="J19"/>
      <c r="K19"/>
      <c r="L19"/>
      <c r="M19"/>
      <c r="N19"/>
      <c r="O19"/>
      <c r="P19"/>
      <c r="Q19"/>
      <c r="R19"/>
      <c r="S19"/>
      <c r="T19"/>
      <c r="U19"/>
      <c r="V19"/>
    </row>
    <row r="20" spans="1:43" ht="12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50"/>
      <c r="B22" s="1050"/>
      <c r="C22" s="1050"/>
      <c r="D22" s="1050"/>
      <c r="E22" s="1050"/>
      <c r="F22" s="1050"/>
      <c r="G22" s="1050"/>
      <c r="H22" s="1050"/>
      <c r="I22" s="1050"/>
      <c r="J22" s="1050"/>
      <c r="K22" s="1050"/>
      <c r="L22" s="1050"/>
      <c r="M22" s="1050"/>
      <c r="N22" s="1050"/>
      <c r="O22" s="1050"/>
      <c r="P22" s="1050"/>
      <c r="Q22" s="1050"/>
      <c r="R22" s="1050"/>
      <c r="S22" s="1050"/>
      <c r="T22" s="1050"/>
      <c r="U22" s="1050"/>
      <c r="V22" s="1050"/>
    </row>
    <row r="23" spans="1:43">
      <c r="A23" s="1048"/>
      <c r="B23" s="1048"/>
      <c r="C23" s="1048"/>
      <c r="D23" s="1048"/>
      <c r="E23" s="1048"/>
      <c r="F23" s="1048"/>
      <c r="G23" s="1048"/>
      <c r="H23" s="1048"/>
      <c r="I23" s="1048"/>
      <c r="J23" s="1048"/>
      <c r="K23" s="1048"/>
      <c r="L23" s="1048"/>
    </row>
    <row r="24" spans="1:43" ht="15" customHeight="1">
      <c r="A24" s="1048"/>
      <c r="B24" s="1048"/>
      <c r="C24" s="1048"/>
      <c r="D24" s="1048"/>
      <c r="E24" s="1048"/>
      <c r="F24" s="1048"/>
      <c r="G24" s="1048"/>
      <c r="H24" s="1048"/>
      <c r="I24" s="1048"/>
      <c r="J24" s="1048"/>
      <c r="K24" s="1048"/>
      <c r="L24" s="1048"/>
    </row>
    <row r="25" spans="1:43" s="1048" customFormat="1">
      <c r="W25" s="5"/>
      <c r="X25" s="5"/>
      <c r="Y25" s="5"/>
      <c r="Z25" s="5"/>
      <c r="AA25" s="5"/>
      <c r="AB25" s="5"/>
      <c r="AC25"/>
      <c r="AD25"/>
      <c r="AE25"/>
      <c r="AF25"/>
      <c r="AG25"/>
      <c r="AH25"/>
      <c r="AI25"/>
      <c r="AJ25"/>
      <c r="AK25"/>
      <c r="AL25"/>
      <c r="AM25"/>
      <c r="AN25"/>
      <c r="AO25"/>
      <c r="AP25"/>
      <c r="AQ25"/>
    </row>
    <row r="26" spans="1:43" s="1048" customFormat="1" ht="14.4" customHeight="1">
      <c r="W26" s="5"/>
      <c r="X26" s="5"/>
      <c r="Y26" s="5"/>
      <c r="Z26" s="5"/>
      <c r="AA26" s="5"/>
      <c r="AB26" s="5"/>
      <c r="AC26"/>
      <c r="AD26"/>
      <c r="AE26"/>
      <c r="AF26"/>
      <c r="AG26"/>
      <c r="AH26"/>
      <c r="AI26"/>
      <c r="AJ26"/>
      <c r="AK26"/>
      <c r="AL26"/>
      <c r="AM26"/>
      <c r="AN26"/>
      <c r="AO26"/>
      <c r="AP26"/>
      <c r="AQ26"/>
    </row>
    <row r="27" spans="1:43" s="1048"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32" t="s">
        <v>832</v>
      </c>
    </row>
    <row r="4" spans="3:12">
      <c r="C4" s="960" t="s">
        <v>717</v>
      </c>
      <c r="E4" t="s">
        <v>640</v>
      </c>
    </row>
    <row r="5" spans="3:12">
      <c r="C5" s="960" t="s">
        <v>106</v>
      </c>
      <c r="E5" t="s">
        <v>644</v>
      </c>
      <c r="K5" t="s">
        <v>82</v>
      </c>
    </row>
    <row r="6" spans="3:12">
      <c r="C6" s="960" t="s">
        <v>833</v>
      </c>
      <c r="K6" t="s">
        <v>834</v>
      </c>
    </row>
    <row r="7" spans="3:12">
      <c r="C7" s="9"/>
      <c r="D7" s="10"/>
      <c r="E7" s="10"/>
      <c r="G7" s="10"/>
      <c r="H7" s="10"/>
      <c r="I7" s="10"/>
    </row>
    <row r="8" spans="3:12">
      <c r="C8" s="11"/>
      <c r="D8" s="6"/>
      <c r="E8" s="6"/>
      <c r="F8" s="13"/>
      <c r="G8" s="6"/>
      <c r="H8" s="6"/>
      <c r="I8" s="10"/>
    </row>
    <row r="9" spans="3:12">
      <c r="D9" s="34"/>
      <c r="E9" s="34"/>
      <c r="G9" s="6"/>
      <c r="H9" s="6"/>
      <c r="I9" s="6"/>
    </row>
    <row r="10" spans="3:12">
      <c r="C10" s="6" t="s">
        <v>835</v>
      </c>
      <c r="D10" s="6" t="s">
        <v>40</v>
      </c>
      <c r="E10" s="6"/>
      <c r="F10" s="6" t="s">
        <v>40</v>
      </c>
      <c r="G10" s="6"/>
      <c r="H10" s="6" t="s">
        <v>49</v>
      </c>
      <c r="I10" s="5"/>
      <c r="J10" s="14" t="s">
        <v>300</v>
      </c>
    </row>
    <row r="11" spans="3:12">
      <c r="C11" s="3"/>
      <c r="D11" s="3"/>
      <c r="E11" s="3"/>
      <c r="F11" s="3"/>
      <c r="G11" s="3"/>
      <c r="H11" s="6"/>
      <c r="J11" s="5" t="s">
        <v>605</v>
      </c>
      <c r="K11" t="s">
        <v>48</v>
      </c>
      <c r="L11" s="961" t="s">
        <v>238</v>
      </c>
    </row>
    <row r="12" spans="3:12">
      <c r="C12" s="3" t="s">
        <v>836</v>
      </c>
      <c r="D12" s="33" t="s">
        <v>837</v>
      </c>
      <c r="E12" s="33"/>
      <c r="F12" s="3" t="s">
        <v>837</v>
      </c>
      <c r="G12" s="3"/>
      <c r="H12" s="3" t="s">
        <v>238</v>
      </c>
      <c r="J12" s="5" t="s">
        <v>600</v>
      </c>
      <c r="K12" s="3" t="s">
        <v>818</v>
      </c>
      <c r="L12" s="961" t="s">
        <v>838</v>
      </c>
    </row>
    <row r="13" spans="3:12">
      <c r="C13" s="3" t="s">
        <v>836</v>
      </c>
      <c r="D13" s="33" t="s">
        <v>839</v>
      </c>
      <c r="E13" s="33"/>
      <c r="F13" s="3" t="s">
        <v>839</v>
      </c>
      <c r="G13" s="3"/>
      <c r="H13" s="3" t="s">
        <v>840</v>
      </c>
      <c r="J13" s="5" t="s">
        <v>608</v>
      </c>
      <c r="K13" s="3" t="s">
        <v>841</v>
      </c>
      <c r="L13" s="961" t="s">
        <v>842</v>
      </c>
    </row>
    <row r="14" spans="3:12">
      <c r="C14" s="3" t="s">
        <v>836</v>
      </c>
      <c r="D14" s="33" t="s">
        <v>843</v>
      </c>
      <c r="E14" s="33"/>
      <c r="F14" s="3"/>
      <c r="G14" s="3"/>
      <c r="H14" s="3" t="s">
        <v>844</v>
      </c>
      <c r="J14" s="5"/>
      <c r="K14" t="s">
        <v>737</v>
      </c>
      <c r="L14" s="961" t="s">
        <v>106</v>
      </c>
    </row>
    <row r="15" spans="3:12">
      <c r="C15" s="3" t="s">
        <v>836</v>
      </c>
      <c r="D15" s="33" t="s">
        <v>266</v>
      </c>
      <c r="E15" s="33"/>
      <c r="F15" s="3" t="s">
        <v>266</v>
      </c>
      <c r="G15" s="3" t="s">
        <v>845</v>
      </c>
      <c r="H15" s="3" t="s">
        <v>846</v>
      </c>
      <c r="J15" s="5"/>
      <c r="K15" s="3" t="s">
        <v>739</v>
      </c>
    </row>
    <row r="16" spans="3:12">
      <c r="C16" s="3" t="s">
        <v>847</v>
      </c>
      <c r="D16" s="33" t="s">
        <v>237</v>
      </c>
      <c r="E16" s="33"/>
      <c r="F16" s="3" t="s">
        <v>847</v>
      </c>
      <c r="G16" s="3" t="s">
        <v>848</v>
      </c>
      <c r="H16" s="3" t="s">
        <v>849</v>
      </c>
      <c r="I16" s="3" t="s">
        <v>850</v>
      </c>
      <c r="J16" s="5"/>
    </row>
    <row r="17" spans="3:10">
      <c r="C17" s="3" t="s">
        <v>847</v>
      </c>
      <c r="D17" s="33" t="s">
        <v>851</v>
      </c>
      <c r="E17" s="33"/>
      <c r="F17" s="3"/>
      <c r="G17" s="3" t="s">
        <v>852</v>
      </c>
      <c r="H17" s="3" t="s">
        <v>853</v>
      </c>
      <c r="I17" t="s">
        <v>854</v>
      </c>
      <c r="J17" s="5"/>
    </row>
    <row r="18" spans="3:10">
      <c r="C18" s="3" t="s">
        <v>847</v>
      </c>
      <c r="D18" s="33" t="s">
        <v>855</v>
      </c>
      <c r="E18" s="33"/>
      <c r="F18" s="3" t="s">
        <v>856</v>
      </c>
      <c r="G18" s="3" t="s">
        <v>857</v>
      </c>
      <c r="H18" s="3" t="s">
        <v>105</v>
      </c>
      <c r="I18" s="3" t="s">
        <v>858</v>
      </c>
    </row>
    <row r="19" spans="3:10">
      <c r="C19" s="3"/>
      <c r="D19" s="35" t="s">
        <v>859</v>
      </c>
      <c r="E19" s="35"/>
      <c r="F19" s="3"/>
      <c r="G19" s="3"/>
      <c r="H19" s="3"/>
      <c r="J19" s="5"/>
    </row>
    <row r="20" spans="3:10">
      <c r="C20" s="3"/>
      <c r="D20" s="35" t="s">
        <v>860</v>
      </c>
      <c r="E20" s="3"/>
      <c r="F20" s="3"/>
      <c r="G20" s="3"/>
    </row>
    <row r="41" spans="2:11" ht="18">
      <c r="B41" s="2165" t="s">
        <v>861</v>
      </c>
      <c r="C41" s="2166"/>
      <c r="D41" s="2166"/>
      <c r="E41" s="2166"/>
      <c r="F41" s="2166"/>
      <c r="G41" s="2166"/>
      <c r="H41" s="2166"/>
      <c r="I41" s="2167"/>
    </row>
    <row r="42" spans="2:11">
      <c r="B42" s="2164" t="s">
        <v>862</v>
      </c>
      <c r="C42" s="2164"/>
      <c r="D42" s="2164"/>
      <c r="E42" s="962" t="s">
        <v>863</v>
      </c>
      <c r="F42" s="962" t="s">
        <v>300</v>
      </c>
      <c r="G42" s="963" t="s">
        <v>74</v>
      </c>
      <c r="H42" s="963" t="s">
        <v>188</v>
      </c>
      <c r="I42" s="964" t="s">
        <v>672</v>
      </c>
    </row>
    <row r="43" spans="2:11">
      <c r="B43" s="2168" t="s">
        <v>864</v>
      </c>
      <c r="C43" s="2168"/>
      <c r="D43" s="2168"/>
      <c r="E43" s="965">
        <v>1</v>
      </c>
      <c r="F43" s="966">
        <f>IFERROR('Weekly Progress Report'!$Y$21,1)</f>
        <v>1.6298002175806863</v>
      </c>
      <c r="G43" s="967" t="s">
        <v>865</v>
      </c>
      <c r="H43" s="968"/>
      <c r="I43" s="969"/>
    </row>
    <row r="44" spans="2:11">
      <c r="B44" s="2168" t="s">
        <v>866</v>
      </c>
      <c r="C44" s="2168"/>
      <c r="D44" s="2168"/>
      <c r="E44" s="965">
        <v>1</v>
      </c>
      <c r="F44" s="970">
        <f>+'Weekly Progress Report'!K21/'Weekly Progress Report'!J21</f>
        <v>1.3952468227007124</v>
      </c>
      <c r="G44" s="967" t="s">
        <v>865</v>
      </c>
      <c r="H44" s="968"/>
      <c r="I44" s="969"/>
    </row>
    <row r="45" spans="2:11">
      <c r="B45" s="2163" t="s">
        <v>867</v>
      </c>
      <c r="C45" s="2163"/>
      <c r="D45" s="2163"/>
      <c r="E45" s="965">
        <v>1</v>
      </c>
      <c r="F45" s="965">
        <f>IFERROR(('Weekly Progress Report'!F82+'Weekly Progress Report'!G82)/'Weekly Progress Report'!E82,1)</f>
        <v>0.84375</v>
      </c>
      <c r="G45" s="967" t="s">
        <v>865</v>
      </c>
      <c r="H45" s="968"/>
      <c r="I45" s="969"/>
      <c r="K45">
        <f>12/20</f>
        <v>0.6</v>
      </c>
    </row>
    <row r="46" spans="2:11">
      <c r="B46" s="2163" t="s">
        <v>868</v>
      </c>
      <c r="C46" s="2163"/>
      <c r="D46" s="2163"/>
      <c r="E46" s="965">
        <v>1</v>
      </c>
      <c r="F46" s="965">
        <f>IFERROR('Weekly Progress Report'!M86/'Weekly Progress Report'!L86,1)</f>
        <v>1.1333333333333333</v>
      </c>
      <c r="G46" s="967" t="s">
        <v>865</v>
      </c>
      <c r="H46" s="968"/>
      <c r="I46" s="969"/>
    </row>
    <row r="47" spans="2:11">
      <c r="B47" s="2163" t="s">
        <v>869</v>
      </c>
      <c r="C47" s="2163"/>
      <c r="D47" s="2163"/>
      <c r="E47" s="965">
        <v>1</v>
      </c>
      <c r="F47" s="965">
        <f>IFERROR('Weekly Progress Report'!T86/'Weekly Progress Report'!S86,1)</f>
        <v>1.28</v>
      </c>
      <c r="G47" s="967" t="s">
        <v>865</v>
      </c>
      <c r="H47" s="968"/>
      <c r="I47" s="969"/>
    </row>
    <row r="48" spans="2:11">
      <c r="B48" s="2163" t="s">
        <v>870</v>
      </c>
      <c r="C48" s="2163"/>
      <c r="D48" s="2163"/>
      <c r="E48" s="965">
        <v>1</v>
      </c>
      <c r="F48" s="965">
        <f>IFERROR('Weekly Progress Report'!Q68/'Weekly Progress Report'!Q66,1)</f>
        <v>0.91806764900849513</v>
      </c>
      <c r="G48" s="967" t="s">
        <v>865</v>
      </c>
      <c r="H48" s="968"/>
      <c r="I48" s="969"/>
    </row>
    <row r="49" spans="2:9">
      <c r="B49" s="2163" t="s">
        <v>871</v>
      </c>
      <c r="C49" s="2163"/>
      <c r="D49" s="2163"/>
      <c r="E49" s="965">
        <v>1</v>
      </c>
      <c r="F49" s="965">
        <f>+'HSE-Stat'!J22</f>
        <v>0.85137419354838728</v>
      </c>
      <c r="G49" s="967" t="s">
        <v>865</v>
      </c>
      <c r="H49" s="968"/>
      <c r="I49" s="969"/>
    </row>
    <row r="50" spans="2:9">
      <c r="B50" s="2163" t="s">
        <v>38</v>
      </c>
      <c r="C50" s="2163"/>
      <c r="D50" s="2163"/>
      <c r="E50" s="965">
        <v>1</v>
      </c>
      <c r="F50" s="965">
        <f>+'Quality-Stat'!J47</f>
        <v>0.84522903225806445</v>
      </c>
      <c r="G50" s="967" t="s">
        <v>865</v>
      </c>
      <c r="H50" s="968"/>
      <c r="I50" s="969"/>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customXml/itemProps3.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Weekly Progress Report</vt:lpstr>
      <vt:lpstr>FIR summary </vt:lpstr>
      <vt:lpstr>General Information</vt:lpstr>
      <vt:lpstr>Progress</vt:lpstr>
      <vt:lpstr>Progress (2)</vt:lpstr>
      <vt:lpstr>Weekly Photos</vt:lpstr>
      <vt:lpstr>Quality</vt:lpstr>
      <vt:lpstr>Quality-Stat</vt:lpstr>
      <vt:lpstr>HSE</vt:lpstr>
      <vt:lpstr>HSE-Stat</vt:lpstr>
      <vt:lpstr>Risk Register</vt:lpstr>
      <vt:lpstr>Invoice Log</vt:lpstr>
      <vt:lpstr>EV-Chart Data</vt:lpstr>
      <vt:lpstr>CCO</vt:lpstr>
      <vt:lpstr>Major Quantities</vt:lpstr>
      <vt:lpstr>Procurement</vt:lpstr>
      <vt:lpstr>Testing</vt:lpstr>
      <vt:lpstr>Physical-Chart Data</vt:lpstr>
      <vt:lpstr>Milestones</vt:lpstr>
      <vt:lpstr>Issues</vt:lpstr>
      <vt:lpstr>Schedule</vt:lpstr>
      <vt:lpstr>Manpower</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Issues!Print_Titles</vt:lpstr>
      <vt:lpstr>'Risk Register'!Print_Titles</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Safnas Mohamed</cp:lastModifiedBy>
  <cp:revision/>
  <cp:lastPrinted>2026-10-12T11:18:28Z</cp:lastPrinted>
  <dcterms:created xsi:type="dcterms:W3CDTF">2014-11-10T09:45:29Z</dcterms:created>
  <dcterms:modified xsi:type="dcterms:W3CDTF">2026-10-13T08:27:23Z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ies>
</file>