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rve\Documents\School\Cal Poly SLO\Thesis Work\Thesis LMAO\"/>
    </mc:Choice>
  </mc:AlternateContent>
  <xr:revisionPtr revIDLastSave="0" documentId="13_ncr:1_{5E9AC704-DE5A-4FDB-8A6D-E99A247C5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M6" i="1"/>
  <c r="M7" i="1"/>
  <c r="M8" i="1"/>
  <c r="M5" i="1"/>
  <c r="H6" i="1"/>
  <c r="H7" i="1"/>
  <c r="H8" i="1"/>
  <c r="H5" i="1"/>
  <c r="I6" i="1"/>
  <c r="I5" i="1"/>
  <c r="B10" i="1"/>
  <c r="G6" i="1"/>
  <c r="E6" i="1" s="1"/>
  <c r="G7" i="1"/>
  <c r="E7" i="1" s="1"/>
  <c r="I7" i="1" s="1"/>
  <c r="G8" i="1"/>
  <c r="E8" i="1" s="1"/>
  <c r="I8" i="1" s="1"/>
  <c r="G5" i="1"/>
  <c r="E5" i="1" s="1"/>
  <c r="K6" i="1"/>
  <c r="L6" i="1" s="1"/>
  <c r="K7" i="1"/>
  <c r="L7" i="1" s="1"/>
  <c r="K8" i="1"/>
  <c r="L8" i="1" s="1"/>
  <c r="K5" i="1"/>
  <c r="L5" i="1" s="1"/>
  <c r="J5" i="1" l="1"/>
  <c r="J8" i="1"/>
  <c r="J7" i="1"/>
  <c r="J6" i="1"/>
  <c r="B8" i="1"/>
  <c r="O8" i="1" l="1"/>
  <c r="P8" i="1" s="1"/>
  <c r="N6" i="1"/>
  <c r="O6" i="1" s="1"/>
  <c r="P6" i="1" s="1"/>
  <c r="N5" i="1" l="1"/>
  <c r="O5" i="1"/>
  <c r="N7" i="1"/>
  <c r="O7" i="1" s="1"/>
  <c r="P7" i="1" s="1"/>
  <c r="P5" i="1" l="1"/>
</calcChain>
</file>

<file path=xl/sharedStrings.xml><?xml version="1.0" encoding="utf-8"?>
<sst xmlns="http://schemas.openxmlformats.org/spreadsheetml/2006/main" count="27" uniqueCount="26">
  <si>
    <t>V</t>
  </si>
  <si>
    <t>C_L</t>
  </si>
  <si>
    <t>L/D</t>
  </si>
  <si>
    <t>C_D</t>
  </si>
  <si>
    <t>Takeoff Weight (Wi)</t>
  </si>
  <si>
    <t>SFC</t>
  </si>
  <si>
    <t>a=</t>
  </si>
  <si>
    <t>Block Fuels [gal]</t>
  </si>
  <si>
    <t>Block Fuels [lbs]</t>
  </si>
  <si>
    <t>Range [nm]</t>
  </si>
  <si>
    <t>LN(Wi/Wf)</t>
  </si>
  <si>
    <t>q=</t>
  </si>
  <si>
    <t>m/s</t>
  </si>
  <si>
    <t>S=</t>
  </si>
  <si>
    <t>m^2</t>
  </si>
  <si>
    <t>rho=</t>
  </si>
  <si>
    <t>Cruise alt</t>
  </si>
  <si>
    <t>feet</t>
  </si>
  <si>
    <t>kg/m^3</t>
  </si>
  <si>
    <t>kg/m*s^2</t>
  </si>
  <si>
    <t>[m/s]</t>
  </si>
  <si>
    <t>AR=</t>
  </si>
  <si>
    <t>[Knots]</t>
  </si>
  <si>
    <t>end mission weight (Wf)</t>
  </si>
  <si>
    <t>[lb/lb-hr]</t>
  </si>
  <si>
    <t>mid mission weight (for L/D)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</si>
</sst>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4"/>
  <sheetViews>
    <sheetView tabSelected="1" workbookViewId="0">
      <selection activeCell="N14" sqref="N14"/>
    </sheetView>
  </sheetViews>
  <sheetFormatPr defaultRowHeight="15" x14ac:dyDescent="0.25"/>
  <cols>
    <col min="1" max="1" width="9.140625" style="2"/>
    <col min="2" max="2" width="9.140625" style="1"/>
    <col min="3" max="3" width="9.140625" style="3"/>
    <col min="4" max="4" width="11.140625" style="1" bestFit="1" customWidth="1"/>
    <col min="5" max="5" width="19.140625" style="1" bestFit="1" customWidth="1"/>
    <col min="6" max="7" width="19.140625" style="1" customWidth="1"/>
    <col min="8" max="8" width="26.7109375" style="1" bestFit="1" customWidth="1"/>
    <col min="9" max="9" width="23.140625" style="1" bestFit="1" customWidth="1"/>
    <col min="10" max="10" width="23.140625" style="1" customWidth="1"/>
    <col min="11" max="15" width="9.140625" style="1"/>
    <col min="16" max="16" width="16.5703125" style="1" bestFit="1" customWidth="1"/>
    <col min="17" max="16384" width="9.140625" style="1"/>
  </cols>
  <sheetData>
    <row r="3" spans="1:16" x14ac:dyDescent="0.25">
      <c r="K3" s="1" t="s">
        <v>20</v>
      </c>
      <c r="L3" s="1" t="s">
        <v>22</v>
      </c>
      <c r="P3" s="1" t="s">
        <v>24</v>
      </c>
    </row>
    <row r="4" spans="1:16" x14ac:dyDescent="0.25">
      <c r="D4" s="1" t="s">
        <v>9</v>
      </c>
      <c r="E4" s="1" t="s">
        <v>4</v>
      </c>
      <c r="F4" s="1" t="s">
        <v>7</v>
      </c>
      <c r="G4" s="1" t="s">
        <v>8</v>
      </c>
      <c r="H4" s="1" t="s">
        <v>25</v>
      </c>
      <c r="I4" s="1" t="s">
        <v>23</v>
      </c>
      <c r="J4" s="1" t="s">
        <v>10</v>
      </c>
      <c r="K4" s="1" t="s">
        <v>0</v>
      </c>
      <c r="L4" s="1" t="s">
        <v>0</v>
      </c>
      <c r="M4" s="1" t="s">
        <v>1</v>
      </c>
      <c r="N4" s="1" t="s">
        <v>3</v>
      </c>
      <c r="O4" s="1" t="s">
        <v>2</v>
      </c>
      <c r="P4" s="1" t="s">
        <v>5</v>
      </c>
    </row>
    <row r="5" spans="1:16" x14ac:dyDescent="0.25">
      <c r="A5" s="2" t="s">
        <v>6</v>
      </c>
      <c r="B5" s="1">
        <v>295.07</v>
      </c>
      <c r="C5" s="3" t="s">
        <v>12</v>
      </c>
      <c r="D5" s="1">
        <v>764</v>
      </c>
      <c r="E5" s="1">
        <f>101400+G5+37191</f>
        <v>148454.70000000001</v>
      </c>
      <c r="F5" s="1">
        <v>1470</v>
      </c>
      <c r="G5" s="1">
        <f>6.71*F5</f>
        <v>9863.7000000000007</v>
      </c>
      <c r="H5" s="1">
        <f>E5-(G5/2)</f>
        <v>143522.85</v>
      </c>
      <c r="I5" s="1">
        <f>E5-G5</f>
        <v>138591</v>
      </c>
      <c r="J5" s="1">
        <f>LN(E5/I5)</f>
        <v>6.8752711617838996E-2</v>
      </c>
      <c r="K5" s="1">
        <f>0.78*$B$5</f>
        <v>230.15460000000002</v>
      </c>
      <c r="L5" s="1">
        <f>1.9438*K5</f>
        <v>447.37451148000002</v>
      </c>
      <c r="M5" s="1">
        <f>(H5*2.204)/($B$8*$B$9)</f>
        <v>0.3083839013199326</v>
      </c>
      <c r="N5" s="1">
        <f>0.0236+((M5^2)/(PI()*$B$10*0.746))</f>
        <v>2.7475342230940687E-2</v>
      </c>
      <c r="O5" s="1">
        <f>M5/N5</f>
        <v>11.224024025901072</v>
      </c>
      <c r="P5" s="1">
        <f>(L5/D5)*O5*J5</f>
        <v>0.45187290145207826</v>
      </c>
    </row>
    <row r="6" spans="1:16" x14ac:dyDescent="0.25">
      <c r="D6" s="1">
        <v>1089</v>
      </c>
      <c r="E6" s="1">
        <f t="shared" ref="E6:E8" si="0">101400+G6+37191</f>
        <v>151970.74</v>
      </c>
      <c r="F6" s="1">
        <v>1994</v>
      </c>
      <c r="G6" s="1">
        <f t="shared" ref="G6:G8" si="1">6.71*F6</f>
        <v>13379.74</v>
      </c>
      <c r="H6" s="1">
        <f t="shared" ref="H6:H8" si="2">E6-(G6/2)</f>
        <v>145280.87</v>
      </c>
      <c r="I6" s="1">
        <f>E6-G6</f>
        <v>138591</v>
      </c>
      <c r="J6" s="1">
        <f t="shared" ref="J6:J8" si="3">LN(E6/I6)</f>
        <v>9.2160852733278106E-2</v>
      </c>
      <c r="K6" s="1">
        <f t="shared" ref="K6:K8" si="4">0.78*$B$5</f>
        <v>230.15460000000002</v>
      </c>
      <c r="L6" s="1">
        <f t="shared" ref="L6:L8" si="5">1.9438*K6</f>
        <v>447.37451148000002</v>
      </c>
      <c r="M6" s="1">
        <f t="shared" ref="M6:M8" si="6">(H6*2.204)/($B$8*$B$9)</f>
        <v>0.31216131422804066</v>
      </c>
      <c r="N6" s="1">
        <f t="shared" ref="N6:N8" si="7">0.0236+((M6^2)/(PI()*$B$10*0.746))</f>
        <v>2.7570862284197348E-2</v>
      </c>
      <c r="O6" s="1">
        <f t="shared" ref="O6:O8" si="8">M6/N6</f>
        <v>11.322145495861426</v>
      </c>
      <c r="P6" s="1">
        <f t="shared" ref="P6:P8" si="9">(L6/D6)*O6*J6</f>
        <v>0.42866554097195303</v>
      </c>
    </row>
    <row r="7" spans="1:16" x14ac:dyDescent="0.25">
      <c r="A7" s="2" t="s">
        <v>15</v>
      </c>
      <c r="B7" s="1">
        <v>0.31641000000000002</v>
      </c>
      <c r="C7" s="3" t="s">
        <v>18</v>
      </c>
      <c r="D7" s="1">
        <v>1608</v>
      </c>
      <c r="E7" s="1">
        <f t="shared" si="0"/>
        <v>157466.22999999998</v>
      </c>
      <c r="F7" s="1">
        <v>2813</v>
      </c>
      <c r="G7" s="1">
        <f t="shared" si="1"/>
        <v>18875.23</v>
      </c>
      <c r="H7" s="1">
        <f t="shared" si="2"/>
        <v>148028.61499999999</v>
      </c>
      <c r="I7" s="1">
        <f>E7-G7</f>
        <v>138590.99999999997</v>
      </c>
      <c r="J7" s="1">
        <f t="shared" si="3"/>
        <v>0.12768387299509104</v>
      </c>
      <c r="K7" s="1">
        <f t="shared" si="4"/>
        <v>230.15460000000002</v>
      </c>
      <c r="L7" s="1">
        <f t="shared" si="5"/>
        <v>447.37451148000002</v>
      </c>
      <c r="M7" s="1">
        <f t="shared" si="6"/>
        <v>0.31806532409777455</v>
      </c>
      <c r="N7" s="1">
        <f t="shared" si="7"/>
        <v>2.7722487172904198E-2</v>
      </c>
      <c r="O7" s="1">
        <f t="shared" si="8"/>
        <v>11.473188610892381</v>
      </c>
      <c r="P7" s="1">
        <f t="shared" si="9"/>
        <v>0.40757296931437764</v>
      </c>
    </row>
    <row r="8" spans="1:16" x14ac:dyDescent="0.25">
      <c r="A8" s="2" t="s">
        <v>11</v>
      </c>
      <c r="B8" s="1">
        <f>0.5*(K5^2)*B7</f>
        <v>8380.2991880630198</v>
      </c>
      <c r="C8" s="3" t="s">
        <v>19</v>
      </c>
      <c r="D8" s="1">
        <v>2398</v>
      </c>
      <c r="E8" s="1">
        <f t="shared" si="0"/>
        <v>166222.78</v>
      </c>
      <c r="F8" s="1">
        <v>4118</v>
      </c>
      <c r="G8" s="1">
        <f t="shared" si="1"/>
        <v>27631.78</v>
      </c>
      <c r="H8" s="1">
        <f t="shared" si="2"/>
        <v>152406.89000000001</v>
      </c>
      <c r="I8" s="1">
        <f>E8-G8</f>
        <v>138591</v>
      </c>
      <c r="J8" s="1">
        <f t="shared" si="3"/>
        <v>0.18180178722505119</v>
      </c>
      <c r="K8" s="1">
        <f t="shared" si="4"/>
        <v>230.15460000000002</v>
      </c>
      <c r="L8" s="1">
        <f t="shared" si="5"/>
        <v>447.37451148000002</v>
      </c>
      <c r="M8" s="1">
        <f t="shared" si="6"/>
        <v>0.32747281235174625</v>
      </c>
      <c r="N8" s="1">
        <f>0.0236+((M8^2)/(PI()*$B$10*0.746))</f>
        <v>2.7969956999075781E-2</v>
      </c>
      <c r="O8" s="1">
        <f t="shared" si="8"/>
        <v>11.708019871556006</v>
      </c>
      <c r="P8" s="1">
        <f t="shared" si="9"/>
        <v>0.39710344759677391</v>
      </c>
    </row>
    <row r="9" spans="1:16" x14ac:dyDescent="0.25">
      <c r="A9" s="2" t="s">
        <v>13</v>
      </c>
      <c r="B9" s="1">
        <v>122.4</v>
      </c>
      <c r="C9" s="3" t="s">
        <v>14</v>
      </c>
    </row>
    <row r="10" spans="1:16" x14ac:dyDescent="0.25">
      <c r="A10" s="2" t="s">
        <v>21</v>
      </c>
      <c r="B10" s="1">
        <f>(35.8^2)/B9</f>
        <v>10.470915032679738</v>
      </c>
    </row>
    <row r="14" spans="1:16" x14ac:dyDescent="0.25">
      <c r="A14" s="2" t="s">
        <v>16</v>
      </c>
      <c r="B14" s="1">
        <v>39000</v>
      </c>
      <c r="C1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Carver Glomb</dc:creator>
  <cp:lastModifiedBy>Carver Jaden Glomb</cp:lastModifiedBy>
  <dcterms:created xsi:type="dcterms:W3CDTF">2015-06-05T18:17:20Z</dcterms:created>
  <dcterms:modified xsi:type="dcterms:W3CDTF">2025-06-03T00:47:47Z</dcterms:modified>
</cp:coreProperties>
</file>