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Cirrolytix\Projects\DSACourseDevt_Coursebank\01_Cirrolytix\Contents\Dashboards_and_Drill-down_Analytics\Data Visualization\"/>
    </mc:Choice>
  </mc:AlternateContent>
  <xr:revisionPtr revIDLastSave="0" documentId="13_ncr:1_{2488FD28-A507-45A6-8AD2-78B097FA854D}" xr6:coauthVersionLast="45" xr6:coauthVersionMax="45" xr10:uidLastSave="{00000000-0000-0000-0000-000000000000}"/>
  <workbookProtection workbookAlgorithmName="SHA-512" workbookHashValue="gteXsIzK5h+UciulvzJtRt/Q3gWAaHRDszEYBuyMFdYfX8ouCh9fimdTX/rXoibk9OmxyG1nMUdLU5MfmDBocA==" workbookSaltValue="qZEfXAplq8v8k9/7Kx44VQ==" workbookSpinCount="100000" lockStructure="1"/>
  <bookViews>
    <workbookView xWindow="-120" yWindow="-120" windowWidth="20730" windowHeight="11160" tabRatio="719" xr2:uid="{00000000-000D-0000-FFFF-FFFF00000000}"/>
  </bookViews>
  <sheets>
    <sheet name="HR" sheetId="6" r:id="rId1"/>
    <sheet name="Extras" sheetId="7" state="hidden" r:id="rId2"/>
    <sheet name="Human Resources" sheetId="1" state="hidden" r:id="rId3"/>
  </sheets>
  <definedNames>
    <definedName name="flag">INDIRECT("Extras!$F$"&amp;(MATCH(language,list_languages,0)+3))</definedName>
    <definedName name="language">HR!$AV$1</definedName>
    <definedName name="language_relatedcolumn">VLOOKUP(language,search_languages,2,FALSE)</definedName>
    <definedName name="language_relatedorder">IF(language_relatedcolumn="I",2,IF(language_relatedcolumn="J",3,IF(language_relatedcolumn="K",4,IF(language_relatedcolumn="L",5,IF(language_relatedcolumn="M",6,2)))))</definedName>
    <definedName name="list_departments">INDIRECT(CONCATENATE("Extras!$B$4:$B$",COUNTA(Extras!$B$4:$B$12)+3))</definedName>
    <definedName name="list_languages">INDIRECT(CONCATENATE("Extras!$D$4:$D$",COUNTA(Extras!$D$4:$D$8)+3))</definedName>
    <definedName name="list_years">INDIRECT(CONCATENATE("Dashboard!$CL$7:$CL$",COUNTA(HR!$CL$8:$CL$37)-COUNTBLANK(HR!$CL$8:$CL$37)+7))</definedName>
    <definedName name="PSWFormList_0" hidden="1">'Human Resources'!$A$3:$A$98</definedName>
    <definedName name="PSWSeries_4_0_Values" hidden="1">'Human Resources'!$C$3:$C$98</definedName>
    <definedName name="search_languages">INDIRECT(CONCATENATE("Extras!$D$4:$F$",COUNTA(Extras!$D$4:$D$8)+3))</definedName>
    <definedName name="search_localizedstrings">INDIRECT(CONCATENATE("Extras!$H$4:$M$",COUNTA(Extras!$H$4:$H$50)+3))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C4" i="6" l="1"/>
  <c r="AO23" i="6" s="1"/>
  <c r="DB4" i="6"/>
  <c r="AT23" i="6" s="1"/>
  <c r="DD19" i="6"/>
  <c r="CZ17" i="6"/>
  <c r="CZ4" i="6"/>
  <c r="CZ11" i="6" s="1"/>
  <c r="AP13" i="6" s="1"/>
  <c r="CY4" i="6"/>
  <c r="AI23" i="6" s="1"/>
  <c r="AO25" i="6"/>
  <c r="B14" i="6"/>
  <c r="CG3" i="6"/>
  <c r="J21" i="6"/>
  <c r="CE3" i="6"/>
  <c r="CF3" i="6"/>
  <c r="AD25" i="6"/>
  <c r="AI25" i="6"/>
  <c r="AC21" i="6"/>
  <c r="CH3" i="6"/>
  <c r="AT25" i="6"/>
  <c r="AC18" i="6"/>
  <c r="DA4" i="6" l="1"/>
  <c r="CY7" i="6"/>
  <c r="AD23" i="6"/>
  <c r="B20" i="6"/>
  <c r="AK6" i="6"/>
  <c r="B24" i="6"/>
  <c r="CZ7" i="6" l="1"/>
  <c r="AK9" i="6"/>
  <c r="AP9" i="6" l="1"/>
  <c r="CY8" i="6"/>
  <c r="DA7" i="6"/>
  <c r="DB7" i="6" s="1"/>
  <c r="DC7" i="6" s="1"/>
  <c r="CZ8" i="6" l="1"/>
  <c r="DA8" i="6" s="1"/>
  <c r="DB8" i="6" s="1"/>
  <c r="DC8" i="6" s="1"/>
  <c r="AK10" i="6"/>
  <c r="CL4" i="6"/>
  <c r="CM4" i="6"/>
  <c r="CL8" i="6" s="1"/>
  <c r="J6" i="6"/>
  <c r="P1" i="6"/>
  <c r="CT3" i="6"/>
  <c r="CU3" i="6"/>
  <c r="AC5" i="6"/>
  <c r="B9" i="6"/>
  <c r="CV3" i="6"/>
  <c r="CQ4" i="6"/>
  <c r="CW3" i="6"/>
  <c r="AP10" i="6" l="1"/>
  <c r="CY9" i="6"/>
  <c r="CL9" i="6"/>
  <c r="CL10" i="6" s="1"/>
  <c r="CL11" i="6" s="1"/>
  <c r="CL12" i="6" s="1"/>
  <c r="CL13" i="6" s="1"/>
  <c r="CL14" i="6" s="1"/>
  <c r="CL15" i="6" s="1"/>
  <c r="CL16" i="6" s="1"/>
  <c r="CL17" i="6" s="1"/>
  <c r="CL18" i="6" s="1"/>
  <c r="CL19" i="6" s="1"/>
  <c r="CL20" i="6" s="1"/>
  <c r="CL21" i="6" s="1"/>
  <c r="CL22" i="6" s="1"/>
  <c r="CL23" i="6" s="1"/>
  <c r="CL24" i="6" s="1"/>
  <c r="CL25" i="6" s="1"/>
  <c r="CL26" i="6" s="1"/>
  <c r="CL27" i="6" s="1"/>
  <c r="CL28" i="6" s="1"/>
  <c r="CL29" i="6" s="1"/>
  <c r="CL30" i="6" s="1"/>
  <c r="CL31" i="6" s="1"/>
  <c r="CL32" i="6" s="1"/>
  <c r="CL33" i="6" s="1"/>
  <c r="CL34" i="6" s="1"/>
  <c r="CL35" i="6" s="1"/>
  <c r="CL36" i="6" s="1"/>
  <c r="CL37" i="6" s="1"/>
  <c r="CA4" i="6"/>
  <c r="P3" i="6"/>
  <c r="CC4" i="6"/>
  <c r="CB12" i="6"/>
  <c r="CC5" i="6"/>
  <c r="CC10" i="6"/>
  <c r="CC11" i="6"/>
  <c r="AK11" i="6" l="1"/>
  <c r="CZ9" i="6"/>
  <c r="DA9" i="6"/>
  <c r="DB9" i="6" s="1"/>
  <c r="DC9" i="6" s="1"/>
  <c r="CL7" i="6"/>
  <c r="CE12" i="6"/>
  <c r="CF12" i="6"/>
  <c r="CG12" i="6"/>
  <c r="CD12" i="6"/>
  <c r="CI12" i="6" s="1"/>
  <c r="CB7" i="6"/>
  <c r="CB6" i="6"/>
  <c r="CB8" i="6"/>
  <c r="CB11" i="6"/>
  <c r="CC7" i="6"/>
  <c r="CB9" i="6"/>
  <c r="CB5" i="6"/>
  <c r="CB4" i="6"/>
  <c r="CB10" i="6"/>
  <c r="CC8" i="6"/>
  <c r="CC6" i="6"/>
  <c r="CC12" i="6"/>
  <c r="CC9" i="6"/>
  <c r="CE10" i="6" l="1"/>
  <c r="CG10" i="6"/>
  <c r="CD10" i="6"/>
  <c r="CI10" i="6" s="1"/>
  <c r="CF10" i="6"/>
  <c r="CH10" i="6" s="1"/>
  <c r="CD4" i="6"/>
  <c r="CI4" i="6" s="1"/>
  <c r="CF4" i="6"/>
  <c r="CG4" i="6"/>
  <c r="CE4" i="6"/>
  <c r="CH4" i="6" s="1"/>
  <c r="CF5" i="6"/>
  <c r="CD5" i="6"/>
  <c r="CI5" i="6" s="1"/>
  <c r="CE5" i="6"/>
  <c r="CG5" i="6"/>
  <c r="CG9" i="6"/>
  <c r="CE9" i="6"/>
  <c r="CF9" i="6"/>
  <c r="CD9" i="6"/>
  <c r="CI9" i="6" s="1"/>
  <c r="CF11" i="6"/>
  <c r="CD11" i="6"/>
  <c r="CI11" i="6" s="1"/>
  <c r="CE11" i="6"/>
  <c r="CG11" i="6"/>
  <c r="CH11" i="6" s="1"/>
  <c r="CF8" i="6"/>
  <c r="CG8" i="6"/>
  <c r="CE8" i="6"/>
  <c r="CD8" i="6"/>
  <c r="CI8" i="6" s="1"/>
  <c r="CG6" i="6"/>
  <c r="CE6" i="6"/>
  <c r="CF6" i="6"/>
  <c r="CD6" i="6"/>
  <c r="CI6" i="6" s="1"/>
  <c r="CE7" i="6"/>
  <c r="CD7" i="6"/>
  <c r="CI7" i="6" s="1"/>
  <c r="CF7" i="6"/>
  <c r="CG7" i="6"/>
  <c r="CY10" i="6"/>
  <c r="AP11" i="6"/>
  <c r="CO16" i="6"/>
  <c r="CO21" i="6"/>
  <c r="CW21" i="6" s="1"/>
  <c r="CO26" i="6"/>
  <c r="CN26" i="6" s="1"/>
  <c r="CO10" i="6"/>
  <c r="CO7" i="6"/>
  <c r="CO24" i="6"/>
  <c r="CW24" i="6" s="1"/>
  <c r="CO36" i="6"/>
  <c r="CW36" i="6" s="1"/>
  <c r="CO20" i="6"/>
  <c r="CW20" i="6" s="1"/>
  <c r="CO29" i="6"/>
  <c r="CW29" i="6" s="1"/>
  <c r="CO8" i="6"/>
  <c r="CM8" i="6" s="1"/>
  <c r="CO31" i="6"/>
  <c r="CP31" i="6" s="1"/>
  <c r="CO19" i="6"/>
  <c r="CW19" i="6" s="1"/>
  <c r="CO18" i="6"/>
  <c r="CO32" i="6"/>
  <c r="CP32" i="6" s="1"/>
  <c r="CO33" i="6"/>
  <c r="CW33" i="6" s="1"/>
  <c r="CO17" i="6"/>
  <c r="CO9" i="6"/>
  <c r="CO12" i="6"/>
  <c r="CO27" i="6"/>
  <c r="CM27" i="6" s="1"/>
  <c r="CO15" i="6"/>
  <c r="CO34" i="6"/>
  <c r="CW34" i="6" s="1"/>
  <c r="CO14" i="6"/>
  <c r="CO25" i="6"/>
  <c r="CP25" i="6" s="1"/>
  <c r="CO13" i="6"/>
  <c r="CO28" i="6"/>
  <c r="CW28" i="6" s="1"/>
  <c r="CO37" i="6"/>
  <c r="CW37" i="6" s="1"/>
  <c r="CO35" i="6"/>
  <c r="CW35" i="6" s="1"/>
  <c r="CO23" i="6"/>
  <c r="CW23" i="6" s="1"/>
  <c r="CO11" i="6"/>
  <c r="CO30" i="6"/>
  <c r="CW30" i="6" s="1"/>
  <c r="CO22" i="6"/>
  <c r="CW22" i="6" s="1"/>
  <c r="CJ4" i="6"/>
  <c r="CJ10" i="6"/>
  <c r="CJ12" i="6"/>
  <c r="CJ5" i="6"/>
  <c r="CJ11" i="6"/>
  <c r="CH12" i="6"/>
  <c r="CH8" i="6"/>
  <c r="CP16" i="6"/>
  <c r="CP9" i="6"/>
  <c r="CP10" i="6"/>
  <c r="CP15" i="6"/>
  <c r="CP11" i="6"/>
  <c r="CP18" i="6"/>
  <c r="CP13" i="6"/>
  <c r="CP12" i="6"/>
  <c r="CP17" i="6"/>
  <c r="CP14" i="6"/>
  <c r="CH7" i="6" l="1"/>
  <c r="CH6" i="6"/>
  <c r="CH9" i="6"/>
  <c r="CH5" i="6"/>
  <c r="CJ6" i="6"/>
  <c r="CJ8" i="6"/>
  <c r="CJ9" i="6"/>
  <c r="CJ7" i="6"/>
  <c r="CP4" i="6"/>
  <c r="CU4" i="6" s="1"/>
  <c r="AK12" i="6"/>
  <c r="CZ10" i="6"/>
  <c r="CM7" i="6"/>
  <c r="CN7" i="6" s="1"/>
  <c r="CS7" i="6" s="1"/>
  <c r="CV4" i="6"/>
  <c r="CP20" i="6"/>
  <c r="CP29" i="6"/>
  <c r="CP23" i="6"/>
  <c r="CP19" i="6"/>
  <c r="CP24" i="6"/>
  <c r="CP34" i="6"/>
  <c r="CP33" i="6"/>
  <c r="CP36" i="6"/>
  <c r="CP35" i="6"/>
  <c r="CP30" i="6"/>
  <c r="CP28" i="6"/>
  <c r="CP27" i="6"/>
  <c r="CP22" i="6"/>
  <c r="CP37" i="6"/>
  <c r="CP21" i="6"/>
  <c r="CP26" i="6"/>
  <c r="CS4" i="6"/>
  <c r="DD21" i="6" s="1"/>
  <c r="CN30" i="6"/>
  <c r="CM32" i="6"/>
  <c r="CW32" i="6"/>
  <c r="CM31" i="6"/>
  <c r="CW31" i="6"/>
  <c r="CV26" i="6"/>
  <c r="CW26" i="6"/>
  <c r="CN8" i="6"/>
  <c r="CQ8" i="6" s="1"/>
  <c r="CV8" i="6" s="1"/>
  <c r="CN25" i="6"/>
  <c r="CW25" i="6"/>
  <c r="CV27" i="6"/>
  <c r="CW27" i="6"/>
  <c r="CM16" i="6"/>
  <c r="CN16" i="6" s="1"/>
  <c r="CN27" i="6"/>
  <c r="CM11" i="6"/>
  <c r="CN11" i="6" s="1"/>
  <c r="CM28" i="6"/>
  <c r="CV28" i="6"/>
  <c r="CM12" i="6"/>
  <c r="CN12" i="6" s="1"/>
  <c r="CM33" i="6"/>
  <c r="CV33" i="6"/>
  <c r="CM29" i="6"/>
  <c r="CV29" i="6"/>
  <c r="CM21" i="6"/>
  <c r="CV21" i="6"/>
  <c r="CM14" i="6"/>
  <c r="CN23" i="6"/>
  <c r="CV23" i="6"/>
  <c r="CM13" i="6"/>
  <c r="CN13" i="6" s="1"/>
  <c r="CN34" i="6"/>
  <c r="CV34" i="6"/>
  <c r="CN21" i="6"/>
  <c r="CM19" i="6"/>
  <c r="CV19" i="6"/>
  <c r="CM20" i="6"/>
  <c r="CV20" i="6"/>
  <c r="CN33" i="6"/>
  <c r="CN22" i="6"/>
  <c r="CV22" i="6"/>
  <c r="CN35" i="6"/>
  <c r="CV35" i="6"/>
  <c r="CM25" i="6"/>
  <c r="CV25" i="6"/>
  <c r="CM15" i="6"/>
  <c r="CN15" i="6" s="1"/>
  <c r="CM9" i="6"/>
  <c r="CN9" i="6" s="1"/>
  <c r="CN32" i="6"/>
  <c r="CV32" i="6"/>
  <c r="CN31" i="6"/>
  <c r="CV31" i="6"/>
  <c r="CN36" i="6"/>
  <c r="CV36" i="6"/>
  <c r="CM26" i="6"/>
  <c r="CM30" i="6"/>
  <c r="CV30" i="6"/>
  <c r="CN37" i="6"/>
  <c r="CV37" i="6"/>
  <c r="CM18" i="6"/>
  <c r="CN18" i="6" s="1"/>
  <c r="CM17" i="6"/>
  <c r="CN17" i="6" s="1"/>
  <c r="CM24" i="6"/>
  <c r="CV24" i="6"/>
  <c r="CM10" i="6"/>
  <c r="CN10" i="6" s="1"/>
  <c r="CN20" i="6"/>
  <c r="CM35" i="6"/>
  <c r="CM22" i="6"/>
  <c r="CN19" i="6"/>
  <c r="CM34" i="6"/>
  <c r="CM37" i="6"/>
  <c r="CN29" i="6"/>
  <c r="CN28" i="6"/>
  <c r="CN24" i="6"/>
  <c r="CM36" i="6"/>
  <c r="CM23" i="6"/>
  <c r="CU22" i="6"/>
  <c r="CU35" i="6"/>
  <c r="CU27" i="6"/>
  <c r="CU36" i="6"/>
  <c r="CU21" i="6"/>
  <c r="CU30" i="6"/>
  <c r="CU25" i="6"/>
  <c r="CU32" i="6"/>
  <c r="CU37" i="6"/>
  <c r="CU34" i="6"/>
  <c r="CU19" i="6"/>
  <c r="CU29" i="6"/>
  <c r="CU23" i="6"/>
  <c r="CU28" i="6"/>
  <c r="CU33" i="6"/>
  <c r="CU31" i="6"/>
  <c r="CU20" i="6"/>
  <c r="CU24" i="6"/>
  <c r="CU26" i="6"/>
  <c r="CS30" i="6"/>
  <c r="CT30" i="6"/>
  <c r="CS25" i="6"/>
  <c r="CT25" i="6"/>
  <c r="CS32" i="6"/>
  <c r="CT32" i="6"/>
  <c r="CS37" i="6"/>
  <c r="CT37" i="6"/>
  <c r="CS34" i="6"/>
  <c r="CT34" i="6"/>
  <c r="CS19" i="6"/>
  <c r="CT19" i="6"/>
  <c r="CS29" i="6"/>
  <c r="CT29" i="6"/>
  <c r="CS23" i="6"/>
  <c r="CT23" i="6"/>
  <c r="CS28" i="6"/>
  <c r="CT28" i="6"/>
  <c r="CS33" i="6"/>
  <c r="CT33" i="6"/>
  <c r="CS31" i="6"/>
  <c r="CT31" i="6"/>
  <c r="CS20" i="6"/>
  <c r="CT20" i="6"/>
  <c r="CS24" i="6"/>
  <c r="CT24" i="6"/>
  <c r="CS26" i="6"/>
  <c r="CT26" i="6"/>
  <c r="CS22" i="6"/>
  <c r="CT22" i="6"/>
  <c r="CS35" i="6"/>
  <c r="CT35" i="6"/>
  <c r="CS27" i="6"/>
  <c r="CT27" i="6"/>
  <c r="CS36" i="6"/>
  <c r="CT36" i="6"/>
  <c r="CS21" i="6"/>
  <c r="CT21" i="6"/>
  <c r="CQ37" i="6"/>
  <c r="CR37" i="6"/>
  <c r="CQ34" i="6"/>
  <c r="CR34" i="6"/>
  <c r="CQ19" i="6"/>
  <c r="CR19" i="6"/>
  <c r="CQ29" i="6"/>
  <c r="CR29" i="6"/>
  <c r="CQ23" i="6"/>
  <c r="CR23" i="6"/>
  <c r="CQ28" i="6"/>
  <c r="CR28" i="6"/>
  <c r="CQ33" i="6"/>
  <c r="CR33" i="6"/>
  <c r="CQ31" i="6"/>
  <c r="CR31" i="6"/>
  <c r="CQ20" i="6"/>
  <c r="CR20" i="6"/>
  <c r="CQ24" i="6"/>
  <c r="CR24" i="6"/>
  <c r="CQ26" i="6"/>
  <c r="CR26" i="6"/>
  <c r="CQ22" i="6"/>
  <c r="CR22" i="6"/>
  <c r="CQ35" i="6"/>
  <c r="CR35" i="6"/>
  <c r="CQ27" i="6"/>
  <c r="CR27" i="6"/>
  <c r="CQ36" i="6"/>
  <c r="CR36" i="6"/>
  <c r="CQ21" i="6"/>
  <c r="CR21" i="6"/>
  <c r="CQ30" i="6"/>
  <c r="CR30" i="6"/>
  <c r="CQ25" i="6"/>
  <c r="CR25" i="6"/>
  <c r="CQ32" i="6"/>
  <c r="CR32" i="6"/>
  <c r="CP8" i="6"/>
  <c r="CP7" i="6"/>
  <c r="CR4" i="6" l="1"/>
  <c r="CZ19" i="6" s="1"/>
  <c r="CZ22" i="6" s="1"/>
  <c r="CT4" i="6"/>
  <c r="CW4" i="6" s="1"/>
  <c r="AC19" i="6" s="1"/>
  <c r="AP12" i="6"/>
  <c r="CY11" i="6"/>
  <c r="DA10" i="6"/>
  <c r="DB10" i="6" s="1"/>
  <c r="DC10" i="6" s="1"/>
  <c r="DD24" i="6"/>
  <c r="DE24" i="6"/>
  <c r="CQ7" i="6"/>
  <c r="CV7" i="6" s="1"/>
  <c r="CR7" i="6"/>
  <c r="CT7" i="6"/>
  <c r="CS8" i="6"/>
  <c r="CR8" i="6"/>
  <c r="CT8" i="6"/>
  <c r="CQ16" i="6"/>
  <c r="CV16" i="6" s="1"/>
  <c r="CQ15" i="6"/>
  <c r="CV15" i="6" s="1"/>
  <c r="CT11" i="6"/>
  <c r="CS16" i="6"/>
  <c r="CW8" i="6"/>
  <c r="CR16" i="6"/>
  <c r="CT16" i="6"/>
  <c r="CS12" i="6"/>
  <c r="CR9" i="6"/>
  <c r="CR13" i="6"/>
  <c r="CQ11" i="6"/>
  <c r="CV11" i="6" s="1"/>
  <c r="CT9" i="6"/>
  <c r="CT13" i="6"/>
  <c r="CR18" i="6"/>
  <c r="CT18" i="6"/>
  <c r="CQ18" i="6"/>
  <c r="CV18" i="6" s="1"/>
  <c r="CR17" i="6"/>
  <c r="CT15" i="6"/>
  <c r="CS17" i="6"/>
  <c r="CS11" i="6"/>
  <c r="CT10" i="6"/>
  <c r="CR10" i="6"/>
  <c r="CR15" i="6"/>
  <c r="CR11" i="6"/>
  <c r="CS15" i="6"/>
  <c r="CT12" i="6"/>
  <c r="CN14" i="6"/>
  <c r="CS14" i="6" s="1"/>
  <c r="CQ10" i="6"/>
  <c r="CV10" i="6" s="1"/>
  <c r="CQ9" i="6"/>
  <c r="CV9" i="6" s="1"/>
  <c r="CQ13" i="6"/>
  <c r="CV13" i="6" s="1"/>
  <c r="CS9" i="6"/>
  <c r="CS13" i="6"/>
  <c r="CS18" i="6"/>
  <c r="CS10" i="6"/>
  <c r="CQ12" i="6"/>
  <c r="CQ17" i="6"/>
  <c r="CV17" i="6" s="1"/>
  <c r="CT17" i="6"/>
  <c r="CR12" i="6"/>
  <c r="DA22" i="6" l="1"/>
  <c r="DA11" i="6"/>
  <c r="DB11" i="6" s="1"/>
  <c r="DC11" i="6" s="1"/>
  <c r="AK13" i="6"/>
  <c r="CU7" i="6"/>
  <c r="CW7" i="6"/>
  <c r="CT5" i="6"/>
  <c r="CU5" i="6"/>
  <c r="CV5" i="6"/>
  <c r="CU11" i="6"/>
  <c r="CU8" i="6"/>
  <c r="CU10" i="6"/>
  <c r="CW18" i="6"/>
  <c r="CU16" i="6"/>
  <c r="CW16" i="6"/>
  <c r="CU17" i="6"/>
  <c r="CU9" i="6"/>
  <c r="CW15" i="6"/>
  <c r="CU18" i="6"/>
  <c r="CW17" i="6"/>
  <c r="CW13" i="6"/>
  <c r="CV12" i="6"/>
  <c r="CW12" i="6"/>
  <c r="CW10" i="6"/>
  <c r="CW11" i="6"/>
  <c r="CW9" i="6"/>
  <c r="CU13" i="6"/>
  <c r="CU15" i="6"/>
  <c r="CQ14" i="6"/>
  <c r="CV14" i="6" s="1"/>
  <c r="CT14" i="6"/>
  <c r="CR14" i="6"/>
  <c r="CU12" i="6"/>
  <c r="CW14" i="6" l="1"/>
  <c r="CU1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Maycon Luiz</author>
  </authors>
  <commentList>
    <comment ref="E3" authorId="0" shapeId="0" xr:uid="{00000000-0006-0000-0100-000001000000}">
      <text>
        <r>
          <rPr>
            <sz val="9"/>
            <color indexed="81"/>
            <rFont val="Segoe UI"/>
            <family val="2"/>
          </rPr>
          <t>Column of this worksheet where you can find the translation.</t>
        </r>
      </text>
    </comment>
  </commentList>
</comments>
</file>

<file path=xl/sharedStrings.xml><?xml version="1.0" encoding="utf-8"?>
<sst xmlns="http://schemas.openxmlformats.org/spreadsheetml/2006/main" count="386" uniqueCount="217">
  <si>
    <t>Full Name</t>
  </si>
  <si>
    <t>Hire Date</t>
  </si>
  <si>
    <t>Salary</t>
  </si>
  <si>
    <t>Bonus</t>
  </si>
  <si>
    <t>Overtime</t>
  </si>
  <si>
    <t>Department</t>
  </si>
  <si>
    <t>Sick Days</t>
  </si>
  <si>
    <t>Performance Score</t>
  </si>
  <si>
    <t>Finance</t>
  </si>
  <si>
    <t>Administration</t>
  </si>
  <si>
    <t>Human Resources</t>
  </si>
  <si>
    <t>Marketing</t>
  </si>
  <si>
    <t>R&amp;D</t>
  </si>
  <si>
    <t>Customer Support</t>
  </si>
  <si>
    <t>Accounting</t>
  </si>
  <si>
    <t>IT</t>
  </si>
  <si>
    <t>Sales</t>
  </si>
  <si>
    <t>Fritz Klein</t>
  </si>
  <si>
    <t>Porter Le</t>
  </si>
  <si>
    <t>Oren Chase</t>
  </si>
  <si>
    <t>Nasim Hanson</t>
  </si>
  <si>
    <t>Bradley Valenzuela</t>
  </si>
  <si>
    <t>Vaughan Dean</t>
  </si>
  <si>
    <t>Christopher Guerra</t>
  </si>
  <si>
    <t>Ishmael Grimes</t>
  </si>
  <si>
    <t>Ferdinand Small</t>
  </si>
  <si>
    <t>Asher Benson</t>
  </si>
  <si>
    <t>Marvin Velasquez</t>
  </si>
  <si>
    <t>Tiger Schultz</t>
  </si>
  <si>
    <t>Kasimir Mccoy</t>
  </si>
  <si>
    <t>Oscar Keller</t>
  </si>
  <si>
    <t>Lamar Howard</t>
  </si>
  <si>
    <t>Wesley Conner</t>
  </si>
  <si>
    <t>Hu Frost</t>
  </si>
  <si>
    <t>Luke Luna</t>
  </si>
  <si>
    <t>Hayes Gonzales</t>
  </si>
  <si>
    <t>Bevis Whitfield</t>
  </si>
  <si>
    <t>Connor Baxter</t>
  </si>
  <si>
    <t>Tiger Mcintosh</t>
  </si>
  <si>
    <t>Jerry Goodwin</t>
  </si>
  <si>
    <t>Jasper Battle</t>
  </si>
  <si>
    <t>Malcolm Hutchinson</t>
  </si>
  <si>
    <t>Gabriel Ayala</t>
  </si>
  <si>
    <t>Phelan Davidson</t>
  </si>
  <si>
    <t>Gavin Bell</t>
  </si>
  <si>
    <t>Hasad Faulkner</t>
  </si>
  <si>
    <t>Hector Madden</t>
  </si>
  <si>
    <t>Hyatt Edwards</t>
  </si>
  <si>
    <t>Oscar Emerson</t>
  </si>
  <si>
    <t>Bernard Wilkinson</t>
  </si>
  <si>
    <t>Caldwell Shepherd</t>
  </si>
  <si>
    <t>Damian Silva</t>
  </si>
  <si>
    <t>Lawrence Hicks</t>
  </si>
  <si>
    <t>Deacon Whitaker</t>
  </si>
  <si>
    <t>Brennan Ellison</t>
  </si>
  <si>
    <t>Linus Christian</t>
  </si>
  <si>
    <t>Elmo Abbott</t>
  </si>
  <si>
    <t>Kuame Griffith</t>
  </si>
  <si>
    <t>Henry Holcomb</t>
  </si>
  <si>
    <t>Chandler Stevens</t>
  </si>
  <si>
    <t>Oscar Dickerson</t>
  </si>
  <si>
    <t>Cruz Chase</t>
  </si>
  <si>
    <t>Ralph Alvarez</t>
  </si>
  <si>
    <t>Felix Boyle</t>
  </si>
  <si>
    <t>Brandon Mckenzie</t>
  </si>
  <si>
    <t>Ciaran Smith</t>
  </si>
  <si>
    <t>Wayne Golden</t>
  </si>
  <si>
    <t>Patrick Hawkins</t>
  </si>
  <si>
    <t>Adam Curtis</t>
  </si>
  <si>
    <t>Aidan Tyler</t>
  </si>
  <si>
    <t>Clayton Riddle</t>
  </si>
  <si>
    <t>Tad Carson</t>
  </si>
  <si>
    <t>Stewart Wilcox</t>
  </si>
  <si>
    <t>Barry Mccarthy</t>
  </si>
  <si>
    <t>Jonah Mcintyre</t>
  </si>
  <si>
    <t>Chester Baldwin</t>
  </si>
  <si>
    <t>Dennis Nguyen</t>
  </si>
  <si>
    <t>Sean Stark</t>
  </si>
  <si>
    <t>Brennan Walls</t>
  </si>
  <si>
    <t>Marvin Moses</t>
  </si>
  <si>
    <t>Drake Dominguez</t>
  </si>
  <si>
    <t>Emerson Sellers</t>
  </si>
  <si>
    <t>Dustin Harris</t>
  </si>
  <si>
    <t>Clayton Cotton</t>
  </si>
  <si>
    <t>Ferris Knight</t>
  </si>
  <si>
    <t>Rashad Zimmerman</t>
  </si>
  <si>
    <t>Noah Rowland</t>
  </si>
  <si>
    <t>Graham Gibbs</t>
  </si>
  <si>
    <t>Hyatt Rogers</t>
  </si>
  <si>
    <t>Gareth Wyatt</t>
  </si>
  <si>
    <t>Geoffrey Small</t>
  </si>
  <si>
    <t>Melvin Pickett</t>
  </si>
  <si>
    <t>Kasper Riley</t>
  </si>
  <si>
    <t>Simon Pratt</t>
  </si>
  <si>
    <t>Rajah Weber</t>
  </si>
  <si>
    <t>Griffith Nielsen</t>
  </si>
  <si>
    <t>Declan Larson</t>
  </si>
  <si>
    <t>Sawyer Byers</t>
  </si>
  <si>
    <t>Hashim Vazquez</t>
  </si>
  <si>
    <t>Stone Bush</t>
  </si>
  <si>
    <t>Harding Turner</t>
  </si>
  <si>
    <t>Jesse Barron</t>
  </si>
  <si>
    <t>Kenneth Booker</t>
  </si>
  <si>
    <t>Steel Stuart</t>
  </si>
  <si>
    <t>Darius Sandoval</t>
  </si>
  <si>
    <t>Giacomo Parks</t>
  </si>
  <si>
    <t>Flynn Guthrie</t>
  </si>
  <si>
    <t>Kenyon Petersen</t>
  </si>
  <si>
    <t>Dexter Hawkins</t>
  </si>
  <si>
    <t>Garrison Bray</t>
  </si>
  <si>
    <t>Kermit Duffy</t>
  </si>
  <si>
    <t>Eaton Stevens</t>
  </si>
  <si>
    <t>Judah Suarez</t>
  </si>
  <si>
    <t>Judah Robles</t>
  </si>
  <si>
    <t>Byron Foreman</t>
  </si>
  <si>
    <t>Wylie Burris</t>
  </si>
  <si>
    <t>Rafael Griffith</t>
  </si>
  <si>
    <t>Previous Month Data</t>
  </si>
  <si>
    <t>Headcount</t>
  </si>
  <si>
    <t>Number of Employees by Salary</t>
  </si>
  <si>
    <t>Funcionários por Faixa Salarial</t>
  </si>
  <si>
    <t>Funcionários por Setor</t>
  </si>
  <si>
    <t>Language</t>
  </si>
  <si>
    <t>Flag</t>
  </si>
  <si>
    <t>Salários por Setor</t>
  </si>
  <si>
    <t>Licenças Médicas por Setor</t>
  </si>
  <si>
    <t>Performance por Setor</t>
  </si>
  <si>
    <t>English</t>
  </si>
  <si>
    <t>Brazilian Portuguese</t>
  </si>
  <si>
    <t>Departments</t>
  </si>
  <si>
    <t>p</t>
  </si>
  <si>
    <t>Department (localized)</t>
  </si>
  <si>
    <t>Total Salary</t>
  </si>
  <si>
    <t>Total Bonus</t>
  </si>
  <si>
    <t>Total Overtime</t>
  </si>
  <si>
    <t>Payroll</t>
  </si>
  <si>
    <t>Department Charts</t>
  </si>
  <si>
    <t>Count Employees</t>
  </si>
  <si>
    <t>Avg Sick Days</t>
  </si>
  <si>
    <t>Avg Performance</t>
  </si>
  <si>
    <t>Month/Year Views</t>
  </si>
  <si>
    <t>Min Year</t>
  </si>
  <si>
    <t>Max Year</t>
  </si>
  <si>
    <t>Year List</t>
  </si>
  <si>
    <t>Year Selected</t>
  </si>
  <si>
    <t>HUMAN RESOURCES</t>
  </si>
  <si>
    <t>RECURSOS HUMANOS</t>
  </si>
  <si>
    <t>Month/Year</t>
  </si>
  <si>
    <t>M/Y (localized)</t>
  </si>
  <si>
    <t>Languages for Localized Strings</t>
  </si>
  <si>
    <t>Localized Strings</t>
  </si>
  <si>
    <t>Default Localized String</t>
  </si>
  <si>
    <t>Related Column</t>
  </si>
  <si>
    <t>J</t>
  </si>
  <si>
    <t>L</t>
  </si>
  <si>
    <t>Hires</t>
  </si>
  <si>
    <t>Sick Days by Department</t>
  </si>
  <si>
    <t>Performance Score by Department</t>
  </si>
  <si>
    <t>F</t>
  </si>
  <si>
    <t>M</t>
  </si>
  <si>
    <t>A</t>
  </si>
  <si>
    <t>S</t>
  </si>
  <si>
    <t>O</t>
  </si>
  <si>
    <t>N</t>
  </si>
  <si>
    <t>D</t>
  </si>
  <si>
    <t>Greatest Paid Salary</t>
  </si>
  <si>
    <t>Maior Salário Pago</t>
  </si>
  <si>
    <t>Menor Salário Pago</t>
  </si>
  <si>
    <t>Greatest Paid Bonus</t>
  </si>
  <si>
    <t>Menor Hora Extra Paga</t>
  </si>
  <si>
    <t>Maior Hora Extra Paga</t>
  </si>
  <si>
    <t>Maior Bonus Pago</t>
  </si>
  <si>
    <t>Menor Bonus Pago</t>
  </si>
  <si>
    <t>Greatest Paid Overtime</t>
  </si>
  <si>
    <t>Employees</t>
  </si>
  <si>
    <t>General Data</t>
  </si>
  <si>
    <t>Lowest Paid Salary</t>
  </si>
  <si>
    <t>Lowest Paid Bonus</t>
  </si>
  <si>
    <t>Lowest Paid Overtime</t>
  </si>
  <si>
    <t>Funcionários</t>
  </si>
  <si>
    <t>Setores</t>
  </si>
  <si>
    <t>I</t>
  </si>
  <si>
    <t>K</t>
  </si>
  <si>
    <t>Contratações</t>
  </si>
  <si>
    <t>Payroll Breakdown</t>
  </si>
  <si>
    <t>Composição da Folha</t>
  </si>
  <si>
    <t>Salário Base</t>
  </si>
  <si>
    <t>Horas Extras</t>
  </si>
  <si>
    <t>Gratificações</t>
  </si>
  <si>
    <t>Average Performance</t>
  </si>
  <si>
    <t>Average Sick Days</t>
  </si>
  <si>
    <t>Média Licenças Médicas</t>
  </si>
  <si>
    <t>Média Performance</t>
  </si>
  <si>
    <t>Salary Views</t>
  </si>
  <si>
    <t>Min Salary</t>
  </si>
  <si>
    <t>Max Salary</t>
  </si>
  <si>
    <t>Limit</t>
  </si>
  <si>
    <t>-</t>
  </si>
  <si>
    <t>ê</t>
  </si>
  <si>
    <t xml:space="preserve">Total Payroll </t>
  </si>
  <si>
    <t>Total da Folha</t>
  </si>
  <si>
    <t>Salary Distribution</t>
  </si>
  <si>
    <t>Base</t>
  </si>
  <si>
    <t>Bad</t>
  </si>
  <si>
    <t>OK</t>
  </si>
  <si>
    <t>Performance</t>
  </si>
  <si>
    <t>Attention</t>
  </si>
  <si>
    <t>Position</t>
  </si>
  <si>
    <t>Pointer</t>
  </si>
  <si>
    <t>Arrow</t>
  </si>
  <si>
    <t>Xaxis</t>
  </si>
  <si>
    <t>Yaxis</t>
  </si>
  <si>
    <t>More Statistics</t>
  </si>
  <si>
    <t>Mais Estatísticas</t>
  </si>
  <si>
    <t>Min Overtime</t>
  </si>
  <si>
    <t>Max Overtime</t>
  </si>
  <si>
    <t>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</si>
</sst>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&quot;$&quot;#,##0"/>
    <numFmt numFmtId="165" formatCode="0.0"/>
    <numFmt numFmtId="166" formatCode="[$-F800]dddd\,\ mmmm\ dd\,\ yyyy"/>
    <numFmt numFmtId="167" formatCode="dd/mm/yyyy;@"/>
    <numFmt numFmtId="168" formatCode="d/mm/yyyy;@"/>
    <numFmt numFmtId="169" formatCode="0.00000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charset val="162"/>
      <scheme val="minor"/>
    </font>
    <font>
      <sz val="10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22"/>
      <color theme="1"/>
      <name val="Segoe UI Light"/>
      <family val="2"/>
    </font>
    <font>
      <sz val="9"/>
      <color theme="0" tint="-0.34998626667073579"/>
      <name val="Wingdings 3"/>
      <family val="1"/>
      <charset val="2"/>
    </font>
    <font>
      <sz val="14"/>
      <color theme="0"/>
      <name val="Segoe UI"/>
      <family val="2"/>
    </font>
    <font>
      <sz val="17"/>
      <color theme="0"/>
      <name val="Segoe UI"/>
      <family val="2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70C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9"/>
      <color indexed="81"/>
      <name val="Segoe UI"/>
      <family val="2"/>
    </font>
    <font>
      <sz val="8"/>
      <color theme="2" tint="-0.249977111117893"/>
      <name val="Calibri"/>
      <family val="2"/>
      <scheme val="minor"/>
    </font>
    <font>
      <sz val="16"/>
      <color rgb="FF0070C0"/>
      <name val="Segoe UI"/>
      <family val="2"/>
    </font>
    <font>
      <sz val="16"/>
      <color theme="2" tint="-0.749992370372631"/>
      <name val="Segoe UI"/>
      <family val="2"/>
    </font>
    <font>
      <sz val="8"/>
      <color theme="2" tint="-0.499984740745262"/>
      <name val="Calibri"/>
      <family val="2"/>
      <scheme val="minor"/>
    </font>
    <font>
      <sz val="13"/>
      <color theme="8" tint="-0.249977111117893"/>
      <name val="Segoe UI"/>
      <family val="2"/>
    </font>
    <font>
      <sz val="13"/>
      <color rgb="FF008000"/>
      <name val="Segoe UI"/>
      <family val="2"/>
    </font>
    <font>
      <sz val="13"/>
      <color theme="2" tint="-0.749992370372631"/>
      <name val="Segoe UI"/>
      <family val="2"/>
    </font>
    <font>
      <sz val="14"/>
      <color theme="2" tint="-0.749992370372631"/>
      <name val="Segoe UI"/>
      <family val="2"/>
    </font>
    <font>
      <sz val="8"/>
      <color theme="1" tint="0.499984740745262"/>
      <name val="Calibri"/>
      <family val="2"/>
      <scheme val="minor"/>
    </font>
    <font>
      <sz val="10"/>
      <color theme="1"/>
      <name val="Segoe UI"/>
      <family val="2"/>
    </font>
    <font>
      <sz val="10"/>
      <color theme="2" tint="-0.749992370372631"/>
      <name val="Segoe UI"/>
      <family val="2"/>
    </font>
    <font>
      <sz val="11"/>
      <color theme="2" tint="-0.749992370372631"/>
      <name val="Segoe UI"/>
      <family val="2"/>
    </font>
    <font>
      <sz val="11"/>
      <color theme="1"/>
      <name val="Tahoma"/>
      <family val="2"/>
    </font>
    <font>
      <sz val="8"/>
      <color theme="1"/>
      <name val="Tahoma"/>
      <family val="2"/>
    </font>
    <font>
      <sz val="8"/>
      <color theme="2" tint="-0.499984740745262"/>
      <name val="Tahoma"/>
      <family val="2"/>
    </font>
    <font>
      <sz val="8"/>
      <color theme="0" tint="-4.9989318521683403E-2"/>
      <name val="Tahoma"/>
      <family val="2"/>
    </font>
    <font>
      <sz val="11"/>
      <color theme="0" tint="-4.9989318521683403E-2"/>
      <name val="Wingdings 3"/>
      <family val="1"/>
      <charset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99CC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  <border>
      <left/>
      <right/>
      <top style="thin">
        <color theme="2" tint="-9.9948118533890809E-2"/>
      </top>
      <bottom/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/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/>
      <right/>
      <top style="medium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medium">
        <color theme="0" tint="-0.34998626667073579"/>
      </bottom>
      <diagonal/>
    </border>
  </borders>
  <cellStyleXfs count="5">
    <xf numFmtId="0" fontId="0" fillId="0" borderId="0"/>
    <xf numFmtId="0" fontId="2" fillId="0" borderId="0" applyFill="0" applyProtection="0"/>
    <xf numFmtId="0" fontId="3" fillId="0" borderId="0"/>
    <xf numFmtId="0" fontId="4" fillId="0" borderId="0"/>
    <xf numFmtId="43" fontId="1" fillId="0" borderId="0" applyFont="0" applyFill="0" applyBorder="0" applyAlignment="0" applyProtection="0"/>
  </cellStyleXfs>
  <cellXfs count="110">
    <xf numFmtId="0" fontId="0" fillId="0" borderId="0" xfId="0"/>
    <xf numFmtId="0" fontId="6" fillId="2" borderId="0" xfId="0" applyFont="1" applyFill="1" applyAlignment="1">
      <alignment wrapText="1"/>
    </xf>
    <xf numFmtId="14" fontId="6" fillId="2" borderId="0" xfId="0" applyNumberFormat="1" applyFont="1" applyFill="1" applyAlignment="1">
      <alignment horizontal="right" wrapText="1"/>
    </xf>
    <xf numFmtId="164" fontId="6" fillId="2" borderId="0" xfId="0" applyNumberFormat="1" applyFont="1" applyFill="1" applyAlignment="1">
      <alignment horizontal="right" wrapText="1"/>
    </xf>
    <xf numFmtId="0" fontId="6" fillId="2" borderId="0" xfId="0" applyNumberFormat="1" applyFont="1" applyFill="1" applyAlignment="1">
      <alignment horizontal="right" wrapText="1"/>
    </xf>
    <xf numFmtId="0" fontId="6" fillId="2" borderId="0" xfId="0" applyFont="1" applyFill="1" applyAlignment="1">
      <alignment horizontal="right" wrapText="1"/>
    </xf>
    <xf numFmtId="0" fontId="6" fillId="0" borderId="0" xfId="0" applyFont="1" applyFill="1" applyAlignment="1">
      <alignment wrapText="1"/>
    </xf>
    <xf numFmtId="0" fontId="5" fillId="0" borderId="0" xfId="0" applyFont="1" applyFill="1"/>
    <xf numFmtId="14" fontId="5" fillId="0" borderId="0" xfId="0" applyNumberFormat="1" applyFont="1" applyFill="1"/>
    <xf numFmtId="164" fontId="5" fillId="0" borderId="0" xfId="0" applyNumberFormat="1" applyFont="1" applyFill="1"/>
    <xf numFmtId="0" fontId="0" fillId="5" borderId="0" xfId="0" applyFill="1"/>
    <xf numFmtId="0" fontId="0" fillId="5" borderId="0" xfId="0" applyFill="1" applyBorder="1"/>
    <xf numFmtId="0" fontId="10" fillId="5" borderId="0" xfId="0" applyFont="1" applyFill="1" applyBorder="1" applyAlignment="1">
      <alignment vertical="top"/>
    </xf>
    <xf numFmtId="0" fontId="0" fillId="5" borderId="2" xfId="0" applyFill="1" applyBorder="1"/>
    <xf numFmtId="0" fontId="9" fillId="5" borderId="2" xfId="0" applyFont="1" applyFill="1" applyBorder="1" applyAlignment="1"/>
    <xf numFmtId="0" fontId="14" fillId="8" borderId="1" xfId="0" applyFont="1" applyFill="1" applyBorder="1" applyAlignment="1">
      <alignment horizontal="left"/>
    </xf>
    <xf numFmtId="0" fontId="14" fillId="5" borderId="0" xfId="0" applyFont="1" applyFill="1" applyBorder="1" applyAlignment="1">
      <alignment horizontal="left"/>
    </xf>
    <xf numFmtId="43" fontId="14" fillId="8" borderId="1" xfId="4" applyFont="1" applyFill="1" applyBorder="1" applyAlignment="1">
      <alignment horizontal="left"/>
    </xf>
    <xf numFmtId="0" fontId="14" fillId="8" borderId="1" xfId="0" applyFont="1" applyFill="1" applyBorder="1" applyAlignment="1">
      <alignment horizontal="center"/>
    </xf>
    <xf numFmtId="165" fontId="14" fillId="8" borderId="1" xfId="0" applyNumberFormat="1" applyFont="1" applyFill="1" applyBorder="1" applyAlignment="1">
      <alignment horizontal="center"/>
    </xf>
    <xf numFmtId="0" fontId="15" fillId="5" borderId="0" xfId="0" applyFont="1" applyFill="1" applyBorder="1" applyAlignment="1">
      <alignment horizontal="left" vertical="center"/>
    </xf>
    <xf numFmtId="0" fontId="14" fillId="6" borderId="1" xfId="0" applyFont="1" applyFill="1" applyBorder="1" applyAlignment="1">
      <alignment horizontal="left"/>
    </xf>
    <xf numFmtId="0" fontId="16" fillId="5" borderId="0" xfId="0" applyFont="1" applyFill="1" applyBorder="1" applyAlignment="1">
      <alignment horizontal="left" vertical="center"/>
    </xf>
    <xf numFmtId="0" fontId="16" fillId="5" borderId="0" xfId="0" applyFont="1" applyFill="1" applyBorder="1" applyAlignment="1">
      <alignment horizontal="left"/>
    </xf>
    <xf numFmtId="1" fontId="14" fillId="8" borderId="1" xfId="0" applyNumberFormat="1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0" fontId="16" fillId="5" borderId="0" xfId="0" applyFont="1" applyFill="1" applyBorder="1" applyAlignment="1">
      <alignment horizontal="center"/>
    </xf>
    <xf numFmtId="167" fontId="14" fillId="8" borderId="1" xfId="0" applyNumberFormat="1" applyFont="1" applyFill="1" applyBorder="1" applyAlignment="1">
      <alignment horizontal="center"/>
    </xf>
    <xf numFmtId="168" fontId="14" fillId="8" borderId="1" xfId="0" applyNumberFormat="1" applyFont="1" applyFill="1" applyBorder="1" applyAlignment="1">
      <alignment horizontal="center"/>
    </xf>
    <xf numFmtId="0" fontId="8" fillId="5" borderId="0" xfId="0" applyFont="1" applyFill="1" applyAlignment="1">
      <alignment vertical="center"/>
    </xf>
    <xf numFmtId="0" fontId="8" fillId="5" borderId="0" xfId="0" applyFont="1" applyFill="1" applyBorder="1" applyAlignment="1">
      <alignment vertical="center"/>
    </xf>
    <xf numFmtId="0" fontId="5" fillId="5" borderId="0" xfId="0" applyFont="1" applyFill="1" applyAlignment="1">
      <alignment vertical="center"/>
    </xf>
    <xf numFmtId="0" fontId="8" fillId="9" borderId="5" xfId="0" applyFont="1" applyFill="1" applyBorder="1" applyAlignment="1">
      <alignment vertical="center"/>
    </xf>
    <xf numFmtId="0" fontId="8" fillId="5" borderId="5" xfId="0" applyFont="1" applyFill="1" applyBorder="1" applyAlignment="1">
      <alignment vertical="center"/>
    </xf>
    <xf numFmtId="0" fontId="8" fillId="5" borderId="0" xfId="0" applyFont="1" applyFill="1" applyAlignment="1">
      <alignment horizontal="center" vertical="center"/>
    </xf>
    <xf numFmtId="0" fontId="19" fillId="6" borderId="5" xfId="0" applyFont="1" applyFill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left" vertical="center" wrapText="1"/>
    </xf>
    <xf numFmtId="0" fontId="8" fillId="9" borderId="5" xfId="0" applyFont="1" applyFill="1" applyBorder="1" applyAlignment="1">
      <alignment horizontal="left" vertical="center" wrapText="1"/>
    </xf>
    <xf numFmtId="0" fontId="0" fillId="5" borderId="7" xfId="0" applyFill="1" applyBorder="1"/>
    <xf numFmtId="0" fontId="23" fillId="5" borderId="0" xfId="0" applyFont="1" applyFill="1" applyBorder="1" applyAlignment="1"/>
    <xf numFmtId="166" fontId="21" fillId="5" borderId="0" xfId="0" applyNumberFormat="1" applyFont="1" applyFill="1" applyBorder="1" applyAlignment="1">
      <alignment vertical="center" wrapText="1"/>
    </xf>
    <xf numFmtId="166" fontId="21" fillId="5" borderId="2" xfId="0" applyNumberFormat="1" applyFont="1" applyFill="1" applyBorder="1" applyAlignment="1">
      <alignment vertical="center" wrapText="1"/>
    </xf>
    <xf numFmtId="0" fontId="22" fillId="5" borderId="0" xfId="0" applyFont="1" applyFill="1" applyAlignment="1"/>
    <xf numFmtId="0" fontId="10" fillId="5" borderId="8" xfId="0" applyFont="1" applyFill="1" applyBorder="1" applyAlignment="1">
      <alignment vertical="top"/>
    </xf>
    <xf numFmtId="0" fontId="0" fillId="5" borderId="9" xfId="0" applyFill="1" applyBorder="1"/>
    <xf numFmtId="0" fontId="9" fillId="5" borderId="11" xfId="0" applyFont="1" applyFill="1" applyBorder="1" applyAlignment="1"/>
    <xf numFmtId="0" fontId="9" fillId="5" borderId="12" xfId="0" applyFont="1" applyFill="1" applyBorder="1" applyAlignment="1"/>
    <xf numFmtId="0" fontId="0" fillId="5" borderId="0" xfId="0" applyFill="1" applyAlignment="1"/>
    <xf numFmtId="0" fontId="0" fillId="5" borderId="0" xfId="0" applyFill="1" applyBorder="1" applyAlignment="1"/>
    <xf numFmtId="0" fontId="26" fillId="5" borderId="0" xfId="0" applyFont="1" applyFill="1" applyAlignment="1">
      <alignment vertical="center"/>
    </xf>
    <xf numFmtId="0" fontId="25" fillId="5" borderId="0" xfId="0" applyFont="1" applyFill="1" applyAlignment="1">
      <alignment vertical="center"/>
    </xf>
    <xf numFmtId="0" fontId="28" fillId="5" borderId="0" xfId="0" applyFont="1" applyFill="1" applyBorder="1" applyAlignment="1">
      <alignment wrapText="1"/>
    </xf>
    <xf numFmtId="43" fontId="29" fillId="5" borderId="0" xfId="0" applyNumberFormat="1" applyFont="1" applyFill="1" applyBorder="1" applyAlignment="1">
      <alignment horizontal="left" vertical="top"/>
    </xf>
    <xf numFmtId="0" fontId="28" fillId="5" borderId="0" xfId="0" applyFont="1" applyFill="1" applyBorder="1" applyAlignment="1"/>
    <xf numFmtId="0" fontId="32" fillId="5" borderId="0" xfId="0" applyFont="1" applyFill="1" applyAlignment="1">
      <alignment vertical="center" wrapText="1"/>
    </xf>
    <xf numFmtId="0" fontId="31" fillId="5" borderId="0" xfId="0" applyFont="1" applyFill="1" applyAlignment="1">
      <alignment vertical="top"/>
    </xf>
    <xf numFmtId="0" fontId="31" fillId="5" borderId="0" xfId="0" applyFont="1" applyFill="1" applyAlignment="1">
      <alignment vertical="top" wrapText="1"/>
    </xf>
    <xf numFmtId="0" fontId="37" fillId="12" borderId="0" xfId="0" applyFont="1" applyFill="1" applyAlignment="1">
      <alignment horizontal="center"/>
    </xf>
    <xf numFmtId="0" fontId="37" fillId="10" borderId="0" xfId="0" applyFont="1" applyFill="1" applyAlignment="1">
      <alignment horizontal="center"/>
    </xf>
    <xf numFmtId="0" fontId="37" fillId="11" borderId="0" xfId="0" applyFont="1" applyFill="1" applyAlignment="1">
      <alignment horizontal="center"/>
    </xf>
    <xf numFmtId="0" fontId="37" fillId="13" borderId="0" xfId="0" applyFont="1" applyFill="1" applyAlignment="1">
      <alignment horizontal="center"/>
    </xf>
    <xf numFmtId="0" fontId="37" fillId="14" borderId="0" xfId="0" applyFont="1" applyFill="1" applyAlignment="1">
      <alignment horizontal="center"/>
    </xf>
    <xf numFmtId="169" fontId="14" fillId="8" borderId="1" xfId="0" applyNumberFormat="1" applyFont="1" applyFill="1" applyBorder="1" applyAlignment="1">
      <alignment horizontal="center"/>
    </xf>
    <xf numFmtId="0" fontId="0" fillId="5" borderId="22" xfId="0" applyFill="1" applyBorder="1"/>
    <xf numFmtId="0" fontId="0" fillId="5" borderId="7" xfId="0" applyFill="1" applyBorder="1" applyAlignment="1"/>
    <xf numFmtId="0" fontId="30" fillId="5" borderId="0" xfId="0" applyFont="1" applyFill="1" applyBorder="1" applyAlignment="1">
      <alignment vertical="center" wrapText="1"/>
    </xf>
    <xf numFmtId="0" fontId="30" fillId="5" borderId="7" xfId="0" applyFont="1" applyFill="1" applyBorder="1" applyAlignment="1">
      <alignment vertical="center" wrapText="1"/>
    </xf>
    <xf numFmtId="0" fontId="11" fillId="6" borderId="20" xfId="0" applyFont="1" applyFill="1" applyBorder="1" applyAlignment="1">
      <alignment horizontal="center" vertical="center"/>
    </xf>
    <xf numFmtId="0" fontId="11" fillId="6" borderId="21" xfId="0" applyFont="1" applyFill="1" applyBorder="1" applyAlignment="1">
      <alignment horizontal="center" vertical="center"/>
    </xf>
    <xf numFmtId="0" fontId="21" fillId="5" borderId="9" xfId="0" applyFont="1" applyFill="1" applyBorder="1" applyAlignment="1">
      <alignment horizontal="left" vertical="center" wrapText="1"/>
    </xf>
    <xf numFmtId="0" fontId="21" fillId="5" borderId="10" xfId="0" applyFont="1" applyFill="1" applyBorder="1" applyAlignment="1">
      <alignment horizontal="left" vertical="center" wrapText="1"/>
    </xf>
    <xf numFmtId="0" fontId="21" fillId="5" borderId="12" xfId="0" applyFont="1" applyFill="1" applyBorder="1" applyAlignment="1">
      <alignment horizontal="left" vertical="center" wrapText="1"/>
    </xf>
    <xf numFmtId="0" fontId="21" fillId="5" borderId="13" xfId="0" applyFont="1" applyFill="1" applyBorder="1" applyAlignment="1">
      <alignment horizontal="left" vertical="center" wrapText="1"/>
    </xf>
    <xf numFmtId="0" fontId="13" fillId="7" borderId="14" xfId="0" applyFont="1" applyFill="1" applyBorder="1" applyAlignment="1">
      <alignment horizontal="center" vertical="center"/>
    </xf>
    <xf numFmtId="0" fontId="13" fillId="7" borderId="18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166" fontId="24" fillId="4" borderId="15" xfId="0" applyNumberFormat="1" applyFont="1" applyFill="1" applyBorder="1" applyAlignment="1">
      <alignment horizontal="center" vertical="center" wrapText="1"/>
    </xf>
    <xf numFmtId="166" fontId="24" fillId="4" borderId="16" xfId="0" applyNumberFormat="1" applyFont="1" applyFill="1" applyBorder="1" applyAlignment="1">
      <alignment horizontal="center" vertical="center" wrapText="1"/>
    </xf>
    <xf numFmtId="166" fontId="24" fillId="4" borderId="17" xfId="0" applyNumberFormat="1" applyFont="1" applyFill="1" applyBorder="1" applyAlignment="1">
      <alignment horizontal="center" vertical="center" wrapText="1"/>
    </xf>
    <xf numFmtId="0" fontId="28" fillId="5" borderId="0" xfId="0" applyFont="1" applyFill="1" applyBorder="1" applyAlignment="1">
      <alignment horizontal="center"/>
    </xf>
    <xf numFmtId="0" fontId="28" fillId="5" borderId="7" xfId="0" applyFont="1" applyFill="1" applyBorder="1" applyAlignment="1">
      <alignment horizontal="center"/>
    </xf>
    <xf numFmtId="4" fontId="33" fillId="4" borderId="5" xfId="0" applyNumberFormat="1" applyFont="1" applyFill="1" applyBorder="1" applyAlignment="1">
      <alignment horizontal="center" vertical="center" shrinkToFit="1"/>
    </xf>
    <xf numFmtId="0" fontId="30" fillId="5" borderId="5" xfId="0" applyFont="1" applyFill="1" applyBorder="1" applyAlignment="1">
      <alignment horizontal="center" vertical="center" wrapText="1"/>
    </xf>
    <xf numFmtId="0" fontId="28" fillId="5" borderId="19" xfId="0" applyFont="1" applyFill="1" applyBorder="1" applyAlignment="1">
      <alignment horizontal="center" wrapText="1"/>
    </xf>
    <xf numFmtId="0" fontId="28" fillId="5" borderId="0" xfId="0" applyFont="1" applyFill="1" applyBorder="1" applyAlignment="1">
      <alignment horizontal="center" wrapText="1"/>
    </xf>
    <xf numFmtId="0" fontId="28" fillId="5" borderId="7" xfId="0" applyFont="1" applyFill="1" applyBorder="1" applyAlignment="1">
      <alignment horizontal="center" wrapText="1"/>
    </xf>
    <xf numFmtId="4" fontId="34" fillId="6" borderId="7" xfId="0" applyNumberFormat="1" applyFont="1" applyFill="1" applyBorder="1" applyAlignment="1">
      <alignment horizontal="center"/>
    </xf>
    <xf numFmtId="0" fontId="35" fillId="5" borderId="0" xfId="0" applyFont="1" applyFill="1" applyAlignment="1">
      <alignment horizontal="center"/>
    </xf>
    <xf numFmtId="0" fontId="31" fillId="5" borderId="0" xfId="0" applyFont="1" applyFill="1" applyAlignment="1">
      <alignment horizontal="center" vertical="top" shrinkToFit="1"/>
    </xf>
    <xf numFmtId="0" fontId="31" fillId="5" borderId="0" xfId="0" applyFont="1" applyFill="1" applyAlignment="1">
      <alignment horizontal="center" vertical="center" shrinkToFit="1"/>
    </xf>
    <xf numFmtId="4" fontId="36" fillId="12" borderId="0" xfId="0" applyNumberFormat="1" applyFont="1" applyFill="1" applyAlignment="1">
      <alignment horizontal="right"/>
    </xf>
    <xf numFmtId="4" fontId="36" fillId="10" borderId="0" xfId="0" applyNumberFormat="1" applyFont="1" applyFill="1" applyAlignment="1">
      <alignment horizontal="right"/>
    </xf>
    <xf numFmtId="4" fontId="36" fillId="11" borderId="0" xfId="0" applyNumberFormat="1" applyFont="1" applyFill="1" applyAlignment="1">
      <alignment horizontal="right"/>
    </xf>
    <xf numFmtId="4" fontId="36" fillId="13" borderId="0" xfId="0" applyNumberFormat="1" applyFont="1" applyFill="1" applyAlignment="1">
      <alignment horizontal="right"/>
    </xf>
    <xf numFmtId="4" fontId="36" fillId="14" borderId="0" xfId="0" applyNumberFormat="1" applyFont="1" applyFill="1" applyAlignment="1">
      <alignment horizontal="right"/>
    </xf>
    <xf numFmtId="4" fontId="36" fillId="12" borderId="0" xfId="0" applyNumberFormat="1" applyFont="1" applyFill="1" applyAlignment="1">
      <alignment horizontal="left"/>
    </xf>
    <xf numFmtId="4" fontId="36" fillId="10" borderId="0" xfId="0" applyNumberFormat="1" applyFont="1" applyFill="1" applyAlignment="1">
      <alignment horizontal="left"/>
    </xf>
    <xf numFmtId="0" fontId="27" fillId="5" borderId="0" xfId="0" applyFont="1" applyFill="1" applyAlignment="1">
      <alignment horizontal="center" vertical="center"/>
    </xf>
    <xf numFmtId="4" fontId="36" fillId="11" borderId="0" xfId="0" applyNumberFormat="1" applyFont="1" applyFill="1" applyAlignment="1">
      <alignment horizontal="left"/>
    </xf>
    <xf numFmtId="4" fontId="36" fillId="13" borderId="0" xfId="0" applyNumberFormat="1" applyFont="1" applyFill="1" applyAlignment="1">
      <alignment horizontal="left"/>
    </xf>
    <xf numFmtId="4" fontId="36" fillId="14" borderId="0" xfId="0" applyNumberFormat="1" applyFont="1" applyFill="1" applyAlignment="1">
      <alignment horizontal="left"/>
    </xf>
    <xf numFmtId="0" fontId="18" fillId="4" borderId="3" xfId="0" applyFont="1" applyFill="1" applyBorder="1" applyAlignment="1">
      <alignment horizontal="center" vertical="center"/>
    </xf>
    <xf numFmtId="0" fontId="18" fillId="4" borderId="6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164" fontId="7" fillId="3" borderId="0" xfId="0" applyNumberFormat="1" applyFont="1" applyFill="1" applyAlignment="1">
      <alignment horizontal="center"/>
    </xf>
  </cellXfs>
  <cellStyles count="5">
    <cellStyle name="Comma" xfId="4" builtinId="3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colors>
    <mruColors>
      <color rgb="FF0099FF"/>
      <color rgb="FF66FF66"/>
      <color rgb="FFCCFF33"/>
      <color rgb="FFFFFF66"/>
      <color rgb="FFFF9933"/>
      <color rgb="FFEF7367"/>
      <color rgb="FF000000"/>
      <color rgb="FFFF5050"/>
      <color rgb="FF0033CC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10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3097686559671841E-2"/>
          <c:y val="9.3274556896604147E-2"/>
          <c:w val="0.91311389355019146"/>
          <c:h val="0.4670036117280211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HR!$CC$4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rgbClr val="003366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43200" tIns="0" rIns="43200" bIns="0" anchor="ctr" anchorCtr="0">
                <a:spAutoFit/>
              </a:bodyPr>
              <a:lstStyle/>
              <a:p>
                <a:pPr algn="ctr">
                  <a:defRPr lang="pt-BR" sz="800" b="0" i="0" u="none" strike="noStrike" kern="1200" baseline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flowChartOffpageConnector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HR!$CD$4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0-D0FB-4322-ABCB-1E00CDAD307C}"/>
            </c:ext>
          </c:extLst>
        </c:ser>
        <c:ser>
          <c:idx val="1"/>
          <c:order val="1"/>
          <c:tx>
            <c:strRef>
              <c:f>HR!$CC$5</c:f>
              <c:strCache>
                <c:ptCount val="1"/>
                <c:pt idx="0">
                  <c:v>Administration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43200" tIns="0" rIns="43200" bIns="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flowChartOffpageConnector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HR!$CD$5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1-D0FB-4322-ABCB-1E00CDAD307C}"/>
            </c:ext>
          </c:extLst>
        </c:ser>
        <c:ser>
          <c:idx val="2"/>
          <c:order val="2"/>
          <c:tx>
            <c:strRef>
              <c:f>HR!$CC$6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rgbClr val="009999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43200" tIns="0" rIns="43200" bIns="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flowChartOffpageConnector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HR!$CD$6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2-D0FB-4322-ABCB-1E00CDAD307C}"/>
            </c:ext>
          </c:extLst>
        </c:ser>
        <c:ser>
          <c:idx val="3"/>
          <c:order val="3"/>
          <c:tx>
            <c:strRef>
              <c:f>HR!$CC$7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rgbClr val="00CC99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43200" tIns="0" rIns="43200" bIns="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flowChartOffpageConnector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HR!$CD$7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3-D0FB-4322-ABCB-1E00CDAD307C}"/>
            </c:ext>
          </c:extLst>
        </c:ser>
        <c:ser>
          <c:idx val="4"/>
          <c:order val="4"/>
          <c:tx>
            <c:strRef>
              <c:f>HR!$CC$8</c:f>
              <c:strCache>
                <c:ptCount val="1"/>
                <c:pt idx="0">
                  <c:v>R&amp;D</c:v>
                </c:pt>
              </c:strCache>
            </c:strRef>
          </c:tx>
          <c:spPr>
            <a:solidFill>
              <a:srgbClr val="66FFCC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43200" tIns="0" rIns="43200" bIns="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flowChartOffpageConnector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HR!$CD$8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4-D0FB-4322-ABCB-1E00CDAD307C}"/>
            </c:ext>
          </c:extLst>
        </c:ser>
        <c:ser>
          <c:idx val="5"/>
          <c:order val="5"/>
          <c:tx>
            <c:strRef>
              <c:f>HR!$CC$9</c:f>
              <c:strCache>
                <c:ptCount val="1"/>
                <c:pt idx="0">
                  <c:v>Customer Support</c:v>
                </c:pt>
              </c:strCache>
            </c:strRef>
          </c:tx>
          <c:spPr>
            <a:solidFill>
              <a:srgbClr val="00FFFF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43200" tIns="0" rIns="43200" bIns="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flowChartOffpageConnector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HR!$CD$9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5-D0FB-4322-ABCB-1E00CDAD307C}"/>
            </c:ext>
          </c:extLst>
        </c:ser>
        <c:ser>
          <c:idx val="6"/>
          <c:order val="6"/>
          <c:tx>
            <c:strRef>
              <c:f>HR!$CC$10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rgbClr val="0099FF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43200" tIns="0" rIns="43200" bIns="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flowChartOffpageConnector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HR!$CD$10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6-D0FB-4322-ABCB-1E00CDAD307C}"/>
            </c:ext>
          </c:extLst>
        </c:ser>
        <c:ser>
          <c:idx val="7"/>
          <c:order val="7"/>
          <c:tx>
            <c:strRef>
              <c:f>HR!$CC$11</c:f>
              <c:strCache>
                <c:ptCount val="1"/>
                <c:pt idx="0">
                  <c:v>IT</c:v>
                </c:pt>
              </c:strCache>
            </c:strRef>
          </c:tx>
          <c:spPr>
            <a:solidFill>
              <a:srgbClr val="0066FF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43200" tIns="0" rIns="43200" bIns="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flowChartOffpageConnector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HR!$CD$11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7-D0FB-4322-ABCB-1E00CDAD307C}"/>
            </c:ext>
          </c:extLst>
        </c:ser>
        <c:ser>
          <c:idx val="8"/>
          <c:order val="8"/>
          <c:tx>
            <c:strRef>
              <c:f>HR!$CC$12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0033CC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43200" tIns="0" rIns="43200" bIns="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flowChartOffpageConnector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HR!$CD$12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8-D0FB-4322-ABCB-1E00CDAD30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00"/>
        <c:gapDepth val="0"/>
        <c:shape val="box"/>
        <c:axId val="169774360"/>
        <c:axId val="169773968"/>
        <c:axId val="0"/>
      </c:bar3DChart>
      <c:catAx>
        <c:axId val="1697743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773968"/>
        <c:crosses val="autoZero"/>
        <c:auto val="1"/>
        <c:lblAlgn val="ctr"/>
        <c:lblOffset val="100"/>
        <c:noMultiLvlLbl val="0"/>
      </c:catAx>
      <c:valAx>
        <c:axId val="16977396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16977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640733341168172E-2"/>
          <c:y val="0.65352580927384074"/>
          <c:w val="0.88236134417624024"/>
          <c:h val="0.31684007447786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cap="all" spc="100" baseline="0">
              <a:solidFill>
                <a:schemeClr val="bg2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Segoe UI Light" panose="020B0502040204020203" pitchFamily="34" charset="0"/>
          <a:cs typeface="Segoe UI Light" panose="020B0502040204020203" pitchFamily="34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949322464995457E-2"/>
          <c:y val="1.472222222222222E-2"/>
          <c:w val="0.42699592109245493"/>
          <c:h val="0.9726665248622984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HR!$CT$3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rgbClr val="FF9933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43651305403146007"/>
                  <c:y val="0.31814910683744529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none" lIns="36000" tIns="36000" rIns="36000" bIns="36000" anchor="ctr" anchorCtr="0">
                  <a:noAutofit/>
                </a:bodyPr>
                <a:lstStyle/>
                <a:p>
                  <a:pPr algn="l"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56348694596853999"/>
                      <c:h val="0.1803678684662764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5A1-46C2-8F03-F6409D96066D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none" lIns="468000" tIns="36000" rIns="36000" bIns="36000" anchor="ctr" anchorCtr="0">
                <a:spAutoFit/>
              </a:bodyPr>
              <a:lstStyle/>
              <a:p>
                <a:pPr algn="l"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rgbClr val="FF9933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 1.00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HR!$CT$4:$CT$5</c15:sqref>
                  </c15:fullRef>
                </c:ext>
              </c:extLst>
              <c:f>HR!$CT$4</c:f>
              <c:numCache>
                <c:formatCode>_(* #,##0.00_);_(* \(#,##0.00\);_(* "-"??_);_(@_)</c:formatCode>
                <c:ptCount val="1"/>
                <c:pt idx="0">
                  <c:v>6290000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1-46C2-8F03-F6409D96066D}"/>
            </c:ext>
          </c:extLst>
        </c:ser>
        <c:ser>
          <c:idx val="1"/>
          <c:order val="1"/>
          <c:tx>
            <c:strRef>
              <c:f>HR!$CU$3</c:f>
              <c:strCache>
                <c:ptCount val="1"/>
                <c:pt idx="0">
                  <c:v>Bonus</c:v>
                </c:pt>
              </c:strCache>
            </c:strRef>
          </c:tx>
          <c:spPr>
            <a:solidFill>
              <a:srgbClr val="FFCC00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47767677064493286"/>
                  <c:y val="0.2073217056788094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none" lIns="36000" tIns="36000" rIns="36000" bIns="36000" anchor="ctr" anchorCtr="0">
                  <a:noAutofit/>
                </a:bodyPr>
                <a:lstStyle/>
                <a:p>
                  <a:pPr algn="l"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53590358123052551"/>
                      <c:h val="0.1803678684662764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5A1-46C2-8F03-F6409D9606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none" lIns="36000" tIns="36000" rIns="36000" bIns="36000" anchor="ctr" anchorCtr="0">
                <a:spAutoFit/>
              </a:bodyPr>
              <a:lstStyle/>
              <a:p>
                <a:pPr algn="l"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rgbClr val="FFCC0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HR!$CU$4:$CU$5</c15:sqref>
                  </c15:fullRef>
                </c:ext>
              </c:extLst>
              <c:f>HR!$CU$4</c:f>
              <c:numCache>
                <c:formatCode>_(* #,##0.00_);_(* \(#,##0.00\);_(* "-"??_);_(@_)</c:formatCode>
                <c:ptCount val="1"/>
                <c:pt idx="0">
                  <c:v>949140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A1-46C2-8F03-F6409D96066D}"/>
            </c:ext>
          </c:extLst>
        </c:ser>
        <c:ser>
          <c:idx val="2"/>
          <c:order val="2"/>
          <c:tx>
            <c:strRef>
              <c:f>HR!$CV$3</c:f>
              <c:strCache>
                <c:ptCount val="1"/>
                <c:pt idx="0">
                  <c:v>Overtime</c:v>
                </c:pt>
              </c:strCache>
            </c:strRef>
          </c:tx>
          <c:spPr>
            <a:solidFill>
              <a:srgbClr val="FFFF00">
                <a:alpha val="69804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48539433940884891"/>
                  <c:y val="1.73538029608569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000" tIns="36000" rIns="36000" bIns="468000" anchor="ctr" anchorCtr="0">
                  <a:noAutofit/>
                </a:bodyPr>
                <a:lstStyle/>
                <a:p>
                  <a:pPr algn="l"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52151331649885724"/>
                      <c:h val="0.1803678684662764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55A1-46C2-8F03-F6409D9606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468000" tIns="36000" rIns="36000" bIns="36000" anchor="ctr" anchorCtr="0">
                <a:spAutoFit/>
              </a:bodyPr>
              <a:lstStyle/>
              <a:p>
                <a:pPr algn="l"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rgbClr val="FFFF0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HR!$CV$4:$CV$5</c15:sqref>
                  </c15:fullRef>
                </c:ext>
              </c:extLst>
              <c:f>HR!$CV$4</c:f>
              <c:numCache>
                <c:formatCode>_(* #,##0.00_);_(* \(#,##0.00\);_(* "-"??_);_(@_)</c:formatCode>
                <c:ptCount val="1"/>
                <c:pt idx="0">
                  <c:v>184080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A1-46C2-8F03-F6409D9606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100"/>
        <c:axId val="169557160"/>
        <c:axId val="169557552"/>
      </c:barChart>
      <c:catAx>
        <c:axId val="16955716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69557552"/>
        <c:crosses val="max"/>
        <c:auto val="1"/>
        <c:lblAlgn val="ctr"/>
        <c:lblOffset val="100"/>
        <c:noMultiLvlLbl val="0"/>
      </c:catAx>
      <c:valAx>
        <c:axId val="169557552"/>
        <c:scaling>
          <c:orientation val="minMax"/>
          <c:min val="0"/>
        </c:scaling>
        <c:delete val="1"/>
        <c:axPos val="l"/>
        <c:numFmt formatCode="0%" sourceLinked="0"/>
        <c:majorTickMark val="out"/>
        <c:minorTickMark val="none"/>
        <c:tickLblPos val="nextTo"/>
        <c:crossAx val="16955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805208363824428E-2"/>
          <c:y val="8.0061756986259079E-3"/>
          <c:w val="0.95116437659955932"/>
          <c:h val="0.8523666731098517"/>
        </c:manualLayout>
      </c:layout>
      <c:doughnutChart>
        <c:varyColors val="1"/>
        <c:ser>
          <c:idx val="0"/>
          <c:order val="0"/>
          <c:tx>
            <c:v>Status</c:v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F5F-4B9C-BA84-DC4788A36A43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F5F-4B9C-BA84-DC4788A36A43}"/>
              </c:ext>
            </c:extLst>
          </c:dPt>
          <c:dPt>
            <c:idx val="2"/>
            <c:bubble3D val="0"/>
            <c:spPr>
              <a:solidFill>
                <a:srgbClr val="EF736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F5F-4B9C-BA84-DC4788A36A43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F5F-4B9C-BA84-DC4788A36A43}"/>
              </c:ext>
            </c:extLst>
          </c:dPt>
          <c:cat>
            <c:numLit>
              <c:formatCode>General</c:formatCode>
              <c:ptCount val="3"/>
              <c:pt idx="0">
                <c:v>34</c:v>
              </c:pt>
              <c:pt idx="1">
                <c:v>16</c:v>
              </c:pt>
              <c:pt idx="2">
                <c:v>50</c:v>
              </c:pt>
            </c:numLit>
          </c:cat>
          <c:val>
            <c:numRef>
              <c:f>HR!$CZ$14:$CZ$17</c:f>
              <c:numCache>
                <c:formatCode>0</c:formatCode>
                <c:ptCount val="4"/>
                <c:pt idx="0">
                  <c:v>50</c:v>
                </c:pt>
                <c:pt idx="1">
                  <c:v>30</c:v>
                </c:pt>
                <c:pt idx="2">
                  <c:v>20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5F-4B9C-BA84-DC4788A36A43}"/>
            </c:ext>
          </c:extLst>
        </c:ser>
        <c:ser>
          <c:idx val="2"/>
          <c:order val="1"/>
          <c:tx>
            <c:v>Marcador</c:v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bg1">
                  <a:lumMod val="95000"/>
                  <a:alpha val="3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F5F-4B9C-BA84-DC4788A36A43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F5F-4B9C-BA84-DC4788A36A43}"/>
              </c:ext>
            </c:extLst>
          </c:dPt>
          <c:val>
            <c:numLit>
              <c:formatCode>General</c:formatCode>
              <c:ptCount val="2"/>
              <c:pt idx="0">
                <c:v>100</c:v>
              </c:pt>
              <c:pt idx="1">
                <c:v>100</c:v>
              </c:pt>
            </c:numLit>
          </c:val>
          <c:extLst>
            <c:ext xmlns:c16="http://schemas.microsoft.com/office/drawing/2014/chart" uri="{C3380CC4-5D6E-409C-BE32-E72D297353CC}">
              <c16:uniqueId val="{0000000D-0F5F-4B9C-BA84-DC4788A36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catterChart>
        <c:scatterStyle val="lineMarker"/>
        <c:varyColors val="0"/>
        <c:ser>
          <c:idx val="1"/>
          <c:order val="2"/>
          <c:tx>
            <c:v>Ponteiro</c:v>
          </c:tx>
          <c:spPr>
            <a:ln w="28575" cap="rnd">
              <a:solidFill>
                <a:schemeClr val="tx1"/>
              </a:solidFill>
              <a:round/>
              <a:headEnd type="triangle" w="med" len="med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bg2">
                    <a:lumMod val="1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F5F-4B9C-BA84-DC4788A36A43}"/>
              </c:ext>
            </c:extLst>
          </c:dPt>
          <c:dPt>
            <c:idx val="1"/>
            <c:marker>
              <c:symbol val="circle"/>
              <c:size val="5"/>
              <c:spPr>
                <a:noFill/>
                <a:ln w="9525">
                  <a:noFill/>
                  <a:headEnd type="triangle" w="med" len="med"/>
                  <a:tailEnd type="none" w="med" len="med"/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  <a:headEnd type="triangl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10-0F5F-4B9C-BA84-DC4788A36A43}"/>
              </c:ext>
            </c:extLst>
          </c:dPt>
          <c:xVal>
            <c:numRef>
              <c:f>HR!$CZ$21:$CZ$22</c:f>
              <c:numCache>
                <c:formatCode>0.0000000</c:formatCode>
                <c:ptCount val="2"/>
                <c:pt idx="0" formatCode="0">
                  <c:v>0</c:v>
                </c:pt>
                <c:pt idx="1">
                  <c:v>-0.48999115164423657</c:v>
                </c:pt>
              </c:numCache>
            </c:numRef>
          </c:xVal>
          <c:yVal>
            <c:numRef>
              <c:f>HR!$DA$21:$DA$22</c:f>
              <c:numCache>
                <c:formatCode>0.0000000</c:formatCode>
                <c:ptCount val="2"/>
                <c:pt idx="0" formatCode="0">
                  <c:v>0</c:v>
                </c:pt>
                <c:pt idx="1">
                  <c:v>0.87172740653850889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F5F-4B9C-BA84-DC4788A36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75760"/>
        <c:axId val="143778504"/>
      </c:scatterChart>
      <c:valAx>
        <c:axId val="143778504"/>
        <c:scaling>
          <c:orientation val="minMax"/>
          <c:max val="1.5"/>
          <c:min val="-1.5"/>
        </c:scaling>
        <c:delete val="1"/>
        <c:axPos val="l"/>
        <c:numFmt formatCode="0" sourceLinked="1"/>
        <c:majorTickMark val="out"/>
        <c:minorTickMark val="none"/>
        <c:tickLblPos val="nextTo"/>
        <c:crossAx val="143775760"/>
        <c:crossesAt val="-1.5"/>
        <c:crossBetween val="midCat"/>
      </c:valAx>
      <c:valAx>
        <c:axId val="143775760"/>
        <c:scaling>
          <c:orientation val="minMax"/>
          <c:max val="1.5"/>
          <c:min val="-1.5"/>
        </c:scaling>
        <c:delete val="1"/>
        <c:axPos val="t"/>
        <c:numFmt formatCode="0" sourceLinked="1"/>
        <c:majorTickMark val="out"/>
        <c:minorTickMark val="none"/>
        <c:tickLblPos val="nextTo"/>
        <c:crossAx val="143778504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Segoe UI Light" panose="020B0502040204020203" pitchFamily="34" charset="0"/>
          <a:cs typeface="Segoe UI Light" panose="020B0502040204020203" pitchFamily="34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805208363824428E-2"/>
          <c:y val="8.0061756986259079E-3"/>
          <c:w val="0.95116437659955932"/>
          <c:h val="0.8523666731098517"/>
        </c:manualLayout>
      </c:layout>
      <c:doughnutChart>
        <c:varyColors val="1"/>
        <c:ser>
          <c:idx val="0"/>
          <c:order val="0"/>
          <c:tx>
            <c:v>Status</c:v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EF736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4A-4F15-9339-9AB87B940F08}"/>
              </c:ext>
            </c:extLst>
          </c:dPt>
          <c:dPt>
            <c:idx val="1"/>
            <c:bubble3D val="0"/>
            <c:spPr>
              <a:solidFill>
                <a:srgbClr val="FF993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4A-4F15-9339-9AB87B940F08}"/>
              </c:ext>
            </c:extLst>
          </c:dPt>
          <c:dPt>
            <c:idx val="2"/>
            <c:bubble3D val="0"/>
            <c:spPr>
              <a:solidFill>
                <a:srgbClr val="CCFF3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F4A-4F15-9339-9AB87B940F08}"/>
              </c:ext>
            </c:extLst>
          </c:dPt>
          <c:dPt>
            <c:idx val="3"/>
            <c:bubble3D val="0"/>
            <c:spPr>
              <a:solidFill>
                <a:srgbClr val="66FF6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4A-4F15-9339-9AB87B940F08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F4A-4F15-9339-9AB87B940F08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F4A-4F15-9339-9AB87B940F08}"/>
              </c:ext>
            </c:extLst>
          </c:dPt>
          <c:cat>
            <c:numLit>
              <c:formatCode>General</c:formatCode>
              <c:ptCount val="3"/>
              <c:pt idx="0">
                <c:v>34</c:v>
              </c:pt>
              <c:pt idx="1">
                <c:v>16</c:v>
              </c:pt>
              <c:pt idx="2">
                <c:v>50</c:v>
              </c:pt>
            </c:numLit>
          </c:cat>
          <c:val>
            <c:numRef>
              <c:f>HR!$DD$14:$DD$19</c:f>
              <c:numCache>
                <c:formatCode>0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F4A-4F15-9339-9AB87B940F08}"/>
            </c:ext>
          </c:extLst>
        </c:ser>
        <c:ser>
          <c:idx val="2"/>
          <c:order val="1"/>
          <c:tx>
            <c:v>Marcador</c:v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bg1">
                  <a:lumMod val="95000"/>
                  <a:alpha val="3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AF4A-4F15-9339-9AB87B940F08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F4A-4F15-9339-9AB87B940F08}"/>
              </c:ext>
            </c:extLst>
          </c:dPt>
          <c:val>
            <c:numLit>
              <c:formatCode>General</c:formatCode>
              <c:ptCount val="2"/>
              <c:pt idx="0">
                <c:v>100</c:v>
              </c:pt>
              <c:pt idx="1">
                <c:v>100</c:v>
              </c:pt>
            </c:numLit>
          </c:val>
          <c:extLst>
            <c:ext xmlns:c16="http://schemas.microsoft.com/office/drawing/2014/chart" uri="{C3380CC4-5D6E-409C-BE32-E72D297353CC}">
              <c16:uniqueId val="{00000011-AF4A-4F15-9339-9AB87B940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catterChart>
        <c:scatterStyle val="lineMarker"/>
        <c:varyColors val="0"/>
        <c:ser>
          <c:idx val="1"/>
          <c:order val="2"/>
          <c:tx>
            <c:v>Ponteiro</c:v>
          </c:tx>
          <c:spPr>
            <a:ln w="28575" cap="rnd">
              <a:solidFill>
                <a:schemeClr val="tx1"/>
              </a:solidFill>
              <a:round/>
              <a:headEnd type="none"/>
              <a:tailEnd type="triangle"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F4A-4F15-9339-9AB87B940F08}"/>
              </c:ext>
            </c:extLst>
          </c:dPt>
          <c:xVal>
            <c:numRef>
              <c:f>HR!$DD$23:$DD$24</c:f>
              <c:numCache>
                <c:formatCode>0.0000000</c:formatCode>
                <c:ptCount val="2"/>
                <c:pt idx="0" formatCode="0">
                  <c:v>0</c:v>
                </c:pt>
                <c:pt idx="1">
                  <c:v>-0.58013445439184952</c:v>
                </c:pt>
              </c:numCache>
            </c:numRef>
          </c:xVal>
          <c:yVal>
            <c:numRef>
              <c:f>HR!$DE$23:$DE$24</c:f>
              <c:numCache>
                <c:formatCode>0.0000000</c:formatCode>
                <c:ptCount val="2"/>
                <c:pt idx="0" formatCode="0">
                  <c:v>0</c:v>
                </c:pt>
                <c:pt idx="1">
                  <c:v>0.81452072707050927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F4A-4F15-9339-9AB87B940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69752"/>
        <c:axId val="197169360"/>
      </c:scatterChart>
      <c:valAx>
        <c:axId val="197169360"/>
        <c:scaling>
          <c:orientation val="minMax"/>
          <c:max val="1.5"/>
          <c:min val="-1.5"/>
        </c:scaling>
        <c:delete val="1"/>
        <c:axPos val="l"/>
        <c:numFmt formatCode="0" sourceLinked="1"/>
        <c:majorTickMark val="out"/>
        <c:minorTickMark val="none"/>
        <c:tickLblPos val="nextTo"/>
        <c:crossAx val="197169752"/>
        <c:crossesAt val="-1.5"/>
        <c:crossBetween val="midCat"/>
      </c:valAx>
      <c:valAx>
        <c:axId val="197169752"/>
        <c:scaling>
          <c:orientation val="minMax"/>
          <c:max val="1.5"/>
          <c:min val="-1.5"/>
        </c:scaling>
        <c:delete val="1"/>
        <c:axPos val="t"/>
        <c:numFmt formatCode="0" sourceLinked="1"/>
        <c:majorTickMark val="out"/>
        <c:minorTickMark val="none"/>
        <c:tickLblPos val="nextTo"/>
        <c:crossAx val="19716936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Segoe UI Light" panose="020B0502040204020203" pitchFamily="34" charset="0"/>
          <a:cs typeface="Segoe UI Light" panose="020B0502040204020203" pitchFamily="34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242435811231595E-2"/>
          <c:y val="5.1935350335359225E-2"/>
          <c:w val="0.97575756418876847"/>
          <c:h val="0.87440535958959775"/>
        </c:manualLayout>
      </c:layout>
      <c:doughnutChart>
        <c:varyColors val="1"/>
        <c:ser>
          <c:idx val="0"/>
          <c:order val="0"/>
          <c:tx>
            <c:strRef>
              <c:f>HR!$DA$11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FF99C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C64-445E-95AB-8168B8F741C9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64-445E-95AB-8168B8F741C9}"/>
              </c:ext>
            </c:extLst>
          </c:dPt>
          <c:dLbls>
            <c:dLbl>
              <c:idx val="0"/>
              <c:spPr>
                <a:solidFill>
                  <a:srgbClr val="FFFFFF">
                    <a:alpha val="40000"/>
                  </a:srgbClr>
                </a:solidFill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ellipse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485918658401914"/>
                      <c:h val="0.116242474914228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C64-445E-95AB-8168B8F741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numRef>
              <c:f>HR!$DB$11:$DC$11</c:f>
              <c:numCache>
                <c:formatCode>0</c:formatCode>
                <c:ptCount val="2"/>
                <c:pt idx="0">
                  <c:v>1.5</c:v>
                </c:pt>
                <c:pt idx="1">
                  <c:v>73.5</c:v>
                </c:pt>
              </c:numCache>
            </c:numRef>
          </c:cat>
          <c:val>
            <c:numRef>
              <c:f>HR!$DB$11:$DC$11</c:f>
              <c:numCache>
                <c:formatCode>0</c:formatCode>
                <c:ptCount val="2"/>
                <c:pt idx="0">
                  <c:v>1.5</c:v>
                </c:pt>
                <c:pt idx="1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64-445E-95AB-8168B8F741C9}"/>
            </c:ext>
          </c:extLst>
        </c:ser>
        <c:ser>
          <c:idx val="1"/>
          <c:order val="1"/>
          <c:tx>
            <c:strRef>
              <c:f>HR!$DA$10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FF66C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C64-445E-95AB-8168B8F741C9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C64-445E-95AB-8168B8F741C9}"/>
              </c:ext>
            </c:extLst>
          </c:dPt>
          <c:dLbls>
            <c:dLbl>
              <c:idx val="0"/>
              <c:spPr>
                <a:solidFill>
                  <a:srgbClr val="FFFFFF">
                    <a:alpha val="40000"/>
                  </a:srgbClr>
                </a:solidFill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ellipse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378365368084449"/>
                      <c:h val="0.115464157359685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CC64-445E-95AB-8168B8F741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numRef>
              <c:f>HR!$DB$11:$DC$11</c:f>
              <c:numCache>
                <c:formatCode>0</c:formatCode>
                <c:ptCount val="2"/>
                <c:pt idx="0">
                  <c:v>1.5</c:v>
                </c:pt>
                <c:pt idx="1">
                  <c:v>73.5</c:v>
                </c:pt>
              </c:numCache>
            </c:numRef>
          </c:cat>
          <c:val>
            <c:numRef>
              <c:f>HR!$DB$10:$DC$10</c:f>
              <c:numCache>
                <c:formatCode>0</c:formatCode>
                <c:ptCount val="2"/>
                <c:pt idx="0">
                  <c:v>3.75</c:v>
                </c:pt>
                <c:pt idx="1">
                  <c:v>71.25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C64-445E-95AB-8168B8F741C9}"/>
            </c:ext>
          </c:extLst>
        </c:ser>
        <c:ser>
          <c:idx val="2"/>
          <c:order val="2"/>
          <c:tx>
            <c:strRef>
              <c:f>HR!$DA$9</c:f>
              <c:strCache>
                <c:ptCount val="1"/>
                <c:pt idx="0">
                  <c:v>23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FF339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C64-445E-95AB-8168B8F741C9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C64-445E-95AB-8168B8F741C9}"/>
              </c:ext>
            </c:extLst>
          </c:dPt>
          <c:dLbls>
            <c:dLbl>
              <c:idx val="0"/>
              <c:spPr>
                <a:solidFill>
                  <a:srgbClr val="FFFFFF">
                    <a:alpha val="40000"/>
                  </a:srgbClr>
                </a:solidFill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ellipse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378365368084449"/>
                      <c:h val="0.115464157359685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CC64-445E-95AB-8168B8F741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numRef>
              <c:f>HR!$DB$11:$DC$11</c:f>
              <c:numCache>
                <c:formatCode>0</c:formatCode>
                <c:ptCount val="2"/>
                <c:pt idx="0">
                  <c:v>1.5</c:v>
                </c:pt>
                <c:pt idx="1">
                  <c:v>73.5</c:v>
                </c:pt>
              </c:numCache>
            </c:numRef>
          </c:cat>
          <c:val>
            <c:numRef>
              <c:f>HR!$DB$9:$DC$9</c:f>
              <c:numCache>
                <c:formatCode>0</c:formatCode>
                <c:ptCount val="2"/>
                <c:pt idx="0">
                  <c:v>17.25</c:v>
                </c:pt>
                <c:pt idx="1">
                  <c:v>57.75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C64-445E-95AB-8168B8F741C9}"/>
            </c:ext>
          </c:extLst>
        </c:ser>
        <c:ser>
          <c:idx val="3"/>
          <c:order val="3"/>
          <c:tx>
            <c:strRef>
              <c:f>HR!$DA$8</c:f>
              <c:strCache>
                <c:ptCount val="1"/>
                <c:pt idx="0">
                  <c:v>45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CC009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C64-445E-95AB-8168B8F741C9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C64-445E-95AB-8168B8F741C9}"/>
              </c:ext>
            </c:extLst>
          </c:dPt>
          <c:dLbls>
            <c:dLbl>
              <c:idx val="0"/>
              <c:spPr>
                <a:solidFill>
                  <a:srgbClr val="FFFFFF">
                    <a:alpha val="40000"/>
                  </a:srgbClr>
                </a:solidFill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0" rIns="72000" bIns="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Segoe UI Light" panose="020B0502040204020203" pitchFamily="34" charset="0"/>
                      <a:ea typeface="+mn-ea"/>
                      <a:cs typeface="Segoe UI Light" panose="020B0502040204020203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ellipse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378365368084449"/>
                      <c:h val="0.115464157359685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0-CC64-445E-95AB-8168B8F741C9}"/>
                </c:ext>
              </c:extLst>
            </c:dLbl>
            <c:spPr>
              <a:solidFill>
                <a:srgbClr val="FFFFFF">
                  <a:alpha val="40000"/>
                </a:srgbClr>
              </a:solidFill>
              <a:ln>
                <a:solidFill>
                  <a:schemeClr val="bg1"/>
                </a:solidFill>
              </a:ln>
              <a:effectLst/>
            </c:spPr>
            <c:txPr>
              <a:bodyPr rot="0" spcFirstLastPara="1" vertOverflow="clip" horzOverflow="clip" vert="horz" wrap="square" lIns="36000" tIns="18000" rIns="36000" bIns="18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HR!$DB$11:$DC$11</c:f>
              <c:numCache>
                <c:formatCode>0</c:formatCode>
                <c:ptCount val="2"/>
                <c:pt idx="0">
                  <c:v>1.5</c:v>
                </c:pt>
                <c:pt idx="1">
                  <c:v>73.5</c:v>
                </c:pt>
              </c:numCache>
            </c:numRef>
          </c:cat>
          <c:val>
            <c:numRef>
              <c:f>HR!$DB$8:$DC$8</c:f>
              <c:numCache>
                <c:formatCode>0</c:formatCode>
                <c:ptCount val="2"/>
                <c:pt idx="0">
                  <c:v>33.75</c:v>
                </c:pt>
                <c:pt idx="1">
                  <c:v>41.25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C64-445E-95AB-8168B8F741C9}"/>
            </c:ext>
          </c:extLst>
        </c:ser>
        <c:ser>
          <c:idx val="4"/>
          <c:order val="4"/>
          <c:tx>
            <c:strRef>
              <c:f>HR!$DA$7</c:f>
              <c:strCache>
                <c:ptCount val="1"/>
                <c:pt idx="0">
                  <c:v>25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80008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C64-445E-95AB-8168B8F741C9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C64-445E-95AB-8168B8F741C9}"/>
              </c:ext>
            </c:extLst>
          </c:dPt>
          <c:dLbls>
            <c:dLbl>
              <c:idx val="0"/>
              <c:spPr>
                <a:solidFill>
                  <a:srgbClr val="FFFFFF">
                    <a:alpha val="40000"/>
                  </a:srgbClr>
                </a:solidFill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ellipse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378365368084449"/>
                      <c:h val="0.115464157359685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5-CC64-445E-95AB-8168B8F741C9}"/>
                </c:ext>
              </c:extLst>
            </c:dLbl>
            <c:spPr>
              <a:solidFill>
                <a:srgbClr val="FFFFFF">
                  <a:alpha val="40000"/>
                </a:srgbClr>
              </a:solidFill>
              <a:ln>
                <a:solidFill>
                  <a:schemeClr val="bg1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HR!$DB$11:$DC$11</c:f>
              <c:numCache>
                <c:formatCode>0</c:formatCode>
                <c:ptCount val="2"/>
                <c:pt idx="0">
                  <c:v>1.5</c:v>
                </c:pt>
                <c:pt idx="1">
                  <c:v>73.5</c:v>
                </c:pt>
              </c:numCache>
            </c:numRef>
          </c:cat>
          <c:val>
            <c:numRef>
              <c:f>HR!$DB$7:$DC$7</c:f>
              <c:numCache>
                <c:formatCode>0</c:formatCode>
                <c:ptCount val="2"/>
                <c:pt idx="0">
                  <c:v>18.75</c:v>
                </c:pt>
                <c:pt idx="1">
                  <c:v>56.25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C64-445E-95AB-8168B8F74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Segoe UI Light" panose="020B0502040204020203" pitchFamily="34" charset="0"/>
          <a:cs typeface="Segoe UI Light" panose="020B0502040204020203" pitchFamily="34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949322464995457E-2"/>
          <c:y val="1.472222222222222E-2"/>
          <c:w val="0.98421043147289666"/>
          <c:h val="0.97266652486229843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003366"/>
            </a:solidFill>
            <a:ln>
              <a:noFill/>
            </a:ln>
            <a:effectLst/>
          </c:spPr>
          <c:invertIfNegative val="0"/>
          <c:cat>
            <c:strRef>
              <c:f>HR!$CE$3:$CH$3</c:f>
              <c:strCache>
                <c:ptCount val="4"/>
                <c:pt idx="0">
                  <c:v>Salary</c:v>
                </c:pt>
                <c:pt idx="1">
                  <c:v>Bonus</c:v>
                </c:pt>
                <c:pt idx="2">
                  <c:v>Overtime</c:v>
                </c:pt>
                <c:pt idx="3">
                  <c:v>Total Payroll </c:v>
                </c:pt>
              </c:strCache>
            </c:strRef>
          </c:cat>
          <c:val>
            <c:numRef>
              <c:f>HR!$CE$4:$CH$4</c:f>
              <c:numCache>
                <c:formatCode>_(* #,##0.00_);_(* \(#,##0.00\);_(* "-"??_);_(@_)</c:formatCode>
                <c:ptCount val="4"/>
                <c:pt idx="0">
                  <c:v>554000</c:v>
                </c:pt>
                <c:pt idx="1">
                  <c:v>52830</c:v>
                </c:pt>
                <c:pt idx="2">
                  <c:v>26400</c:v>
                </c:pt>
                <c:pt idx="3">
                  <c:v>633230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B-41DD-A849-E7819D4CC78F}"/>
            </c:ext>
          </c:extLst>
        </c:ser>
        <c:ser>
          <c:idx val="1"/>
          <c:order val="1"/>
          <c:spPr>
            <a:solidFill>
              <a:srgbClr val="008080"/>
            </a:solidFill>
            <a:ln>
              <a:noFill/>
            </a:ln>
            <a:effectLst/>
          </c:spPr>
          <c:invertIfNegative val="0"/>
          <c:cat>
            <c:strRef>
              <c:f>HR!$CE$3:$CH$3</c:f>
              <c:strCache>
                <c:ptCount val="4"/>
                <c:pt idx="0">
                  <c:v>Salary</c:v>
                </c:pt>
                <c:pt idx="1">
                  <c:v>Bonus</c:v>
                </c:pt>
                <c:pt idx="2">
                  <c:v>Overtime</c:v>
                </c:pt>
                <c:pt idx="3">
                  <c:v>Total Payroll </c:v>
                </c:pt>
              </c:strCache>
            </c:strRef>
          </c:cat>
          <c:val>
            <c:numRef>
              <c:f>HR!$CE$5:$CH$5</c:f>
              <c:numCache>
                <c:formatCode>_(* #,##0.00_);_(* \(#,##0.00\);_(* "-"??_);_(@_)</c:formatCode>
                <c:ptCount val="4"/>
                <c:pt idx="0">
                  <c:v>904000</c:v>
                </c:pt>
                <c:pt idx="1">
                  <c:v>98520</c:v>
                </c:pt>
                <c:pt idx="2">
                  <c:v>40720</c:v>
                </c:pt>
                <c:pt idx="3">
                  <c:v>1043240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EB-41DD-A849-E7819D4CC78F}"/>
            </c:ext>
          </c:extLst>
        </c:ser>
        <c:ser>
          <c:idx val="2"/>
          <c:order val="2"/>
          <c:spPr>
            <a:solidFill>
              <a:srgbClr val="009999"/>
            </a:solidFill>
            <a:ln>
              <a:noFill/>
            </a:ln>
            <a:effectLst/>
          </c:spPr>
          <c:invertIfNegative val="0"/>
          <c:cat>
            <c:strRef>
              <c:f>HR!$CE$3:$CH$3</c:f>
              <c:strCache>
                <c:ptCount val="4"/>
                <c:pt idx="0">
                  <c:v>Salary</c:v>
                </c:pt>
                <c:pt idx="1">
                  <c:v>Bonus</c:v>
                </c:pt>
                <c:pt idx="2">
                  <c:v>Overtime</c:v>
                </c:pt>
                <c:pt idx="3">
                  <c:v>Total Payroll </c:v>
                </c:pt>
              </c:strCache>
            </c:strRef>
          </c:cat>
          <c:val>
            <c:numRef>
              <c:f>HR!$CE$6:$CH$6</c:f>
              <c:numCache>
                <c:formatCode>_(* #,##0.00_);_(* \(#,##0.00\);_(* "-"??_);_(@_)</c:formatCode>
                <c:ptCount val="4"/>
                <c:pt idx="0">
                  <c:v>517000</c:v>
                </c:pt>
                <c:pt idx="1">
                  <c:v>48320</c:v>
                </c:pt>
                <c:pt idx="2">
                  <c:v>13110</c:v>
                </c:pt>
                <c:pt idx="3">
                  <c:v>578430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EB-41DD-A849-E7819D4CC78F}"/>
            </c:ext>
          </c:extLst>
        </c:ser>
        <c:ser>
          <c:idx val="3"/>
          <c:order val="3"/>
          <c:spPr>
            <a:solidFill>
              <a:srgbClr val="00CC99"/>
            </a:solidFill>
            <a:ln>
              <a:noFill/>
            </a:ln>
            <a:effectLst/>
          </c:spPr>
          <c:invertIfNegative val="0"/>
          <c:cat>
            <c:strRef>
              <c:f>HR!$CE$3:$CH$3</c:f>
              <c:strCache>
                <c:ptCount val="4"/>
                <c:pt idx="0">
                  <c:v>Salary</c:v>
                </c:pt>
                <c:pt idx="1">
                  <c:v>Bonus</c:v>
                </c:pt>
                <c:pt idx="2">
                  <c:v>Overtime</c:v>
                </c:pt>
                <c:pt idx="3">
                  <c:v>Total Payroll </c:v>
                </c:pt>
              </c:strCache>
            </c:strRef>
          </c:cat>
          <c:val>
            <c:numRef>
              <c:f>HR!$CE$7:$CH$7</c:f>
              <c:numCache>
                <c:formatCode>_(* #,##0.00_);_(* \(#,##0.00\);_(* "-"??_);_(@_)</c:formatCode>
                <c:ptCount val="4"/>
                <c:pt idx="0">
                  <c:v>638000</c:v>
                </c:pt>
                <c:pt idx="1">
                  <c:v>63110</c:v>
                </c:pt>
                <c:pt idx="2">
                  <c:v>18380</c:v>
                </c:pt>
                <c:pt idx="3">
                  <c:v>719490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EB-41DD-A849-E7819D4CC78F}"/>
            </c:ext>
          </c:extLst>
        </c:ser>
        <c:ser>
          <c:idx val="4"/>
          <c:order val="4"/>
          <c:spPr>
            <a:solidFill>
              <a:srgbClr val="66FFCC"/>
            </a:solidFill>
            <a:ln>
              <a:noFill/>
            </a:ln>
            <a:effectLst/>
          </c:spPr>
          <c:invertIfNegative val="0"/>
          <c:cat>
            <c:strRef>
              <c:f>HR!$CE$3:$CH$3</c:f>
              <c:strCache>
                <c:ptCount val="4"/>
                <c:pt idx="0">
                  <c:v>Salary</c:v>
                </c:pt>
                <c:pt idx="1">
                  <c:v>Bonus</c:v>
                </c:pt>
                <c:pt idx="2">
                  <c:v>Overtime</c:v>
                </c:pt>
                <c:pt idx="3">
                  <c:v>Total Payroll </c:v>
                </c:pt>
              </c:strCache>
            </c:strRef>
          </c:cat>
          <c:val>
            <c:numRef>
              <c:f>HR!$CE$8:$CH$8</c:f>
              <c:numCache>
                <c:formatCode>_(* #,##0.00_);_(* \(#,##0.00\);_(* "-"??_);_(@_)</c:formatCode>
                <c:ptCount val="4"/>
                <c:pt idx="0">
                  <c:v>925000</c:v>
                </c:pt>
                <c:pt idx="1">
                  <c:v>99040</c:v>
                </c:pt>
                <c:pt idx="2">
                  <c:v>28820</c:v>
                </c:pt>
                <c:pt idx="3">
                  <c:v>1052860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EB-41DD-A849-E7819D4CC78F}"/>
            </c:ext>
          </c:extLst>
        </c:ser>
        <c:ser>
          <c:idx val="5"/>
          <c:order val="5"/>
          <c:spPr>
            <a:solidFill>
              <a:srgbClr val="00FFFF"/>
            </a:solidFill>
            <a:ln>
              <a:noFill/>
            </a:ln>
            <a:effectLst/>
          </c:spPr>
          <c:invertIfNegative val="0"/>
          <c:cat>
            <c:strRef>
              <c:f>HR!$CE$3:$CH$3</c:f>
              <c:strCache>
                <c:ptCount val="4"/>
                <c:pt idx="0">
                  <c:v>Salary</c:v>
                </c:pt>
                <c:pt idx="1">
                  <c:v>Bonus</c:v>
                </c:pt>
                <c:pt idx="2">
                  <c:v>Overtime</c:v>
                </c:pt>
                <c:pt idx="3">
                  <c:v>Total Payroll </c:v>
                </c:pt>
              </c:strCache>
            </c:strRef>
          </c:cat>
          <c:val>
            <c:numRef>
              <c:f>HR!$CE$9:$CH$9</c:f>
              <c:numCache>
                <c:formatCode>_(* #,##0.00_);_(* \(#,##0.00\);_(* "-"??_);_(@_)</c:formatCode>
                <c:ptCount val="4"/>
                <c:pt idx="0">
                  <c:v>317000</c:v>
                </c:pt>
                <c:pt idx="1">
                  <c:v>33920</c:v>
                </c:pt>
                <c:pt idx="2">
                  <c:v>12310</c:v>
                </c:pt>
                <c:pt idx="3">
                  <c:v>363230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EB-41DD-A849-E7819D4CC78F}"/>
            </c:ext>
          </c:extLst>
        </c:ser>
        <c:ser>
          <c:idx val="6"/>
          <c:order val="6"/>
          <c:spPr>
            <a:solidFill>
              <a:srgbClr val="0099FF"/>
            </a:solidFill>
            <a:ln>
              <a:noFill/>
            </a:ln>
            <a:effectLst/>
          </c:spPr>
          <c:invertIfNegative val="0"/>
          <c:cat>
            <c:strRef>
              <c:f>HR!$CE$3:$CH$3</c:f>
              <c:strCache>
                <c:ptCount val="4"/>
                <c:pt idx="0">
                  <c:v>Salary</c:v>
                </c:pt>
                <c:pt idx="1">
                  <c:v>Bonus</c:v>
                </c:pt>
                <c:pt idx="2">
                  <c:v>Overtime</c:v>
                </c:pt>
                <c:pt idx="3">
                  <c:v>Total Payroll </c:v>
                </c:pt>
              </c:strCache>
            </c:strRef>
          </c:cat>
          <c:val>
            <c:numRef>
              <c:f>HR!$CE$10:$CH$10</c:f>
              <c:numCache>
                <c:formatCode>_(* #,##0.00_);_(* \(#,##0.00\);_(* "-"??_);_(@_)</c:formatCode>
                <c:ptCount val="4"/>
                <c:pt idx="0">
                  <c:v>572000</c:v>
                </c:pt>
                <c:pt idx="1">
                  <c:v>50540</c:v>
                </c:pt>
                <c:pt idx="2">
                  <c:v>29490</c:v>
                </c:pt>
                <c:pt idx="3">
                  <c:v>652030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EB-41DD-A849-E7819D4CC78F}"/>
            </c:ext>
          </c:extLst>
        </c:ser>
        <c:ser>
          <c:idx val="7"/>
          <c:order val="7"/>
          <c:spPr>
            <a:solidFill>
              <a:srgbClr val="0066FF"/>
            </a:solidFill>
            <a:ln>
              <a:noFill/>
            </a:ln>
            <a:effectLst/>
          </c:spPr>
          <c:invertIfNegative val="0"/>
          <c:cat>
            <c:strRef>
              <c:f>HR!$CE$3:$CH$3</c:f>
              <c:strCache>
                <c:ptCount val="4"/>
                <c:pt idx="0">
                  <c:v>Salary</c:v>
                </c:pt>
                <c:pt idx="1">
                  <c:v>Bonus</c:v>
                </c:pt>
                <c:pt idx="2">
                  <c:v>Overtime</c:v>
                </c:pt>
                <c:pt idx="3">
                  <c:v>Total Payroll </c:v>
                </c:pt>
              </c:strCache>
            </c:strRef>
          </c:cat>
          <c:val>
            <c:numRef>
              <c:f>HR!$CE$11:$CH$11</c:f>
              <c:numCache>
                <c:formatCode>_(* #,##0.00_);_(* \(#,##0.00\);_(* "-"??_);_(@_)</c:formatCode>
                <c:ptCount val="4"/>
                <c:pt idx="0">
                  <c:v>1022000</c:v>
                </c:pt>
                <c:pt idx="1">
                  <c:v>100780</c:v>
                </c:pt>
                <c:pt idx="2">
                  <c:v>14070</c:v>
                </c:pt>
                <c:pt idx="3">
                  <c:v>1136850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EB-41DD-A849-E7819D4CC78F}"/>
            </c:ext>
          </c:extLst>
        </c:ser>
        <c:ser>
          <c:idx val="8"/>
          <c:order val="8"/>
          <c:spPr>
            <a:solidFill>
              <a:srgbClr val="0033CC"/>
            </a:solidFill>
            <a:ln>
              <a:noFill/>
            </a:ln>
            <a:effectLst/>
          </c:spPr>
          <c:invertIfNegative val="0"/>
          <c:cat>
            <c:strRef>
              <c:f>HR!$CE$3:$CH$3</c:f>
              <c:strCache>
                <c:ptCount val="4"/>
                <c:pt idx="0">
                  <c:v>Salary</c:v>
                </c:pt>
                <c:pt idx="1">
                  <c:v>Bonus</c:v>
                </c:pt>
                <c:pt idx="2">
                  <c:v>Overtime</c:v>
                </c:pt>
                <c:pt idx="3">
                  <c:v>Total Payroll </c:v>
                </c:pt>
              </c:strCache>
            </c:strRef>
          </c:cat>
          <c:val>
            <c:numRef>
              <c:f>HR!$CE$12:$CH$12</c:f>
              <c:numCache>
                <c:formatCode>_(* #,##0.00_);_(* \(#,##0.00\);_(* "-"??_);_(@_)</c:formatCode>
                <c:ptCount val="4"/>
                <c:pt idx="0">
                  <c:v>841000</c:v>
                </c:pt>
                <c:pt idx="1">
                  <c:v>402080</c:v>
                </c:pt>
                <c:pt idx="2">
                  <c:v>780</c:v>
                </c:pt>
                <c:pt idx="3">
                  <c:v>1243860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9EB-41DD-A849-E7819D4CC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97172888"/>
        <c:axId val="198584160"/>
      </c:barChart>
      <c:catAx>
        <c:axId val="197172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198584160"/>
        <c:crosses val="max"/>
        <c:auto val="1"/>
        <c:lblAlgn val="ctr"/>
        <c:lblOffset val="100"/>
        <c:noMultiLvlLbl val="0"/>
      </c:catAx>
      <c:valAx>
        <c:axId val="198584160"/>
        <c:scaling>
          <c:orientation val="minMax"/>
          <c:min val="0"/>
        </c:scaling>
        <c:delete val="1"/>
        <c:axPos val="b"/>
        <c:numFmt formatCode="0%" sourceLinked="0"/>
        <c:majorTickMark val="out"/>
        <c:minorTickMark val="none"/>
        <c:tickLblPos val="nextTo"/>
        <c:crossAx val="197172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7</xdr:row>
      <xdr:rowOff>85726</xdr:rowOff>
    </xdr:from>
    <xdr:to>
      <xdr:col>26</xdr:col>
      <xdr:colOff>47625</xdr:colOff>
      <xdr:row>19</xdr:row>
      <xdr:rowOff>66676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97632</xdr:colOff>
          <xdr:row>0</xdr:row>
          <xdr:rowOff>88105</xdr:rowOff>
        </xdr:from>
        <xdr:to>
          <xdr:col>46</xdr:col>
          <xdr:colOff>170722</xdr:colOff>
          <xdr:row>1</xdr:row>
          <xdr:rowOff>149605</xdr:rowOff>
        </xdr:to>
        <xdr:pic>
          <xdr:nvPicPr>
            <xdr:cNvPr id="12" name="Imagem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lag" spid="_x0000_s1112"/>
                </a:ext>
              </a:extLst>
            </xdr:cNvPicPr>
          </xdr:nvPicPr>
          <xdr:blipFill rotWithShape="1">
            <a:blip xmlns:r="http://schemas.openxmlformats.org/officeDocument/2006/relationships" r:embed="rId2"/>
            <a:srcRect l="3676" t="17685" r="5882" b="7926"/>
            <a:stretch>
              <a:fillRect/>
            </a:stretch>
          </xdr:blipFill>
          <xdr:spPr bwMode="auto">
            <a:xfrm>
              <a:off x="8393907" y="202405"/>
              <a:ext cx="254065" cy="25200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</xdr:col>
      <xdr:colOff>76200</xdr:colOff>
      <xdr:row>4</xdr:row>
      <xdr:rowOff>171449</xdr:rowOff>
    </xdr:from>
    <xdr:to>
      <xdr:col>5</xdr:col>
      <xdr:colOff>109275</xdr:colOff>
      <xdr:row>7</xdr:row>
      <xdr:rowOff>175949</xdr:rowOff>
    </xdr:to>
    <xdr:sp macro="" textlink="$CP$4">
      <xdr:nvSpPr>
        <xdr:cNvPr id="2" name="Elips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38150" y="933449"/>
          <a:ext cx="576000" cy="576000"/>
        </a:xfrm>
        <a:prstGeom prst="ellipse">
          <a:avLst/>
        </a:prstGeom>
        <a:solidFill>
          <a:schemeClr val="bg1">
            <a:lumMod val="85000"/>
          </a:schemeClr>
        </a:solidFill>
        <a:ln w="1905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36000" rIns="0" bIns="72000" rtlCol="0" anchor="ctr"/>
        <a:lstStyle/>
        <a:p>
          <a:pPr algn="ctr"/>
          <a:fld id="{C3229E9F-0432-4955-9789-5AAFA93E8D57}" type="TxLink">
            <a:rPr lang="en-US" sz="1800" b="0" i="0" u="none" strike="noStrike">
              <a:solidFill>
                <a:srgbClr val="0070C0"/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pPr algn="ctr"/>
            <a:t>100</a:t>
          </a:fld>
          <a:endParaRPr lang="en-US" sz="1800">
            <a:solidFill>
              <a:srgbClr val="0070C0"/>
            </a:solidFill>
            <a:latin typeface="Segoe UI Semilight" panose="020B0402040204020203" pitchFamily="34" charset="0"/>
            <a:cs typeface="Segoe UI Semilight" panose="020B0402040204020203" pitchFamily="34" charset="0"/>
          </a:endParaRPr>
        </a:p>
      </xdr:txBody>
    </xdr:sp>
    <xdr:clientData/>
  </xdr:twoCellAnchor>
  <xdr:twoCellAnchor>
    <xdr:from>
      <xdr:col>2</xdr:col>
      <xdr:colOff>66675</xdr:colOff>
      <xdr:row>9</xdr:row>
      <xdr:rowOff>171450</xdr:rowOff>
    </xdr:from>
    <xdr:to>
      <xdr:col>5</xdr:col>
      <xdr:colOff>99750</xdr:colOff>
      <xdr:row>12</xdr:row>
      <xdr:rowOff>175950</xdr:rowOff>
    </xdr:to>
    <xdr:sp macro="" textlink="$CQ$4">
      <xdr:nvSpPr>
        <xdr:cNvPr id="7" name="Elips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28625" y="1885950"/>
          <a:ext cx="576000" cy="576000"/>
        </a:xfrm>
        <a:prstGeom prst="ellipse">
          <a:avLst/>
        </a:prstGeom>
        <a:solidFill>
          <a:schemeClr val="bg1">
            <a:lumMod val="85000"/>
          </a:schemeClr>
        </a:solidFill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36000" rIns="0" bIns="72000" rtlCol="0" anchor="ctr"/>
        <a:lstStyle/>
        <a:p>
          <a:pPr algn="ctr"/>
          <a:fld id="{048A99A3-E352-410B-A4F4-47E1FBA57EE6}" type="TxLink">
            <a:rPr lang="en-US" sz="2000" b="0" i="0" u="none" strike="noStrike">
              <a:solidFill>
                <a:srgbClr val="00B050"/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pPr algn="ctr"/>
            <a:t>9</a:t>
          </a:fld>
          <a:endParaRPr lang="en-US" sz="2000">
            <a:solidFill>
              <a:srgbClr val="00B050"/>
            </a:solidFill>
            <a:latin typeface="Segoe UI Semilight" panose="020B0402040204020203" pitchFamily="34" charset="0"/>
            <a:cs typeface="Segoe UI Semilight" panose="020B0402040204020203" pitchFamily="34" charset="0"/>
          </a:endParaRPr>
        </a:p>
      </xdr:txBody>
    </xdr:sp>
    <xdr:clientData/>
  </xdr:twoCellAnchor>
  <xdr:twoCellAnchor>
    <xdr:from>
      <xdr:col>27</xdr:col>
      <xdr:colOff>57151</xdr:colOff>
      <xdr:row>7</xdr:row>
      <xdr:rowOff>100012</xdr:rowOff>
    </xdr:from>
    <xdr:to>
      <xdr:col>34</xdr:col>
      <xdr:colOff>66675</xdr:colOff>
      <xdr:row>16</xdr:row>
      <xdr:rowOff>161925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95250</xdr:colOff>
      <xdr:row>15</xdr:row>
      <xdr:rowOff>133352</xdr:rowOff>
    </xdr:from>
    <xdr:to>
      <xdr:col>7</xdr:col>
      <xdr:colOff>28575</xdr:colOff>
      <xdr:row>23</xdr:row>
      <xdr:rowOff>9525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104775</xdr:colOff>
      <xdr:row>19</xdr:row>
      <xdr:rowOff>142875</xdr:rowOff>
    </xdr:from>
    <xdr:to>
      <xdr:col>7</xdr:col>
      <xdr:colOff>38100</xdr:colOff>
      <xdr:row>27</xdr:row>
      <xdr:rowOff>19048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38</xdr:col>
      <xdr:colOff>144757</xdr:colOff>
      <xdr:row>7</xdr:row>
      <xdr:rowOff>63823</xdr:rowOff>
    </xdr:from>
    <xdr:to>
      <xdr:col>50</xdr:col>
      <xdr:colOff>154282</xdr:colOff>
      <xdr:row>19</xdr:row>
      <xdr:rowOff>116211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22</xdr:row>
      <xdr:rowOff>47625</xdr:rowOff>
    </xdr:from>
    <xdr:to>
      <xdr:col>26</xdr:col>
      <xdr:colOff>47625</xdr:colOff>
      <xdr:row>25</xdr:row>
      <xdr:rowOff>133350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4</xdr:row>
      <xdr:rowOff>85725</xdr:rowOff>
    </xdr:from>
    <xdr:to>
      <xdr:col>5</xdr:col>
      <xdr:colOff>290100</xdr:colOff>
      <xdr:row>4</xdr:row>
      <xdr:rowOff>337725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6675" y="1381125"/>
          <a:ext cx="252000" cy="252000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3</xdr:row>
      <xdr:rowOff>95250</xdr:rowOff>
    </xdr:from>
    <xdr:to>
      <xdr:col>5</xdr:col>
      <xdr:colOff>290100</xdr:colOff>
      <xdr:row>3</xdr:row>
      <xdr:rowOff>347250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6675" y="1009650"/>
          <a:ext cx="252000" cy="25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R52"/>
  <sheetViews>
    <sheetView showGridLines="0" showRowColHeaders="0" tabSelected="1" zoomScaleNormal="100" workbookViewId="0">
      <pane ySplit="4" topLeftCell="A5" activePane="bottomLeft" state="frozen"/>
      <selection pane="bottomLeft" activeCell="P3" sqref="P3:AK3"/>
    </sheetView>
  </sheetViews>
  <sheetFormatPr defaultColWidth="2.7109375" defaultRowHeight="15" x14ac:dyDescent="0.25"/>
  <cols>
    <col min="1" max="54" width="2.7109375" style="10" customWidth="1"/>
    <col min="55" max="77" width="2.7109375" style="10"/>
    <col min="78" max="78" width="2.7109375" style="16"/>
    <col min="79" max="79" width="1.85546875" style="16" bestFit="1" customWidth="1"/>
    <col min="80" max="81" width="17.28515625" style="16" bestFit="1" customWidth="1"/>
    <col min="82" max="82" width="12.5703125" style="16" bestFit="1" customWidth="1"/>
    <col min="83" max="83" width="10.85546875" style="16" bestFit="1" customWidth="1"/>
    <col min="84" max="84" width="9.5703125" style="16" bestFit="1" customWidth="1"/>
    <col min="85" max="85" width="11.140625" style="16" bestFit="1" customWidth="1"/>
    <col min="86" max="86" width="10.85546875" style="16" bestFit="1" customWidth="1"/>
    <col min="87" max="87" width="11.42578125" style="16" bestFit="1" customWidth="1"/>
    <col min="88" max="88" width="12.28515625" style="16" bestFit="1" customWidth="1"/>
    <col min="89" max="89" width="5.7109375" style="16" customWidth="1"/>
    <col min="90" max="90" width="13.42578125" style="16" bestFit="1" customWidth="1"/>
    <col min="91" max="91" width="12.7109375" style="16" customWidth="1"/>
    <col min="92" max="92" width="13.28515625" style="16" customWidth="1"/>
    <col min="93" max="93" width="9" style="16" bestFit="1" customWidth="1"/>
    <col min="94" max="94" width="10.7109375" style="16" bestFit="1" customWidth="1"/>
    <col min="95" max="95" width="12.5703125" style="16" bestFit="1" customWidth="1"/>
    <col min="96" max="100" width="11.7109375" style="16" customWidth="1"/>
    <col min="101" max="101" width="12.28515625" style="16" bestFit="1" customWidth="1"/>
    <col min="102" max="102" width="5.42578125" style="16" customWidth="1"/>
    <col min="103" max="112" width="11.7109375" style="16" customWidth="1"/>
    <col min="113" max="122" width="2.7109375" style="16"/>
    <col min="123" max="16384" width="2.7109375" style="10"/>
  </cols>
  <sheetData>
    <row r="1" spans="2:108" ht="15" customHeight="1" x14ac:dyDescent="0.25">
      <c r="P1" s="77" t="str">
        <f ca="1">VLOOKUP(Extras!H4,search_localizedstrings,language_relatedorder,FALSE)</f>
        <v>HUMAN RESOURCES</v>
      </c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9" t="s">
        <v>216</v>
      </c>
      <c r="AE1" s="79"/>
      <c r="AF1" s="79"/>
      <c r="AG1" s="79"/>
      <c r="AH1" s="79"/>
      <c r="AI1" s="79"/>
      <c r="AJ1" s="79"/>
      <c r="AK1" s="79"/>
      <c r="AT1" s="47"/>
      <c r="AU1" s="48"/>
      <c r="AV1" s="73" t="s">
        <v>127</v>
      </c>
      <c r="AW1" s="73"/>
      <c r="AX1" s="73"/>
      <c r="AY1" s="74"/>
    </row>
    <row r="2" spans="2:108" ht="15" customHeight="1" x14ac:dyDescent="0.25"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12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80"/>
      <c r="AE2" s="80"/>
      <c r="AF2" s="80"/>
      <c r="AG2" s="80"/>
      <c r="AH2" s="80"/>
      <c r="AI2" s="80"/>
      <c r="AJ2" s="80"/>
      <c r="AK2" s="80"/>
      <c r="AT2" s="49"/>
      <c r="AU2" s="50"/>
      <c r="AV2" s="75"/>
      <c r="AW2" s="75"/>
      <c r="AX2" s="75"/>
      <c r="AY2" s="76"/>
      <c r="CB2" s="22" t="s">
        <v>136</v>
      </c>
      <c r="CL2" s="23" t="s">
        <v>140</v>
      </c>
      <c r="CP2" s="23" t="s">
        <v>175</v>
      </c>
      <c r="CY2" s="23" t="s">
        <v>193</v>
      </c>
    </row>
    <row r="3" spans="2:108" ht="15" customHeight="1" x14ac:dyDescent="0.25">
      <c r="P3" s="81">
        <f ca="1">TODAY()</f>
        <v>43751</v>
      </c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3"/>
      <c r="CB3" s="21" t="s">
        <v>5</v>
      </c>
      <c r="CC3" s="21" t="s">
        <v>131</v>
      </c>
      <c r="CD3" s="21" t="s">
        <v>137</v>
      </c>
      <c r="CE3" s="21" t="str">
        <f ca="1">VLOOKUP(Extras!H10,search_localizedstrings,language_relatedorder,FALSE)</f>
        <v>Salary</v>
      </c>
      <c r="CF3" s="21" t="str">
        <f ca="1">VLOOKUP(Extras!H11,search_localizedstrings,language_relatedorder,FALSE)</f>
        <v>Bonus</v>
      </c>
      <c r="CG3" s="21" t="str">
        <f ca="1">VLOOKUP(Extras!H12,search_localizedstrings,language_relatedorder,FALSE)</f>
        <v>Overtime</v>
      </c>
      <c r="CH3" s="21" t="str">
        <f ca="1">VLOOKUP(Extras!H8,search_localizedstrings,language_relatedorder,FALSE)</f>
        <v xml:space="preserve">Total Payroll </v>
      </c>
      <c r="CI3" s="21" t="s">
        <v>138</v>
      </c>
      <c r="CJ3" s="21" t="s">
        <v>139</v>
      </c>
      <c r="CL3" s="25" t="s">
        <v>141</v>
      </c>
      <c r="CM3" s="25" t="s">
        <v>142</v>
      </c>
      <c r="CN3" s="25" t="s">
        <v>144</v>
      </c>
      <c r="CP3" s="25" t="s">
        <v>174</v>
      </c>
      <c r="CQ3" s="25" t="s">
        <v>129</v>
      </c>
      <c r="CR3" s="25" t="s">
        <v>138</v>
      </c>
      <c r="CS3" s="25" t="s">
        <v>139</v>
      </c>
      <c r="CT3" s="21" t="str">
        <f ca="1">VLOOKUP(Extras!H10,search_localizedstrings,language_relatedorder,FALSE)</f>
        <v>Salary</v>
      </c>
      <c r="CU3" s="21" t="str">
        <f ca="1">VLOOKUP(Extras!H11,search_localizedstrings,language_relatedorder,FALSE)</f>
        <v>Bonus</v>
      </c>
      <c r="CV3" s="21" t="str">
        <f ca="1">VLOOKUP(Extras!H12,search_localizedstrings,language_relatedorder,FALSE)</f>
        <v>Overtime</v>
      </c>
      <c r="CW3" s="21" t="str">
        <f ca="1">VLOOKUP(Extras!H8,search_localizedstrings,language_relatedorder,FALSE)</f>
        <v xml:space="preserve">Total Payroll </v>
      </c>
      <c r="CY3" s="25" t="s">
        <v>194</v>
      </c>
      <c r="CZ3" s="25" t="s">
        <v>195</v>
      </c>
      <c r="DA3" s="25" t="s">
        <v>196</v>
      </c>
      <c r="DB3" s="25" t="s">
        <v>214</v>
      </c>
      <c r="DC3" s="25" t="s">
        <v>215</v>
      </c>
    </row>
    <row r="4" spans="2:108" ht="15" customHeight="1" thickBot="1" x14ac:dyDescent="0.3"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13"/>
      <c r="AN4" s="13"/>
      <c r="AO4" s="13"/>
      <c r="AP4" s="13"/>
      <c r="AQ4" s="13"/>
      <c r="AR4" s="13"/>
      <c r="AS4" s="14"/>
      <c r="AT4" s="14"/>
      <c r="AU4" s="14"/>
      <c r="AV4" s="14"/>
      <c r="AW4" s="14"/>
      <c r="AX4" s="14"/>
      <c r="AY4" s="14"/>
      <c r="CA4" s="20">
        <f>ROW()-1</f>
        <v>3</v>
      </c>
      <c r="CB4" s="15" t="str">
        <f t="shared" ref="CB4:CC12" ca="1" si="0">IF(OR(ISBLANK(INDEX(list_departments,(ROW()-$CA$4))),ISERROR(INDEX(list_departments,(ROW()-$CA$4)))),"",INDEX(list_departments,(ROW()-$CA$4)))</f>
        <v>Finance</v>
      </c>
      <c r="CC4" s="15" t="str">
        <f ca="1">IF(OR(ISBLANK(INDEX(list_departments,(ROW()-$CA$4))),ISERROR(INDEX(list_departments,(ROW()-$CA$4)))),"",INDEX(list_departments,(ROW()-$CA$4)))</f>
        <v>Finance</v>
      </c>
      <c r="CD4" s="18">
        <f ca="1">IF(HR!CB4&lt;&gt;"",COUNTIF('Human Resources'!$F:$F,HR!CB4),0)</f>
        <v>10</v>
      </c>
      <c r="CE4" s="17">
        <f ca="1">IF(HR!CB4&lt;&gt;"",SUMIF('Human Resources'!$F:$F,HR!CB4,'Human Resources'!$C:$C),0)</f>
        <v>554000</v>
      </c>
      <c r="CF4" s="17">
        <f ca="1">IF(HR!CB4&lt;&gt;"",SUMIF('Human Resources'!$F:$F,HR!CB4,'Human Resources'!$D:$D),0)</f>
        <v>52830</v>
      </c>
      <c r="CG4" s="17">
        <f ca="1">IF(HR!CB4&lt;&gt;"",SUMIF('Human Resources'!$F:$F,HR!CB4,'Human Resources'!$E:$E),0)</f>
        <v>26400</v>
      </c>
      <c r="CH4" s="17">
        <f ca="1">IF(HR!CB4&lt;&gt;"",SUM(CE4:CG4),0)</f>
        <v>633230</v>
      </c>
      <c r="CI4" s="19">
        <f ca="1">IF(HR!CB4&lt;&gt;"",(SUMIF('Human Resources'!$F:$G,HR!CB4,'Human Resources'!$G:$G)/CD4),0)</f>
        <v>3.8</v>
      </c>
      <c r="CJ4" s="19">
        <f ca="1">IF(HR!CB4&lt;&gt;"",(SUMIF('Human Resources'!$F:$H,HR!CB4,'Human Resources'!$H:$H)/CD4),0)</f>
        <v>3.1</v>
      </c>
      <c r="CL4" s="24">
        <f ca="1">IF(ISERROR(YEAR(SMALL('Human Resources'!B:B,1))),YEAR(TODAY()),YEAR(SMALL('Human Resources'!B:B,1)))</f>
        <v>2013</v>
      </c>
      <c r="CM4" s="24">
        <f ca="1">IF(ISERROR(YEAR(LARGE('Human Resources'!B:B,1))),YEAR(TODAY()),YEAR(LARGE('Human Resources'!B:B,1)))</f>
        <v>2015</v>
      </c>
      <c r="CN4" s="24">
        <v>2015</v>
      </c>
      <c r="CP4" s="24">
        <f ca="1">SUM(CD4:CD12)</f>
        <v>100</v>
      </c>
      <c r="CQ4" s="24">
        <f ca="1">COUNTA(list_departments)</f>
        <v>9</v>
      </c>
      <c r="CR4" s="19">
        <f ca="1">IF(HR!CP4&lt;&gt;"",(SUM('Human Resources'!$G:$G)/CP4),0)</f>
        <v>3.37</v>
      </c>
      <c r="CS4" s="19">
        <f ca="1">IF(HR!CP4&lt;&gt;"",(SUM('Human Resources'!$H:$H)/CP4),0)</f>
        <v>3.03</v>
      </c>
      <c r="CT4" s="17">
        <f ca="1">IF(HR!$CP$4&lt;&gt;"",SUM('Human Resources'!$C:$C),0)</f>
        <v>6290000</v>
      </c>
      <c r="CU4" s="17">
        <f ca="1">IF(HR!$CP$4&lt;&gt;"",SUM('Human Resources'!$D:$D),0)</f>
        <v>949140</v>
      </c>
      <c r="CV4" s="17">
        <f ca="1">IF(HR!$CP$4&lt;&gt;"",SUM('Human Resources'!$E:$E),0)</f>
        <v>184080</v>
      </c>
      <c r="CW4" s="17">
        <f ca="1">IF(HR!$CP$4&lt;&gt;"",SUM(CT4:CV4),0)</f>
        <v>7423220</v>
      </c>
      <c r="CY4" s="17">
        <f>SMALL('Human Resources'!C:C,1)</f>
        <v>20000</v>
      </c>
      <c r="CZ4" s="17">
        <f>LARGE('Human Resources'!C:C,1)</f>
        <v>149000</v>
      </c>
      <c r="DA4" s="17">
        <f>(CZ4-CY4)/5</f>
        <v>25800</v>
      </c>
      <c r="DB4" s="17">
        <f>SMALL('Human Resources'!E:E,1)</f>
        <v>60</v>
      </c>
      <c r="DC4" s="17">
        <f>LARGE('Human Resources'!E:E,1)</f>
        <v>7890</v>
      </c>
    </row>
    <row r="5" spans="2:108" ht="15" customHeight="1" x14ac:dyDescent="0.25">
      <c r="AC5" s="88" t="str">
        <f ca="1">VLOOKUP(Extras!H9,search_localizedstrings,language_relatedorder,FALSE)</f>
        <v>Payroll Breakdown</v>
      </c>
      <c r="AD5" s="88"/>
      <c r="AE5" s="88"/>
      <c r="AF5" s="88"/>
      <c r="AG5" s="88"/>
      <c r="AH5" s="88"/>
      <c r="CB5" s="15" t="str">
        <f t="shared" ca="1" si="0"/>
        <v>Administration</v>
      </c>
      <c r="CC5" s="15" t="str">
        <f t="shared" ca="1" si="0"/>
        <v>Administration</v>
      </c>
      <c r="CD5" s="18">
        <f ca="1">IF(HR!CB5&lt;&gt;"",COUNTIF('Human Resources'!$F:$F,HR!CB5),0)</f>
        <v>13</v>
      </c>
      <c r="CE5" s="17">
        <f ca="1">IF(HR!CB5&lt;&gt;"",SUMIF('Human Resources'!$F:$F,HR!CB5,'Human Resources'!$C:$C),0)</f>
        <v>904000</v>
      </c>
      <c r="CF5" s="17">
        <f ca="1">IF(HR!CB5&lt;&gt;"",SUMIF('Human Resources'!$F:$F,HR!CB5,'Human Resources'!$D:$D),0)</f>
        <v>98520</v>
      </c>
      <c r="CG5" s="17">
        <f ca="1">IF(HR!CB5&lt;&gt;"",SUMIF('Human Resources'!$F:$F,HR!CB5,'Human Resources'!$E:$E),0)</f>
        <v>40720</v>
      </c>
      <c r="CH5" s="17">
        <f ca="1">IF(HR!CB5&lt;&gt;"",SUM(CE5:CG5),0)</f>
        <v>1043240</v>
      </c>
      <c r="CI5" s="19">
        <f ca="1">IF(HR!CB5&lt;&gt;"",(SUMIF('Human Resources'!$F:$G,HR!CB5,'Human Resources'!$G:$G)/CD5),0)</f>
        <v>3.6153846153846154</v>
      </c>
      <c r="CJ5" s="19">
        <f ca="1">IF(HR!CB5&lt;&gt;"",(SUMIF('Human Resources'!$F:$H,HR!CB5,'Human Resources'!$H:$H)/CD5),0)</f>
        <v>2.6923076923076925</v>
      </c>
      <c r="CT5" s="56">
        <f ca="1">(CT4*100)/$CW$4</f>
        <v>84.734118078138593</v>
      </c>
      <c r="CU5" s="56">
        <f t="shared" ref="CU5:CV5" ca="1" si="1">(CU4*100)/$CW$4</f>
        <v>12.786095521889422</v>
      </c>
      <c r="CV5" s="56">
        <f t="shared" ca="1" si="1"/>
        <v>2.4797863999719798</v>
      </c>
    </row>
    <row r="6" spans="2:108" ht="15" customHeight="1" x14ac:dyDescent="0.5">
      <c r="J6" s="84" t="str">
        <f ca="1">VLOOKUP(Extras!H6,search_localizedstrings,language_relatedorder,FALSE)</f>
        <v>Headcount</v>
      </c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43"/>
      <c r="AB6" s="55"/>
      <c r="AC6" s="89"/>
      <c r="AD6" s="89"/>
      <c r="AE6" s="89"/>
      <c r="AF6" s="89"/>
      <c r="AG6" s="89"/>
      <c r="AH6" s="89"/>
      <c r="AI6" s="46"/>
      <c r="AJ6" s="46"/>
      <c r="AK6" s="84" t="str">
        <f ca="1">VLOOKUP(Extras!H7,search_localizedstrings,language_relatedorder,FALSE)</f>
        <v>Number of Employees by Salary</v>
      </c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57"/>
      <c r="BA6" s="57"/>
      <c r="CB6" s="15" t="str">
        <f t="shared" ca="1" si="0"/>
        <v>Human Resources</v>
      </c>
      <c r="CC6" s="15" t="str">
        <f t="shared" ca="1" si="0"/>
        <v>Human Resources</v>
      </c>
      <c r="CD6" s="18">
        <f ca="1">IF(HR!CB6&lt;&gt;"",COUNTIF('Human Resources'!$F:$F,HR!CB6),0)</f>
        <v>9</v>
      </c>
      <c r="CE6" s="17">
        <f ca="1">IF(HR!CB6&lt;&gt;"",SUMIF('Human Resources'!$F:$F,HR!CB6,'Human Resources'!$C:$C),0)</f>
        <v>517000</v>
      </c>
      <c r="CF6" s="17">
        <f ca="1">IF(HR!CB6&lt;&gt;"",SUMIF('Human Resources'!$F:$F,HR!CB6,'Human Resources'!$D:$D),0)</f>
        <v>48320</v>
      </c>
      <c r="CG6" s="17">
        <f ca="1">IF(HR!CB6&lt;&gt;"",SUMIF('Human Resources'!$F:$F,HR!CB6,'Human Resources'!$E:$E),0)</f>
        <v>13110</v>
      </c>
      <c r="CH6" s="17">
        <f ca="1">IF(HR!CB6&lt;&gt;"",SUM(CE6:CG6),0)</f>
        <v>578430</v>
      </c>
      <c r="CI6" s="19">
        <f ca="1">IF(HR!CB6&lt;&gt;"",(SUMIF('Human Resources'!$F:$G,HR!CB6,'Human Resources'!$G:$G)/CD6),0)</f>
        <v>2.2222222222222223</v>
      </c>
      <c r="CJ6" s="19">
        <f ca="1">IF(HR!CB6&lt;&gt;"",(SUMIF('Human Resources'!$F:$H,HR!CB6,'Human Resources'!$H:$H)/CD6),0)</f>
        <v>2.7777777777777777</v>
      </c>
      <c r="CL6" s="26" t="s">
        <v>143</v>
      </c>
      <c r="CO6" s="21" t="s">
        <v>147</v>
      </c>
      <c r="CP6" s="21" t="s">
        <v>148</v>
      </c>
      <c r="CQ6" s="21" t="s">
        <v>137</v>
      </c>
      <c r="CR6" s="21" t="s">
        <v>132</v>
      </c>
      <c r="CS6" s="21" t="s">
        <v>133</v>
      </c>
      <c r="CT6" s="21" t="s">
        <v>134</v>
      </c>
      <c r="CU6" s="21" t="s">
        <v>135</v>
      </c>
      <c r="CV6" s="21" t="s">
        <v>138</v>
      </c>
      <c r="CW6" s="21" t="s">
        <v>139</v>
      </c>
    </row>
    <row r="7" spans="2:108" ht="15" customHeight="1" x14ac:dyDescent="0.5">
      <c r="C7" s="43"/>
      <c r="D7" s="43"/>
      <c r="E7" s="43"/>
      <c r="F7" s="43"/>
      <c r="G7" s="43"/>
      <c r="H7" s="43"/>
      <c r="I7" s="43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C7" s="90"/>
      <c r="AD7" s="90"/>
      <c r="AE7" s="90"/>
      <c r="AF7" s="90"/>
      <c r="AG7" s="90"/>
      <c r="AH7" s="90"/>
      <c r="AI7" s="43"/>
      <c r="AJ7" s="43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CB7" s="15" t="str">
        <f t="shared" ca="1" si="0"/>
        <v>Marketing</v>
      </c>
      <c r="CC7" s="15" t="str">
        <f t="shared" ca="1" si="0"/>
        <v>Marketing</v>
      </c>
      <c r="CD7" s="18">
        <f ca="1">IF(HR!CB7&lt;&gt;"",COUNTIF('Human Resources'!$F:$F,HR!CB7),0)</f>
        <v>11</v>
      </c>
      <c r="CE7" s="17">
        <f ca="1">IF(HR!CB7&lt;&gt;"",SUMIF('Human Resources'!$F:$F,HR!CB7,'Human Resources'!$C:$C),0)</f>
        <v>638000</v>
      </c>
      <c r="CF7" s="17">
        <f ca="1">IF(HR!CB7&lt;&gt;"",SUMIF('Human Resources'!$F:$F,HR!CB7,'Human Resources'!$D:$D),0)</f>
        <v>63110</v>
      </c>
      <c r="CG7" s="17">
        <f ca="1">IF(HR!CB7&lt;&gt;"",SUMIF('Human Resources'!$F:$F,HR!CB7,'Human Resources'!$E:$E),0)</f>
        <v>18380</v>
      </c>
      <c r="CH7" s="17">
        <f ca="1">IF(HR!CB7&lt;&gt;"",SUM(CE7:CG7),0)</f>
        <v>719490</v>
      </c>
      <c r="CI7" s="19">
        <f ca="1">IF(HR!CB7&lt;&gt;"",(SUMIF('Human Resources'!$F:$G,HR!CB7,'Human Resources'!$G:$G)/CD7),0)</f>
        <v>3.6363636363636362</v>
      </c>
      <c r="CJ7" s="19">
        <f ca="1">IF(HR!CB7&lt;&gt;"",(SUMIF('Human Resources'!$F:$H,HR!CB7,'Human Resources'!$H:$H)/CD7),0)</f>
        <v>2.4545454545454546</v>
      </c>
      <c r="CL7" s="24" t="str">
        <f ca="1">CONCATENATE(SMALL($CL$8:$CL$37,1),"-",LARGE($CL$8:$CL$37,1))</f>
        <v>2013-2015</v>
      </c>
      <c r="CM7" s="28">
        <f ca="1">IF($CN$4=$CL$7,IF($CL8&lt;&gt;"",DATE($CL8,1,1),""),IF($CO7&lt;&gt;"",DATE(IF($CN$4&lt;&gt;"",$CN$4,YEAR(TODAY())),$CO7,1),""))</f>
        <v>42005</v>
      </c>
      <c r="CN7" s="27">
        <f ca="1">IF($CN$4=$CL$7,IF($CL8&lt;&gt;"",EOMONTH(DATE($CL8,12,1),0),""),IF($CO7&lt;&gt;"",EOMONTH($CM7,0),""))</f>
        <v>42035</v>
      </c>
      <c r="CO7" s="24">
        <f ca="1">IF($CN$4=$CL$7,IF($CL8&lt;&gt;"",$CL8,""),IF((ROW()-6)&lt;13,(ROW()-6),""))</f>
        <v>1</v>
      </c>
      <c r="CP7" s="24" t="str">
        <f ca="1">IF($CN$4=$CL$7,$CO7,IF($CO7&lt;&gt;"",VLOOKUP(CO7,search_localizedstrings,language_relatedorder,FALSE),""))</f>
        <v>J</v>
      </c>
      <c r="CQ7" s="24">
        <f ca="1">IF($CO7&lt;&gt;"",COUNTIFS('Human Resources'!$B:$B,"&gt;="&amp;$CM7,'Human Resources'!$B:$B,"&lt;="&amp;$CN7),"")</f>
        <v>2</v>
      </c>
      <c r="CR7" s="17">
        <f ca="1">IF($CO7&lt;&gt;"",SUMIFS('Human Resources'!$C:$C,'Human Resources'!$B:$B,"&gt;="&amp;$CM7,'Human Resources'!$B:$B,"&lt;="&amp;$CN7),"")</f>
        <v>154000</v>
      </c>
      <c r="CS7" s="17">
        <f ca="1">IF($CO7&lt;&gt;"",SUMIFS('Human Resources'!$D:$D,'Human Resources'!$B:$B,"&gt;="&amp;$CM7,'Human Resources'!$B:$B,"&lt;="&amp;$CN7),"")</f>
        <v>21050</v>
      </c>
      <c r="CT7" s="17">
        <f ca="1">IF($CO7&lt;&gt;"",SUMIFS('Human Resources'!$E:$E,'Human Resources'!$B:$B,"&gt;="&amp;$CM7,'Human Resources'!$B:$B,"&lt;="&amp;$CN7),"")</f>
        <v>7080</v>
      </c>
      <c r="CU7" s="17">
        <f ca="1">IF($CO7&lt;&gt;"",SUM(CR7:CT7),"")</f>
        <v>182130</v>
      </c>
      <c r="CV7" s="19">
        <f ca="1">IF($CO7&lt;&gt;"",IF(ISERROR((SUMIFS('Human Resources'!$G:$G,'Human Resources'!$B:$B,"&gt;="&amp;$CM7,'Human Resources'!$B:$B,"&lt;="&amp;$CN7)/$CQ7)),0,(SUMIFS('Human Resources'!$G:$G,'Human Resources'!$B:$B,"&gt;="&amp;$CM7,'Human Resources'!$B:$B,"&lt;="&amp;$CN7)/$CQ7)),"")</f>
        <v>5</v>
      </c>
      <c r="CW7" s="19">
        <f ca="1">IF($CO7&lt;&gt;"",IF(ISERROR((SUMIFS('Human Resources'!$H:$H,'Human Resources'!$B:$B,"&gt;="&amp;$CM7,'Human Resources'!$B:$B,"&lt;="&amp;$CN7)/$CQ7)),0,(SUMIFS('Human Resources'!$H:$H,'Human Resources'!$B:$B,"&gt;="&amp;$CM7,'Human Resources'!$B:$B,"&lt;="&amp;$CN7)/$CQ7)),"")</f>
        <v>2.5</v>
      </c>
      <c r="CY7" s="17">
        <f>CY4</f>
        <v>20000</v>
      </c>
      <c r="CZ7" s="17">
        <f>CY7+$DA$4</f>
        <v>45800</v>
      </c>
      <c r="DA7" s="24">
        <f>COUNTIFS('Human Resources'!$C:$C,"&gt;="&amp;$CY7,'Human Resources'!$C:$C,"&lt;="&amp;$CZ7)</f>
        <v>25</v>
      </c>
      <c r="DB7" s="24">
        <f>DA7*75%</f>
        <v>18.75</v>
      </c>
      <c r="DC7" s="24">
        <f>75-DB7</f>
        <v>56.25</v>
      </c>
    </row>
    <row r="8" spans="2:108" ht="15" customHeight="1" x14ac:dyDescent="0.5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CB8" s="15" t="str">
        <f t="shared" ca="1" si="0"/>
        <v>R&amp;D</v>
      </c>
      <c r="CC8" s="15" t="str">
        <f t="shared" ca="1" si="0"/>
        <v>R&amp;D</v>
      </c>
      <c r="CD8" s="18">
        <f ca="1">IF(HR!CB8&lt;&gt;"",COUNTIF('Human Resources'!$F:$F,HR!CB8),0)</f>
        <v>14</v>
      </c>
      <c r="CE8" s="17">
        <f ca="1">IF(HR!CB8&lt;&gt;"",SUMIF('Human Resources'!$F:$F,HR!CB8,'Human Resources'!$C:$C),0)</f>
        <v>925000</v>
      </c>
      <c r="CF8" s="17">
        <f ca="1">IF(HR!CB8&lt;&gt;"",SUMIF('Human Resources'!$F:$F,HR!CB8,'Human Resources'!$D:$D),0)</f>
        <v>99040</v>
      </c>
      <c r="CG8" s="17">
        <f ca="1">IF(HR!CB8&lt;&gt;"",SUMIF('Human Resources'!$F:$F,HR!CB8,'Human Resources'!$E:$E),0)</f>
        <v>28820</v>
      </c>
      <c r="CH8" s="17">
        <f ca="1">IF(HR!CB8&lt;&gt;"",SUM(CE8:CG8),0)</f>
        <v>1052860</v>
      </c>
      <c r="CI8" s="19">
        <f ca="1">IF(HR!CB8&lt;&gt;"",(SUMIF('Human Resources'!$F:$G,HR!CB8,'Human Resources'!$G:$G)/CD8),0)</f>
        <v>3.3571428571428572</v>
      </c>
      <c r="CJ8" s="19">
        <f ca="1">IF(HR!CB8&lt;&gt;"",(SUMIF('Human Resources'!$F:$H,HR!CB8,'Human Resources'!$H:$H)/CD8),0)</f>
        <v>2.3571428571428572</v>
      </c>
      <c r="CL8" s="24">
        <f ca="1">$CM$4</f>
        <v>2015</v>
      </c>
      <c r="CM8" s="28">
        <f t="shared" ref="CM8:CM37" ca="1" si="2">IF($CN$4=$CL$7,IF($CL9&lt;&gt;"",DATE($CL9,1,1),""),IF($CO8&lt;&gt;"",DATE(IF($CN$4&lt;&gt;"",$CN$4,YEAR(TODAY())),$CO8,1),""))</f>
        <v>42036</v>
      </c>
      <c r="CN8" s="27">
        <f t="shared" ref="CN8:CN37" ca="1" si="3">IF($CN$4=$CL$7,IF($CL9&lt;&gt;"",EOMONTH(DATE($CL9,12,1),0),""),IF($CO8&lt;&gt;"",EOMONTH($CM8,0),""))</f>
        <v>42063</v>
      </c>
      <c r="CO8" s="24">
        <f t="shared" ref="CO8:CO37" ca="1" si="4">IF($CN$4=$CL$7,IF($CL9&lt;&gt;"",$CL9,""),IF((ROW()-6)&lt;13,(ROW()-6),""))</f>
        <v>2</v>
      </c>
      <c r="CP8" s="24" t="str">
        <f ca="1">IF($CN$4=$CL$7,$CO8,IF($CO8&lt;&gt;"",VLOOKUP(CO8,search_localizedstrings,language_relatedorder,FALSE),""))</f>
        <v>F</v>
      </c>
      <c r="CQ8" s="24">
        <f ca="1">IF($CO8&lt;&gt;"",COUNTIFS('Human Resources'!$B:$B,"&gt;="&amp;$CM8,'Human Resources'!$B:$B,"&lt;="&amp;$CN8),"")</f>
        <v>3</v>
      </c>
      <c r="CR8" s="17">
        <f ca="1">IF($CO8&lt;&gt;"",SUMIFS('Human Resources'!$C:$C,'Human Resources'!$B:$B,"&gt;="&amp;$CM8,'Human Resources'!$B:$B,"&lt;="&amp;$CN8),"")</f>
        <v>120000</v>
      </c>
      <c r="CS8" s="17">
        <f ca="1">IF($CO8&lt;&gt;"",SUMIFS('Human Resources'!$D:$D,'Human Resources'!$B:$B,"&gt;="&amp;$CM8,'Human Resources'!$B:$B,"&lt;="&amp;$CN8),"")</f>
        <v>12130</v>
      </c>
      <c r="CT8" s="17">
        <f ca="1">IF($CO8&lt;&gt;"",SUMIFS('Human Resources'!$E:$E,'Human Resources'!$B:$B,"&gt;="&amp;$CM8,'Human Resources'!$B:$B,"&lt;="&amp;$CN8),"")</f>
        <v>960</v>
      </c>
      <c r="CU8" s="17">
        <f t="shared" ref="CU8:CU37" ca="1" si="5">IF($CO8&lt;&gt;"",SUM(CR8:CT8),"")</f>
        <v>133090</v>
      </c>
      <c r="CV8" s="19">
        <f ca="1">IF($CO8&lt;&gt;"",IF(ISERROR((SUMIFS('Human Resources'!$G:$G,'Human Resources'!$B:$B,"&gt;="&amp;$CM8,'Human Resources'!$B:$B,"&lt;="&amp;$CN8)/$CQ8)),0,(SUMIFS('Human Resources'!$G:$G,'Human Resources'!$B:$B,"&gt;="&amp;$CM8,'Human Resources'!$B:$B,"&lt;="&amp;$CN8)/$CQ8)),"")</f>
        <v>5</v>
      </c>
      <c r="CW8" s="19">
        <f ca="1">IF($CO8&lt;&gt;"",IF(ISERROR((SUMIFS('Human Resources'!$H:$H,'Human Resources'!$B:$B,"&gt;="&amp;$CM8,'Human Resources'!$B:$B,"&lt;="&amp;$CN8)/$CQ8)),0,(SUMIFS('Human Resources'!$H:$H,'Human Resources'!$B:$B,"&gt;="&amp;$CM8,'Human Resources'!$B:$B,"&lt;="&amp;$CN8)/$CQ8)),"")</f>
        <v>4</v>
      </c>
      <c r="CY8" s="17">
        <f>CZ7+1</f>
        <v>45801</v>
      </c>
      <c r="CZ8" s="17">
        <f>CY8+$DA$4-1</f>
        <v>71600</v>
      </c>
      <c r="DA8" s="24">
        <f>COUNTIFS('Human Resources'!$C:$C,"&gt;="&amp;$CY8,'Human Resources'!$C:$C,"&lt;="&amp;$CZ8)</f>
        <v>45</v>
      </c>
      <c r="DB8" s="24">
        <f t="shared" ref="DB8:DB11" si="6">DA8*75%</f>
        <v>33.75</v>
      </c>
      <c r="DC8" s="24">
        <f t="shared" ref="DC8:DC11" si="7">75-DB8</f>
        <v>41.25</v>
      </c>
    </row>
    <row r="9" spans="2:108" ht="15" customHeight="1" x14ac:dyDescent="0.25">
      <c r="B9" s="102" t="str">
        <f ca="1">VLOOKUP(Extras!H5,search_localizedstrings,language_relatedorder,FALSE)</f>
        <v>Employees</v>
      </c>
      <c r="C9" s="102"/>
      <c r="D9" s="102"/>
      <c r="E9" s="102"/>
      <c r="F9" s="102"/>
      <c r="G9" s="102"/>
      <c r="H9" s="54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Z9" s="11"/>
      <c r="AA9" s="11"/>
      <c r="AK9" s="95">
        <f>$CY$7</f>
        <v>20000</v>
      </c>
      <c r="AL9" s="95"/>
      <c r="AM9" s="95"/>
      <c r="AN9" s="95"/>
      <c r="AO9" s="61" t="s">
        <v>198</v>
      </c>
      <c r="AP9" s="100">
        <f>$CZ$7</f>
        <v>45800</v>
      </c>
      <c r="AQ9" s="100"/>
      <c r="AR9" s="100"/>
      <c r="AS9" s="100"/>
      <c r="CB9" s="15" t="str">
        <f t="shared" ca="1" si="0"/>
        <v>Customer Support</v>
      </c>
      <c r="CC9" s="15" t="str">
        <f t="shared" ca="1" si="0"/>
        <v>Customer Support</v>
      </c>
      <c r="CD9" s="18">
        <f ca="1">IF(HR!CB9&lt;&gt;"",COUNTIF('Human Resources'!$F:$F,HR!CB9),0)</f>
        <v>5</v>
      </c>
      <c r="CE9" s="17">
        <f ca="1">IF(HR!CB9&lt;&gt;"",SUMIF('Human Resources'!$F:$F,HR!CB9,'Human Resources'!$C:$C),0)</f>
        <v>317000</v>
      </c>
      <c r="CF9" s="17">
        <f ca="1">IF(HR!CB9&lt;&gt;"",SUMIF('Human Resources'!$F:$F,HR!CB9,'Human Resources'!$D:$D),0)</f>
        <v>33920</v>
      </c>
      <c r="CG9" s="17">
        <f ca="1">IF(HR!CB9&lt;&gt;"",SUMIF('Human Resources'!$F:$F,HR!CB9,'Human Resources'!$E:$E),0)</f>
        <v>12310</v>
      </c>
      <c r="CH9" s="17">
        <f ca="1">IF(HR!CB9&lt;&gt;"",SUM(CE9:CG9),0)</f>
        <v>363230</v>
      </c>
      <c r="CI9" s="19">
        <f ca="1">IF(HR!CB9&lt;&gt;"",(SUMIF('Human Resources'!$F:$G,HR!CB9,'Human Resources'!$G:$G)/CD9),0)</f>
        <v>3.4</v>
      </c>
      <c r="CJ9" s="19">
        <f ca="1">IF(HR!CB9&lt;&gt;"",(SUMIF('Human Resources'!$F:$H,HR!CB9,'Human Resources'!$H:$H)/CD9),0)</f>
        <v>3.8</v>
      </c>
      <c r="CL9" s="24">
        <f ca="1">IF($CL8&lt;&gt;"",IF($CL$4&lt;$CL8,IF($CL$4=($CL8-1),$CL$4,($CL8-1)),""),"")</f>
        <v>2014</v>
      </c>
      <c r="CM9" s="28">
        <f t="shared" ca="1" si="2"/>
        <v>42064</v>
      </c>
      <c r="CN9" s="27">
        <f t="shared" ca="1" si="3"/>
        <v>42094</v>
      </c>
      <c r="CO9" s="24">
        <f t="shared" ca="1" si="4"/>
        <v>3</v>
      </c>
      <c r="CP9" s="24" t="str">
        <f ca="1">IF($CN$4=$CL$7,$CO9,IF($CO9&lt;&gt;"",VLOOKUP(CO9,search_localizedstrings,language_relatedorder,FALSE),""))</f>
        <v>M</v>
      </c>
      <c r="CQ9" s="24">
        <f ca="1">IF($CO9&lt;&gt;"",COUNTIFS('Human Resources'!$B:$B,"&gt;="&amp;$CM9,'Human Resources'!$B:$B,"&lt;="&amp;$CN9),"")</f>
        <v>4</v>
      </c>
      <c r="CR9" s="17">
        <f ca="1">IF($CO9&lt;&gt;"",SUMIFS('Human Resources'!$C:$C,'Human Resources'!$B:$B,"&gt;="&amp;$CM9,'Human Resources'!$B:$B,"&lt;="&amp;$CN9),"")</f>
        <v>217000</v>
      </c>
      <c r="CS9" s="17">
        <f ca="1">IF($CO9&lt;&gt;"",SUMIFS('Human Resources'!$D:$D,'Human Resources'!$B:$B,"&gt;="&amp;$CM9,'Human Resources'!$B:$B,"&lt;="&amp;$CN9),"")</f>
        <v>50100</v>
      </c>
      <c r="CT9" s="17">
        <f ca="1">IF($CO9&lt;&gt;"",SUMIFS('Human Resources'!$E:$E,'Human Resources'!$B:$B,"&gt;="&amp;$CM9,'Human Resources'!$B:$B,"&lt;="&amp;$CN9),"")</f>
        <v>7780</v>
      </c>
      <c r="CU9" s="17">
        <f t="shared" ca="1" si="5"/>
        <v>274880</v>
      </c>
      <c r="CV9" s="19">
        <f ca="1">IF($CO9&lt;&gt;"",IF(ISERROR((SUMIFS('Human Resources'!$G:$G,'Human Resources'!$B:$B,"&gt;="&amp;$CM9,'Human Resources'!$B:$B,"&lt;="&amp;$CN9)/$CQ9)),0,(SUMIFS('Human Resources'!$G:$G,'Human Resources'!$B:$B,"&gt;="&amp;$CM9,'Human Resources'!$B:$B,"&lt;="&amp;$CN9)/$CQ9)),"")</f>
        <v>2.75</v>
      </c>
      <c r="CW9" s="19">
        <f ca="1">IF($CO9&lt;&gt;"",IF(ISERROR((SUMIFS('Human Resources'!$H:$H,'Human Resources'!$B:$B,"&gt;="&amp;$CM9,'Human Resources'!$B:$B,"&lt;="&amp;$CN9)/$CQ9)),0,(SUMIFS('Human Resources'!$H:$H,'Human Resources'!$B:$B,"&gt;="&amp;$CM9,'Human Resources'!$B:$B,"&lt;="&amp;$CN9)/$CQ9)),"")</f>
        <v>3</v>
      </c>
      <c r="CY9" s="17">
        <f>CZ8+1</f>
        <v>71601</v>
      </c>
      <c r="CZ9" s="17">
        <f>CY9+$DA$4-1</f>
        <v>97400</v>
      </c>
      <c r="DA9" s="24">
        <f>COUNTIFS('Human Resources'!$C:$C,"&gt;="&amp;$CY9,'Human Resources'!$C:$C,"&lt;="&amp;$CZ9)</f>
        <v>23</v>
      </c>
      <c r="DB9" s="24">
        <f t="shared" si="6"/>
        <v>17.25</v>
      </c>
      <c r="DC9" s="24">
        <f t="shared" si="7"/>
        <v>57.75</v>
      </c>
    </row>
    <row r="10" spans="2:108" ht="15" customHeight="1" x14ac:dyDescent="0.25">
      <c r="B10" s="54"/>
      <c r="C10" s="54"/>
      <c r="D10" s="54"/>
      <c r="E10" s="54"/>
      <c r="F10" s="54"/>
      <c r="G10" s="54"/>
      <c r="H10" s="54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Z10" s="11"/>
      <c r="AA10" s="11"/>
      <c r="AK10" s="96">
        <f>$CY$8</f>
        <v>45801</v>
      </c>
      <c r="AL10" s="96"/>
      <c r="AM10" s="96"/>
      <c r="AN10" s="96"/>
      <c r="AO10" s="62" t="s">
        <v>198</v>
      </c>
      <c r="AP10" s="101">
        <f>$CZ$8</f>
        <v>71600</v>
      </c>
      <c r="AQ10" s="101"/>
      <c r="AR10" s="101"/>
      <c r="AS10" s="101"/>
      <c r="CB10" s="15" t="str">
        <f t="shared" ca="1" si="0"/>
        <v>Accounting</v>
      </c>
      <c r="CC10" s="15" t="str">
        <f t="shared" ca="1" si="0"/>
        <v>Accounting</v>
      </c>
      <c r="CD10" s="18">
        <f ca="1">IF(HR!CB10&lt;&gt;"",COUNTIF('Human Resources'!$F:$F,HR!CB10),0)</f>
        <v>10</v>
      </c>
      <c r="CE10" s="17">
        <f ca="1">IF(HR!CB10&lt;&gt;"",SUMIF('Human Resources'!$F:$F,HR!CB10,'Human Resources'!$C:$C),0)</f>
        <v>572000</v>
      </c>
      <c r="CF10" s="17">
        <f ca="1">IF(HR!CB10&lt;&gt;"",SUMIF('Human Resources'!$F:$F,HR!CB10,'Human Resources'!$D:$D),0)</f>
        <v>50540</v>
      </c>
      <c r="CG10" s="17">
        <f ca="1">IF(HR!CB10&lt;&gt;"",SUMIF('Human Resources'!$F:$F,HR!CB10,'Human Resources'!$E:$E),0)</f>
        <v>29490</v>
      </c>
      <c r="CH10" s="17">
        <f ca="1">IF(HR!CB10&lt;&gt;"",SUM(CE10:CG10),0)</f>
        <v>652030</v>
      </c>
      <c r="CI10" s="19">
        <f ca="1">IF(HR!CB10&lt;&gt;"",(SUMIF('Human Resources'!$F:$G,HR!CB10,'Human Resources'!$G:$G)/CD10),0)</f>
        <v>3.2</v>
      </c>
      <c r="CJ10" s="19">
        <f ca="1">IF(HR!CB10&lt;&gt;"",(SUMIF('Human Resources'!$F:$H,HR!CB10,'Human Resources'!$H:$H)/CD10),0)</f>
        <v>3.6</v>
      </c>
      <c r="CL10" s="24">
        <f t="shared" ref="CL10:CL37" ca="1" si="8">IF($CL9&lt;&gt;"",IF($CL$4&lt;$CL9,IF($CL$4=($CL9-1),$CL$4,($CL9-1)),""),"")</f>
        <v>2013</v>
      </c>
      <c r="CM10" s="28">
        <f t="shared" ca="1" si="2"/>
        <v>42095</v>
      </c>
      <c r="CN10" s="27">
        <f t="shared" ca="1" si="3"/>
        <v>42124</v>
      </c>
      <c r="CO10" s="24">
        <f t="shared" ca="1" si="4"/>
        <v>4</v>
      </c>
      <c r="CP10" s="24" t="str">
        <f ca="1">IF($CN$4=$CL$7,$CO10,IF($CO10&lt;&gt;"",VLOOKUP(CO10,search_localizedstrings,language_relatedorder,FALSE),""))</f>
        <v>A</v>
      </c>
      <c r="CQ10" s="24">
        <f ca="1">IF($CO10&lt;&gt;"",COUNTIFS('Human Resources'!$B:$B,"&gt;="&amp;$CM10,'Human Resources'!$B:$B,"&lt;="&amp;$CN10),"")</f>
        <v>3</v>
      </c>
      <c r="CR10" s="17">
        <f ca="1">IF($CO10&lt;&gt;"",SUMIFS('Human Resources'!$C:$C,'Human Resources'!$B:$B,"&gt;="&amp;$CM10,'Human Resources'!$B:$B,"&lt;="&amp;$CN10),"")</f>
        <v>133000</v>
      </c>
      <c r="CS10" s="17">
        <f ca="1">IF($CO10&lt;&gt;"",SUMIFS('Human Resources'!$D:$D,'Human Resources'!$B:$B,"&gt;="&amp;$CM10,'Human Resources'!$B:$B,"&lt;="&amp;$CN10),"")</f>
        <v>43630</v>
      </c>
      <c r="CT10" s="17">
        <f ca="1">IF($CO10&lt;&gt;"",SUMIFS('Human Resources'!$E:$E,'Human Resources'!$B:$B,"&gt;="&amp;$CM10,'Human Resources'!$B:$B,"&lt;="&amp;$CN10),"")</f>
        <v>930</v>
      </c>
      <c r="CU10" s="17">
        <f t="shared" ca="1" si="5"/>
        <v>177560</v>
      </c>
      <c r="CV10" s="19">
        <f ca="1">IF($CO10&lt;&gt;"",IF(ISERROR((SUMIFS('Human Resources'!$G:$G,'Human Resources'!$B:$B,"&gt;="&amp;$CM10,'Human Resources'!$B:$B,"&lt;="&amp;$CN10)/$CQ10)),0,(SUMIFS('Human Resources'!$G:$G,'Human Resources'!$B:$B,"&gt;="&amp;$CM10,'Human Resources'!$B:$B,"&lt;="&amp;$CN10)/$CQ10)),"")</f>
        <v>4</v>
      </c>
      <c r="CW10" s="19">
        <f ca="1">IF($CO10&lt;&gt;"",IF(ISERROR((SUMIFS('Human Resources'!$H:$H,'Human Resources'!$B:$B,"&gt;="&amp;$CM10,'Human Resources'!$B:$B,"&lt;="&amp;$CN10)/$CQ10)),0,(SUMIFS('Human Resources'!$H:$H,'Human Resources'!$B:$B,"&gt;="&amp;$CM10,'Human Resources'!$B:$B,"&lt;="&amp;$CN10)/$CQ10)),"")</f>
        <v>4</v>
      </c>
      <c r="CY10" s="17">
        <f>CZ9+1</f>
        <v>97401</v>
      </c>
      <c r="CZ10" s="17">
        <f>CY10+$DA$4-1</f>
        <v>123200</v>
      </c>
      <c r="DA10" s="24">
        <f>COUNTIFS('Human Resources'!$C:$C,"&gt;="&amp;$CY10,'Human Resources'!$C:$C,"&lt;="&amp;$CZ10)</f>
        <v>5</v>
      </c>
      <c r="DB10" s="24">
        <f t="shared" si="6"/>
        <v>3.75</v>
      </c>
      <c r="DC10" s="24">
        <f t="shared" si="7"/>
        <v>71.25</v>
      </c>
    </row>
    <row r="11" spans="2:108" ht="15" customHeight="1" x14ac:dyDescent="0.25">
      <c r="D11" s="11"/>
      <c r="Z11" s="11"/>
      <c r="AA11" s="11"/>
      <c r="AK11" s="97">
        <f>$CY$9</f>
        <v>71601</v>
      </c>
      <c r="AL11" s="97"/>
      <c r="AM11" s="97"/>
      <c r="AN11" s="97"/>
      <c r="AO11" s="63" t="s">
        <v>198</v>
      </c>
      <c r="AP11" s="103">
        <f>$CZ$9</f>
        <v>97400</v>
      </c>
      <c r="AQ11" s="103"/>
      <c r="AR11" s="103"/>
      <c r="AS11" s="103"/>
      <c r="CB11" s="15" t="str">
        <f t="shared" ca="1" si="0"/>
        <v>IT</v>
      </c>
      <c r="CC11" s="15" t="str">
        <f t="shared" ca="1" si="0"/>
        <v>IT</v>
      </c>
      <c r="CD11" s="18">
        <f ca="1">IF(HR!CB11&lt;&gt;"",COUNTIF('Human Resources'!$F:$F,HR!CB11),0)</f>
        <v>15</v>
      </c>
      <c r="CE11" s="17">
        <f ca="1">IF(HR!CB11&lt;&gt;"",SUMIF('Human Resources'!$F:$F,HR!CB11,'Human Resources'!$C:$C),0)</f>
        <v>1022000</v>
      </c>
      <c r="CF11" s="17">
        <f ca="1">IF(HR!CB11&lt;&gt;"",SUMIF('Human Resources'!$F:$F,HR!CB11,'Human Resources'!$D:$D),0)</f>
        <v>100780</v>
      </c>
      <c r="CG11" s="17">
        <f ca="1">IF(HR!CB11&lt;&gt;"",SUMIF('Human Resources'!$F:$F,HR!CB11,'Human Resources'!$E:$E),0)</f>
        <v>14070</v>
      </c>
      <c r="CH11" s="17">
        <f ca="1">IF(HR!CB11&lt;&gt;"",SUM(CE11:CG11),0)</f>
        <v>1136850</v>
      </c>
      <c r="CI11" s="19">
        <f ca="1">IF(HR!CB11&lt;&gt;"",(SUMIF('Human Resources'!$F:$G,HR!CB11,'Human Resources'!$G:$G)/CD11),0)</f>
        <v>3</v>
      </c>
      <c r="CJ11" s="19">
        <f ca="1">IF(HR!CB11&lt;&gt;"",(SUMIF('Human Resources'!$F:$H,HR!CB11,'Human Resources'!$H:$H)/CD11),0)</f>
        <v>3.2</v>
      </c>
      <c r="CL11" s="24" t="str">
        <f t="shared" ca="1" si="8"/>
        <v/>
      </c>
      <c r="CM11" s="28">
        <f t="shared" ca="1" si="2"/>
        <v>42125</v>
      </c>
      <c r="CN11" s="27">
        <f t="shared" ca="1" si="3"/>
        <v>42155</v>
      </c>
      <c r="CO11" s="24">
        <f t="shared" ca="1" si="4"/>
        <v>5</v>
      </c>
      <c r="CP11" s="24" t="str">
        <f ca="1">IF($CN$4=$CL$7,$CO11,IF($CO11&lt;&gt;"",VLOOKUP(CO11,search_localizedstrings,language_relatedorder,FALSE),""))</f>
        <v>M</v>
      </c>
      <c r="CQ11" s="24">
        <f ca="1">IF($CO11&lt;&gt;"",COUNTIFS('Human Resources'!$B:$B,"&gt;="&amp;$CM11,'Human Resources'!$B:$B,"&lt;="&amp;$CN11),"")</f>
        <v>1</v>
      </c>
      <c r="CR11" s="17">
        <f ca="1">IF($CO11&lt;&gt;"",SUMIFS('Human Resources'!$C:$C,'Human Resources'!$B:$B,"&gt;="&amp;$CM11,'Human Resources'!$B:$B,"&lt;="&amp;$CN11),"")</f>
        <v>62000</v>
      </c>
      <c r="CS11" s="17">
        <f ca="1">IF($CO11&lt;&gt;"",SUMIFS('Human Resources'!$D:$D,'Human Resources'!$B:$B,"&gt;="&amp;$CM11,'Human Resources'!$B:$B,"&lt;="&amp;$CN11),"")</f>
        <v>6270</v>
      </c>
      <c r="CT11" s="17">
        <f ca="1">IF($CO11&lt;&gt;"",SUMIFS('Human Resources'!$E:$E,'Human Resources'!$B:$B,"&gt;="&amp;$CM11,'Human Resources'!$B:$B,"&lt;="&amp;$CN11),"")</f>
        <v>5280</v>
      </c>
      <c r="CU11" s="17">
        <f t="shared" ca="1" si="5"/>
        <v>73550</v>
      </c>
      <c r="CV11" s="19">
        <f ca="1">IF($CO11&lt;&gt;"",IF(ISERROR((SUMIFS('Human Resources'!$G:$G,'Human Resources'!$B:$B,"&gt;="&amp;$CM11,'Human Resources'!$B:$B,"&lt;="&amp;$CN11)/$CQ11)),0,(SUMIFS('Human Resources'!$G:$G,'Human Resources'!$B:$B,"&gt;="&amp;$CM11,'Human Resources'!$B:$B,"&lt;="&amp;$CN11)/$CQ11)),"")</f>
        <v>6</v>
      </c>
      <c r="CW11" s="19">
        <f ca="1">IF($CO11&lt;&gt;"",IF(ISERROR((SUMIFS('Human Resources'!$H:$H,'Human Resources'!$B:$B,"&gt;="&amp;$CM11,'Human Resources'!$B:$B,"&lt;="&amp;$CN11)/$CQ11)),0,(SUMIFS('Human Resources'!$H:$H,'Human Resources'!$B:$B,"&gt;="&amp;$CM11,'Human Resources'!$B:$B,"&lt;="&amp;$CN11)/$CQ11)),"")</f>
        <v>4</v>
      </c>
      <c r="CY11" s="17">
        <f>CZ10+1</f>
        <v>123201</v>
      </c>
      <c r="CZ11" s="17">
        <f>CZ4</f>
        <v>149000</v>
      </c>
      <c r="DA11" s="24">
        <f>COUNTIFS('Human Resources'!$C:$C,"&gt;="&amp;$CY11,'Human Resources'!$C:$C,"&lt;="&amp;$CZ11)</f>
        <v>2</v>
      </c>
      <c r="DB11" s="24">
        <f t="shared" si="6"/>
        <v>1.5</v>
      </c>
      <c r="DC11" s="24">
        <f t="shared" si="7"/>
        <v>73.5</v>
      </c>
    </row>
    <row r="12" spans="2:108" ht="15" customHeight="1" x14ac:dyDescent="0.25">
      <c r="Z12" s="11"/>
      <c r="AA12" s="11"/>
      <c r="AK12" s="98">
        <f>$CY$10</f>
        <v>97401</v>
      </c>
      <c r="AL12" s="98"/>
      <c r="AM12" s="98"/>
      <c r="AN12" s="98"/>
      <c r="AO12" s="64" t="s">
        <v>198</v>
      </c>
      <c r="AP12" s="104">
        <f>$CZ$10</f>
        <v>123200</v>
      </c>
      <c r="AQ12" s="104"/>
      <c r="AR12" s="104"/>
      <c r="AS12" s="104"/>
      <c r="CB12" s="15" t="str">
        <f t="shared" ca="1" si="0"/>
        <v>Sales</v>
      </c>
      <c r="CC12" s="15" t="str">
        <f t="shared" ca="1" si="0"/>
        <v>Sales</v>
      </c>
      <c r="CD12" s="18">
        <f ca="1">IF(HR!CB12&lt;&gt;"",COUNTIF('Human Resources'!$F:$F,HR!CB12),0)</f>
        <v>13</v>
      </c>
      <c r="CE12" s="17">
        <f ca="1">IF(HR!CB12&lt;&gt;"",SUMIF('Human Resources'!$F:$F,HR!CB12,'Human Resources'!$C:$C),0)</f>
        <v>841000</v>
      </c>
      <c r="CF12" s="17">
        <f ca="1">IF(HR!CB12&lt;&gt;"",SUMIF('Human Resources'!$F:$F,HR!CB12,'Human Resources'!$D:$D),0)</f>
        <v>402080</v>
      </c>
      <c r="CG12" s="17">
        <f ca="1">IF(HR!CB12&lt;&gt;"",SUMIF('Human Resources'!$F:$F,HR!CB12,'Human Resources'!$E:$E),0)</f>
        <v>780</v>
      </c>
      <c r="CH12" s="17">
        <f ca="1">IF(HR!CB12&lt;&gt;"",SUM(CE12:CG12),0)</f>
        <v>1243860</v>
      </c>
      <c r="CI12" s="19">
        <f ca="1">IF(HR!CB12&lt;&gt;"",(SUMIF('Human Resources'!$F:$G,HR!CB12,'Human Resources'!$G:$G)/CD12),0)</f>
        <v>3.9230769230769229</v>
      </c>
      <c r="CJ12" s="19">
        <f ca="1">IF(HR!CB12&lt;&gt;"",(SUMIF('Human Resources'!$F:$H,HR!CB12,'Human Resources'!$H:$H)/CD12),0)</f>
        <v>3.7692307692307692</v>
      </c>
      <c r="CL12" s="24" t="str">
        <f t="shared" ca="1" si="8"/>
        <v/>
      </c>
      <c r="CM12" s="28">
        <f t="shared" ca="1" si="2"/>
        <v>42156</v>
      </c>
      <c r="CN12" s="27">
        <f t="shared" ca="1" si="3"/>
        <v>42185</v>
      </c>
      <c r="CO12" s="24">
        <f t="shared" ca="1" si="4"/>
        <v>6</v>
      </c>
      <c r="CP12" s="24" t="str">
        <f ca="1">IF($CN$4=$CL$7,$CO12,IF($CO12&lt;&gt;"",VLOOKUP(CO12,search_localizedstrings,language_relatedorder,FALSE),""))</f>
        <v>J</v>
      </c>
      <c r="CQ12" s="24">
        <f ca="1">IF($CO12&lt;&gt;"",COUNTIFS('Human Resources'!$B:$B,"&gt;="&amp;$CM12,'Human Resources'!$B:$B,"&lt;="&amp;$CN12),"")</f>
        <v>6</v>
      </c>
      <c r="CR12" s="17">
        <f ca="1">IF($CO12&lt;&gt;"",SUMIFS('Human Resources'!$C:$C,'Human Resources'!$B:$B,"&gt;="&amp;$CM12,'Human Resources'!$B:$B,"&lt;="&amp;$CN12),"")</f>
        <v>422000</v>
      </c>
      <c r="CS12" s="17">
        <f ca="1">IF($CO12&lt;&gt;"",SUMIFS('Human Resources'!$D:$D,'Human Resources'!$B:$B,"&gt;="&amp;$CM12,'Human Resources'!$B:$B,"&lt;="&amp;$CN12),"")</f>
        <v>90150</v>
      </c>
      <c r="CT12" s="17">
        <f ca="1">IF($CO12&lt;&gt;"",SUMIFS('Human Resources'!$E:$E,'Human Resources'!$B:$B,"&gt;="&amp;$CM12,'Human Resources'!$B:$B,"&lt;="&amp;$CN12),"")</f>
        <v>8620</v>
      </c>
      <c r="CU12" s="17">
        <f t="shared" ca="1" si="5"/>
        <v>520770</v>
      </c>
      <c r="CV12" s="19">
        <f ca="1">IF($CO12&lt;&gt;"",IF(ISERROR((SUMIFS('Human Resources'!$G:$G,'Human Resources'!$B:$B,"&gt;="&amp;$CM12,'Human Resources'!$B:$B,"&lt;="&amp;$CN12)/$CQ12)),0,(SUMIFS('Human Resources'!$G:$G,'Human Resources'!$B:$B,"&gt;="&amp;$CM12,'Human Resources'!$B:$B,"&lt;="&amp;$CN12)/$CQ12)),"")</f>
        <v>3</v>
      </c>
      <c r="CW12" s="19">
        <f ca="1">IF($CO12&lt;&gt;"",IF(ISERROR((SUMIFS('Human Resources'!$H:$H,'Human Resources'!$B:$B,"&gt;="&amp;$CM12,'Human Resources'!$B:$B,"&lt;="&amp;$CN12)/$CQ12)),0,(SUMIFS('Human Resources'!$H:$H,'Human Resources'!$B:$B,"&gt;="&amp;$CM12,'Human Resources'!$B:$B,"&lt;="&amp;$CN12)/$CQ12)),"")</f>
        <v>2</v>
      </c>
    </row>
    <row r="13" spans="2:108" ht="15" customHeight="1" x14ac:dyDescent="0.25">
      <c r="Z13" s="11"/>
      <c r="AA13" s="11"/>
      <c r="AK13" s="99">
        <f>$CY$11</f>
        <v>123201</v>
      </c>
      <c r="AL13" s="99"/>
      <c r="AM13" s="99"/>
      <c r="AN13" s="99"/>
      <c r="AO13" s="65" t="s">
        <v>198</v>
      </c>
      <c r="AP13" s="105">
        <f>$CZ$11</f>
        <v>149000</v>
      </c>
      <c r="AQ13" s="105"/>
      <c r="AR13" s="105"/>
      <c r="AS13" s="105"/>
      <c r="CL13" s="24" t="str">
        <f t="shared" ca="1" si="8"/>
        <v/>
      </c>
      <c r="CM13" s="28">
        <f t="shared" ca="1" si="2"/>
        <v>42186</v>
      </c>
      <c r="CN13" s="27">
        <f t="shared" ca="1" si="3"/>
        <v>42216</v>
      </c>
      <c r="CO13" s="24">
        <f t="shared" ca="1" si="4"/>
        <v>7</v>
      </c>
      <c r="CP13" s="24" t="str">
        <f ca="1">IF($CN$4=$CL$7,$CO13,IF($CO13&lt;&gt;"",VLOOKUP(CO13,search_localizedstrings,language_relatedorder,FALSE),""))</f>
        <v>J</v>
      </c>
      <c r="CQ13" s="24">
        <f ca="1">IF($CO13&lt;&gt;"",COUNTIFS('Human Resources'!$B:$B,"&gt;="&amp;$CM13,'Human Resources'!$B:$B,"&lt;="&amp;$CN13),"")</f>
        <v>3</v>
      </c>
      <c r="CR13" s="17">
        <f ca="1">IF($CO13&lt;&gt;"",SUMIFS('Human Resources'!$C:$C,'Human Resources'!$B:$B,"&gt;="&amp;$CM13,'Human Resources'!$B:$B,"&lt;="&amp;$CN13),"")</f>
        <v>177000</v>
      </c>
      <c r="CS13" s="17">
        <f ca="1">IF($CO13&lt;&gt;"",SUMIFS('Human Resources'!$D:$D,'Human Resources'!$B:$B,"&gt;="&amp;$CM13,'Human Resources'!$B:$B,"&lt;="&amp;$CN13),"")</f>
        <v>19950</v>
      </c>
      <c r="CT13" s="17">
        <f ca="1">IF($CO13&lt;&gt;"",SUMIFS('Human Resources'!$E:$E,'Human Resources'!$B:$B,"&gt;="&amp;$CM13,'Human Resources'!$B:$B,"&lt;="&amp;$CN13),"")</f>
        <v>13770</v>
      </c>
      <c r="CU13" s="17">
        <f t="shared" ca="1" si="5"/>
        <v>210720</v>
      </c>
      <c r="CV13" s="19">
        <f ca="1">IF($CO13&lt;&gt;"",IF(ISERROR((SUMIFS('Human Resources'!$G:$G,'Human Resources'!$B:$B,"&gt;="&amp;$CM13,'Human Resources'!$B:$B,"&lt;="&amp;$CN13)/$CQ13)),0,(SUMIFS('Human Resources'!$G:$G,'Human Resources'!$B:$B,"&gt;="&amp;$CM13,'Human Resources'!$B:$B,"&lt;="&amp;$CN13)/$CQ13)),"")</f>
        <v>3</v>
      </c>
      <c r="CW13" s="19">
        <f ca="1">IF($CO13&lt;&gt;"",IF(ISERROR((SUMIFS('Human Resources'!$H:$H,'Human Resources'!$B:$B,"&gt;="&amp;$CM13,'Human Resources'!$B:$B,"&lt;="&amp;$CN13)/$CQ13)),0,(SUMIFS('Human Resources'!$H:$H,'Human Resources'!$B:$B,"&gt;="&amp;$CM13,'Human Resources'!$B:$B,"&lt;="&amp;$CN13)/$CQ13)),"")</f>
        <v>4.333333333333333</v>
      </c>
      <c r="CY13" s="23" t="s">
        <v>6</v>
      </c>
      <c r="DC13" s="23" t="s">
        <v>205</v>
      </c>
    </row>
    <row r="14" spans="2:108" ht="15" customHeight="1" x14ac:dyDescent="0.25">
      <c r="B14" s="102" t="str">
        <f ca="1">VLOOKUP(Extras!H17,search_localizedstrings,language_relatedorder,FALSE)</f>
        <v>Departments</v>
      </c>
      <c r="C14" s="102"/>
      <c r="D14" s="102"/>
      <c r="E14" s="102"/>
      <c r="F14" s="102"/>
      <c r="G14" s="102"/>
      <c r="Z14" s="11"/>
      <c r="AA14" s="11"/>
      <c r="CL14" s="24" t="str">
        <f t="shared" ca="1" si="8"/>
        <v/>
      </c>
      <c r="CM14" s="28">
        <f t="shared" ca="1" si="2"/>
        <v>42217</v>
      </c>
      <c r="CN14" s="27">
        <f t="shared" ca="1" si="3"/>
        <v>42247</v>
      </c>
      <c r="CO14" s="24">
        <f t="shared" ca="1" si="4"/>
        <v>8</v>
      </c>
      <c r="CP14" s="24" t="str">
        <f ca="1">IF($CN$4=$CL$7,$CO14,IF($CO14&lt;&gt;"",VLOOKUP(CO14,search_localizedstrings,language_relatedorder,FALSE),""))</f>
        <v>A</v>
      </c>
      <c r="CQ14" s="24">
        <f ca="1">IF($CO14&lt;&gt;"",COUNTIFS('Human Resources'!$B:$B,"&gt;="&amp;$CM14,'Human Resources'!$B:$B,"&lt;="&amp;$CN14),"")</f>
        <v>2</v>
      </c>
      <c r="CR14" s="17">
        <f ca="1">IF($CO14&lt;&gt;"",SUMIFS('Human Resources'!$C:$C,'Human Resources'!$B:$B,"&gt;="&amp;$CM14,'Human Resources'!$B:$B,"&lt;="&amp;$CN14),"")</f>
        <v>117000</v>
      </c>
      <c r="CS14" s="17">
        <f ca="1">IF($CO14&lt;&gt;"",SUMIFS('Human Resources'!$D:$D,'Human Resources'!$B:$B,"&gt;="&amp;$CM14,'Human Resources'!$B:$B,"&lt;="&amp;$CN14),"")</f>
        <v>46740</v>
      </c>
      <c r="CT14" s="17">
        <f ca="1">IF($CO14&lt;&gt;"",SUMIFS('Human Resources'!$E:$E,'Human Resources'!$B:$B,"&gt;="&amp;$CM14,'Human Resources'!$B:$B,"&lt;="&amp;$CN14),"")</f>
        <v>1440</v>
      </c>
      <c r="CU14" s="17">
        <f t="shared" ca="1" si="5"/>
        <v>165180</v>
      </c>
      <c r="CV14" s="19">
        <f ca="1">IF($CO14&lt;&gt;"",IF(ISERROR((SUMIFS('Human Resources'!$G:$G,'Human Resources'!$B:$B,"&gt;="&amp;$CM14,'Human Resources'!$B:$B,"&lt;="&amp;$CN14)/$CQ14)),0,(SUMIFS('Human Resources'!$G:$G,'Human Resources'!$B:$B,"&gt;="&amp;$CM14,'Human Resources'!$B:$B,"&lt;="&amp;$CN14)/$CQ14)),"")</f>
        <v>2.5</v>
      </c>
      <c r="CW14" s="19">
        <f ca="1">IF($CO14&lt;&gt;"",IF(ISERROR((SUMIFS('Human Resources'!$H:$H,'Human Resources'!$B:$B,"&gt;="&amp;$CM14,'Human Resources'!$B:$B,"&lt;="&amp;$CN14)/$CQ14)),0,(SUMIFS('Human Resources'!$H:$H,'Human Resources'!$B:$B,"&gt;="&amp;$CM14,'Human Resources'!$B:$B,"&lt;="&amp;$CN14)/$CQ14)),"")</f>
        <v>3.5</v>
      </c>
      <c r="CY14" s="25" t="s">
        <v>204</v>
      </c>
      <c r="CZ14" s="24">
        <v>50</v>
      </c>
      <c r="DA14" s="10"/>
      <c r="DC14" s="25">
        <v>1</v>
      </c>
      <c r="DD14" s="24">
        <v>20</v>
      </c>
    </row>
    <row r="15" spans="2:108" ht="15" customHeight="1" x14ac:dyDescent="0.25">
      <c r="C15" s="53"/>
      <c r="D15" s="53"/>
      <c r="E15" s="53"/>
      <c r="F15" s="53"/>
      <c r="G15" s="53"/>
      <c r="H15" s="53"/>
      <c r="Z15" s="11"/>
      <c r="AA15" s="11"/>
      <c r="CL15" s="24" t="str">
        <f t="shared" ca="1" si="8"/>
        <v/>
      </c>
      <c r="CM15" s="28">
        <f t="shared" ca="1" si="2"/>
        <v>42248</v>
      </c>
      <c r="CN15" s="27">
        <f t="shared" ca="1" si="3"/>
        <v>42277</v>
      </c>
      <c r="CO15" s="24">
        <f t="shared" ca="1" si="4"/>
        <v>9</v>
      </c>
      <c r="CP15" s="24" t="str">
        <f ca="1">IF($CN$4=$CL$7,$CO15,IF($CO15&lt;&gt;"",VLOOKUP(CO15,search_localizedstrings,language_relatedorder,FALSE),""))</f>
        <v>S</v>
      </c>
      <c r="CQ15" s="24">
        <f ca="1">IF($CO15&lt;&gt;"",COUNTIFS('Human Resources'!$B:$B,"&gt;="&amp;$CM15,'Human Resources'!$B:$B,"&lt;="&amp;$CN15),"")</f>
        <v>4</v>
      </c>
      <c r="CR15" s="17">
        <f ca="1">IF($CO15&lt;&gt;"",SUMIFS('Human Resources'!$C:$C,'Human Resources'!$B:$B,"&gt;="&amp;$CM15,'Human Resources'!$B:$B,"&lt;="&amp;$CN15),"")</f>
        <v>269000</v>
      </c>
      <c r="CS15" s="17">
        <f ca="1">IF($CO15&lt;&gt;"",SUMIFS('Human Resources'!$D:$D,'Human Resources'!$B:$B,"&gt;="&amp;$CM15,'Human Resources'!$B:$B,"&lt;="&amp;$CN15),"")</f>
        <v>27670</v>
      </c>
      <c r="CT15" s="17">
        <f ca="1">IF($CO15&lt;&gt;"",SUMIFS('Human Resources'!$E:$E,'Human Resources'!$B:$B,"&gt;="&amp;$CM15,'Human Resources'!$B:$B,"&lt;="&amp;$CN15),"")</f>
        <v>11400</v>
      </c>
      <c r="CU15" s="17">
        <f t="shared" ca="1" si="5"/>
        <v>308070</v>
      </c>
      <c r="CV15" s="19">
        <f ca="1">IF($CO15&lt;&gt;"",IF(ISERROR((SUMIFS('Human Resources'!$G:$G,'Human Resources'!$B:$B,"&gt;="&amp;$CM15,'Human Resources'!$B:$B,"&lt;="&amp;$CN15)/$CQ15)),0,(SUMIFS('Human Resources'!$G:$G,'Human Resources'!$B:$B,"&gt;="&amp;$CM15,'Human Resources'!$B:$B,"&lt;="&amp;$CN15)/$CQ15)),"")</f>
        <v>3</v>
      </c>
      <c r="CW15" s="19">
        <f ca="1">IF($CO15&lt;&gt;"",IF(ISERROR((SUMIFS('Human Resources'!$H:$H,'Human Resources'!$B:$B,"&gt;="&amp;$CM15,'Human Resources'!$B:$B,"&lt;="&amp;$CN15)/$CQ15)),0,(SUMIFS('Human Resources'!$H:$H,'Human Resources'!$B:$B,"&gt;="&amp;$CM15,'Human Resources'!$B:$B,"&lt;="&amp;$CN15)/$CQ15)),"")</f>
        <v>2.75</v>
      </c>
      <c r="CY15" s="25" t="s">
        <v>206</v>
      </c>
      <c r="CZ15" s="24">
        <v>30</v>
      </c>
      <c r="DA15" s="10"/>
      <c r="DC15" s="25">
        <v>2</v>
      </c>
      <c r="DD15" s="24">
        <v>20</v>
      </c>
    </row>
    <row r="16" spans="2:108" ht="15" customHeight="1" x14ac:dyDescent="0.25">
      <c r="B16" s="53"/>
      <c r="C16" s="53"/>
      <c r="D16" s="53"/>
      <c r="E16" s="53"/>
      <c r="F16" s="53"/>
      <c r="G16" s="53"/>
      <c r="H16" s="53"/>
      <c r="Z16" s="11"/>
      <c r="AA16" s="11"/>
      <c r="CL16" s="24" t="str">
        <f t="shared" ca="1" si="8"/>
        <v/>
      </c>
      <c r="CM16" s="28">
        <f t="shared" ca="1" si="2"/>
        <v>42278</v>
      </c>
      <c r="CN16" s="27">
        <f t="shared" ca="1" si="3"/>
        <v>42308</v>
      </c>
      <c r="CO16" s="24">
        <f t="shared" ca="1" si="4"/>
        <v>10</v>
      </c>
      <c r="CP16" s="24" t="str">
        <f ca="1">IF($CN$4=$CL$7,$CO16,IF($CO16&lt;&gt;"",VLOOKUP(CO16,search_localizedstrings,language_relatedorder,FALSE),""))</f>
        <v>O</v>
      </c>
      <c r="CQ16" s="24">
        <f ca="1">IF($CO16&lt;&gt;"",COUNTIFS('Human Resources'!$B:$B,"&gt;="&amp;$CM16,'Human Resources'!$B:$B,"&lt;="&amp;$CN16),"")</f>
        <v>1</v>
      </c>
      <c r="CR16" s="17">
        <f ca="1">IF($CO16&lt;&gt;"",SUMIFS('Human Resources'!$C:$C,'Human Resources'!$B:$B,"&gt;="&amp;$CM16,'Human Resources'!$B:$B,"&lt;="&amp;$CN16),"")</f>
        <v>44000</v>
      </c>
      <c r="CS16" s="17">
        <f ca="1">IF($CO16&lt;&gt;"",SUMIFS('Human Resources'!$D:$D,'Human Resources'!$B:$B,"&gt;="&amp;$CM16,'Human Resources'!$B:$B,"&lt;="&amp;$CN16),"")</f>
        <v>6650.0000000000009</v>
      </c>
      <c r="CT16" s="17">
        <f ca="1">IF($CO16&lt;&gt;"",SUMIFS('Human Resources'!$E:$E,'Human Resources'!$B:$B,"&gt;="&amp;$CM16,'Human Resources'!$B:$B,"&lt;="&amp;$CN16),"")</f>
        <v>60</v>
      </c>
      <c r="CU16" s="17">
        <f t="shared" ca="1" si="5"/>
        <v>50710</v>
      </c>
      <c r="CV16" s="19">
        <f ca="1">IF($CO16&lt;&gt;"",IF(ISERROR((SUMIFS('Human Resources'!$G:$G,'Human Resources'!$B:$B,"&gt;="&amp;$CM16,'Human Resources'!$B:$B,"&lt;="&amp;$CN16)/$CQ16)),0,(SUMIFS('Human Resources'!$G:$G,'Human Resources'!$B:$B,"&gt;="&amp;$CM16,'Human Resources'!$B:$B,"&lt;="&amp;$CN16)/$CQ16)),"")</f>
        <v>6</v>
      </c>
      <c r="CW16" s="19">
        <f ca="1">IF($CO16&lt;&gt;"",IF(ISERROR((SUMIFS('Human Resources'!$H:$H,'Human Resources'!$B:$B,"&gt;="&amp;$CM16,'Human Resources'!$B:$B,"&lt;="&amp;$CN16)/$CQ16)),0,(SUMIFS('Human Resources'!$H:$H,'Human Resources'!$B:$B,"&gt;="&amp;$CM16,'Human Resources'!$B:$B,"&lt;="&amp;$CN16)/$CQ16)),"")</f>
        <v>5</v>
      </c>
      <c r="CY16" s="25" t="s">
        <v>203</v>
      </c>
      <c r="CZ16" s="24">
        <v>20</v>
      </c>
      <c r="DA16" s="10"/>
      <c r="DC16" s="25">
        <v>3</v>
      </c>
      <c r="DD16" s="24">
        <v>20</v>
      </c>
    </row>
    <row r="17" spans="2:109" ht="15" customHeight="1" x14ac:dyDescent="0.25">
      <c r="Z17" s="11"/>
      <c r="AA17" s="11"/>
      <c r="CL17" s="24" t="str">
        <f t="shared" ca="1" si="8"/>
        <v/>
      </c>
      <c r="CM17" s="28">
        <f t="shared" ca="1" si="2"/>
        <v>42309</v>
      </c>
      <c r="CN17" s="27">
        <f t="shared" ca="1" si="3"/>
        <v>42338</v>
      </c>
      <c r="CO17" s="24">
        <f t="shared" ca="1" si="4"/>
        <v>11</v>
      </c>
      <c r="CP17" s="24" t="str">
        <f ca="1">IF($CN$4=$CL$7,$CO17,IF($CO17&lt;&gt;"",VLOOKUP(CO17,search_localizedstrings,language_relatedorder,FALSE),""))</f>
        <v>N</v>
      </c>
      <c r="CQ17" s="24">
        <f ca="1">IF($CO17&lt;&gt;"",COUNTIFS('Human Resources'!$B:$B,"&gt;="&amp;$CM17,'Human Resources'!$B:$B,"&lt;="&amp;$CN17),"")</f>
        <v>0</v>
      </c>
      <c r="CR17" s="17">
        <f ca="1">IF($CO17&lt;&gt;"",SUMIFS('Human Resources'!$C:$C,'Human Resources'!$B:$B,"&gt;="&amp;$CM17,'Human Resources'!$B:$B,"&lt;="&amp;$CN17),"")</f>
        <v>0</v>
      </c>
      <c r="CS17" s="17">
        <f ca="1">IF($CO17&lt;&gt;"",SUMIFS('Human Resources'!$D:$D,'Human Resources'!$B:$B,"&gt;="&amp;$CM17,'Human Resources'!$B:$B,"&lt;="&amp;$CN17),"")</f>
        <v>0</v>
      </c>
      <c r="CT17" s="17">
        <f ca="1">IF($CO17&lt;&gt;"",SUMIFS('Human Resources'!$E:$E,'Human Resources'!$B:$B,"&gt;="&amp;$CM17,'Human Resources'!$B:$B,"&lt;="&amp;$CN17),"")</f>
        <v>0</v>
      </c>
      <c r="CU17" s="17">
        <f t="shared" ca="1" si="5"/>
        <v>0</v>
      </c>
      <c r="CV17" s="19">
        <f ca="1">IF($CO17&lt;&gt;"",IF(ISERROR((SUMIFS('Human Resources'!$G:$G,'Human Resources'!$B:$B,"&gt;="&amp;$CM17,'Human Resources'!$B:$B,"&lt;="&amp;$CN17)/$CQ17)),0,(SUMIFS('Human Resources'!$G:$G,'Human Resources'!$B:$B,"&gt;="&amp;$CM17,'Human Resources'!$B:$B,"&lt;="&amp;$CN17)/$CQ17)),"")</f>
        <v>0</v>
      </c>
      <c r="CW17" s="19">
        <f ca="1">IF($CO17&lt;&gt;"",IF(ISERROR((SUMIFS('Human Resources'!$H:$H,'Human Resources'!$B:$B,"&gt;="&amp;$CM17,'Human Resources'!$B:$B,"&lt;="&amp;$CN17)/$CQ17)),0,(SUMIFS('Human Resources'!$H:$H,'Human Resources'!$B:$B,"&gt;="&amp;$CM17,'Human Resources'!$B:$B,"&lt;="&amp;$CN17)/$CQ17)),"")</f>
        <v>0</v>
      </c>
      <c r="CY17" s="25" t="s">
        <v>197</v>
      </c>
      <c r="CZ17" s="24">
        <f>SUM(CZ14:CZ16)</f>
        <v>100</v>
      </c>
      <c r="DA17" s="10"/>
      <c r="DC17" s="25">
        <v>4</v>
      </c>
      <c r="DD17" s="24">
        <v>20</v>
      </c>
    </row>
    <row r="18" spans="2:109" ht="15" customHeight="1" x14ac:dyDescent="0.25">
      <c r="Z18" s="11"/>
      <c r="AA18" s="11"/>
      <c r="AC18" s="92" t="str">
        <f ca="1">VLOOKUP(Extras!H8,search_localizedstrings,language_relatedorder,FALSE)</f>
        <v xml:space="preserve">Total Payroll </v>
      </c>
      <c r="AD18" s="92"/>
      <c r="AE18" s="92"/>
      <c r="AF18" s="92"/>
      <c r="AG18" s="92"/>
      <c r="AH18" s="92"/>
      <c r="CL18" s="24" t="str">
        <f t="shared" ca="1" si="8"/>
        <v/>
      </c>
      <c r="CM18" s="28">
        <f t="shared" ca="1" si="2"/>
        <v>42339</v>
      </c>
      <c r="CN18" s="27">
        <f t="shared" ca="1" si="3"/>
        <v>42369</v>
      </c>
      <c r="CO18" s="24">
        <f t="shared" ca="1" si="4"/>
        <v>12</v>
      </c>
      <c r="CP18" s="24" t="str">
        <f ca="1">IF($CN$4=$CL$7,$CO18,IF($CO18&lt;&gt;"",VLOOKUP(CO18,search_localizedstrings,language_relatedorder,FALSE),""))</f>
        <v>D</v>
      </c>
      <c r="CQ18" s="24">
        <f ca="1">IF($CO18&lt;&gt;"",COUNTIFS('Human Resources'!$B:$B,"&gt;="&amp;$CM18,'Human Resources'!$B:$B,"&lt;="&amp;$CN18),"")</f>
        <v>0</v>
      </c>
      <c r="CR18" s="17">
        <f ca="1">IF($CO18&lt;&gt;"",SUMIFS('Human Resources'!$C:$C,'Human Resources'!$B:$B,"&gt;="&amp;$CM18,'Human Resources'!$B:$B,"&lt;="&amp;$CN18),"")</f>
        <v>0</v>
      </c>
      <c r="CS18" s="17">
        <f ca="1">IF($CO18&lt;&gt;"",SUMIFS('Human Resources'!$D:$D,'Human Resources'!$B:$B,"&gt;="&amp;$CM18,'Human Resources'!$B:$B,"&lt;="&amp;$CN18),"")</f>
        <v>0</v>
      </c>
      <c r="CT18" s="17">
        <f ca="1">IF($CO18&lt;&gt;"",SUMIFS('Human Resources'!$E:$E,'Human Resources'!$B:$B,"&gt;="&amp;$CM18,'Human Resources'!$B:$B,"&lt;="&amp;$CN18),"")</f>
        <v>0</v>
      </c>
      <c r="CU18" s="17">
        <f t="shared" ca="1" si="5"/>
        <v>0</v>
      </c>
      <c r="CV18" s="19">
        <f ca="1">IF($CO18&lt;&gt;"",IF(ISERROR((SUMIFS('Human Resources'!$G:$G,'Human Resources'!$B:$B,"&gt;="&amp;$CM18,'Human Resources'!$B:$B,"&lt;="&amp;$CN18)/$CQ18)),0,(SUMIFS('Human Resources'!$G:$G,'Human Resources'!$B:$B,"&gt;="&amp;$CM18,'Human Resources'!$B:$B,"&lt;="&amp;$CN18)/$CQ18)),"")</f>
        <v>0</v>
      </c>
      <c r="CW18" s="19">
        <f ca="1">IF($CO18&lt;&gt;"",IF(ISERROR((SUMIFS('Human Resources'!$H:$H,'Human Resources'!$B:$B,"&gt;="&amp;$CM18,'Human Resources'!$B:$B,"&lt;="&amp;$CN18)/$CQ18)),0,(SUMIFS('Human Resources'!$H:$H,'Human Resources'!$B:$B,"&gt;="&amp;$CM18,'Human Resources'!$B:$B,"&lt;="&amp;$CN18)/$CQ18)),"")</f>
        <v>0</v>
      </c>
      <c r="CY18" s="10"/>
      <c r="CZ18" s="10"/>
      <c r="DA18" s="10"/>
      <c r="DC18" s="25">
        <v>5</v>
      </c>
      <c r="DD18" s="24">
        <v>20</v>
      </c>
    </row>
    <row r="19" spans="2:109" ht="15" customHeight="1" x14ac:dyDescent="0.25">
      <c r="C19" s="58"/>
      <c r="D19" s="58"/>
      <c r="E19" s="58"/>
      <c r="F19" s="58"/>
      <c r="G19" s="58"/>
      <c r="AC19" s="91">
        <f ca="1">CW4</f>
        <v>7423220</v>
      </c>
      <c r="AD19" s="91"/>
      <c r="AE19" s="91"/>
      <c r="AF19" s="91"/>
      <c r="AG19" s="91"/>
      <c r="AH19" s="91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CL19" s="24" t="str">
        <f t="shared" ca="1" si="8"/>
        <v/>
      </c>
      <c r="CM19" s="28" t="str">
        <f t="shared" ca="1" si="2"/>
        <v/>
      </c>
      <c r="CN19" s="27" t="str">
        <f t="shared" ca="1" si="3"/>
        <v/>
      </c>
      <c r="CO19" s="24" t="str">
        <f t="shared" ca="1" si="4"/>
        <v/>
      </c>
      <c r="CP19" s="24" t="str">
        <f ca="1">IF($CN$4=$CL$7,$CO19,IF($CO19&lt;&gt;"",VLOOKUP(CO19,search_localizedstrings,language_relatedorder,FALSE),""))</f>
        <v/>
      </c>
      <c r="CQ19" s="24" t="str">
        <f ca="1">IF($CO19&lt;&gt;"",COUNTIFS('Human Resources'!$B:$B,"&gt;="&amp;$CM19,'Human Resources'!$B:$B,"&lt;="&amp;$CN19),"")</f>
        <v/>
      </c>
      <c r="CR19" s="17" t="str">
        <f ca="1">IF($CO19&lt;&gt;"",SUMIFS('Human Resources'!$C:$C,'Human Resources'!$B:$B,"&gt;="&amp;$CM19,'Human Resources'!$B:$B,"&lt;="&amp;$CN19),"")</f>
        <v/>
      </c>
      <c r="CS19" s="17" t="str">
        <f ca="1">IF($CO19&lt;&gt;"",SUMIFS('Human Resources'!$D:$D,'Human Resources'!$B:$B,"&gt;="&amp;$CM19,'Human Resources'!$B:$B,"&lt;="&amp;$CN19),"")</f>
        <v/>
      </c>
      <c r="CT19" s="17" t="str">
        <f ca="1">IF($CO19&lt;&gt;"",SUMIFS('Human Resources'!$E:$E,'Human Resources'!$B:$B,"&gt;="&amp;$CM19,'Human Resources'!$B:$B,"&lt;="&amp;$CN19),"")</f>
        <v/>
      </c>
      <c r="CU19" s="17" t="str">
        <f t="shared" ca="1" si="5"/>
        <v/>
      </c>
      <c r="CV19" s="19" t="str">
        <f ca="1">IF($CO19&lt;&gt;"",IF(ISERROR((SUMIFS('Human Resources'!$G:$G,'Human Resources'!$B:$B,"&gt;="&amp;$CM19,'Human Resources'!$B:$B,"&lt;="&amp;$CN19)/$CQ19)),0,(SUMIFS('Human Resources'!$G:$G,'Human Resources'!$B:$B,"&gt;="&amp;$CM19,'Human Resources'!$B:$B,"&lt;="&amp;$CN19)/$CQ19)),"")</f>
        <v/>
      </c>
      <c r="CW19" s="19" t="str">
        <f ca="1">IF($CO19&lt;&gt;"",IF(ISERROR((SUMIFS('Human Resources'!$H:$H,'Human Resources'!$B:$B,"&gt;="&amp;$CM19,'Human Resources'!$B:$B,"&lt;="&amp;$CN19)/$CQ19)),0,(SUMIFS('Human Resources'!$H:$H,'Human Resources'!$B:$B,"&gt;="&amp;$CM19,'Human Resources'!$B:$B,"&lt;="&amp;$CN19)/$CQ19)),"")</f>
        <v/>
      </c>
      <c r="CY19" s="25" t="s">
        <v>207</v>
      </c>
      <c r="CZ19" s="24">
        <f ca="1">CR4*10</f>
        <v>33.700000000000003</v>
      </c>
      <c r="DA19" s="10"/>
      <c r="DC19" s="25" t="s">
        <v>197</v>
      </c>
      <c r="DD19" s="24">
        <f>SUM(DD14:DD18)</f>
        <v>100</v>
      </c>
    </row>
    <row r="20" spans="2:109" ht="15" customHeight="1" x14ac:dyDescent="0.25">
      <c r="B20" s="94" t="str">
        <f ca="1">VLOOKUP(Extras!H25,search_localizedstrings,language_relatedorder,FALSE)</f>
        <v>Average Sick Days</v>
      </c>
      <c r="C20" s="94"/>
      <c r="D20" s="94"/>
      <c r="E20" s="94"/>
      <c r="F20" s="94"/>
      <c r="G20" s="94"/>
      <c r="CL20" s="24" t="str">
        <f t="shared" ca="1" si="8"/>
        <v/>
      </c>
      <c r="CM20" s="28" t="str">
        <f t="shared" ca="1" si="2"/>
        <v/>
      </c>
      <c r="CN20" s="27" t="str">
        <f t="shared" ca="1" si="3"/>
        <v/>
      </c>
      <c r="CO20" s="24" t="str">
        <f t="shared" ca="1" si="4"/>
        <v/>
      </c>
      <c r="CP20" s="24" t="str">
        <f ca="1">IF($CN$4=$CL$7,$CO20,IF($CO20&lt;&gt;"",VLOOKUP(CO20,search_localizedstrings,language_relatedorder,FALSE),""))</f>
        <v/>
      </c>
      <c r="CQ20" s="24" t="str">
        <f ca="1">IF($CO20&lt;&gt;"",COUNTIFS('Human Resources'!$B:$B,"&gt;="&amp;$CM20,'Human Resources'!$B:$B,"&lt;="&amp;$CN20),"")</f>
        <v/>
      </c>
      <c r="CR20" s="17" t="str">
        <f ca="1">IF($CO20&lt;&gt;"",SUMIFS('Human Resources'!$C:$C,'Human Resources'!$B:$B,"&gt;="&amp;$CM20,'Human Resources'!$B:$B,"&lt;="&amp;$CN20),"")</f>
        <v/>
      </c>
      <c r="CS20" s="17" t="str">
        <f ca="1">IF($CO20&lt;&gt;"",SUMIFS('Human Resources'!$D:$D,'Human Resources'!$B:$B,"&gt;="&amp;$CM20,'Human Resources'!$B:$B,"&lt;="&amp;$CN20),"")</f>
        <v/>
      </c>
      <c r="CT20" s="17" t="str">
        <f ca="1">IF($CO20&lt;&gt;"",SUMIFS('Human Resources'!$E:$E,'Human Resources'!$B:$B,"&gt;="&amp;$CM20,'Human Resources'!$B:$B,"&lt;="&amp;$CN20),"")</f>
        <v/>
      </c>
      <c r="CU20" s="17" t="str">
        <f t="shared" ca="1" si="5"/>
        <v/>
      </c>
      <c r="CV20" s="19" t="str">
        <f ca="1">IF($CO20&lt;&gt;"",IF(ISERROR((SUMIFS('Human Resources'!$G:$G,'Human Resources'!$B:$B,"&gt;="&amp;$CM20,'Human Resources'!$B:$B,"&lt;="&amp;$CN20)/$CQ20)),0,(SUMIFS('Human Resources'!$G:$G,'Human Resources'!$B:$B,"&gt;="&amp;$CM20,'Human Resources'!$B:$B,"&lt;="&amp;$CN20)/$CQ20)),"")</f>
        <v/>
      </c>
      <c r="CW20" s="19" t="str">
        <f ca="1">IF($CO20&lt;&gt;"",IF(ISERROR((SUMIFS('Human Resources'!$H:$H,'Human Resources'!$B:$B,"&gt;="&amp;$CM20,'Human Resources'!$B:$B,"&lt;="&amp;$CN20)/$CQ20)),0,(SUMIFS('Human Resources'!$H:$H,'Human Resources'!$B:$B,"&gt;="&amp;$CM20,'Human Resources'!$B:$B,"&lt;="&amp;$CN20)/$CQ20)),"")</f>
        <v/>
      </c>
      <c r="CY20" s="25" t="s">
        <v>208</v>
      </c>
      <c r="CZ20" s="25" t="s">
        <v>210</v>
      </c>
      <c r="DA20" s="25" t="s">
        <v>211</v>
      </c>
    </row>
    <row r="21" spans="2:109" ht="15" customHeight="1" x14ac:dyDescent="0.25">
      <c r="B21" s="59"/>
      <c r="C21" s="59"/>
      <c r="D21" s="59"/>
      <c r="E21" s="59"/>
      <c r="F21" s="59"/>
      <c r="G21" s="59"/>
      <c r="J21" s="84" t="str">
        <f ca="1">VLOOKUP(Extras!H14,search_localizedstrings,language_relatedorder,FALSE)</f>
        <v>Salary Distribution</v>
      </c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B21" s="11"/>
      <c r="AC21" s="84" t="str">
        <f ca="1">VLOOKUP(Extras!H18,search_localizedstrings,language_relatedorder,FALSE)</f>
        <v>More Statistics</v>
      </c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CL21" s="24" t="str">
        <f t="shared" ca="1" si="8"/>
        <v/>
      </c>
      <c r="CM21" s="28" t="str">
        <f t="shared" ca="1" si="2"/>
        <v/>
      </c>
      <c r="CN21" s="27" t="str">
        <f t="shared" ca="1" si="3"/>
        <v/>
      </c>
      <c r="CO21" s="24" t="str">
        <f t="shared" ca="1" si="4"/>
        <v/>
      </c>
      <c r="CP21" s="24" t="str">
        <f ca="1">IF($CN$4=$CL$7,$CO21,IF($CO21&lt;&gt;"",VLOOKUP(CO21,search_localizedstrings,language_relatedorder,FALSE),""))</f>
        <v/>
      </c>
      <c r="CQ21" s="24" t="str">
        <f ca="1">IF($CO21&lt;&gt;"",COUNTIFS('Human Resources'!$B:$B,"&gt;="&amp;$CM21,'Human Resources'!$B:$B,"&lt;="&amp;$CN21),"")</f>
        <v/>
      </c>
      <c r="CR21" s="17" t="str">
        <f ca="1">IF($CO21&lt;&gt;"",SUMIFS('Human Resources'!$C:$C,'Human Resources'!$B:$B,"&gt;="&amp;$CM21,'Human Resources'!$B:$B,"&lt;="&amp;$CN21),"")</f>
        <v/>
      </c>
      <c r="CS21" s="17" t="str">
        <f ca="1">IF($CO21&lt;&gt;"",SUMIFS('Human Resources'!$D:$D,'Human Resources'!$B:$B,"&gt;="&amp;$CM21,'Human Resources'!$B:$B,"&lt;="&amp;$CN21),"")</f>
        <v/>
      </c>
      <c r="CT21" s="17" t="str">
        <f ca="1">IF($CO21&lt;&gt;"",SUMIFS('Human Resources'!$E:$E,'Human Resources'!$B:$B,"&gt;="&amp;$CM21,'Human Resources'!$B:$B,"&lt;="&amp;$CN21),"")</f>
        <v/>
      </c>
      <c r="CU21" s="17" t="str">
        <f t="shared" ca="1" si="5"/>
        <v/>
      </c>
      <c r="CV21" s="19" t="str">
        <f ca="1">IF($CO21&lt;&gt;"",IF(ISERROR((SUMIFS('Human Resources'!$G:$G,'Human Resources'!$B:$B,"&gt;="&amp;$CM21,'Human Resources'!$B:$B,"&lt;="&amp;$CN21)/$CQ21)),0,(SUMIFS('Human Resources'!$G:$G,'Human Resources'!$B:$B,"&gt;="&amp;$CM21,'Human Resources'!$B:$B,"&lt;="&amp;$CN21)/$CQ21)),"")</f>
        <v/>
      </c>
      <c r="CW21" s="19" t="str">
        <f ca="1">IF($CO21&lt;&gt;"",IF(ISERROR((SUMIFS('Human Resources'!$H:$H,'Human Resources'!$B:$B,"&gt;="&amp;$CM21,'Human Resources'!$B:$B,"&lt;="&amp;$CN21)/$CQ21)),0,(SUMIFS('Human Resources'!$H:$H,'Human Resources'!$B:$B,"&gt;="&amp;$CM21,'Human Resources'!$B:$B,"&lt;="&amp;$CN21)/$CQ21)),"")</f>
        <v/>
      </c>
      <c r="CY21" s="25" t="s">
        <v>202</v>
      </c>
      <c r="CZ21" s="24">
        <v>0</v>
      </c>
      <c r="DA21" s="24">
        <v>0</v>
      </c>
      <c r="DC21" s="25" t="s">
        <v>207</v>
      </c>
      <c r="DD21" s="24">
        <f ca="1">CS4*10</f>
        <v>30.299999999999997</v>
      </c>
      <c r="DE21" s="10"/>
    </row>
    <row r="22" spans="2:109" ht="15" customHeight="1" x14ac:dyDescent="0.25"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11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CL22" s="24" t="str">
        <f t="shared" ca="1" si="8"/>
        <v/>
      </c>
      <c r="CM22" s="28" t="str">
        <f t="shared" ca="1" si="2"/>
        <v/>
      </c>
      <c r="CN22" s="27" t="str">
        <f t="shared" ca="1" si="3"/>
        <v/>
      </c>
      <c r="CO22" s="24" t="str">
        <f t="shared" ca="1" si="4"/>
        <v/>
      </c>
      <c r="CP22" s="24" t="str">
        <f ca="1">IF($CN$4=$CL$7,$CO22,IF($CO22&lt;&gt;"",VLOOKUP(CO22,search_localizedstrings,language_relatedorder,FALSE),""))</f>
        <v/>
      </c>
      <c r="CQ22" s="24" t="str">
        <f ca="1">IF($CO22&lt;&gt;"",COUNTIFS('Human Resources'!$B:$B,"&gt;="&amp;$CM22,'Human Resources'!$B:$B,"&lt;="&amp;$CN22),"")</f>
        <v/>
      </c>
      <c r="CR22" s="17" t="str">
        <f ca="1">IF($CO22&lt;&gt;"",SUMIFS('Human Resources'!$C:$C,'Human Resources'!$B:$B,"&gt;="&amp;$CM22,'Human Resources'!$B:$B,"&lt;="&amp;$CN22),"")</f>
        <v/>
      </c>
      <c r="CS22" s="17" t="str">
        <f ca="1">IF($CO22&lt;&gt;"",SUMIFS('Human Resources'!$D:$D,'Human Resources'!$B:$B,"&gt;="&amp;$CM22,'Human Resources'!$B:$B,"&lt;="&amp;$CN22),"")</f>
        <v/>
      </c>
      <c r="CT22" s="17" t="str">
        <f ca="1">IF($CO22&lt;&gt;"",SUMIFS('Human Resources'!$E:$E,'Human Resources'!$B:$B,"&gt;="&amp;$CM22,'Human Resources'!$B:$B,"&lt;="&amp;$CN22),"")</f>
        <v/>
      </c>
      <c r="CU22" s="17" t="str">
        <f t="shared" ca="1" si="5"/>
        <v/>
      </c>
      <c r="CV22" s="19" t="str">
        <f ca="1">IF($CO22&lt;&gt;"",IF(ISERROR((SUMIFS('Human Resources'!$G:$G,'Human Resources'!$B:$B,"&gt;="&amp;$CM22,'Human Resources'!$B:$B,"&lt;="&amp;$CN22)/$CQ22)),0,(SUMIFS('Human Resources'!$G:$G,'Human Resources'!$B:$B,"&gt;="&amp;$CM22,'Human Resources'!$B:$B,"&lt;="&amp;$CN22)/$CQ22)),"")</f>
        <v/>
      </c>
      <c r="CW22" s="19" t="str">
        <f ca="1">IF($CO22&lt;&gt;"",IF(ISERROR((SUMIFS('Human Resources'!$H:$H,'Human Resources'!$B:$B,"&gt;="&amp;$CM22,'Human Resources'!$B:$B,"&lt;="&amp;$CN22)/$CQ22)),0,(SUMIFS('Human Resources'!$H:$H,'Human Resources'!$B:$B,"&gt;="&amp;$CM22,'Human Resources'!$B:$B,"&lt;="&amp;$CN22)/$CQ22)),"")</f>
        <v/>
      </c>
      <c r="CY22" s="25" t="s">
        <v>209</v>
      </c>
      <c r="CZ22" s="66">
        <f ca="1">-COS(PI()*CZ19/CZ17)</f>
        <v>-0.48999115164423657</v>
      </c>
      <c r="DA22" s="66">
        <f ca="1">SIN(PI()*CZ19/CZ17)</f>
        <v>0.87172740653850889</v>
      </c>
      <c r="DC22" s="25" t="s">
        <v>208</v>
      </c>
      <c r="DD22" s="25" t="s">
        <v>210</v>
      </c>
      <c r="DE22" s="25" t="s">
        <v>211</v>
      </c>
    </row>
    <row r="23" spans="2:109" ht="15" customHeight="1" x14ac:dyDescent="0.25">
      <c r="AD23" s="86">
        <f>CZ4</f>
        <v>149000</v>
      </c>
      <c r="AE23" s="86"/>
      <c r="AF23" s="86"/>
      <c r="AG23" s="86"/>
      <c r="AH23" s="86"/>
      <c r="AI23" s="86">
        <f>CY4</f>
        <v>20000</v>
      </c>
      <c r="AJ23" s="86"/>
      <c r="AK23" s="86"/>
      <c r="AL23" s="86"/>
      <c r="AM23" s="86"/>
      <c r="AO23" s="86">
        <f>DC4</f>
        <v>7890</v>
      </c>
      <c r="AP23" s="86"/>
      <c r="AQ23" s="86"/>
      <c r="AR23" s="86"/>
      <c r="AS23" s="86"/>
      <c r="AT23" s="86">
        <f>DB4</f>
        <v>60</v>
      </c>
      <c r="AU23" s="86"/>
      <c r="AV23" s="86"/>
      <c r="AW23" s="86"/>
      <c r="AX23" s="86"/>
      <c r="AY23" s="52"/>
      <c r="CL23" s="24" t="str">
        <f t="shared" ca="1" si="8"/>
        <v/>
      </c>
      <c r="CM23" s="28" t="str">
        <f t="shared" ca="1" si="2"/>
        <v/>
      </c>
      <c r="CN23" s="27" t="str">
        <f t="shared" ca="1" si="3"/>
        <v/>
      </c>
      <c r="CO23" s="24" t="str">
        <f t="shared" ca="1" si="4"/>
        <v/>
      </c>
      <c r="CP23" s="24" t="str">
        <f ca="1">IF($CN$4=$CL$7,$CO23,IF($CO23&lt;&gt;"",VLOOKUP(CO23,search_localizedstrings,language_relatedorder,FALSE),""))</f>
        <v/>
      </c>
      <c r="CQ23" s="24" t="str">
        <f ca="1">IF($CO23&lt;&gt;"",COUNTIFS('Human Resources'!$B:$B,"&gt;="&amp;$CM23,'Human Resources'!$B:$B,"&lt;="&amp;$CN23),"")</f>
        <v/>
      </c>
      <c r="CR23" s="17" t="str">
        <f ca="1">IF($CO23&lt;&gt;"",SUMIFS('Human Resources'!$C:$C,'Human Resources'!$B:$B,"&gt;="&amp;$CM23,'Human Resources'!$B:$B,"&lt;="&amp;$CN23),"")</f>
        <v/>
      </c>
      <c r="CS23" s="17" t="str">
        <f ca="1">IF($CO23&lt;&gt;"",SUMIFS('Human Resources'!$D:$D,'Human Resources'!$B:$B,"&gt;="&amp;$CM23,'Human Resources'!$B:$B,"&lt;="&amp;$CN23),"")</f>
        <v/>
      </c>
      <c r="CT23" s="17" t="str">
        <f ca="1">IF($CO23&lt;&gt;"",SUMIFS('Human Resources'!$E:$E,'Human Resources'!$B:$B,"&gt;="&amp;$CM23,'Human Resources'!$B:$B,"&lt;="&amp;$CN23),"")</f>
        <v/>
      </c>
      <c r="CU23" s="17" t="str">
        <f t="shared" ca="1" si="5"/>
        <v/>
      </c>
      <c r="CV23" s="19" t="str">
        <f ca="1">IF($CO23&lt;&gt;"",IF(ISERROR((SUMIFS('Human Resources'!$G:$G,'Human Resources'!$B:$B,"&gt;="&amp;$CM23,'Human Resources'!$B:$B,"&lt;="&amp;$CN23)/$CQ23)),0,(SUMIFS('Human Resources'!$G:$G,'Human Resources'!$B:$B,"&gt;="&amp;$CM23,'Human Resources'!$B:$B,"&lt;="&amp;$CN23)/$CQ23)),"")</f>
        <v/>
      </c>
      <c r="CW23" s="19" t="str">
        <f ca="1">IF($CO23&lt;&gt;"",IF(ISERROR((SUMIFS('Human Resources'!$H:$H,'Human Resources'!$B:$B,"&gt;="&amp;$CM23,'Human Resources'!$B:$B,"&lt;="&amp;$CN23)/$CQ23)),0,(SUMIFS('Human Resources'!$H:$H,'Human Resources'!$B:$B,"&gt;="&amp;$CM23,'Human Resources'!$B:$B,"&lt;="&amp;$CN23)/$CQ23)),"")</f>
        <v/>
      </c>
      <c r="DC23" s="25" t="s">
        <v>202</v>
      </c>
      <c r="DD23" s="24">
        <v>0</v>
      </c>
      <c r="DE23" s="24">
        <v>0</v>
      </c>
    </row>
    <row r="24" spans="2:109" ht="15" customHeight="1" x14ac:dyDescent="0.25">
      <c r="B24" s="93" t="str">
        <f ca="1">VLOOKUP(Extras!H26,search_localizedstrings,language_relatedorder,FALSE)</f>
        <v>Average Performance</v>
      </c>
      <c r="C24" s="93"/>
      <c r="D24" s="93"/>
      <c r="E24" s="93"/>
      <c r="F24" s="93"/>
      <c r="G24" s="93"/>
      <c r="Z24" s="11"/>
      <c r="AA24" s="11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52"/>
      <c r="CL24" s="24" t="str">
        <f t="shared" ca="1" si="8"/>
        <v/>
      </c>
      <c r="CM24" s="28" t="str">
        <f t="shared" ca="1" si="2"/>
        <v/>
      </c>
      <c r="CN24" s="27" t="str">
        <f t="shared" ca="1" si="3"/>
        <v/>
      </c>
      <c r="CO24" s="24" t="str">
        <f t="shared" ca="1" si="4"/>
        <v/>
      </c>
      <c r="CP24" s="24" t="str">
        <f ca="1">IF($CN$4=$CL$7,$CO24,IF($CO24&lt;&gt;"",VLOOKUP(CO24,search_localizedstrings,language_relatedorder,FALSE),""))</f>
        <v/>
      </c>
      <c r="CQ24" s="24" t="str">
        <f ca="1">IF($CO24&lt;&gt;"",COUNTIFS('Human Resources'!$B:$B,"&gt;="&amp;$CM24,'Human Resources'!$B:$B,"&lt;="&amp;$CN24),"")</f>
        <v/>
      </c>
      <c r="CR24" s="17" t="str">
        <f ca="1">IF($CO24&lt;&gt;"",SUMIFS('Human Resources'!$C:$C,'Human Resources'!$B:$B,"&gt;="&amp;$CM24,'Human Resources'!$B:$B,"&lt;="&amp;$CN24),"")</f>
        <v/>
      </c>
      <c r="CS24" s="17" t="str">
        <f ca="1">IF($CO24&lt;&gt;"",SUMIFS('Human Resources'!$D:$D,'Human Resources'!$B:$B,"&gt;="&amp;$CM24,'Human Resources'!$B:$B,"&lt;="&amp;$CN24),"")</f>
        <v/>
      </c>
      <c r="CT24" s="17" t="str">
        <f ca="1">IF($CO24&lt;&gt;"",SUMIFS('Human Resources'!$E:$E,'Human Resources'!$B:$B,"&gt;="&amp;$CM24,'Human Resources'!$B:$B,"&lt;="&amp;$CN24),"")</f>
        <v/>
      </c>
      <c r="CU24" s="17" t="str">
        <f t="shared" ca="1" si="5"/>
        <v/>
      </c>
      <c r="CV24" s="19" t="str">
        <f ca="1">IF($CO24&lt;&gt;"",IF(ISERROR((SUMIFS('Human Resources'!$G:$G,'Human Resources'!$B:$B,"&gt;="&amp;$CM24,'Human Resources'!$B:$B,"&lt;="&amp;$CN24)/$CQ24)),0,(SUMIFS('Human Resources'!$G:$G,'Human Resources'!$B:$B,"&gt;="&amp;$CM24,'Human Resources'!$B:$B,"&lt;="&amp;$CN24)/$CQ24)),"")</f>
        <v/>
      </c>
      <c r="CW24" s="19" t="str">
        <f ca="1">IF($CO24&lt;&gt;"",IF(ISERROR((SUMIFS('Human Resources'!$H:$H,'Human Resources'!$B:$B,"&gt;="&amp;$CM24,'Human Resources'!$B:$B,"&lt;="&amp;$CN24)/$CQ24)),0,(SUMIFS('Human Resources'!$H:$H,'Human Resources'!$B:$B,"&gt;="&amp;$CM24,'Human Resources'!$B:$B,"&lt;="&amp;$CN24)/$CQ24)),"")</f>
        <v/>
      </c>
      <c r="DC24" s="25" t="s">
        <v>209</v>
      </c>
      <c r="DD24" s="66">
        <f ca="1">-COS(PI()*DD21/DD19)</f>
        <v>-0.58013445439184952</v>
      </c>
      <c r="DE24" s="66">
        <f ca="1">SIN(PI()*DD21/DD19)</f>
        <v>0.81452072707050927</v>
      </c>
    </row>
    <row r="25" spans="2:109" ht="15" customHeight="1" x14ac:dyDescent="0.25">
      <c r="AC25" s="52"/>
      <c r="AD25" s="87" t="str">
        <f ca="1">VLOOKUP(Extras!H19,search_localizedstrings,language_relatedorder,FALSE)</f>
        <v>Greatest Paid Salary</v>
      </c>
      <c r="AE25" s="87"/>
      <c r="AF25" s="87"/>
      <c r="AG25" s="87"/>
      <c r="AH25" s="87"/>
      <c r="AI25" s="87" t="str">
        <f ca="1">VLOOKUP(Extras!H20,search_localizedstrings,language_relatedorder,FALSE)</f>
        <v>Lowest Paid Salary</v>
      </c>
      <c r="AJ25" s="87"/>
      <c r="AK25" s="87"/>
      <c r="AL25" s="87"/>
      <c r="AM25" s="87"/>
      <c r="AN25" s="69"/>
      <c r="AO25" s="87" t="str">
        <f ca="1">VLOOKUP(Extras!H23,search_localizedstrings,language_relatedorder,FALSE)</f>
        <v>Greatest Paid Overtime</v>
      </c>
      <c r="AP25" s="87"/>
      <c r="AQ25" s="87"/>
      <c r="AR25" s="87"/>
      <c r="AS25" s="87"/>
      <c r="AT25" s="87" t="str">
        <f ca="1">VLOOKUP(Extras!H24,search_localizedstrings,language_relatedorder,FALSE)</f>
        <v>Lowest Paid Overtime</v>
      </c>
      <c r="AU25" s="87"/>
      <c r="AV25" s="87"/>
      <c r="AW25" s="87"/>
      <c r="AX25" s="87"/>
      <c r="AY25" s="52"/>
      <c r="CL25" s="24" t="str">
        <f t="shared" ca="1" si="8"/>
        <v/>
      </c>
      <c r="CM25" s="28" t="str">
        <f t="shared" ca="1" si="2"/>
        <v/>
      </c>
      <c r="CN25" s="27" t="str">
        <f t="shared" ca="1" si="3"/>
        <v/>
      </c>
      <c r="CO25" s="24" t="str">
        <f t="shared" ca="1" si="4"/>
        <v/>
      </c>
      <c r="CP25" s="24" t="str">
        <f ca="1">IF($CN$4=$CL$7,$CO25,IF($CO25&lt;&gt;"",VLOOKUP(CO25,search_localizedstrings,language_relatedorder,FALSE),""))</f>
        <v/>
      </c>
      <c r="CQ25" s="24" t="str">
        <f ca="1">IF($CO25&lt;&gt;"",COUNTIFS('Human Resources'!$B:$B,"&gt;="&amp;$CM25,'Human Resources'!$B:$B,"&lt;="&amp;$CN25),"")</f>
        <v/>
      </c>
      <c r="CR25" s="17" t="str">
        <f ca="1">IF($CO25&lt;&gt;"",SUMIFS('Human Resources'!$C:$C,'Human Resources'!$B:$B,"&gt;="&amp;$CM25,'Human Resources'!$B:$B,"&lt;="&amp;$CN25),"")</f>
        <v/>
      </c>
      <c r="CS25" s="17" t="str">
        <f ca="1">IF($CO25&lt;&gt;"",SUMIFS('Human Resources'!$D:$D,'Human Resources'!$B:$B,"&gt;="&amp;$CM25,'Human Resources'!$B:$B,"&lt;="&amp;$CN25),"")</f>
        <v/>
      </c>
      <c r="CT25" s="17" t="str">
        <f ca="1">IF($CO25&lt;&gt;"",SUMIFS('Human Resources'!$E:$E,'Human Resources'!$B:$B,"&gt;="&amp;$CM25,'Human Resources'!$B:$B,"&lt;="&amp;$CN25),"")</f>
        <v/>
      </c>
      <c r="CU25" s="17" t="str">
        <f t="shared" ca="1" si="5"/>
        <v/>
      </c>
      <c r="CV25" s="19" t="str">
        <f ca="1">IF($CO25&lt;&gt;"",IF(ISERROR((SUMIFS('Human Resources'!$G:$G,'Human Resources'!$B:$B,"&gt;="&amp;$CM25,'Human Resources'!$B:$B,"&lt;="&amp;$CN25)/$CQ25)),0,(SUMIFS('Human Resources'!$G:$G,'Human Resources'!$B:$B,"&gt;="&amp;$CM25,'Human Resources'!$B:$B,"&lt;="&amp;$CN25)/$CQ25)),"")</f>
        <v/>
      </c>
      <c r="CW25" s="19" t="str">
        <f ca="1">IF($CO25&lt;&gt;"",IF(ISERROR((SUMIFS('Human Resources'!$H:$H,'Human Resources'!$B:$B,"&gt;="&amp;$CM25,'Human Resources'!$B:$B,"&lt;="&amp;$CN25)/$CQ25)),0,(SUMIFS('Human Resources'!$H:$H,'Human Resources'!$B:$B,"&gt;="&amp;$CM25,'Human Resources'!$B:$B,"&lt;="&amp;$CN25)/$CQ25)),"")</f>
        <v/>
      </c>
    </row>
    <row r="26" spans="2:109" x14ac:dyDescent="0.25">
      <c r="B26" s="60"/>
      <c r="C26" s="60"/>
      <c r="D26" s="60"/>
      <c r="E26" s="60"/>
      <c r="F26" s="60"/>
      <c r="G26" s="60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C26" s="68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70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68"/>
      <c r="CL26" s="24" t="str">
        <f t="shared" ca="1" si="8"/>
        <v/>
      </c>
      <c r="CM26" s="28" t="str">
        <f t="shared" ca="1" si="2"/>
        <v/>
      </c>
      <c r="CN26" s="27" t="str">
        <f t="shared" ca="1" si="3"/>
        <v/>
      </c>
      <c r="CO26" s="24" t="str">
        <f t="shared" ca="1" si="4"/>
        <v/>
      </c>
      <c r="CP26" s="24" t="str">
        <f ca="1">IF($CN$4=$CL$7,$CO26,IF($CO26&lt;&gt;"",VLOOKUP(CO26,search_localizedstrings,language_relatedorder,FALSE),""))</f>
        <v/>
      </c>
      <c r="CQ26" s="24" t="str">
        <f ca="1">IF($CO26&lt;&gt;"",COUNTIFS('Human Resources'!$B:$B,"&gt;="&amp;$CM26,'Human Resources'!$B:$B,"&lt;="&amp;$CN26),"")</f>
        <v/>
      </c>
      <c r="CR26" s="17" t="str">
        <f ca="1">IF($CO26&lt;&gt;"",SUMIFS('Human Resources'!$C:$C,'Human Resources'!$B:$B,"&gt;="&amp;$CM26,'Human Resources'!$B:$B,"&lt;="&amp;$CN26),"")</f>
        <v/>
      </c>
      <c r="CS26" s="17" t="str">
        <f ca="1">IF($CO26&lt;&gt;"",SUMIFS('Human Resources'!$D:$D,'Human Resources'!$B:$B,"&gt;="&amp;$CM26,'Human Resources'!$B:$B,"&lt;="&amp;$CN26),"")</f>
        <v/>
      </c>
      <c r="CT26" s="17" t="str">
        <f ca="1">IF($CO26&lt;&gt;"",SUMIFS('Human Resources'!$E:$E,'Human Resources'!$B:$B,"&gt;="&amp;$CM26,'Human Resources'!$B:$B,"&lt;="&amp;$CN26),"")</f>
        <v/>
      </c>
      <c r="CU26" s="17" t="str">
        <f t="shared" ca="1" si="5"/>
        <v/>
      </c>
      <c r="CV26" s="19" t="str">
        <f ca="1">IF($CO26&lt;&gt;"",IF(ISERROR((SUMIFS('Human Resources'!$G:$G,'Human Resources'!$B:$B,"&gt;="&amp;$CM26,'Human Resources'!$B:$B,"&lt;="&amp;$CN26)/$CQ26)),0,(SUMIFS('Human Resources'!$G:$G,'Human Resources'!$B:$B,"&gt;="&amp;$CM26,'Human Resources'!$B:$B,"&lt;="&amp;$CN26)/$CQ26)),"")</f>
        <v/>
      </c>
      <c r="CW26" s="19" t="str">
        <f ca="1">IF($CO26&lt;&gt;"",IF(ISERROR((SUMIFS('Human Resources'!$H:$H,'Human Resources'!$B:$B,"&gt;="&amp;$CM26,'Human Resources'!$B:$B,"&lt;="&amp;$CN26)/$CQ26)),0,(SUMIFS('Human Resources'!$H:$H,'Human Resources'!$B:$B,"&gt;="&amp;$CM26,'Human Resources'!$B:$B,"&lt;="&amp;$CN26)/$CQ26)),"")</f>
        <v/>
      </c>
    </row>
    <row r="27" spans="2:109" x14ac:dyDescent="0.25">
      <c r="CL27" s="24" t="str">
        <f t="shared" ca="1" si="8"/>
        <v/>
      </c>
      <c r="CM27" s="28" t="str">
        <f t="shared" ca="1" si="2"/>
        <v/>
      </c>
      <c r="CN27" s="27" t="str">
        <f t="shared" ca="1" si="3"/>
        <v/>
      </c>
      <c r="CO27" s="24" t="str">
        <f t="shared" ca="1" si="4"/>
        <v/>
      </c>
      <c r="CP27" s="24" t="str">
        <f ca="1">IF($CN$4=$CL$7,$CO27,IF($CO27&lt;&gt;"",VLOOKUP(CO27,search_localizedstrings,language_relatedorder,FALSE),""))</f>
        <v/>
      </c>
      <c r="CQ27" s="24" t="str">
        <f ca="1">IF($CO27&lt;&gt;"",COUNTIFS('Human Resources'!$B:$B,"&gt;="&amp;$CM27,'Human Resources'!$B:$B,"&lt;="&amp;$CN27),"")</f>
        <v/>
      </c>
      <c r="CR27" s="17" t="str">
        <f ca="1">IF($CO27&lt;&gt;"",SUMIFS('Human Resources'!$C:$C,'Human Resources'!$B:$B,"&gt;="&amp;$CM27,'Human Resources'!$B:$B,"&lt;="&amp;$CN27),"")</f>
        <v/>
      </c>
      <c r="CS27" s="17" t="str">
        <f ca="1">IF($CO27&lt;&gt;"",SUMIFS('Human Resources'!$D:$D,'Human Resources'!$B:$B,"&gt;="&amp;$CM27,'Human Resources'!$B:$B,"&lt;="&amp;$CN27),"")</f>
        <v/>
      </c>
      <c r="CT27" s="17" t="str">
        <f ca="1">IF($CO27&lt;&gt;"",SUMIFS('Human Resources'!$E:$E,'Human Resources'!$B:$B,"&gt;="&amp;$CM27,'Human Resources'!$B:$B,"&lt;="&amp;$CN27),"")</f>
        <v/>
      </c>
      <c r="CU27" s="17" t="str">
        <f t="shared" ca="1" si="5"/>
        <v/>
      </c>
      <c r="CV27" s="19" t="str">
        <f ca="1">IF($CO27&lt;&gt;"",IF(ISERROR((SUMIFS('Human Resources'!$G:$G,'Human Resources'!$B:$B,"&gt;="&amp;$CM27,'Human Resources'!$B:$B,"&lt;="&amp;$CN27)/$CQ27)),0,(SUMIFS('Human Resources'!$G:$G,'Human Resources'!$B:$B,"&gt;="&amp;$CM27,'Human Resources'!$B:$B,"&lt;="&amp;$CN27)/$CQ27)),"")</f>
        <v/>
      </c>
      <c r="CW27" s="19" t="str">
        <f ca="1">IF($CO27&lt;&gt;"",IF(ISERROR((SUMIFS('Human Resources'!$H:$H,'Human Resources'!$B:$B,"&gt;="&amp;$CM27,'Human Resources'!$B:$B,"&lt;="&amp;$CN27)/$CQ27)),0,(SUMIFS('Human Resources'!$H:$H,'Human Resources'!$B:$B,"&gt;="&amp;$CM27,'Human Resources'!$B:$B,"&lt;="&amp;$CN27)/$CQ27)),"")</f>
        <v/>
      </c>
    </row>
    <row r="28" spans="2:109" ht="15.75" thickBot="1" x14ac:dyDescent="0.3"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CL28" s="24" t="str">
        <f t="shared" ca="1" si="8"/>
        <v/>
      </c>
      <c r="CM28" s="28" t="str">
        <f t="shared" ca="1" si="2"/>
        <v/>
      </c>
      <c r="CN28" s="27" t="str">
        <f t="shared" ca="1" si="3"/>
        <v/>
      </c>
      <c r="CO28" s="24" t="str">
        <f t="shared" ca="1" si="4"/>
        <v/>
      </c>
      <c r="CP28" s="24" t="str">
        <f ca="1">IF($CN$4=$CL$7,$CO28,IF($CO28&lt;&gt;"",VLOOKUP(CO28,search_localizedstrings,language_relatedorder,FALSE),""))</f>
        <v/>
      </c>
      <c r="CQ28" s="24" t="str">
        <f ca="1">IF($CO28&lt;&gt;"",COUNTIFS('Human Resources'!$B:$B,"&gt;="&amp;$CM28,'Human Resources'!$B:$B,"&lt;="&amp;$CN28),"")</f>
        <v/>
      </c>
      <c r="CR28" s="17" t="str">
        <f ca="1">IF($CO28&lt;&gt;"",SUMIFS('Human Resources'!$C:$C,'Human Resources'!$B:$B,"&gt;="&amp;$CM28,'Human Resources'!$B:$B,"&lt;="&amp;$CN28),"")</f>
        <v/>
      </c>
      <c r="CS28" s="17" t="str">
        <f ca="1">IF($CO28&lt;&gt;"",SUMIFS('Human Resources'!$D:$D,'Human Resources'!$B:$B,"&gt;="&amp;$CM28,'Human Resources'!$B:$B,"&lt;="&amp;$CN28),"")</f>
        <v/>
      </c>
      <c r="CT28" s="17" t="str">
        <f ca="1">IF($CO28&lt;&gt;"",SUMIFS('Human Resources'!$E:$E,'Human Resources'!$B:$B,"&gt;="&amp;$CM28,'Human Resources'!$B:$B,"&lt;="&amp;$CN28),"")</f>
        <v/>
      </c>
      <c r="CU28" s="17" t="str">
        <f t="shared" ca="1" si="5"/>
        <v/>
      </c>
      <c r="CV28" s="19" t="str">
        <f ca="1">IF($CO28&lt;&gt;"",IF(ISERROR((SUMIFS('Human Resources'!$G:$G,'Human Resources'!$B:$B,"&gt;="&amp;$CM28,'Human Resources'!$B:$B,"&lt;="&amp;$CN28)/$CQ28)),0,(SUMIFS('Human Resources'!$G:$G,'Human Resources'!$B:$B,"&gt;="&amp;$CM28,'Human Resources'!$B:$B,"&lt;="&amp;$CN28)/$CQ28)),"")</f>
        <v/>
      </c>
      <c r="CW28" s="19" t="str">
        <f ca="1">IF($CO28&lt;&gt;"",IF(ISERROR((SUMIFS('Human Resources'!$H:$H,'Human Resources'!$B:$B,"&gt;="&amp;$CM28,'Human Resources'!$B:$B,"&lt;="&amp;$CN28)/$CQ28)),0,(SUMIFS('Human Resources'!$H:$H,'Human Resources'!$B:$B,"&gt;="&amp;$CM28,'Human Resources'!$B:$B,"&lt;="&amp;$CN28)/$CQ28)),"")</f>
        <v/>
      </c>
    </row>
    <row r="29" spans="2:109" x14ac:dyDescent="0.25">
      <c r="Y29" s="71" t="s">
        <v>130</v>
      </c>
      <c r="Z29" s="72"/>
      <c r="CL29" s="24" t="str">
        <f t="shared" ca="1" si="8"/>
        <v/>
      </c>
      <c r="CM29" s="28" t="str">
        <f t="shared" ca="1" si="2"/>
        <v/>
      </c>
      <c r="CN29" s="27" t="str">
        <f t="shared" ca="1" si="3"/>
        <v/>
      </c>
      <c r="CO29" s="24" t="str">
        <f t="shared" ca="1" si="4"/>
        <v/>
      </c>
      <c r="CP29" s="24" t="str">
        <f ca="1">IF($CN$4=$CL$7,$CO29,IF($CO29&lt;&gt;"",VLOOKUP(CO29,search_localizedstrings,language_relatedorder,FALSE),""))</f>
        <v/>
      </c>
      <c r="CQ29" s="24" t="str">
        <f ca="1">IF($CO29&lt;&gt;"",COUNTIFS('Human Resources'!$B:$B,"&gt;="&amp;$CM29,'Human Resources'!$B:$B,"&lt;="&amp;$CN29),"")</f>
        <v/>
      </c>
      <c r="CR29" s="17" t="str">
        <f ca="1">IF($CO29&lt;&gt;"",SUMIFS('Human Resources'!$C:$C,'Human Resources'!$B:$B,"&gt;="&amp;$CM29,'Human Resources'!$B:$B,"&lt;="&amp;$CN29),"")</f>
        <v/>
      </c>
      <c r="CS29" s="17" t="str">
        <f ca="1">IF($CO29&lt;&gt;"",SUMIFS('Human Resources'!$D:$D,'Human Resources'!$B:$B,"&gt;="&amp;$CM29,'Human Resources'!$B:$B,"&lt;="&amp;$CN29),"")</f>
        <v/>
      </c>
      <c r="CT29" s="17" t="str">
        <f ca="1">IF($CO29&lt;&gt;"",SUMIFS('Human Resources'!$E:$E,'Human Resources'!$B:$B,"&gt;="&amp;$CM29,'Human Resources'!$B:$B,"&lt;="&amp;$CN29),"")</f>
        <v/>
      </c>
      <c r="CU29" s="17" t="str">
        <f t="shared" ca="1" si="5"/>
        <v/>
      </c>
      <c r="CV29" s="19" t="str">
        <f ca="1">IF($CO29&lt;&gt;"",IF(ISERROR((SUMIFS('Human Resources'!$G:$G,'Human Resources'!$B:$B,"&gt;="&amp;$CM29,'Human Resources'!$B:$B,"&lt;="&amp;$CN29)/$CQ29)),0,(SUMIFS('Human Resources'!$G:$G,'Human Resources'!$B:$B,"&gt;="&amp;$CM29,'Human Resources'!$B:$B,"&lt;="&amp;$CN29)/$CQ29)),"")</f>
        <v/>
      </c>
      <c r="CW29" s="19" t="str">
        <f ca="1">IF($CO29&lt;&gt;"",IF(ISERROR((SUMIFS('Human Resources'!$H:$H,'Human Resources'!$B:$B,"&gt;="&amp;$CM29,'Human Resources'!$B:$B,"&lt;="&amp;$CN29)/$CQ29)),0,(SUMIFS('Human Resources'!$H:$H,'Human Resources'!$B:$B,"&gt;="&amp;$CM29,'Human Resources'!$B:$B,"&lt;="&amp;$CN29)/$CQ29)),"")</f>
        <v/>
      </c>
    </row>
    <row r="30" spans="2:109" x14ac:dyDescent="0.25">
      <c r="CL30" s="24" t="str">
        <f t="shared" ca="1" si="8"/>
        <v/>
      </c>
      <c r="CM30" s="28" t="str">
        <f t="shared" ca="1" si="2"/>
        <v/>
      </c>
      <c r="CN30" s="27" t="str">
        <f t="shared" ca="1" si="3"/>
        <v/>
      </c>
      <c r="CO30" s="24" t="str">
        <f t="shared" ca="1" si="4"/>
        <v/>
      </c>
      <c r="CP30" s="24" t="str">
        <f ca="1">IF($CN$4=$CL$7,$CO30,IF($CO30&lt;&gt;"",VLOOKUP(CO30,search_localizedstrings,language_relatedorder,FALSE),""))</f>
        <v/>
      </c>
      <c r="CQ30" s="24" t="str">
        <f ca="1">IF($CO30&lt;&gt;"",COUNTIFS('Human Resources'!$B:$B,"&gt;="&amp;$CM30,'Human Resources'!$B:$B,"&lt;="&amp;$CN30),"")</f>
        <v/>
      </c>
      <c r="CR30" s="17" t="str">
        <f ca="1">IF($CO30&lt;&gt;"",SUMIFS('Human Resources'!$C:$C,'Human Resources'!$B:$B,"&gt;="&amp;$CM30,'Human Resources'!$B:$B,"&lt;="&amp;$CN30),"")</f>
        <v/>
      </c>
      <c r="CS30" s="17" t="str">
        <f ca="1">IF($CO30&lt;&gt;"",SUMIFS('Human Resources'!$D:$D,'Human Resources'!$B:$B,"&gt;="&amp;$CM30,'Human Resources'!$B:$B,"&lt;="&amp;$CN30),"")</f>
        <v/>
      </c>
      <c r="CT30" s="17" t="str">
        <f ca="1">IF($CO30&lt;&gt;"",SUMIFS('Human Resources'!$E:$E,'Human Resources'!$B:$B,"&gt;="&amp;$CM30,'Human Resources'!$B:$B,"&lt;="&amp;$CN30),"")</f>
        <v/>
      </c>
      <c r="CU30" s="17" t="str">
        <f t="shared" ca="1" si="5"/>
        <v/>
      </c>
      <c r="CV30" s="19" t="str">
        <f ca="1">IF($CO30&lt;&gt;"",IF(ISERROR((SUMIFS('Human Resources'!$G:$G,'Human Resources'!$B:$B,"&gt;="&amp;$CM30,'Human Resources'!$B:$B,"&lt;="&amp;$CN30)/$CQ30)),0,(SUMIFS('Human Resources'!$G:$G,'Human Resources'!$B:$B,"&gt;="&amp;$CM30,'Human Resources'!$B:$B,"&lt;="&amp;$CN30)/$CQ30)),"")</f>
        <v/>
      </c>
      <c r="CW30" s="19" t="str">
        <f ca="1">IF($CO30&lt;&gt;"",IF(ISERROR((SUMIFS('Human Resources'!$H:$H,'Human Resources'!$B:$B,"&gt;="&amp;$CM30,'Human Resources'!$B:$B,"&lt;="&amp;$CN30)/$CQ30)),0,(SUMIFS('Human Resources'!$H:$H,'Human Resources'!$B:$B,"&gt;="&amp;$CM30,'Human Resources'!$B:$B,"&lt;="&amp;$CN30)/$CQ30)),"")</f>
        <v/>
      </c>
    </row>
    <row r="31" spans="2:109" x14ac:dyDescent="0.25">
      <c r="CL31" s="24" t="str">
        <f t="shared" ca="1" si="8"/>
        <v/>
      </c>
      <c r="CM31" s="28" t="str">
        <f t="shared" ca="1" si="2"/>
        <v/>
      </c>
      <c r="CN31" s="27" t="str">
        <f t="shared" ca="1" si="3"/>
        <v/>
      </c>
      <c r="CO31" s="24" t="str">
        <f t="shared" ca="1" si="4"/>
        <v/>
      </c>
      <c r="CP31" s="24" t="str">
        <f ca="1">IF($CN$4=$CL$7,$CO31,IF($CO31&lt;&gt;"",VLOOKUP(CO31,search_localizedstrings,language_relatedorder,FALSE),""))</f>
        <v/>
      </c>
      <c r="CQ31" s="24" t="str">
        <f ca="1">IF($CO31&lt;&gt;"",COUNTIFS('Human Resources'!$B:$B,"&gt;="&amp;$CM31,'Human Resources'!$B:$B,"&lt;="&amp;$CN31),"")</f>
        <v/>
      </c>
      <c r="CR31" s="17" t="str">
        <f ca="1">IF($CO31&lt;&gt;"",SUMIFS('Human Resources'!$C:$C,'Human Resources'!$B:$B,"&gt;="&amp;$CM31,'Human Resources'!$B:$B,"&lt;="&amp;$CN31),"")</f>
        <v/>
      </c>
      <c r="CS31" s="17" t="str">
        <f ca="1">IF($CO31&lt;&gt;"",SUMIFS('Human Resources'!$D:$D,'Human Resources'!$B:$B,"&gt;="&amp;$CM31,'Human Resources'!$B:$B,"&lt;="&amp;$CN31),"")</f>
        <v/>
      </c>
      <c r="CT31" s="17" t="str">
        <f ca="1">IF($CO31&lt;&gt;"",SUMIFS('Human Resources'!$E:$E,'Human Resources'!$B:$B,"&gt;="&amp;$CM31,'Human Resources'!$B:$B,"&lt;="&amp;$CN31),"")</f>
        <v/>
      </c>
      <c r="CU31" s="17" t="str">
        <f t="shared" ca="1" si="5"/>
        <v/>
      </c>
      <c r="CV31" s="19" t="str">
        <f ca="1">IF($CO31&lt;&gt;"",IF(ISERROR((SUMIFS('Human Resources'!$G:$G,'Human Resources'!$B:$B,"&gt;="&amp;$CM31,'Human Resources'!$B:$B,"&lt;="&amp;$CN31)/$CQ31)),0,(SUMIFS('Human Resources'!$G:$G,'Human Resources'!$B:$B,"&gt;="&amp;$CM31,'Human Resources'!$B:$B,"&lt;="&amp;$CN31)/$CQ31)),"")</f>
        <v/>
      </c>
      <c r="CW31" s="19" t="str">
        <f ca="1">IF($CO31&lt;&gt;"",IF(ISERROR((SUMIFS('Human Resources'!$H:$H,'Human Resources'!$B:$B,"&gt;="&amp;$CM31,'Human Resources'!$B:$B,"&lt;="&amp;$CN31)/$CQ31)),0,(SUMIFS('Human Resources'!$H:$H,'Human Resources'!$B:$B,"&gt;="&amp;$CM31,'Human Resources'!$B:$B,"&lt;="&amp;$CN31)/$CQ31)),"")</f>
        <v/>
      </c>
    </row>
    <row r="32" spans="2:109" x14ac:dyDescent="0.25">
      <c r="CL32" s="24" t="str">
        <f t="shared" ca="1" si="8"/>
        <v/>
      </c>
      <c r="CM32" s="28" t="str">
        <f t="shared" ca="1" si="2"/>
        <v/>
      </c>
      <c r="CN32" s="27" t="str">
        <f t="shared" ca="1" si="3"/>
        <v/>
      </c>
      <c r="CO32" s="24" t="str">
        <f t="shared" ca="1" si="4"/>
        <v/>
      </c>
      <c r="CP32" s="24" t="str">
        <f ca="1">IF($CN$4=$CL$7,$CO32,IF($CO32&lt;&gt;"",VLOOKUP(CO32,search_localizedstrings,language_relatedorder,FALSE),""))</f>
        <v/>
      </c>
      <c r="CQ32" s="24" t="str">
        <f ca="1">IF($CO32&lt;&gt;"",COUNTIFS('Human Resources'!$B:$B,"&gt;="&amp;$CM32,'Human Resources'!$B:$B,"&lt;="&amp;$CN32),"")</f>
        <v/>
      </c>
      <c r="CR32" s="17" t="str">
        <f ca="1">IF($CO32&lt;&gt;"",SUMIFS('Human Resources'!$C:$C,'Human Resources'!$B:$B,"&gt;="&amp;$CM32,'Human Resources'!$B:$B,"&lt;="&amp;$CN32),"")</f>
        <v/>
      </c>
      <c r="CS32" s="17" t="str">
        <f ca="1">IF($CO32&lt;&gt;"",SUMIFS('Human Resources'!$D:$D,'Human Resources'!$B:$B,"&gt;="&amp;$CM32,'Human Resources'!$B:$B,"&lt;="&amp;$CN32),"")</f>
        <v/>
      </c>
      <c r="CT32" s="17" t="str">
        <f ca="1">IF($CO32&lt;&gt;"",SUMIFS('Human Resources'!$E:$E,'Human Resources'!$B:$B,"&gt;="&amp;$CM32,'Human Resources'!$B:$B,"&lt;="&amp;$CN32),"")</f>
        <v/>
      </c>
      <c r="CU32" s="17" t="str">
        <f t="shared" ca="1" si="5"/>
        <v/>
      </c>
      <c r="CV32" s="19" t="str">
        <f ca="1">IF($CO32&lt;&gt;"",IF(ISERROR((SUMIFS('Human Resources'!$G:$G,'Human Resources'!$B:$B,"&gt;="&amp;$CM32,'Human Resources'!$B:$B,"&lt;="&amp;$CN32)/$CQ32)),0,(SUMIFS('Human Resources'!$G:$G,'Human Resources'!$B:$B,"&gt;="&amp;$CM32,'Human Resources'!$B:$B,"&lt;="&amp;$CN32)/$CQ32)),"")</f>
        <v/>
      </c>
      <c r="CW32" s="19" t="str">
        <f ca="1">IF($CO32&lt;&gt;"",IF(ISERROR((SUMIFS('Human Resources'!$H:$H,'Human Resources'!$B:$B,"&gt;="&amp;$CM32,'Human Resources'!$B:$B,"&lt;="&amp;$CN32)/$CQ32)),0,(SUMIFS('Human Resources'!$H:$H,'Human Resources'!$B:$B,"&gt;="&amp;$CM32,'Human Resources'!$B:$B,"&lt;="&amp;$CN32)/$CQ32)),"")</f>
        <v/>
      </c>
    </row>
    <row r="33" spans="90:101" x14ac:dyDescent="0.25">
      <c r="CL33" s="24" t="str">
        <f t="shared" ca="1" si="8"/>
        <v/>
      </c>
      <c r="CM33" s="28" t="str">
        <f t="shared" ca="1" si="2"/>
        <v/>
      </c>
      <c r="CN33" s="27" t="str">
        <f t="shared" ca="1" si="3"/>
        <v/>
      </c>
      <c r="CO33" s="24" t="str">
        <f t="shared" ca="1" si="4"/>
        <v/>
      </c>
      <c r="CP33" s="24" t="str">
        <f ca="1">IF($CN$4=$CL$7,$CO33,IF($CO33&lt;&gt;"",VLOOKUP(CO33,search_localizedstrings,language_relatedorder,FALSE),""))</f>
        <v/>
      </c>
      <c r="CQ33" s="24" t="str">
        <f ca="1">IF($CO33&lt;&gt;"",COUNTIFS('Human Resources'!$B:$B,"&gt;="&amp;$CM33,'Human Resources'!$B:$B,"&lt;="&amp;$CN33),"")</f>
        <v/>
      </c>
      <c r="CR33" s="17" t="str">
        <f ca="1">IF($CO33&lt;&gt;"",SUMIFS('Human Resources'!$C:$C,'Human Resources'!$B:$B,"&gt;="&amp;$CM33,'Human Resources'!$B:$B,"&lt;="&amp;$CN33),"")</f>
        <v/>
      </c>
      <c r="CS33" s="17" t="str">
        <f ca="1">IF($CO33&lt;&gt;"",SUMIFS('Human Resources'!$D:$D,'Human Resources'!$B:$B,"&gt;="&amp;$CM33,'Human Resources'!$B:$B,"&lt;="&amp;$CN33),"")</f>
        <v/>
      </c>
      <c r="CT33" s="17" t="str">
        <f ca="1">IF($CO33&lt;&gt;"",SUMIFS('Human Resources'!$E:$E,'Human Resources'!$B:$B,"&gt;="&amp;$CM33,'Human Resources'!$B:$B,"&lt;="&amp;$CN33),"")</f>
        <v/>
      </c>
      <c r="CU33" s="17" t="str">
        <f t="shared" ca="1" si="5"/>
        <v/>
      </c>
      <c r="CV33" s="19" t="str">
        <f ca="1">IF($CO33&lt;&gt;"",IF(ISERROR((SUMIFS('Human Resources'!$G:$G,'Human Resources'!$B:$B,"&gt;="&amp;$CM33,'Human Resources'!$B:$B,"&lt;="&amp;$CN33)/$CQ33)),0,(SUMIFS('Human Resources'!$G:$G,'Human Resources'!$B:$B,"&gt;="&amp;$CM33,'Human Resources'!$B:$B,"&lt;="&amp;$CN33)/$CQ33)),"")</f>
        <v/>
      </c>
      <c r="CW33" s="19" t="str">
        <f ca="1">IF($CO33&lt;&gt;"",IF(ISERROR((SUMIFS('Human Resources'!$H:$H,'Human Resources'!$B:$B,"&gt;="&amp;$CM33,'Human Resources'!$B:$B,"&lt;="&amp;$CN33)/$CQ33)),0,(SUMIFS('Human Resources'!$H:$H,'Human Resources'!$B:$B,"&gt;="&amp;$CM33,'Human Resources'!$B:$B,"&lt;="&amp;$CN33)/$CQ33)),"")</f>
        <v/>
      </c>
    </row>
    <row r="34" spans="90:101" x14ac:dyDescent="0.25">
      <c r="CL34" s="24" t="str">
        <f t="shared" ca="1" si="8"/>
        <v/>
      </c>
      <c r="CM34" s="28" t="str">
        <f t="shared" ca="1" si="2"/>
        <v/>
      </c>
      <c r="CN34" s="27" t="str">
        <f t="shared" ca="1" si="3"/>
        <v/>
      </c>
      <c r="CO34" s="24" t="str">
        <f t="shared" ca="1" si="4"/>
        <v/>
      </c>
      <c r="CP34" s="24" t="str">
        <f ca="1">IF($CN$4=$CL$7,$CO34,IF($CO34&lt;&gt;"",VLOOKUP(CO34,search_localizedstrings,language_relatedorder,FALSE),""))</f>
        <v/>
      </c>
      <c r="CQ34" s="24" t="str">
        <f ca="1">IF($CO34&lt;&gt;"",COUNTIFS('Human Resources'!$B:$B,"&gt;="&amp;$CM34,'Human Resources'!$B:$B,"&lt;="&amp;$CN34),"")</f>
        <v/>
      </c>
      <c r="CR34" s="17" t="str">
        <f ca="1">IF($CO34&lt;&gt;"",SUMIFS('Human Resources'!$C:$C,'Human Resources'!$B:$B,"&gt;="&amp;$CM34,'Human Resources'!$B:$B,"&lt;="&amp;$CN34),"")</f>
        <v/>
      </c>
      <c r="CS34" s="17" t="str">
        <f ca="1">IF($CO34&lt;&gt;"",SUMIFS('Human Resources'!$D:$D,'Human Resources'!$B:$B,"&gt;="&amp;$CM34,'Human Resources'!$B:$B,"&lt;="&amp;$CN34),"")</f>
        <v/>
      </c>
      <c r="CT34" s="17" t="str">
        <f ca="1">IF($CO34&lt;&gt;"",SUMIFS('Human Resources'!$E:$E,'Human Resources'!$B:$B,"&gt;="&amp;$CM34,'Human Resources'!$B:$B,"&lt;="&amp;$CN34),"")</f>
        <v/>
      </c>
      <c r="CU34" s="17" t="str">
        <f t="shared" ca="1" si="5"/>
        <v/>
      </c>
      <c r="CV34" s="19" t="str">
        <f ca="1">IF($CO34&lt;&gt;"",IF(ISERROR((SUMIFS('Human Resources'!$G:$G,'Human Resources'!$B:$B,"&gt;="&amp;$CM34,'Human Resources'!$B:$B,"&lt;="&amp;$CN34)/$CQ34)),0,(SUMIFS('Human Resources'!$G:$G,'Human Resources'!$B:$B,"&gt;="&amp;$CM34,'Human Resources'!$B:$B,"&lt;="&amp;$CN34)/$CQ34)),"")</f>
        <v/>
      </c>
      <c r="CW34" s="19" t="str">
        <f ca="1">IF($CO34&lt;&gt;"",IF(ISERROR((SUMIFS('Human Resources'!$H:$H,'Human Resources'!$B:$B,"&gt;="&amp;$CM34,'Human Resources'!$B:$B,"&lt;="&amp;$CN34)/$CQ34)),0,(SUMIFS('Human Resources'!$H:$H,'Human Resources'!$B:$B,"&gt;="&amp;$CM34,'Human Resources'!$B:$B,"&lt;="&amp;$CN34)/$CQ34)),"")</f>
        <v/>
      </c>
    </row>
    <row r="35" spans="90:101" x14ac:dyDescent="0.25">
      <c r="CL35" s="24" t="str">
        <f t="shared" ca="1" si="8"/>
        <v/>
      </c>
      <c r="CM35" s="28" t="str">
        <f t="shared" ca="1" si="2"/>
        <v/>
      </c>
      <c r="CN35" s="27" t="str">
        <f t="shared" ca="1" si="3"/>
        <v/>
      </c>
      <c r="CO35" s="24" t="str">
        <f t="shared" ca="1" si="4"/>
        <v/>
      </c>
      <c r="CP35" s="24" t="str">
        <f ca="1">IF($CN$4=$CL$7,$CO35,IF($CO35&lt;&gt;"",VLOOKUP(CO35,search_localizedstrings,language_relatedorder,FALSE),""))</f>
        <v/>
      </c>
      <c r="CQ35" s="24" t="str">
        <f ca="1">IF($CO35&lt;&gt;"",COUNTIFS('Human Resources'!$B:$B,"&gt;="&amp;$CM35,'Human Resources'!$B:$B,"&lt;="&amp;$CN35),"")</f>
        <v/>
      </c>
      <c r="CR35" s="17" t="str">
        <f ca="1">IF($CO35&lt;&gt;"",SUMIFS('Human Resources'!$C:$C,'Human Resources'!$B:$B,"&gt;="&amp;$CM35,'Human Resources'!$B:$B,"&lt;="&amp;$CN35),"")</f>
        <v/>
      </c>
      <c r="CS35" s="17" t="str">
        <f ca="1">IF($CO35&lt;&gt;"",SUMIFS('Human Resources'!$D:$D,'Human Resources'!$B:$B,"&gt;="&amp;$CM35,'Human Resources'!$B:$B,"&lt;="&amp;$CN35),"")</f>
        <v/>
      </c>
      <c r="CT35" s="17" t="str">
        <f ca="1">IF($CO35&lt;&gt;"",SUMIFS('Human Resources'!$E:$E,'Human Resources'!$B:$B,"&gt;="&amp;$CM35,'Human Resources'!$B:$B,"&lt;="&amp;$CN35),"")</f>
        <v/>
      </c>
      <c r="CU35" s="17" t="str">
        <f t="shared" ca="1" si="5"/>
        <v/>
      </c>
      <c r="CV35" s="19" t="str">
        <f ca="1">IF($CO35&lt;&gt;"",IF(ISERROR((SUMIFS('Human Resources'!$G:$G,'Human Resources'!$B:$B,"&gt;="&amp;$CM35,'Human Resources'!$B:$B,"&lt;="&amp;$CN35)/$CQ35)),0,(SUMIFS('Human Resources'!$G:$G,'Human Resources'!$B:$B,"&gt;="&amp;$CM35,'Human Resources'!$B:$B,"&lt;="&amp;$CN35)/$CQ35)),"")</f>
        <v/>
      </c>
      <c r="CW35" s="19" t="str">
        <f ca="1">IF($CO35&lt;&gt;"",IF(ISERROR((SUMIFS('Human Resources'!$H:$H,'Human Resources'!$B:$B,"&gt;="&amp;$CM35,'Human Resources'!$B:$B,"&lt;="&amp;$CN35)/$CQ35)),0,(SUMIFS('Human Resources'!$H:$H,'Human Resources'!$B:$B,"&gt;="&amp;$CM35,'Human Resources'!$B:$B,"&lt;="&amp;$CN35)/$CQ35)),"")</f>
        <v/>
      </c>
    </row>
    <row r="36" spans="90:101" x14ac:dyDescent="0.25">
      <c r="CL36" s="24" t="str">
        <f t="shared" ca="1" si="8"/>
        <v/>
      </c>
      <c r="CM36" s="28" t="str">
        <f t="shared" ca="1" si="2"/>
        <v/>
      </c>
      <c r="CN36" s="27" t="str">
        <f t="shared" ca="1" si="3"/>
        <v/>
      </c>
      <c r="CO36" s="24" t="str">
        <f t="shared" ca="1" si="4"/>
        <v/>
      </c>
      <c r="CP36" s="24" t="str">
        <f ca="1">IF($CN$4=$CL$7,$CO36,IF($CO36&lt;&gt;"",VLOOKUP(CO36,search_localizedstrings,language_relatedorder,FALSE),""))</f>
        <v/>
      </c>
      <c r="CQ36" s="24" t="str">
        <f ca="1">IF($CO36&lt;&gt;"",COUNTIFS('Human Resources'!$B:$B,"&gt;="&amp;$CM36,'Human Resources'!$B:$B,"&lt;="&amp;$CN36),"")</f>
        <v/>
      </c>
      <c r="CR36" s="17" t="str">
        <f ca="1">IF($CO36&lt;&gt;"",SUMIFS('Human Resources'!$C:$C,'Human Resources'!$B:$B,"&gt;="&amp;$CM36,'Human Resources'!$B:$B,"&lt;="&amp;$CN36),"")</f>
        <v/>
      </c>
      <c r="CS36" s="17" t="str">
        <f ca="1">IF($CO36&lt;&gt;"",SUMIFS('Human Resources'!$D:$D,'Human Resources'!$B:$B,"&gt;="&amp;$CM36,'Human Resources'!$B:$B,"&lt;="&amp;$CN36),"")</f>
        <v/>
      </c>
      <c r="CT36" s="17" t="str">
        <f ca="1">IF($CO36&lt;&gt;"",SUMIFS('Human Resources'!$E:$E,'Human Resources'!$B:$B,"&gt;="&amp;$CM36,'Human Resources'!$B:$B,"&lt;="&amp;$CN36),"")</f>
        <v/>
      </c>
      <c r="CU36" s="17" t="str">
        <f t="shared" ca="1" si="5"/>
        <v/>
      </c>
      <c r="CV36" s="19" t="str">
        <f ca="1">IF($CO36&lt;&gt;"",IF(ISERROR((SUMIFS('Human Resources'!$G:$G,'Human Resources'!$B:$B,"&gt;="&amp;$CM36,'Human Resources'!$B:$B,"&lt;="&amp;$CN36)/$CQ36)),0,(SUMIFS('Human Resources'!$G:$G,'Human Resources'!$B:$B,"&gt;="&amp;$CM36,'Human Resources'!$B:$B,"&lt;="&amp;$CN36)/$CQ36)),"")</f>
        <v/>
      </c>
      <c r="CW36" s="19" t="str">
        <f ca="1">IF($CO36&lt;&gt;"",IF(ISERROR((SUMIFS('Human Resources'!$H:$H,'Human Resources'!$B:$B,"&gt;="&amp;$CM36,'Human Resources'!$B:$B,"&lt;="&amp;$CN36)/$CQ36)),0,(SUMIFS('Human Resources'!$H:$H,'Human Resources'!$B:$B,"&gt;="&amp;$CM36,'Human Resources'!$B:$B,"&lt;="&amp;$CN36)/$CQ36)),"")</f>
        <v/>
      </c>
    </row>
    <row r="37" spans="90:101" x14ac:dyDescent="0.25">
      <c r="CL37" s="24" t="str">
        <f t="shared" ca="1" si="8"/>
        <v/>
      </c>
      <c r="CM37" s="28" t="str">
        <f t="shared" ca="1" si="2"/>
        <v/>
      </c>
      <c r="CN37" s="27" t="str">
        <f t="shared" ca="1" si="3"/>
        <v/>
      </c>
      <c r="CO37" s="24" t="str">
        <f t="shared" ca="1" si="4"/>
        <v/>
      </c>
      <c r="CP37" s="24" t="str">
        <f ca="1">IF($CN$4=$CL$7,$CO37,IF($CO37&lt;&gt;"",VLOOKUP(CO37,search_localizedstrings,language_relatedorder,FALSE),""))</f>
        <v/>
      </c>
      <c r="CQ37" s="24" t="str">
        <f ca="1">IF($CO37&lt;&gt;"",COUNTIFS('Human Resources'!$B:$B,"&gt;="&amp;$CM37,'Human Resources'!$B:$B,"&lt;="&amp;$CN37),"")</f>
        <v/>
      </c>
      <c r="CR37" s="17" t="str">
        <f ca="1">IF($CO37&lt;&gt;"",SUMIFS('Human Resources'!$C:$C,'Human Resources'!$B:$B,"&gt;="&amp;$CM37,'Human Resources'!$B:$B,"&lt;="&amp;$CN37),"")</f>
        <v/>
      </c>
      <c r="CS37" s="17" t="str">
        <f ca="1">IF($CO37&lt;&gt;"",SUMIFS('Human Resources'!$D:$D,'Human Resources'!$B:$B,"&gt;="&amp;$CM37,'Human Resources'!$B:$B,"&lt;="&amp;$CN37),"")</f>
        <v/>
      </c>
      <c r="CT37" s="17" t="str">
        <f ca="1">IF($CO37&lt;&gt;"",SUMIFS('Human Resources'!$E:$E,'Human Resources'!$B:$B,"&gt;="&amp;$CM37,'Human Resources'!$B:$B,"&lt;="&amp;$CN37),"")</f>
        <v/>
      </c>
      <c r="CU37" s="17" t="str">
        <f t="shared" ca="1" si="5"/>
        <v/>
      </c>
      <c r="CV37" s="19" t="str">
        <f ca="1">IF($CO37&lt;&gt;"",IF(ISERROR((SUMIFS('Human Resources'!$G:$G,'Human Resources'!$B:$B,"&gt;="&amp;$CM37,'Human Resources'!$B:$B,"&lt;="&amp;$CN37)/$CQ37)),0,(SUMIFS('Human Resources'!$G:$G,'Human Resources'!$B:$B,"&gt;="&amp;$CM37,'Human Resources'!$B:$B,"&lt;="&amp;$CN37)/$CQ37)),"")</f>
        <v/>
      </c>
      <c r="CW37" s="19" t="str">
        <f ca="1">IF($CO37&lt;&gt;"",IF(ISERROR((SUMIFS('Human Resources'!$H:$H,'Human Resources'!$B:$B,"&gt;="&amp;$CM37,'Human Resources'!$B:$B,"&lt;="&amp;$CN37)/$CQ37)),0,(SUMIFS('Human Resources'!$H:$H,'Human Resources'!$B:$B,"&gt;="&amp;$CM37,'Human Resources'!$B:$B,"&lt;="&amp;$CN37)/$CQ37)),"")</f>
        <v/>
      </c>
    </row>
    <row r="49" ht="15" customHeight="1" x14ac:dyDescent="0.25"/>
    <row r="50" ht="15" customHeight="1" x14ac:dyDescent="0.25"/>
    <row r="51" ht="15" customHeight="1" x14ac:dyDescent="0.25"/>
    <row r="52" ht="15" customHeight="1" x14ac:dyDescent="0.25"/>
  </sheetData>
  <mergeCells count="34">
    <mergeCell ref="AT25:AX26"/>
    <mergeCell ref="AP11:AS11"/>
    <mergeCell ref="AP12:AS12"/>
    <mergeCell ref="AP13:AS13"/>
    <mergeCell ref="AC18:AH18"/>
    <mergeCell ref="AK6:AY7"/>
    <mergeCell ref="B24:G24"/>
    <mergeCell ref="B20:G20"/>
    <mergeCell ref="AK9:AN9"/>
    <mergeCell ref="AK10:AN10"/>
    <mergeCell ref="AK11:AN11"/>
    <mergeCell ref="AK12:AN12"/>
    <mergeCell ref="AK13:AN13"/>
    <mergeCell ref="AP9:AS9"/>
    <mergeCell ref="AP10:AS10"/>
    <mergeCell ref="B9:G9"/>
    <mergeCell ref="B14:G14"/>
    <mergeCell ref="AT23:AX24"/>
    <mergeCell ref="Y29:Z29"/>
    <mergeCell ref="AV1:AY2"/>
    <mergeCell ref="P1:AC2"/>
    <mergeCell ref="AD1:AK2"/>
    <mergeCell ref="P3:AK3"/>
    <mergeCell ref="AC21:AY22"/>
    <mergeCell ref="AI23:AM24"/>
    <mergeCell ref="AI25:AM26"/>
    <mergeCell ref="AO23:AS24"/>
    <mergeCell ref="AO25:AS26"/>
    <mergeCell ref="AD23:AH24"/>
    <mergeCell ref="J6:Z7"/>
    <mergeCell ref="AC5:AH7"/>
    <mergeCell ref="J21:Z22"/>
    <mergeCell ref="AD25:AH26"/>
    <mergeCell ref="AC19:AH19"/>
  </mergeCells>
  <dataValidations count="2">
    <dataValidation type="list" allowBlank="1" showInputMessage="1" showErrorMessage="1" sqref="AV1:AY2" xr:uid="{00000000-0002-0000-0000-000000000000}">
      <formula1>list_languages</formula1>
    </dataValidation>
    <dataValidation type="list" allowBlank="1" showInputMessage="1" showErrorMessage="1" sqref="CN4" xr:uid="{00000000-0002-0000-0000-000001000000}">
      <formula1>list_years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B1:M50"/>
  <sheetViews>
    <sheetView showGridLines="0" showRowColHeaders="0" workbookViewId="0"/>
  </sheetViews>
  <sheetFormatPr defaultRowHeight="30" customHeight="1" x14ac:dyDescent="0.25"/>
  <cols>
    <col min="1" max="1" width="3.7109375" style="29" customWidth="1"/>
    <col min="2" max="2" width="23.5703125" style="29" customWidth="1"/>
    <col min="3" max="3" width="3.7109375" style="29" customWidth="1"/>
    <col min="4" max="4" width="17.42578125" style="29" bestFit="1" customWidth="1"/>
    <col min="5" max="5" width="9.140625" style="29"/>
    <col min="6" max="6" width="4.7109375" style="29" customWidth="1"/>
    <col min="7" max="7" width="9.140625" style="29"/>
    <col min="8" max="13" width="32.7109375" style="29" customWidth="1"/>
    <col min="14" max="16384" width="9.140625" style="29"/>
  </cols>
  <sheetData>
    <row r="1" spans="2:13" ht="12" x14ac:dyDescent="0.25"/>
    <row r="2" spans="2:13" s="34" customFormat="1" ht="30" customHeight="1" x14ac:dyDescent="0.25">
      <c r="B2" s="38" t="s">
        <v>129</v>
      </c>
      <c r="D2" s="106" t="s">
        <v>149</v>
      </c>
      <c r="E2" s="107"/>
      <c r="F2" s="108"/>
      <c r="H2" s="106" t="s">
        <v>150</v>
      </c>
      <c r="I2" s="107"/>
      <c r="J2" s="107"/>
      <c r="K2" s="107"/>
      <c r="L2" s="107"/>
      <c r="M2" s="108"/>
    </row>
    <row r="3" spans="2:13" s="37" customFormat="1" ht="30" customHeight="1" x14ac:dyDescent="0.25">
      <c r="B3" s="36" t="s">
        <v>129</v>
      </c>
      <c r="D3" s="36" t="s">
        <v>122</v>
      </c>
      <c r="E3" s="36" t="s">
        <v>152</v>
      </c>
      <c r="F3" s="36" t="s">
        <v>123</v>
      </c>
      <c r="H3" s="36" t="s">
        <v>151</v>
      </c>
      <c r="I3" s="35" t="s">
        <v>127</v>
      </c>
      <c r="J3" s="35" t="s">
        <v>128</v>
      </c>
      <c r="K3" s="35"/>
      <c r="L3" s="35"/>
      <c r="M3" s="35"/>
    </row>
    <row r="4" spans="2:13" ht="30" customHeight="1" x14ac:dyDescent="0.25">
      <c r="B4" s="32" t="s">
        <v>8</v>
      </c>
      <c r="D4" s="32" t="s">
        <v>127</v>
      </c>
      <c r="E4" s="39" t="s">
        <v>181</v>
      </c>
      <c r="F4" s="33"/>
      <c r="H4" s="40" t="s">
        <v>145</v>
      </c>
      <c r="I4" s="41" t="s">
        <v>145</v>
      </c>
      <c r="J4" s="41" t="s">
        <v>146</v>
      </c>
      <c r="K4" s="41"/>
      <c r="L4" s="41"/>
      <c r="M4" s="41"/>
    </row>
    <row r="5" spans="2:13" ht="30" customHeight="1" x14ac:dyDescent="0.25">
      <c r="B5" s="32" t="s">
        <v>9</v>
      </c>
      <c r="D5" s="32" t="s">
        <v>128</v>
      </c>
      <c r="E5" s="39" t="s">
        <v>153</v>
      </c>
      <c r="F5" s="33"/>
      <c r="H5" s="40" t="s">
        <v>174</v>
      </c>
      <c r="I5" s="41" t="s">
        <v>174</v>
      </c>
      <c r="J5" s="41" t="s">
        <v>179</v>
      </c>
      <c r="K5" s="41"/>
      <c r="L5" s="41"/>
      <c r="M5" s="41"/>
    </row>
    <row r="6" spans="2:13" ht="30" customHeight="1" x14ac:dyDescent="0.25">
      <c r="B6" s="32" t="s">
        <v>10</v>
      </c>
      <c r="D6" s="32"/>
      <c r="E6" s="39" t="s">
        <v>182</v>
      </c>
      <c r="F6" s="33"/>
      <c r="H6" s="40" t="s">
        <v>118</v>
      </c>
      <c r="I6" s="41" t="s">
        <v>118</v>
      </c>
      <c r="J6" s="41" t="s">
        <v>121</v>
      </c>
      <c r="K6" s="41"/>
      <c r="L6" s="41"/>
      <c r="M6" s="41"/>
    </row>
    <row r="7" spans="2:13" ht="30" customHeight="1" x14ac:dyDescent="0.25">
      <c r="B7" s="32" t="s">
        <v>11</v>
      </c>
      <c r="D7" s="32"/>
      <c r="E7" s="39" t="s">
        <v>154</v>
      </c>
      <c r="F7" s="33"/>
      <c r="H7" s="40" t="s">
        <v>119</v>
      </c>
      <c r="I7" s="41" t="s">
        <v>119</v>
      </c>
      <c r="J7" s="41" t="s">
        <v>120</v>
      </c>
      <c r="K7" s="41"/>
      <c r="L7" s="41"/>
      <c r="M7" s="41"/>
    </row>
    <row r="8" spans="2:13" ht="30" customHeight="1" x14ac:dyDescent="0.25">
      <c r="B8" s="32" t="s">
        <v>12</v>
      </c>
      <c r="D8" s="32"/>
      <c r="E8" s="39" t="s">
        <v>159</v>
      </c>
      <c r="F8" s="33"/>
      <c r="H8" s="40" t="s">
        <v>199</v>
      </c>
      <c r="I8" s="41" t="s">
        <v>199</v>
      </c>
      <c r="J8" s="41" t="s">
        <v>200</v>
      </c>
      <c r="K8" s="41"/>
      <c r="L8" s="41"/>
      <c r="M8" s="41"/>
    </row>
    <row r="9" spans="2:13" ht="30" customHeight="1" x14ac:dyDescent="0.25">
      <c r="B9" s="32" t="s">
        <v>13</v>
      </c>
      <c r="D9" s="30"/>
      <c r="H9" s="40" t="s">
        <v>184</v>
      </c>
      <c r="I9" s="41" t="s">
        <v>184</v>
      </c>
      <c r="J9" s="41" t="s">
        <v>185</v>
      </c>
      <c r="K9" s="41"/>
      <c r="L9" s="41"/>
      <c r="M9" s="41"/>
    </row>
    <row r="10" spans="2:13" ht="30" customHeight="1" x14ac:dyDescent="0.25">
      <c r="B10" s="32" t="s">
        <v>14</v>
      </c>
      <c r="D10" s="30"/>
      <c r="H10" s="40" t="s">
        <v>2</v>
      </c>
      <c r="I10" s="41" t="s">
        <v>2</v>
      </c>
      <c r="J10" s="41" t="s">
        <v>186</v>
      </c>
      <c r="K10" s="41"/>
      <c r="L10" s="41"/>
      <c r="M10" s="41"/>
    </row>
    <row r="11" spans="2:13" ht="30" customHeight="1" x14ac:dyDescent="0.25">
      <c r="B11" s="32" t="s">
        <v>15</v>
      </c>
      <c r="D11" s="30"/>
      <c r="H11" s="40" t="s">
        <v>3</v>
      </c>
      <c r="I11" s="41" t="s">
        <v>3</v>
      </c>
      <c r="J11" s="41" t="s">
        <v>188</v>
      </c>
      <c r="K11" s="41"/>
      <c r="L11" s="41"/>
      <c r="M11" s="41"/>
    </row>
    <row r="12" spans="2:13" ht="30" customHeight="1" x14ac:dyDescent="0.25">
      <c r="B12" s="32" t="s">
        <v>16</v>
      </c>
      <c r="D12" s="30"/>
      <c r="H12" s="40" t="s">
        <v>4</v>
      </c>
      <c r="I12" s="41" t="s">
        <v>4</v>
      </c>
      <c r="J12" s="41" t="s">
        <v>187</v>
      </c>
      <c r="K12" s="41"/>
      <c r="L12" s="41"/>
      <c r="M12" s="41"/>
    </row>
    <row r="13" spans="2:13" ht="30" customHeight="1" x14ac:dyDescent="0.25">
      <c r="B13" s="31"/>
      <c r="D13" s="30"/>
      <c r="H13" s="40" t="s">
        <v>155</v>
      </c>
      <c r="I13" s="41" t="s">
        <v>155</v>
      </c>
      <c r="J13" s="41" t="s">
        <v>183</v>
      </c>
      <c r="K13" s="41"/>
      <c r="L13" s="41"/>
      <c r="M13" s="41"/>
    </row>
    <row r="14" spans="2:13" ht="30" customHeight="1" x14ac:dyDescent="0.25">
      <c r="B14" s="31"/>
      <c r="D14" s="30"/>
      <c r="H14" s="40" t="s">
        <v>201</v>
      </c>
      <c r="I14" s="41" t="s">
        <v>201</v>
      </c>
      <c r="J14" s="41" t="s">
        <v>124</v>
      </c>
      <c r="K14" s="41"/>
      <c r="L14" s="41"/>
      <c r="M14" s="41"/>
    </row>
    <row r="15" spans="2:13" ht="30" customHeight="1" x14ac:dyDescent="0.25">
      <c r="B15" s="31"/>
      <c r="D15" s="30"/>
      <c r="H15" s="40" t="s">
        <v>156</v>
      </c>
      <c r="I15" s="41" t="s">
        <v>156</v>
      </c>
      <c r="J15" s="41" t="s">
        <v>125</v>
      </c>
      <c r="K15" s="41"/>
      <c r="L15" s="41"/>
      <c r="M15" s="41"/>
    </row>
    <row r="16" spans="2:13" ht="30" customHeight="1" x14ac:dyDescent="0.25">
      <c r="B16" s="31"/>
      <c r="D16" s="30"/>
      <c r="H16" s="40" t="s">
        <v>157</v>
      </c>
      <c r="I16" s="41" t="s">
        <v>157</v>
      </c>
      <c r="J16" s="41" t="s">
        <v>126</v>
      </c>
      <c r="K16" s="41"/>
      <c r="L16" s="41"/>
      <c r="M16" s="41"/>
    </row>
    <row r="17" spans="2:13" ht="30" customHeight="1" x14ac:dyDescent="0.25">
      <c r="B17" s="31"/>
      <c r="D17" s="30"/>
      <c r="H17" s="40" t="s">
        <v>129</v>
      </c>
      <c r="I17" s="41" t="s">
        <v>129</v>
      </c>
      <c r="J17" s="41" t="s">
        <v>180</v>
      </c>
      <c r="K17" s="41"/>
      <c r="L17" s="41"/>
      <c r="M17" s="41"/>
    </row>
    <row r="18" spans="2:13" ht="30" customHeight="1" x14ac:dyDescent="0.25">
      <c r="B18" s="31"/>
      <c r="D18" s="30"/>
      <c r="H18" s="40" t="s">
        <v>212</v>
      </c>
      <c r="I18" s="41" t="s">
        <v>212</v>
      </c>
      <c r="J18" s="41" t="s">
        <v>213</v>
      </c>
      <c r="K18" s="41"/>
      <c r="L18" s="41"/>
      <c r="M18" s="41"/>
    </row>
    <row r="19" spans="2:13" ht="30" customHeight="1" x14ac:dyDescent="0.25">
      <c r="B19" s="31"/>
      <c r="D19" s="30"/>
      <c r="H19" s="40" t="s">
        <v>165</v>
      </c>
      <c r="I19" s="41" t="s">
        <v>165</v>
      </c>
      <c r="J19" s="41" t="s">
        <v>166</v>
      </c>
      <c r="K19" s="41"/>
      <c r="L19" s="41"/>
      <c r="M19" s="41"/>
    </row>
    <row r="20" spans="2:13" ht="30" customHeight="1" x14ac:dyDescent="0.25">
      <c r="B20" s="31"/>
      <c r="D20" s="30"/>
      <c r="H20" s="40" t="s">
        <v>176</v>
      </c>
      <c r="I20" s="41" t="s">
        <v>176</v>
      </c>
      <c r="J20" s="41" t="s">
        <v>167</v>
      </c>
      <c r="K20" s="41"/>
      <c r="L20" s="41"/>
      <c r="M20" s="41"/>
    </row>
    <row r="21" spans="2:13" ht="30" customHeight="1" x14ac:dyDescent="0.25">
      <c r="B21" s="31"/>
      <c r="D21" s="30"/>
      <c r="H21" s="40" t="s">
        <v>168</v>
      </c>
      <c r="I21" s="41" t="s">
        <v>168</v>
      </c>
      <c r="J21" s="41" t="s">
        <v>171</v>
      </c>
      <c r="K21" s="41"/>
      <c r="L21" s="41"/>
      <c r="M21" s="41"/>
    </row>
    <row r="22" spans="2:13" ht="30" customHeight="1" x14ac:dyDescent="0.25">
      <c r="B22" s="31"/>
      <c r="D22" s="30"/>
      <c r="H22" s="40" t="s">
        <v>177</v>
      </c>
      <c r="I22" s="41" t="s">
        <v>177</v>
      </c>
      <c r="J22" s="41" t="s">
        <v>172</v>
      </c>
      <c r="K22" s="41"/>
      <c r="L22" s="41"/>
      <c r="M22" s="41"/>
    </row>
    <row r="23" spans="2:13" ht="30" customHeight="1" x14ac:dyDescent="0.25">
      <c r="B23" s="31"/>
      <c r="D23" s="30"/>
      <c r="H23" s="40" t="s">
        <v>173</v>
      </c>
      <c r="I23" s="41" t="s">
        <v>173</v>
      </c>
      <c r="J23" s="41" t="s">
        <v>170</v>
      </c>
      <c r="K23" s="41"/>
      <c r="L23" s="41"/>
      <c r="M23" s="41"/>
    </row>
    <row r="24" spans="2:13" ht="30" customHeight="1" x14ac:dyDescent="0.25">
      <c r="H24" s="40" t="s">
        <v>178</v>
      </c>
      <c r="I24" s="41" t="s">
        <v>178</v>
      </c>
      <c r="J24" s="41" t="s">
        <v>169</v>
      </c>
      <c r="K24" s="41"/>
      <c r="L24" s="41"/>
      <c r="M24" s="41"/>
    </row>
    <row r="25" spans="2:13" ht="30" customHeight="1" x14ac:dyDescent="0.25">
      <c r="H25" s="40" t="s">
        <v>190</v>
      </c>
      <c r="I25" s="41" t="s">
        <v>190</v>
      </c>
      <c r="J25" s="41" t="s">
        <v>191</v>
      </c>
      <c r="K25" s="41"/>
      <c r="L25" s="41"/>
      <c r="M25" s="41"/>
    </row>
    <row r="26" spans="2:13" ht="30" customHeight="1" x14ac:dyDescent="0.25">
      <c r="H26" s="40" t="s">
        <v>189</v>
      </c>
      <c r="I26" s="41" t="s">
        <v>189</v>
      </c>
      <c r="J26" s="41" t="s">
        <v>192</v>
      </c>
      <c r="K26" s="41"/>
      <c r="L26" s="41"/>
      <c r="M26" s="41"/>
    </row>
    <row r="27" spans="2:13" ht="30" customHeight="1" x14ac:dyDescent="0.25">
      <c r="H27" s="40">
        <v>1</v>
      </c>
      <c r="I27" s="41" t="s">
        <v>153</v>
      </c>
      <c r="J27" s="41" t="s">
        <v>153</v>
      </c>
      <c r="K27" s="41"/>
      <c r="L27" s="41"/>
      <c r="M27" s="41"/>
    </row>
    <row r="28" spans="2:13" ht="30" customHeight="1" x14ac:dyDescent="0.25">
      <c r="H28" s="40">
        <v>2</v>
      </c>
      <c r="I28" s="41" t="s">
        <v>158</v>
      </c>
      <c r="J28" s="41" t="s">
        <v>158</v>
      </c>
      <c r="K28" s="41"/>
      <c r="L28" s="41"/>
      <c r="M28" s="41"/>
    </row>
    <row r="29" spans="2:13" ht="30" customHeight="1" x14ac:dyDescent="0.25">
      <c r="H29" s="40">
        <v>3</v>
      </c>
      <c r="I29" s="41" t="s">
        <v>159</v>
      </c>
      <c r="J29" s="41" t="s">
        <v>159</v>
      </c>
      <c r="K29" s="41"/>
      <c r="L29" s="41"/>
      <c r="M29" s="41"/>
    </row>
    <row r="30" spans="2:13" ht="30" customHeight="1" x14ac:dyDescent="0.25">
      <c r="H30" s="40">
        <v>4</v>
      </c>
      <c r="I30" s="41" t="s">
        <v>160</v>
      </c>
      <c r="J30" s="41" t="s">
        <v>160</v>
      </c>
      <c r="K30" s="41"/>
      <c r="L30" s="41"/>
      <c r="M30" s="41"/>
    </row>
    <row r="31" spans="2:13" ht="30" customHeight="1" x14ac:dyDescent="0.25">
      <c r="H31" s="40">
        <v>5</v>
      </c>
      <c r="I31" s="41" t="s">
        <v>159</v>
      </c>
      <c r="J31" s="41" t="s">
        <v>159</v>
      </c>
      <c r="K31" s="41"/>
      <c r="L31" s="41"/>
      <c r="M31" s="41"/>
    </row>
    <row r="32" spans="2:13" ht="30" customHeight="1" x14ac:dyDescent="0.25">
      <c r="H32" s="40">
        <v>6</v>
      </c>
      <c r="I32" s="41" t="s">
        <v>153</v>
      </c>
      <c r="J32" s="41" t="s">
        <v>153</v>
      </c>
      <c r="K32" s="41"/>
      <c r="L32" s="41"/>
      <c r="M32" s="41"/>
    </row>
    <row r="33" spans="8:13" ht="30" customHeight="1" x14ac:dyDescent="0.25">
      <c r="H33" s="40">
        <v>7</v>
      </c>
      <c r="I33" s="41" t="s">
        <v>153</v>
      </c>
      <c r="J33" s="41" t="s">
        <v>153</v>
      </c>
      <c r="K33" s="41"/>
      <c r="L33" s="41"/>
      <c r="M33" s="41"/>
    </row>
    <row r="34" spans="8:13" ht="30" customHeight="1" x14ac:dyDescent="0.25">
      <c r="H34" s="40">
        <v>8</v>
      </c>
      <c r="I34" s="41" t="s">
        <v>160</v>
      </c>
      <c r="J34" s="41" t="s">
        <v>160</v>
      </c>
      <c r="K34" s="41"/>
      <c r="L34" s="41"/>
      <c r="M34" s="41"/>
    </row>
    <row r="35" spans="8:13" ht="30" customHeight="1" x14ac:dyDescent="0.25">
      <c r="H35" s="40">
        <v>9</v>
      </c>
      <c r="I35" s="41" t="s">
        <v>161</v>
      </c>
      <c r="J35" s="41" t="s">
        <v>161</v>
      </c>
      <c r="K35" s="41"/>
      <c r="L35" s="41"/>
      <c r="M35" s="41"/>
    </row>
    <row r="36" spans="8:13" ht="30" customHeight="1" x14ac:dyDescent="0.25">
      <c r="H36" s="40">
        <v>10</v>
      </c>
      <c r="I36" s="41" t="s">
        <v>162</v>
      </c>
      <c r="J36" s="41" t="s">
        <v>162</v>
      </c>
      <c r="K36" s="41"/>
      <c r="L36" s="41"/>
      <c r="M36" s="41"/>
    </row>
    <row r="37" spans="8:13" ht="30" customHeight="1" x14ac:dyDescent="0.25">
      <c r="H37" s="40">
        <v>11</v>
      </c>
      <c r="I37" s="41" t="s">
        <v>163</v>
      </c>
      <c r="J37" s="41" t="s">
        <v>163</v>
      </c>
      <c r="K37" s="41"/>
      <c r="L37" s="41"/>
      <c r="M37" s="41"/>
    </row>
    <row r="38" spans="8:13" ht="30" customHeight="1" x14ac:dyDescent="0.25">
      <c r="H38" s="40">
        <v>12</v>
      </c>
      <c r="I38" s="41" t="s">
        <v>164</v>
      </c>
      <c r="J38" s="41" t="s">
        <v>164</v>
      </c>
      <c r="K38" s="41"/>
      <c r="L38" s="41"/>
      <c r="M38" s="41"/>
    </row>
    <row r="39" spans="8:13" ht="30" customHeight="1" x14ac:dyDescent="0.25">
      <c r="H39" s="40"/>
      <c r="I39" s="41"/>
      <c r="J39" s="41"/>
      <c r="K39" s="41"/>
      <c r="L39" s="41"/>
      <c r="M39" s="41"/>
    </row>
    <row r="40" spans="8:13" ht="30" customHeight="1" x14ac:dyDescent="0.25">
      <c r="H40" s="40"/>
      <c r="I40" s="41"/>
      <c r="J40" s="41"/>
      <c r="K40" s="41"/>
      <c r="L40" s="41"/>
      <c r="M40" s="41"/>
    </row>
    <row r="41" spans="8:13" ht="30" customHeight="1" x14ac:dyDescent="0.25">
      <c r="H41" s="40"/>
      <c r="I41" s="41"/>
      <c r="J41" s="41"/>
      <c r="K41" s="41"/>
      <c r="L41" s="41"/>
      <c r="M41" s="41"/>
    </row>
    <row r="42" spans="8:13" ht="30" customHeight="1" x14ac:dyDescent="0.25">
      <c r="H42" s="40"/>
      <c r="I42" s="41"/>
      <c r="J42" s="41"/>
      <c r="K42" s="41"/>
      <c r="L42" s="41"/>
      <c r="M42" s="41"/>
    </row>
    <row r="43" spans="8:13" ht="30" customHeight="1" x14ac:dyDescent="0.25">
      <c r="H43" s="40"/>
      <c r="I43" s="41"/>
      <c r="J43" s="41"/>
      <c r="K43" s="41"/>
      <c r="L43" s="41"/>
      <c r="M43" s="41"/>
    </row>
    <row r="44" spans="8:13" ht="30" customHeight="1" x14ac:dyDescent="0.25">
      <c r="H44" s="40"/>
      <c r="I44" s="41"/>
      <c r="J44" s="41"/>
      <c r="K44" s="41"/>
      <c r="L44" s="41"/>
      <c r="M44" s="41"/>
    </row>
    <row r="45" spans="8:13" ht="30" customHeight="1" x14ac:dyDescent="0.25">
      <c r="H45" s="40"/>
      <c r="I45" s="41"/>
      <c r="J45" s="41"/>
      <c r="K45" s="41"/>
      <c r="L45" s="41"/>
      <c r="M45" s="41"/>
    </row>
    <row r="46" spans="8:13" ht="30" customHeight="1" x14ac:dyDescent="0.25">
      <c r="H46" s="40"/>
      <c r="I46" s="41"/>
      <c r="J46" s="41"/>
      <c r="K46" s="41"/>
      <c r="L46" s="41"/>
      <c r="M46" s="41"/>
    </row>
    <row r="47" spans="8:13" ht="30" customHeight="1" x14ac:dyDescent="0.25">
      <c r="H47" s="40"/>
      <c r="I47" s="41"/>
      <c r="J47" s="41"/>
      <c r="K47" s="41"/>
      <c r="L47" s="41"/>
      <c r="M47" s="41"/>
    </row>
    <row r="48" spans="8:13" ht="30" customHeight="1" x14ac:dyDescent="0.25">
      <c r="H48" s="40"/>
      <c r="I48" s="41"/>
      <c r="J48" s="41"/>
      <c r="K48" s="41"/>
      <c r="L48" s="41"/>
      <c r="M48" s="41"/>
    </row>
    <row r="49" spans="8:13" ht="30" customHeight="1" x14ac:dyDescent="0.25">
      <c r="H49" s="40"/>
      <c r="I49" s="41"/>
      <c r="J49" s="41"/>
      <c r="K49" s="41"/>
      <c r="L49" s="41"/>
      <c r="M49" s="41"/>
    </row>
    <row r="50" spans="8:13" ht="30" customHeight="1" x14ac:dyDescent="0.25">
      <c r="H50" s="40"/>
      <c r="I50" s="41"/>
      <c r="J50" s="41"/>
      <c r="K50" s="41"/>
      <c r="L50" s="41"/>
      <c r="M50" s="41"/>
    </row>
  </sheetData>
  <mergeCells count="2">
    <mergeCell ref="D2:F2"/>
    <mergeCell ref="H2:M2"/>
  </mergeCells>
  <dataValidations count="1">
    <dataValidation type="list" allowBlank="1" showInputMessage="1" showErrorMessage="1" sqref="I3:M3" xr:uid="{00000000-0002-0000-0100-000000000000}">
      <formula1>list_languages</formula1>
    </dataValidation>
  </dataValidations>
  <pageMargins left="0.511811024" right="0.511811024" top="0.78740157499999996" bottom="0.78740157499999996" header="0.31496062000000002" footer="0.31496062000000002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2"/>
  <sheetViews>
    <sheetView zoomScaleNormal="100" workbookViewId="0"/>
  </sheetViews>
  <sheetFormatPr defaultColWidth="41.140625" defaultRowHeight="12.75" x14ac:dyDescent="0.2"/>
  <cols>
    <col min="1" max="1" width="19.85546875" style="7" bestFit="1" customWidth="1"/>
    <col min="2" max="2" width="13.7109375" style="8" customWidth="1"/>
    <col min="3" max="3" width="9.7109375" style="9" bestFit="1" customWidth="1"/>
    <col min="4" max="4" width="8.5703125" style="9" bestFit="1" customWidth="1"/>
    <col min="5" max="5" width="11" style="9" bestFit="1" customWidth="1"/>
    <col min="6" max="6" width="18.28515625" style="7" bestFit="1" customWidth="1"/>
    <col min="7" max="7" width="11.140625" style="7" bestFit="1" customWidth="1"/>
    <col min="8" max="8" width="21.28515625" style="7" bestFit="1" customWidth="1"/>
    <col min="9" max="16384" width="41.140625" style="7"/>
  </cols>
  <sheetData>
    <row r="1" spans="1:10" x14ac:dyDescent="0.2">
      <c r="C1" s="109" t="s">
        <v>117</v>
      </c>
      <c r="D1" s="109"/>
      <c r="E1" s="109"/>
      <c r="F1" s="109"/>
      <c r="G1" s="109"/>
      <c r="H1" s="109"/>
    </row>
    <row r="2" spans="1:10" s="6" customFormat="1" x14ac:dyDescent="0.2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1" t="s">
        <v>5</v>
      </c>
      <c r="G2" s="4" t="s">
        <v>6</v>
      </c>
      <c r="H2" s="5" t="s">
        <v>7</v>
      </c>
    </row>
    <row r="3" spans="1:10" x14ac:dyDescent="0.2">
      <c r="A3" s="7" t="s">
        <v>17</v>
      </c>
      <c r="B3" s="8">
        <v>41978</v>
      </c>
      <c r="C3" s="9">
        <v>20000</v>
      </c>
      <c r="D3" s="9">
        <v>3130</v>
      </c>
      <c r="E3" s="9">
        <v>220</v>
      </c>
      <c r="F3" s="7" t="s">
        <v>8</v>
      </c>
      <c r="G3" s="7">
        <v>3</v>
      </c>
      <c r="H3" s="7">
        <v>4</v>
      </c>
      <c r="J3" s="9"/>
    </row>
    <row r="4" spans="1:10" x14ac:dyDescent="0.2">
      <c r="A4" s="7" t="s">
        <v>18</v>
      </c>
      <c r="B4" s="8">
        <v>42122</v>
      </c>
      <c r="C4" s="9">
        <v>29000</v>
      </c>
      <c r="D4" s="9">
        <v>1800</v>
      </c>
      <c r="E4" s="9">
        <v>810</v>
      </c>
      <c r="F4" s="7" t="s">
        <v>9</v>
      </c>
      <c r="G4" s="7">
        <v>4</v>
      </c>
      <c r="H4" s="7">
        <v>5</v>
      </c>
      <c r="J4" s="9"/>
    </row>
    <row r="5" spans="1:10" x14ac:dyDescent="0.2">
      <c r="A5" s="7" t="s">
        <v>19</v>
      </c>
      <c r="B5" s="8">
        <v>41634</v>
      </c>
      <c r="C5" s="9">
        <v>29000</v>
      </c>
      <c r="D5" s="9">
        <v>2550</v>
      </c>
      <c r="E5" s="9">
        <v>810</v>
      </c>
      <c r="F5" s="7" t="s">
        <v>10</v>
      </c>
      <c r="G5" s="7">
        <v>1</v>
      </c>
      <c r="H5" s="7">
        <v>1</v>
      </c>
      <c r="J5" s="9"/>
    </row>
    <row r="6" spans="1:10" x14ac:dyDescent="0.2">
      <c r="A6" s="7" t="s">
        <v>20</v>
      </c>
      <c r="B6" s="8">
        <v>42060</v>
      </c>
      <c r="C6" s="9">
        <v>30000</v>
      </c>
      <c r="D6" s="9">
        <v>4430</v>
      </c>
      <c r="E6" s="9">
        <v>840</v>
      </c>
      <c r="F6" s="7" t="s">
        <v>8</v>
      </c>
      <c r="G6" s="7">
        <v>5</v>
      </c>
      <c r="H6" s="7">
        <v>5</v>
      </c>
      <c r="J6" s="9"/>
    </row>
    <row r="7" spans="1:10" x14ac:dyDescent="0.2">
      <c r="A7" s="7" t="s">
        <v>21</v>
      </c>
      <c r="B7" s="8">
        <v>41747</v>
      </c>
      <c r="C7" s="9">
        <v>31000</v>
      </c>
      <c r="D7" s="9">
        <v>1860</v>
      </c>
      <c r="E7" s="9">
        <v>2220</v>
      </c>
      <c r="F7" s="7" t="s">
        <v>11</v>
      </c>
      <c r="G7" s="7">
        <v>3</v>
      </c>
      <c r="H7" s="7">
        <v>3</v>
      </c>
      <c r="J7" s="9"/>
    </row>
    <row r="8" spans="1:10" x14ac:dyDescent="0.2">
      <c r="A8" s="7" t="s">
        <v>22</v>
      </c>
      <c r="B8" s="8">
        <v>42063</v>
      </c>
      <c r="C8" s="9">
        <v>31000</v>
      </c>
      <c r="D8" s="9">
        <v>5550</v>
      </c>
      <c r="E8" s="9">
        <v>60</v>
      </c>
      <c r="F8" s="7" t="s">
        <v>11</v>
      </c>
      <c r="G8" s="7">
        <v>5</v>
      </c>
      <c r="H8" s="7">
        <v>4</v>
      </c>
      <c r="J8" s="9"/>
    </row>
    <row r="9" spans="1:10" x14ac:dyDescent="0.2">
      <c r="A9" s="7" t="s">
        <v>23</v>
      </c>
      <c r="B9" s="8">
        <v>41690</v>
      </c>
      <c r="C9" s="9">
        <v>32000</v>
      </c>
      <c r="D9" s="9">
        <v>5250</v>
      </c>
      <c r="E9" s="9">
        <v>60</v>
      </c>
      <c r="F9" s="7" t="s">
        <v>12</v>
      </c>
      <c r="G9" s="7">
        <v>1</v>
      </c>
      <c r="H9" s="7">
        <v>3</v>
      </c>
      <c r="J9" s="9"/>
    </row>
    <row r="10" spans="1:10" x14ac:dyDescent="0.2">
      <c r="A10" s="7" t="s">
        <v>24</v>
      </c>
      <c r="B10" s="8">
        <v>41628</v>
      </c>
      <c r="C10" s="9">
        <v>32000</v>
      </c>
      <c r="D10" s="9">
        <v>4690</v>
      </c>
      <c r="E10" s="9">
        <v>1460</v>
      </c>
      <c r="F10" s="7" t="s">
        <v>9</v>
      </c>
      <c r="G10" s="7">
        <v>1</v>
      </c>
      <c r="H10" s="7">
        <v>2</v>
      </c>
      <c r="J10" s="9"/>
    </row>
    <row r="11" spans="1:10" x14ac:dyDescent="0.2">
      <c r="A11" s="7" t="s">
        <v>25</v>
      </c>
      <c r="B11" s="8">
        <v>41662</v>
      </c>
      <c r="C11" s="9">
        <v>34000</v>
      </c>
      <c r="D11" s="9">
        <v>4350</v>
      </c>
      <c r="E11" s="9">
        <v>3060</v>
      </c>
      <c r="F11" s="7" t="s">
        <v>13</v>
      </c>
      <c r="G11" s="7">
        <v>3</v>
      </c>
      <c r="H11" s="7">
        <v>3</v>
      </c>
      <c r="J11" s="9"/>
    </row>
    <row r="12" spans="1:10" x14ac:dyDescent="0.2">
      <c r="A12" s="7" t="s">
        <v>26</v>
      </c>
      <c r="B12" s="8">
        <v>41598</v>
      </c>
      <c r="C12" s="9">
        <v>34000</v>
      </c>
      <c r="D12" s="9">
        <v>2850</v>
      </c>
      <c r="E12" s="9">
        <v>1860</v>
      </c>
      <c r="F12" s="7" t="s">
        <v>14</v>
      </c>
      <c r="G12" s="7">
        <v>1</v>
      </c>
      <c r="H12" s="7">
        <v>5</v>
      </c>
      <c r="J12" s="9"/>
    </row>
    <row r="13" spans="1:10" x14ac:dyDescent="0.2">
      <c r="A13" s="7" t="s">
        <v>27</v>
      </c>
      <c r="B13" s="8">
        <v>41921</v>
      </c>
      <c r="C13" s="9">
        <v>35000</v>
      </c>
      <c r="D13" s="9">
        <v>3840</v>
      </c>
      <c r="E13" s="9">
        <v>370</v>
      </c>
      <c r="F13" s="7" t="s">
        <v>9</v>
      </c>
      <c r="G13" s="7">
        <v>6</v>
      </c>
      <c r="H13" s="7">
        <v>5</v>
      </c>
      <c r="J13" s="9"/>
    </row>
    <row r="14" spans="1:10" x14ac:dyDescent="0.2">
      <c r="A14" s="7" t="s">
        <v>28</v>
      </c>
      <c r="B14" s="8">
        <v>41991</v>
      </c>
      <c r="C14" s="9">
        <v>35000</v>
      </c>
      <c r="D14" s="9">
        <v>2290</v>
      </c>
      <c r="E14" s="9">
        <v>990</v>
      </c>
      <c r="F14" s="7" t="s">
        <v>10</v>
      </c>
      <c r="G14" s="7">
        <v>2</v>
      </c>
      <c r="H14" s="7">
        <v>4</v>
      </c>
      <c r="J14" s="9"/>
    </row>
    <row r="15" spans="1:10" x14ac:dyDescent="0.2">
      <c r="A15" s="7" t="s">
        <v>29</v>
      </c>
      <c r="B15" s="8">
        <v>41668</v>
      </c>
      <c r="C15" s="9">
        <v>36000</v>
      </c>
      <c r="D15" s="9">
        <v>3290</v>
      </c>
      <c r="E15" s="9">
        <v>60</v>
      </c>
      <c r="F15" s="7" t="s">
        <v>12</v>
      </c>
      <c r="G15" s="7">
        <v>3</v>
      </c>
      <c r="H15" s="7">
        <v>3</v>
      </c>
      <c r="J15" s="9"/>
    </row>
    <row r="16" spans="1:10" x14ac:dyDescent="0.2">
      <c r="A16" s="7" t="s">
        <v>30</v>
      </c>
      <c r="B16" s="8">
        <v>41691</v>
      </c>
      <c r="C16" s="9">
        <v>36000</v>
      </c>
      <c r="D16" s="9">
        <v>5210</v>
      </c>
      <c r="E16" s="9">
        <v>700</v>
      </c>
      <c r="F16" s="7" t="s">
        <v>12</v>
      </c>
      <c r="G16" s="7">
        <v>1</v>
      </c>
      <c r="H16" s="7">
        <v>1</v>
      </c>
      <c r="J16" s="9"/>
    </row>
    <row r="17" spans="1:10" x14ac:dyDescent="0.2">
      <c r="A17" s="7" t="s">
        <v>31</v>
      </c>
      <c r="B17" s="8">
        <v>41961</v>
      </c>
      <c r="C17" s="9">
        <v>38000</v>
      </c>
      <c r="D17" s="9">
        <v>5470</v>
      </c>
      <c r="E17" s="9">
        <v>2100</v>
      </c>
      <c r="F17" s="7" t="s">
        <v>9</v>
      </c>
      <c r="G17" s="7">
        <v>5</v>
      </c>
      <c r="H17" s="7">
        <v>3</v>
      </c>
      <c r="J17" s="9"/>
    </row>
    <row r="18" spans="1:10" x14ac:dyDescent="0.2">
      <c r="A18" s="7" t="s">
        <v>32</v>
      </c>
      <c r="B18" s="8">
        <v>41758</v>
      </c>
      <c r="C18" s="9">
        <v>38000</v>
      </c>
      <c r="D18" s="9">
        <v>5130</v>
      </c>
      <c r="E18" s="9">
        <v>3120</v>
      </c>
      <c r="F18" s="7" t="s">
        <v>15</v>
      </c>
      <c r="G18" s="7">
        <v>5</v>
      </c>
      <c r="H18" s="7">
        <v>1</v>
      </c>
      <c r="J18" s="9"/>
    </row>
    <row r="19" spans="1:10" x14ac:dyDescent="0.2">
      <c r="A19" s="7" t="s">
        <v>33</v>
      </c>
      <c r="B19" s="8">
        <v>41654</v>
      </c>
      <c r="C19" s="9">
        <v>39000</v>
      </c>
      <c r="D19" s="9">
        <v>2800</v>
      </c>
      <c r="E19" s="9">
        <v>1110</v>
      </c>
      <c r="F19" s="7" t="s">
        <v>14</v>
      </c>
      <c r="G19" s="7">
        <v>3</v>
      </c>
      <c r="H19" s="7">
        <v>4</v>
      </c>
      <c r="J19" s="9"/>
    </row>
    <row r="20" spans="1:10" x14ac:dyDescent="0.2">
      <c r="A20" s="7" t="s">
        <v>34</v>
      </c>
      <c r="B20" s="8">
        <v>42065</v>
      </c>
      <c r="C20" s="9">
        <v>39000</v>
      </c>
      <c r="D20" s="9">
        <v>4550</v>
      </c>
      <c r="E20" s="9">
        <v>2160</v>
      </c>
      <c r="F20" s="7" t="s">
        <v>12</v>
      </c>
      <c r="G20" s="7">
        <v>1</v>
      </c>
      <c r="H20" s="7">
        <v>2</v>
      </c>
      <c r="J20" s="9"/>
    </row>
    <row r="21" spans="1:10" x14ac:dyDescent="0.2">
      <c r="A21" s="7" t="s">
        <v>35</v>
      </c>
      <c r="B21" s="8">
        <v>42089</v>
      </c>
      <c r="C21" s="9">
        <v>39000</v>
      </c>
      <c r="D21" s="9">
        <v>27050</v>
      </c>
      <c r="E21" s="9">
        <v>60</v>
      </c>
      <c r="F21" s="7" t="s">
        <v>16</v>
      </c>
      <c r="G21" s="7">
        <v>4</v>
      </c>
      <c r="H21" s="7">
        <v>5</v>
      </c>
      <c r="J21" s="9"/>
    </row>
    <row r="22" spans="1:10" x14ac:dyDescent="0.2">
      <c r="A22" s="7" t="s">
        <v>36</v>
      </c>
      <c r="B22" s="8">
        <v>42180</v>
      </c>
      <c r="C22" s="9">
        <v>40000</v>
      </c>
      <c r="D22" s="9">
        <v>3570.0000000000005</v>
      </c>
      <c r="E22" s="9">
        <v>1860</v>
      </c>
      <c r="F22" s="7" t="s">
        <v>11</v>
      </c>
      <c r="G22" s="7">
        <v>1</v>
      </c>
      <c r="H22" s="7">
        <v>1</v>
      </c>
      <c r="J22" s="9"/>
    </row>
    <row r="23" spans="1:10" x14ac:dyDescent="0.2">
      <c r="A23" s="7" t="s">
        <v>37</v>
      </c>
      <c r="B23" s="8">
        <v>41888</v>
      </c>
      <c r="C23" s="9">
        <v>42000</v>
      </c>
      <c r="D23" s="9">
        <v>2950</v>
      </c>
      <c r="E23" s="9">
        <v>60</v>
      </c>
      <c r="F23" s="7" t="s">
        <v>15</v>
      </c>
      <c r="G23" s="7">
        <v>1</v>
      </c>
      <c r="H23" s="7">
        <v>3</v>
      </c>
      <c r="J23" s="9"/>
    </row>
    <row r="24" spans="1:10" x14ac:dyDescent="0.2">
      <c r="A24" s="7" t="s">
        <v>38</v>
      </c>
      <c r="B24" s="8">
        <v>41937</v>
      </c>
      <c r="C24" s="9">
        <v>43000</v>
      </c>
      <c r="D24" s="9">
        <v>1830</v>
      </c>
      <c r="E24" s="9">
        <v>450</v>
      </c>
      <c r="F24" s="7" t="s">
        <v>11</v>
      </c>
      <c r="G24" s="7">
        <v>4</v>
      </c>
      <c r="H24" s="7">
        <v>3</v>
      </c>
      <c r="J24" s="9"/>
    </row>
    <row r="25" spans="1:10" x14ac:dyDescent="0.2">
      <c r="A25" s="7" t="s">
        <v>39</v>
      </c>
      <c r="B25" s="8">
        <v>42282</v>
      </c>
      <c r="C25" s="9">
        <v>44000</v>
      </c>
      <c r="D25" s="9">
        <v>6650.0000000000009</v>
      </c>
      <c r="E25" s="9">
        <v>60</v>
      </c>
      <c r="F25" s="7" t="s">
        <v>13</v>
      </c>
      <c r="G25" s="7">
        <v>6</v>
      </c>
      <c r="H25" s="7">
        <v>5</v>
      </c>
      <c r="J25" s="9"/>
    </row>
    <row r="26" spans="1:10" x14ac:dyDescent="0.2">
      <c r="A26" s="7" t="s">
        <v>40</v>
      </c>
      <c r="B26" s="8">
        <v>41833</v>
      </c>
      <c r="C26" s="9">
        <v>44000</v>
      </c>
      <c r="D26" s="9">
        <v>2650</v>
      </c>
      <c r="E26" s="9">
        <v>1660</v>
      </c>
      <c r="F26" s="7" t="s">
        <v>8</v>
      </c>
      <c r="G26" s="7">
        <v>2</v>
      </c>
      <c r="H26" s="7">
        <v>2</v>
      </c>
      <c r="J26" s="9"/>
    </row>
    <row r="27" spans="1:10" x14ac:dyDescent="0.2">
      <c r="A27" s="7" t="s">
        <v>41</v>
      </c>
      <c r="B27" s="8">
        <v>42256</v>
      </c>
      <c r="C27" s="9">
        <v>45000</v>
      </c>
      <c r="D27" s="9">
        <v>3100</v>
      </c>
      <c r="E27" s="9">
        <v>1700</v>
      </c>
      <c r="F27" s="7" t="s">
        <v>10</v>
      </c>
      <c r="G27" s="7">
        <v>1</v>
      </c>
      <c r="H27" s="7">
        <v>2</v>
      </c>
      <c r="J27" s="9"/>
    </row>
    <row r="28" spans="1:10" x14ac:dyDescent="0.2">
      <c r="A28" s="7" t="s">
        <v>42</v>
      </c>
      <c r="B28" s="8">
        <v>41947</v>
      </c>
      <c r="C28" s="9">
        <v>46000</v>
      </c>
      <c r="D28" s="9">
        <v>3570</v>
      </c>
      <c r="E28" s="9">
        <v>3840</v>
      </c>
      <c r="F28" s="7" t="s">
        <v>14</v>
      </c>
      <c r="G28" s="7">
        <v>5</v>
      </c>
      <c r="H28" s="7">
        <v>4</v>
      </c>
      <c r="J28" s="9"/>
    </row>
    <row r="29" spans="1:10" x14ac:dyDescent="0.2">
      <c r="A29" s="7" t="s">
        <v>43</v>
      </c>
      <c r="B29" s="8">
        <v>42101</v>
      </c>
      <c r="C29" s="9">
        <v>47000</v>
      </c>
      <c r="D29" s="9">
        <v>5780</v>
      </c>
      <c r="E29" s="9">
        <v>60</v>
      </c>
      <c r="F29" s="7" t="s">
        <v>16</v>
      </c>
      <c r="G29" s="7">
        <v>3</v>
      </c>
      <c r="H29" s="7">
        <v>2</v>
      </c>
      <c r="J29" s="9"/>
    </row>
    <row r="30" spans="1:10" x14ac:dyDescent="0.2">
      <c r="A30" s="7" t="s">
        <v>44</v>
      </c>
      <c r="B30" s="8">
        <v>42239</v>
      </c>
      <c r="C30" s="9">
        <v>47000</v>
      </c>
      <c r="D30" s="9">
        <v>43050</v>
      </c>
      <c r="E30" s="9">
        <v>60</v>
      </c>
      <c r="F30" s="7" t="s">
        <v>16</v>
      </c>
      <c r="G30" s="7">
        <v>4</v>
      </c>
      <c r="H30" s="7">
        <v>4</v>
      </c>
      <c r="J30" s="9"/>
    </row>
    <row r="31" spans="1:10" x14ac:dyDescent="0.2">
      <c r="A31" s="7" t="s">
        <v>45</v>
      </c>
      <c r="B31" s="8">
        <v>41729</v>
      </c>
      <c r="C31" s="9">
        <v>48000</v>
      </c>
      <c r="D31" s="9">
        <v>2370</v>
      </c>
      <c r="E31" s="9">
        <v>940</v>
      </c>
      <c r="F31" s="7" t="s">
        <v>8</v>
      </c>
      <c r="G31" s="7">
        <v>3</v>
      </c>
      <c r="H31" s="7">
        <v>4</v>
      </c>
      <c r="J31" s="9"/>
    </row>
    <row r="32" spans="1:10" x14ac:dyDescent="0.2">
      <c r="A32" s="7" t="s">
        <v>46</v>
      </c>
      <c r="B32" s="8">
        <v>41792</v>
      </c>
      <c r="C32" s="9">
        <v>49000</v>
      </c>
      <c r="D32" s="9">
        <v>38050</v>
      </c>
      <c r="E32" s="9">
        <v>60</v>
      </c>
      <c r="F32" s="7" t="s">
        <v>16</v>
      </c>
      <c r="G32" s="7">
        <v>2</v>
      </c>
      <c r="H32" s="7">
        <v>5</v>
      </c>
      <c r="J32" s="9"/>
    </row>
    <row r="33" spans="1:10" x14ac:dyDescent="0.2">
      <c r="A33" s="7" t="s">
        <v>47</v>
      </c>
      <c r="B33" s="8">
        <v>42003</v>
      </c>
      <c r="C33" s="9">
        <v>49000</v>
      </c>
      <c r="D33" s="9">
        <v>6900</v>
      </c>
      <c r="E33" s="9">
        <v>4560</v>
      </c>
      <c r="F33" s="7" t="s">
        <v>9</v>
      </c>
      <c r="G33" s="7">
        <v>1</v>
      </c>
      <c r="H33" s="7">
        <v>2</v>
      </c>
      <c r="J33" s="9"/>
    </row>
    <row r="34" spans="1:10" x14ac:dyDescent="0.2">
      <c r="A34" s="7" t="s">
        <v>48</v>
      </c>
      <c r="B34" s="8">
        <v>41902</v>
      </c>
      <c r="C34" s="9">
        <v>49000</v>
      </c>
      <c r="D34" s="9">
        <v>1950</v>
      </c>
      <c r="E34" s="9">
        <v>60</v>
      </c>
      <c r="F34" s="7" t="s">
        <v>15</v>
      </c>
      <c r="G34" s="7">
        <v>1</v>
      </c>
      <c r="H34" s="7">
        <v>5</v>
      </c>
      <c r="J34" s="9"/>
    </row>
    <row r="35" spans="1:10" x14ac:dyDescent="0.2">
      <c r="A35" s="7" t="s">
        <v>49</v>
      </c>
      <c r="B35" s="8">
        <v>41816</v>
      </c>
      <c r="C35" s="9">
        <v>50000</v>
      </c>
      <c r="D35" s="9">
        <v>3350</v>
      </c>
      <c r="E35" s="9">
        <v>60</v>
      </c>
      <c r="F35" s="7" t="s">
        <v>16</v>
      </c>
      <c r="G35" s="7">
        <v>6</v>
      </c>
      <c r="H35" s="7">
        <v>2</v>
      </c>
      <c r="J35" s="9"/>
    </row>
    <row r="36" spans="1:10" x14ac:dyDescent="0.2">
      <c r="A36" s="7" t="s">
        <v>50</v>
      </c>
      <c r="B36" s="8">
        <v>41781</v>
      </c>
      <c r="C36" s="9">
        <v>51000</v>
      </c>
      <c r="D36" s="9">
        <v>3870</v>
      </c>
      <c r="E36" s="9">
        <v>530</v>
      </c>
      <c r="F36" s="7" t="s">
        <v>10</v>
      </c>
      <c r="G36" s="7">
        <v>3</v>
      </c>
      <c r="H36" s="7">
        <v>5</v>
      </c>
      <c r="J36" s="9"/>
    </row>
    <row r="37" spans="1:10" x14ac:dyDescent="0.2">
      <c r="A37" s="7" t="s">
        <v>51</v>
      </c>
      <c r="B37" s="8">
        <v>41712</v>
      </c>
      <c r="C37" s="9">
        <v>52000</v>
      </c>
      <c r="D37" s="9">
        <v>6810</v>
      </c>
      <c r="E37" s="9">
        <v>4860</v>
      </c>
      <c r="F37" s="7" t="s">
        <v>14</v>
      </c>
      <c r="G37" s="7">
        <v>2</v>
      </c>
      <c r="H37" s="7">
        <v>3</v>
      </c>
      <c r="J37" s="9"/>
    </row>
    <row r="38" spans="1:10" x14ac:dyDescent="0.2">
      <c r="A38" s="7" t="s">
        <v>52</v>
      </c>
      <c r="B38" s="8">
        <v>42188</v>
      </c>
      <c r="C38" s="9">
        <v>52000</v>
      </c>
      <c r="D38" s="9">
        <v>4890</v>
      </c>
      <c r="E38" s="9">
        <v>4380</v>
      </c>
      <c r="F38" s="7" t="s">
        <v>8</v>
      </c>
      <c r="G38" s="7">
        <v>5</v>
      </c>
      <c r="H38" s="7">
        <v>5</v>
      </c>
      <c r="J38" s="9"/>
    </row>
    <row r="39" spans="1:10" x14ac:dyDescent="0.2">
      <c r="A39" s="7" t="s">
        <v>53</v>
      </c>
      <c r="B39" s="8">
        <v>42269</v>
      </c>
      <c r="C39" s="9">
        <v>52000</v>
      </c>
      <c r="D39" s="9">
        <v>7770.0000000000009</v>
      </c>
      <c r="E39" s="9">
        <v>2460</v>
      </c>
      <c r="F39" s="7" t="s">
        <v>14</v>
      </c>
      <c r="G39" s="7">
        <v>5</v>
      </c>
      <c r="H39" s="7">
        <v>3</v>
      </c>
      <c r="J39" s="9"/>
    </row>
    <row r="40" spans="1:10" x14ac:dyDescent="0.2">
      <c r="A40" s="7" t="s">
        <v>54</v>
      </c>
      <c r="B40" s="8">
        <v>41870</v>
      </c>
      <c r="C40" s="9">
        <v>52000</v>
      </c>
      <c r="D40" s="9">
        <v>7290</v>
      </c>
      <c r="E40" s="9">
        <v>540</v>
      </c>
      <c r="F40" s="7" t="s">
        <v>11</v>
      </c>
      <c r="G40" s="7">
        <v>3</v>
      </c>
      <c r="H40" s="7">
        <v>1</v>
      </c>
      <c r="J40" s="9"/>
    </row>
    <row r="41" spans="1:10" x14ac:dyDescent="0.2">
      <c r="A41" s="7" t="s">
        <v>55</v>
      </c>
      <c r="B41" s="8">
        <v>41723</v>
      </c>
      <c r="C41" s="9">
        <v>52000</v>
      </c>
      <c r="D41" s="9">
        <v>5850</v>
      </c>
      <c r="E41" s="9">
        <v>3420.0000000000005</v>
      </c>
      <c r="F41" s="7" t="s">
        <v>12</v>
      </c>
      <c r="G41" s="7">
        <v>2</v>
      </c>
      <c r="H41" s="7">
        <v>5</v>
      </c>
      <c r="J41" s="9"/>
    </row>
    <row r="42" spans="1:10" x14ac:dyDescent="0.2">
      <c r="A42" s="7" t="s">
        <v>56</v>
      </c>
      <c r="B42" s="8">
        <v>41628</v>
      </c>
      <c r="C42" s="9">
        <v>55000</v>
      </c>
      <c r="D42" s="9">
        <v>7680</v>
      </c>
      <c r="E42" s="9">
        <v>2100</v>
      </c>
      <c r="F42" s="7" t="s">
        <v>10</v>
      </c>
      <c r="G42" s="7">
        <v>1</v>
      </c>
      <c r="H42" s="7">
        <v>3</v>
      </c>
      <c r="J42" s="9"/>
    </row>
    <row r="43" spans="1:10" x14ac:dyDescent="0.2">
      <c r="A43" s="7" t="s">
        <v>57</v>
      </c>
      <c r="B43" s="8">
        <v>41968</v>
      </c>
      <c r="C43" s="9">
        <v>56000</v>
      </c>
      <c r="D43" s="9">
        <v>2610</v>
      </c>
      <c r="E43" s="9">
        <v>3700.0000000000005</v>
      </c>
      <c r="F43" s="7" t="s">
        <v>12</v>
      </c>
      <c r="G43" s="7">
        <v>6</v>
      </c>
      <c r="H43" s="7">
        <v>2</v>
      </c>
      <c r="J43" s="9"/>
    </row>
    <row r="44" spans="1:10" x14ac:dyDescent="0.2">
      <c r="A44" s="7" t="s">
        <v>58</v>
      </c>
      <c r="B44" s="8">
        <v>42114</v>
      </c>
      <c r="C44" s="9">
        <v>57000</v>
      </c>
      <c r="D44" s="9">
        <v>36050</v>
      </c>
      <c r="E44" s="9">
        <v>60</v>
      </c>
      <c r="F44" s="7" t="s">
        <v>16</v>
      </c>
      <c r="G44" s="7">
        <v>5</v>
      </c>
      <c r="H44" s="7">
        <v>5</v>
      </c>
      <c r="J44" s="9"/>
    </row>
    <row r="45" spans="1:10" x14ac:dyDescent="0.2">
      <c r="A45" s="7" t="s">
        <v>59</v>
      </c>
      <c r="B45" s="8">
        <v>41585</v>
      </c>
      <c r="C45" s="9">
        <v>57000</v>
      </c>
      <c r="D45" s="9">
        <v>6350</v>
      </c>
      <c r="E45" s="9">
        <v>590</v>
      </c>
      <c r="F45" s="7" t="s">
        <v>11</v>
      </c>
      <c r="G45" s="7">
        <v>2</v>
      </c>
      <c r="H45" s="7">
        <v>1</v>
      </c>
      <c r="J45" s="9"/>
    </row>
    <row r="46" spans="1:10" x14ac:dyDescent="0.2">
      <c r="A46" s="7" t="s">
        <v>60</v>
      </c>
      <c r="B46" s="8">
        <v>41769</v>
      </c>
      <c r="C46" s="9">
        <v>58000</v>
      </c>
      <c r="D46" s="9">
        <v>6450</v>
      </c>
      <c r="E46" s="9">
        <v>3840.0000000000005</v>
      </c>
      <c r="F46" s="7" t="s">
        <v>9</v>
      </c>
      <c r="G46" s="7">
        <v>3</v>
      </c>
      <c r="H46" s="7">
        <v>2</v>
      </c>
      <c r="J46" s="9"/>
    </row>
    <row r="47" spans="1:10" x14ac:dyDescent="0.2">
      <c r="A47" s="7" t="s">
        <v>61</v>
      </c>
      <c r="B47" s="8">
        <v>41727</v>
      </c>
      <c r="C47" s="9">
        <v>58000</v>
      </c>
      <c r="D47" s="9">
        <v>2670</v>
      </c>
      <c r="E47" s="9">
        <v>4380</v>
      </c>
      <c r="F47" s="7" t="s">
        <v>9</v>
      </c>
      <c r="G47" s="7">
        <v>1</v>
      </c>
      <c r="H47" s="7">
        <v>2</v>
      </c>
      <c r="J47" s="9"/>
    </row>
    <row r="48" spans="1:10" x14ac:dyDescent="0.2">
      <c r="A48" s="7" t="s">
        <v>62</v>
      </c>
      <c r="B48" s="8">
        <v>42214</v>
      </c>
      <c r="C48" s="9">
        <v>58000</v>
      </c>
      <c r="D48" s="9">
        <v>6450</v>
      </c>
      <c r="E48" s="9">
        <v>4920</v>
      </c>
      <c r="F48" s="7" t="s">
        <v>14</v>
      </c>
      <c r="G48" s="7">
        <v>3</v>
      </c>
      <c r="H48" s="7">
        <v>5</v>
      </c>
      <c r="J48" s="9"/>
    </row>
    <row r="49" spans="1:10" x14ac:dyDescent="0.2">
      <c r="A49" s="7" t="s">
        <v>63</v>
      </c>
      <c r="B49" s="8">
        <v>42254</v>
      </c>
      <c r="C49" s="9">
        <v>58000</v>
      </c>
      <c r="D49" s="9">
        <v>9150</v>
      </c>
      <c r="E49" s="9">
        <v>1680</v>
      </c>
      <c r="F49" s="7" t="s">
        <v>12</v>
      </c>
      <c r="G49" s="7">
        <v>3</v>
      </c>
      <c r="H49" s="7">
        <v>1</v>
      </c>
      <c r="J49" s="9"/>
    </row>
    <row r="50" spans="1:10" x14ac:dyDescent="0.2">
      <c r="A50" s="7" t="s">
        <v>64</v>
      </c>
      <c r="B50" s="8">
        <v>42063</v>
      </c>
      <c r="C50" s="9">
        <v>59000</v>
      </c>
      <c r="D50" s="9">
        <v>2150</v>
      </c>
      <c r="E50" s="9">
        <v>60</v>
      </c>
      <c r="F50" s="7" t="s">
        <v>15</v>
      </c>
      <c r="G50" s="7">
        <v>5</v>
      </c>
      <c r="H50" s="7">
        <v>3</v>
      </c>
      <c r="J50" s="9"/>
    </row>
    <row r="51" spans="1:10" x14ac:dyDescent="0.2">
      <c r="A51" s="7" t="s">
        <v>65</v>
      </c>
      <c r="B51" s="8">
        <v>41870</v>
      </c>
      <c r="C51" s="9">
        <v>61000</v>
      </c>
      <c r="D51" s="9">
        <v>5040</v>
      </c>
      <c r="E51" s="9">
        <v>630</v>
      </c>
      <c r="F51" s="7" t="s">
        <v>8</v>
      </c>
      <c r="G51" s="7">
        <v>3</v>
      </c>
      <c r="H51" s="7">
        <v>3</v>
      </c>
      <c r="J51" s="9"/>
    </row>
    <row r="52" spans="1:10" x14ac:dyDescent="0.2">
      <c r="A52" s="7" t="s">
        <v>66</v>
      </c>
      <c r="B52" s="8">
        <v>41839</v>
      </c>
      <c r="C52" s="9">
        <v>61000</v>
      </c>
      <c r="D52" s="9">
        <v>6180</v>
      </c>
      <c r="E52" s="9">
        <v>3480</v>
      </c>
      <c r="F52" s="7" t="s">
        <v>11</v>
      </c>
      <c r="G52" s="7">
        <v>6</v>
      </c>
      <c r="H52" s="7">
        <v>1</v>
      </c>
      <c r="J52" s="9"/>
    </row>
    <row r="53" spans="1:10" x14ac:dyDescent="0.2">
      <c r="A53" s="7" t="s">
        <v>67</v>
      </c>
      <c r="B53" s="8">
        <v>42148</v>
      </c>
      <c r="C53" s="9">
        <v>62000</v>
      </c>
      <c r="D53" s="9">
        <v>6270</v>
      </c>
      <c r="E53" s="9">
        <v>5280</v>
      </c>
      <c r="F53" s="7" t="s">
        <v>8</v>
      </c>
      <c r="G53" s="7">
        <v>6</v>
      </c>
      <c r="H53" s="7">
        <v>4</v>
      </c>
      <c r="J53" s="9"/>
    </row>
    <row r="54" spans="1:10" x14ac:dyDescent="0.2">
      <c r="A54" s="7" t="s">
        <v>68</v>
      </c>
      <c r="B54" s="8">
        <v>41778</v>
      </c>
      <c r="C54" s="9">
        <v>63000</v>
      </c>
      <c r="D54" s="9">
        <v>9900</v>
      </c>
      <c r="E54" s="9">
        <v>60</v>
      </c>
      <c r="F54" s="7" t="s">
        <v>10</v>
      </c>
      <c r="G54" s="7">
        <v>2</v>
      </c>
      <c r="H54" s="7">
        <v>4</v>
      </c>
      <c r="J54" s="9"/>
    </row>
    <row r="55" spans="1:10" x14ac:dyDescent="0.2">
      <c r="A55" s="7" t="s">
        <v>69</v>
      </c>
      <c r="B55" s="8">
        <v>42033</v>
      </c>
      <c r="C55" s="9">
        <v>63000</v>
      </c>
      <c r="D55" s="9">
        <v>6950</v>
      </c>
      <c r="E55" s="9">
        <v>60</v>
      </c>
      <c r="F55" s="7" t="s">
        <v>15</v>
      </c>
      <c r="G55" s="7">
        <v>6</v>
      </c>
      <c r="H55" s="7">
        <v>4</v>
      </c>
      <c r="J55" s="9"/>
    </row>
    <row r="56" spans="1:10" x14ac:dyDescent="0.2">
      <c r="A56" s="7" t="s">
        <v>70</v>
      </c>
      <c r="B56" s="8">
        <v>41952</v>
      </c>
      <c r="C56" s="9">
        <v>63000</v>
      </c>
      <c r="D56" s="9">
        <v>6360</v>
      </c>
      <c r="E56" s="9">
        <v>650</v>
      </c>
      <c r="F56" s="7" t="s">
        <v>15</v>
      </c>
      <c r="G56" s="7">
        <v>1</v>
      </c>
      <c r="H56" s="7">
        <v>5</v>
      </c>
      <c r="J56" s="9"/>
    </row>
    <row r="57" spans="1:10" x14ac:dyDescent="0.2">
      <c r="A57" s="7" t="s">
        <v>71</v>
      </c>
      <c r="B57" s="8">
        <v>42175</v>
      </c>
      <c r="C57" s="9">
        <v>63000</v>
      </c>
      <c r="D57" s="9">
        <v>8130</v>
      </c>
      <c r="E57" s="9">
        <v>1240</v>
      </c>
      <c r="F57" s="7" t="s">
        <v>13</v>
      </c>
      <c r="G57" s="7">
        <v>3</v>
      </c>
      <c r="H57" s="7">
        <v>2</v>
      </c>
      <c r="J57" s="9"/>
    </row>
    <row r="58" spans="1:10" x14ac:dyDescent="0.2">
      <c r="A58" s="7" t="s">
        <v>72</v>
      </c>
      <c r="B58" s="8">
        <v>41940</v>
      </c>
      <c r="C58" s="9">
        <v>64000</v>
      </c>
      <c r="D58" s="9">
        <v>9450</v>
      </c>
      <c r="E58" s="9">
        <v>60</v>
      </c>
      <c r="F58" s="7" t="s">
        <v>16</v>
      </c>
      <c r="G58" s="7">
        <v>5</v>
      </c>
      <c r="H58" s="7">
        <v>5</v>
      </c>
      <c r="J58" s="9"/>
    </row>
    <row r="59" spans="1:10" x14ac:dyDescent="0.2">
      <c r="A59" s="7" t="s">
        <v>73</v>
      </c>
      <c r="B59" s="8">
        <v>41805</v>
      </c>
      <c r="C59" s="9">
        <v>66000</v>
      </c>
      <c r="D59" s="9">
        <v>9110</v>
      </c>
      <c r="E59" s="9">
        <v>3160</v>
      </c>
      <c r="F59" s="7" t="s">
        <v>12</v>
      </c>
      <c r="G59" s="7">
        <v>6</v>
      </c>
      <c r="H59" s="7">
        <v>5</v>
      </c>
      <c r="J59" s="9"/>
    </row>
    <row r="60" spans="1:10" x14ac:dyDescent="0.2">
      <c r="A60" s="7" t="s">
        <v>74</v>
      </c>
      <c r="B60" s="8">
        <v>41730</v>
      </c>
      <c r="C60" s="9">
        <v>66000</v>
      </c>
      <c r="D60" s="9">
        <v>9110</v>
      </c>
      <c r="E60" s="9">
        <v>1300</v>
      </c>
      <c r="F60" s="7" t="s">
        <v>8</v>
      </c>
      <c r="G60" s="7">
        <v>5</v>
      </c>
      <c r="H60" s="7">
        <v>2</v>
      </c>
      <c r="J60" s="9"/>
    </row>
    <row r="61" spans="1:10" x14ac:dyDescent="0.2">
      <c r="A61" s="7" t="s">
        <v>75</v>
      </c>
      <c r="B61" s="8">
        <v>42205</v>
      </c>
      <c r="C61" s="9">
        <v>67000</v>
      </c>
      <c r="D61" s="9">
        <v>8610</v>
      </c>
      <c r="E61" s="9">
        <v>4470</v>
      </c>
      <c r="F61" s="7" t="s">
        <v>15</v>
      </c>
      <c r="G61" s="7">
        <v>1</v>
      </c>
      <c r="H61" s="7">
        <v>3</v>
      </c>
      <c r="J61" s="9"/>
    </row>
    <row r="62" spans="1:10" x14ac:dyDescent="0.2">
      <c r="A62" s="7" t="s">
        <v>76</v>
      </c>
      <c r="B62" s="8">
        <v>42066</v>
      </c>
      <c r="C62" s="9">
        <v>67000</v>
      </c>
      <c r="D62" s="9">
        <v>8610</v>
      </c>
      <c r="E62" s="9">
        <v>60</v>
      </c>
      <c r="F62" s="7" t="s">
        <v>15</v>
      </c>
      <c r="G62" s="7">
        <v>3</v>
      </c>
      <c r="H62" s="7">
        <v>2</v>
      </c>
      <c r="J62" s="9"/>
    </row>
    <row r="63" spans="1:10" x14ac:dyDescent="0.2">
      <c r="A63" s="7" t="s">
        <v>77</v>
      </c>
      <c r="B63" s="8">
        <v>42163</v>
      </c>
      <c r="C63" s="9">
        <v>67000</v>
      </c>
      <c r="D63" s="9">
        <v>4200</v>
      </c>
      <c r="E63" s="9">
        <v>3840</v>
      </c>
      <c r="F63" s="7" t="s">
        <v>14</v>
      </c>
      <c r="G63" s="7">
        <v>4</v>
      </c>
      <c r="H63" s="7">
        <v>3</v>
      </c>
      <c r="J63" s="9"/>
    </row>
    <row r="64" spans="1:10" x14ac:dyDescent="0.2">
      <c r="A64" s="7" t="s">
        <v>78</v>
      </c>
      <c r="B64" s="8">
        <v>41752</v>
      </c>
      <c r="C64" s="9">
        <v>68000</v>
      </c>
      <c r="D64" s="9">
        <v>3610</v>
      </c>
      <c r="E64" s="9">
        <v>60</v>
      </c>
      <c r="F64" s="7" t="s">
        <v>9</v>
      </c>
      <c r="G64" s="7">
        <v>4</v>
      </c>
      <c r="H64" s="7">
        <v>1</v>
      </c>
      <c r="J64" s="9"/>
    </row>
    <row r="65" spans="1:10" x14ac:dyDescent="0.2">
      <c r="A65" s="7" t="s">
        <v>79</v>
      </c>
      <c r="B65" s="8">
        <v>41604</v>
      </c>
      <c r="C65" s="9">
        <v>68000</v>
      </c>
      <c r="D65" s="9">
        <v>9370</v>
      </c>
      <c r="E65" s="9">
        <v>5180</v>
      </c>
      <c r="F65" s="7" t="s">
        <v>9</v>
      </c>
      <c r="G65" s="7">
        <v>5</v>
      </c>
      <c r="H65" s="7">
        <v>1</v>
      </c>
      <c r="J65" s="9"/>
    </row>
    <row r="66" spans="1:10" x14ac:dyDescent="0.2">
      <c r="A66" s="7" t="s">
        <v>80</v>
      </c>
      <c r="B66" s="8">
        <v>41747</v>
      </c>
      <c r="C66" s="9">
        <v>68000</v>
      </c>
      <c r="D66" s="9">
        <v>6810</v>
      </c>
      <c r="E66" s="9">
        <v>60</v>
      </c>
      <c r="F66" s="7" t="s">
        <v>15</v>
      </c>
      <c r="G66" s="7">
        <v>1</v>
      </c>
      <c r="H66" s="7">
        <v>3</v>
      </c>
      <c r="J66" s="9"/>
    </row>
    <row r="67" spans="1:10" x14ac:dyDescent="0.2">
      <c r="A67" s="7" t="s">
        <v>81</v>
      </c>
      <c r="B67" s="8">
        <v>41858</v>
      </c>
      <c r="C67" s="9">
        <v>69000</v>
      </c>
      <c r="D67" s="9">
        <v>4950</v>
      </c>
      <c r="E67" s="9">
        <v>60</v>
      </c>
      <c r="F67" s="7" t="s">
        <v>11</v>
      </c>
      <c r="G67" s="7">
        <v>6</v>
      </c>
      <c r="H67" s="7">
        <v>5</v>
      </c>
      <c r="J67" s="9"/>
    </row>
    <row r="68" spans="1:10" x14ac:dyDescent="0.2">
      <c r="A68" s="7" t="s">
        <v>82</v>
      </c>
      <c r="B68" s="8">
        <v>41778</v>
      </c>
      <c r="C68" s="9">
        <v>69000</v>
      </c>
      <c r="D68" s="9">
        <v>2350</v>
      </c>
      <c r="E68" s="9">
        <v>1360</v>
      </c>
      <c r="F68" s="7" t="s">
        <v>10</v>
      </c>
      <c r="G68" s="7">
        <v>4</v>
      </c>
      <c r="H68" s="7">
        <v>2</v>
      </c>
      <c r="J68" s="9"/>
    </row>
    <row r="69" spans="1:10" x14ac:dyDescent="0.2">
      <c r="A69" s="7" t="s">
        <v>83</v>
      </c>
      <c r="B69" s="8">
        <v>42231</v>
      </c>
      <c r="C69" s="9">
        <v>70000</v>
      </c>
      <c r="D69" s="9">
        <v>3690</v>
      </c>
      <c r="E69" s="9">
        <v>1380</v>
      </c>
      <c r="F69" s="7" t="s">
        <v>14</v>
      </c>
      <c r="G69" s="7">
        <v>1</v>
      </c>
      <c r="H69" s="7">
        <v>3</v>
      </c>
      <c r="J69" s="9"/>
    </row>
    <row r="70" spans="1:10" x14ac:dyDescent="0.2">
      <c r="A70" s="7" t="s">
        <v>84</v>
      </c>
      <c r="B70" s="8">
        <v>41590</v>
      </c>
      <c r="C70" s="9">
        <v>70000</v>
      </c>
      <c r="D70" s="9">
        <v>2370</v>
      </c>
      <c r="E70" s="9">
        <v>2040</v>
      </c>
      <c r="F70" s="7" t="s">
        <v>11</v>
      </c>
      <c r="G70" s="7">
        <v>3</v>
      </c>
      <c r="H70" s="7">
        <v>4</v>
      </c>
      <c r="J70" s="9"/>
    </row>
    <row r="71" spans="1:10" x14ac:dyDescent="0.2">
      <c r="A71" s="7" t="s">
        <v>85</v>
      </c>
      <c r="B71" s="8">
        <v>41936</v>
      </c>
      <c r="C71" s="9">
        <v>71000</v>
      </c>
      <c r="D71" s="9">
        <v>42050</v>
      </c>
      <c r="E71" s="9">
        <v>60</v>
      </c>
      <c r="F71" s="7" t="s">
        <v>16</v>
      </c>
      <c r="G71" s="7">
        <v>2</v>
      </c>
      <c r="H71" s="7">
        <v>3</v>
      </c>
      <c r="J71" s="9"/>
    </row>
    <row r="72" spans="1:10" x14ac:dyDescent="0.2">
      <c r="A72" s="7" t="s">
        <v>86</v>
      </c>
      <c r="B72" s="8">
        <v>41672</v>
      </c>
      <c r="C72" s="9">
        <v>71000</v>
      </c>
      <c r="D72" s="9">
        <v>9090</v>
      </c>
      <c r="E72" s="9">
        <v>3410</v>
      </c>
      <c r="F72" s="7" t="s">
        <v>8</v>
      </c>
      <c r="G72" s="7">
        <v>3</v>
      </c>
      <c r="H72" s="7">
        <v>1</v>
      </c>
      <c r="J72" s="9"/>
    </row>
    <row r="73" spans="1:10" x14ac:dyDescent="0.2">
      <c r="A73" s="7" t="s">
        <v>87</v>
      </c>
      <c r="B73" s="8">
        <v>42087</v>
      </c>
      <c r="C73" s="9">
        <v>72000</v>
      </c>
      <c r="D73" s="9">
        <v>9890</v>
      </c>
      <c r="E73" s="9">
        <v>5500</v>
      </c>
      <c r="F73" s="7" t="s">
        <v>10</v>
      </c>
      <c r="G73" s="7">
        <v>3</v>
      </c>
      <c r="H73" s="7">
        <v>3</v>
      </c>
      <c r="J73" s="9"/>
    </row>
    <row r="74" spans="1:10" x14ac:dyDescent="0.2">
      <c r="A74" s="7" t="s">
        <v>88</v>
      </c>
      <c r="B74" s="8">
        <v>41733</v>
      </c>
      <c r="C74" s="9">
        <v>76000</v>
      </c>
      <c r="D74" s="9">
        <v>3930</v>
      </c>
      <c r="E74" s="9">
        <v>6540</v>
      </c>
      <c r="F74" s="7" t="s">
        <v>12</v>
      </c>
      <c r="G74" s="7">
        <v>2</v>
      </c>
      <c r="H74" s="7">
        <v>1</v>
      </c>
      <c r="J74" s="9"/>
    </row>
    <row r="75" spans="1:10" x14ac:dyDescent="0.2">
      <c r="A75" s="7" t="s">
        <v>89</v>
      </c>
      <c r="B75" s="8">
        <v>41847</v>
      </c>
      <c r="C75" s="9">
        <v>76000</v>
      </c>
      <c r="D75" s="9">
        <v>3210</v>
      </c>
      <c r="E75" s="9">
        <v>2940</v>
      </c>
      <c r="F75" s="7" t="s">
        <v>14</v>
      </c>
      <c r="G75" s="7">
        <v>4</v>
      </c>
      <c r="H75" s="7">
        <v>5</v>
      </c>
      <c r="J75" s="9"/>
    </row>
    <row r="76" spans="1:10" x14ac:dyDescent="0.2">
      <c r="A76" s="7" t="s">
        <v>90</v>
      </c>
      <c r="B76" s="8">
        <v>41877</v>
      </c>
      <c r="C76" s="9">
        <v>77000</v>
      </c>
      <c r="D76" s="9">
        <v>2510</v>
      </c>
      <c r="E76" s="9">
        <v>5170.0000000000009</v>
      </c>
      <c r="F76" s="7" t="s">
        <v>15</v>
      </c>
      <c r="G76" s="7">
        <v>6</v>
      </c>
      <c r="H76" s="7">
        <v>1</v>
      </c>
      <c r="J76" s="9"/>
    </row>
    <row r="77" spans="1:10" x14ac:dyDescent="0.2">
      <c r="A77" s="7" t="s">
        <v>91</v>
      </c>
      <c r="B77" s="8">
        <v>41585</v>
      </c>
      <c r="C77" s="9">
        <v>78000</v>
      </c>
      <c r="D77" s="9">
        <v>9190</v>
      </c>
      <c r="E77" s="9">
        <v>2280</v>
      </c>
      <c r="F77" s="7" t="s">
        <v>14</v>
      </c>
      <c r="G77" s="7">
        <v>4</v>
      </c>
      <c r="H77" s="7">
        <v>1</v>
      </c>
      <c r="J77" s="9"/>
    </row>
    <row r="78" spans="1:10" x14ac:dyDescent="0.2">
      <c r="A78" s="7" t="s">
        <v>92</v>
      </c>
      <c r="B78" s="8">
        <v>42156</v>
      </c>
      <c r="C78" s="9">
        <v>79000</v>
      </c>
      <c r="D78" s="9">
        <v>10800</v>
      </c>
      <c r="E78" s="9">
        <v>1560</v>
      </c>
      <c r="F78" s="7" t="s">
        <v>9</v>
      </c>
      <c r="G78" s="7">
        <v>4</v>
      </c>
      <c r="H78" s="7">
        <v>1</v>
      </c>
      <c r="J78" s="9"/>
    </row>
    <row r="79" spans="1:10" x14ac:dyDescent="0.2">
      <c r="A79" s="7" t="s">
        <v>93</v>
      </c>
      <c r="B79" s="8">
        <v>41862</v>
      </c>
      <c r="C79" s="9">
        <v>80000</v>
      </c>
      <c r="D79" s="9">
        <v>8650</v>
      </c>
      <c r="E79" s="9">
        <v>2340</v>
      </c>
      <c r="F79" s="7" t="s">
        <v>12</v>
      </c>
      <c r="G79" s="7">
        <v>4</v>
      </c>
      <c r="H79" s="7">
        <v>1</v>
      </c>
      <c r="J79" s="9"/>
    </row>
    <row r="80" spans="1:10" x14ac:dyDescent="0.2">
      <c r="A80" s="7" t="s">
        <v>94</v>
      </c>
      <c r="B80" s="8">
        <v>41740</v>
      </c>
      <c r="C80" s="9">
        <v>81000</v>
      </c>
      <c r="D80" s="9">
        <v>12600</v>
      </c>
      <c r="E80" s="9">
        <v>60</v>
      </c>
      <c r="F80" s="7" t="s">
        <v>15</v>
      </c>
      <c r="G80" s="7">
        <v>4</v>
      </c>
      <c r="H80" s="7">
        <v>4</v>
      </c>
      <c r="J80" s="9"/>
    </row>
    <row r="81" spans="1:10" x14ac:dyDescent="0.2">
      <c r="A81" s="7" t="s">
        <v>95</v>
      </c>
      <c r="B81" s="8">
        <v>41825</v>
      </c>
      <c r="C81" s="9">
        <v>81000</v>
      </c>
      <c r="D81" s="9">
        <v>6440.0000000000009</v>
      </c>
      <c r="E81" s="9">
        <v>60</v>
      </c>
      <c r="F81" s="7" t="s">
        <v>12</v>
      </c>
      <c r="G81" s="7">
        <v>6</v>
      </c>
      <c r="H81" s="7">
        <v>1</v>
      </c>
      <c r="J81" s="9"/>
    </row>
    <row r="82" spans="1:10" x14ac:dyDescent="0.2">
      <c r="A82" s="7" t="s">
        <v>96</v>
      </c>
      <c r="B82" s="8">
        <v>41884</v>
      </c>
      <c r="C82" s="9">
        <v>81000</v>
      </c>
      <c r="D82" s="9">
        <v>29050</v>
      </c>
      <c r="E82" s="9">
        <v>60</v>
      </c>
      <c r="F82" s="7" t="s">
        <v>16</v>
      </c>
      <c r="G82" s="7">
        <v>5</v>
      </c>
      <c r="H82" s="7">
        <v>5</v>
      </c>
      <c r="J82" s="9"/>
    </row>
    <row r="83" spans="1:10" x14ac:dyDescent="0.2">
      <c r="A83" s="7" t="s">
        <v>97</v>
      </c>
      <c r="B83" s="8">
        <v>41727</v>
      </c>
      <c r="C83" s="9">
        <v>84000</v>
      </c>
      <c r="D83" s="9">
        <v>53050</v>
      </c>
      <c r="E83" s="9">
        <v>60</v>
      </c>
      <c r="F83" s="7" t="s">
        <v>16</v>
      </c>
      <c r="G83" s="7">
        <v>5</v>
      </c>
      <c r="H83" s="7">
        <v>5</v>
      </c>
      <c r="J83" s="9"/>
    </row>
    <row r="84" spans="1:10" x14ac:dyDescent="0.2">
      <c r="A84" s="7" t="s">
        <v>98</v>
      </c>
      <c r="B84" s="8">
        <v>41708</v>
      </c>
      <c r="C84" s="9">
        <v>85000</v>
      </c>
      <c r="D84" s="9">
        <v>5910</v>
      </c>
      <c r="E84" s="9">
        <v>60</v>
      </c>
      <c r="F84" s="7" t="s">
        <v>13</v>
      </c>
      <c r="G84" s="7">
        <v>3</v>
      </c>
      <c r="H84" s="7">
        <v>5</v>
      </c>
      <c r="J84" s="9"/>
    </row>
    <row r="85" spans="1:10" x14ac:dyDescent="0.2">
      <c r="A85" s="7" t="s">
        <v>99</v>
      </c>
      <c r="B85" s="8">
        <v>42001</v>
      </c>
      <c r="C85" s="9">
        <v>87000</v>
      </c>
      <c r="D85" s="9">
        <v>33050</v>
      </c>
      <c r="E85" s="9">
        <v>60</v>
      </c>
      <c r="F85" s="7" t="s">
        <v>16</v>
      </c>
      <c r="G85" s="7">
        <v>6</v>
      </c>
      <c r="H85" s="7">
        <v>2</v>
      </c>
      <c r="J85" s="9"/>
    </row>
    <row r="86" spans="1:10" x14ac:dyDescent="0.2">
      <c r="A86" s="7" t="s">
        <v>100</v>
      </c>
      <c r="B86" s="8">
        <v>41848</v>
      </c>
      <c r="C86" s="9">
        <v>89000</v>
      </c>
      <c r="D86" s="9">
        <v>2750</v>
      </c>
      <c r="E86" s="9">
        <v>60</v>
      </c>
      <c r="F86" s="7" t="s">
        <v>15</v>
      </c>
      <c r="G86" s="7">
        <v>2</v>
      </c>
      <c r="H86" s="7">
        <v>4</v>
      </c>
      <c r="J86" s="9"/>
    </row>
    <row r="87" spans="1:10" x14ac:dyDescent="0.2">
      <c r="A87" s="7" t="s">
        <v>101</v>
      </c>
      <c r="B87" s="8">
        <v>41590</v>
      </c>
      <c r="C87" s="9">
        <v>89000</v>
      </c>
      <c r="D87" s="9">
        <v>10400</v>
      </c>
      <c r="E87" s="9">
        <v>60</v>
      </c>
      <c r="F87" s="7" t="s">
        <v>15</v>
      </c>
      <c r="G87" s="7">
        <v>1</v>
      </c>
      <c r="H87" s="7">
        <v>5</v>
      </c>
      <c r="J87" s="9"/>
    </row>
    <row r="88" spans="1:10" x14ac:dyDescent="0.2">
      <c r="A88" s="7" t="s">
        <v>102</v>
      </c>
      <c r="B88" s="8">
        <v>42184</v>
      </c>
      <c r="C88" s="9">
        <v>89000</v>
      </c>
      <c r="D88" s="9">
        <v>10400</v>
      </c>
      <c r="E88" s="9">
        <v>60</v>
      </c>
      <c r="F88" s="7" t="s">
        <v>15</v>
      </c>
      <c r="G88" s="7">
        <v>4</v>
      </c>
      <c r="H88" s="7">
        <v>4</v>
      </c>
      <c r="J88" s="9"/>
    </row>
    <row r="89" spans="1:10" x14ac:dyDescent="0.2">
      <c r="A89" s="7" t="s">
        <v>103</v>
      </c>
      <c r="B89" s="8">
        <v>41810</v>
      </c>
      <c r="C89" s="9">
        <v>91000</v>
      </c>
      <c r="D89" s="9">
        <v>8880</v>
      </c>
      <c r="E89" s="9">
        <v>7890</v>
      </c>
      <c r="F89" s="7" t="s">
        <v>13</v>
      </c>
      <c r="G89" s="7">
        <v>2</v>
      </c>
      <c r="H89" s="7">
        <v>4</v>
      </c>
      <c r="J89" s="9"/>
    </row>
    <row r="90" spans="1:10" x14ac:dyDescent="0.2">
      <c r="A90" s="7" t="s">
        <v>104</v>
      </c>
      <c r="B90" s="8">
        <v>42010</v>
      </c>
      <c r="C90" s="9">
        <v>91000</v>
      </c>
      <c r="D90" s="9">
        <v>14100</v>
      </c>
      <c r="E90" s="9">
        <v>7020</v>
      </c>
      <c r="F90" s="7" t="s">
        <v>11</v>
      </c>
      <c r="G90" s="7">
        <v>4</v>
      </c>
      <c r="H90" s="7">
        <v>1</v>
      </c>
      <c r="J90" s="9"/>
    </row>
    <row r="91" spans="1:10" x14ac:dyDescent="0.2">
      <c r="A91" s="7" t="s">
        <v>105</v>
      </c>
      <c r="B91" s="8">
        <v>41793</v>
      </c>
      <c r="C91" s="9">
        <v>93000</v>
      </c>
      <c r="D91" s="9">
        <v>9060</v>
      </c>
      <c r="E91" s="9">
        <v>60</v>
      </c>
      <c r="F91" s="7" t="s">
        <v>11</v>
      </c>
      <c r="G91" s="7">
        <v>3</v>
      </c>
      <c r="H91" s="7">
        <v>3</v>
      </c>
      <c r="J91" s="9"/>
    </row>
    <row r="92" spans="1:10" x14ac:dyDescent="0.2">
      <c r="A92" s="7" t="s">
        <v>106</v>
      </c>
      <c r="B92" s="8">
        <v>41934</v>
      </c>
      <c r="C92" s="9">
        <v>98000</v>
      </c>
      <c r="D92" s="9">
        <v>6690</v>
      </c>
      <c r="E92" s="9">
        <v>60</v>
      </c>
      <c r="F92" s="7" t="s">
        <v>10</v>
      </c>
      <c r="G92" s="7">
        <v>3</v>
      </c>
      <c r="H92" s="7">
        <v>1</v>
      </c>
      <c r="J92" s="9"/>
    </row>
    <row r="93" spans="1:10" x14ac:dyDescent="0.2">
      <c r="A93" s="7" t="s">
        <v>107</v>
      </c>
      <c r="B93" s="8">
        <v>41973</v>
      </c>
      <c r="C93" s="9">
        <v>100000</v>
      </c>
      <c r="D93" s="9">
        <v>5850</v>
      </c>
      <c r="E93" s="9">
        <v>7740</v>
      </c>
      <c r="F93" s="7" t="s">
        <v>8</v>
      </c>
      <c r="G93" s="7">
        <v>3</v>
      </c>
      <c r="H93" s="7">
        <v>1</v>
      </c>
      <c r="J93" s="9"/>
    </row>
    <row r="94" spans="1:10" x14ac:dyDescent="0.2">
      <c r="A94" s="7" t="s">
        <v>108</v>
      </c>
      <c r="B94" s="8">
        <v>41919</v>
      </c>
      <c r="C94" s="9">
        <v>109000</v>
      </c>
      <c r="D94" s="9">
        <v>16800</v>
      </c>
      <c r="E94" s="9">
        <v>60</v>
      </c>
      <c r="F94" s="7" t="s">
        <v>12</v>
      </c>
      <c r="G94" s="7">
        <v>4</v>
      </c>
      <c r="H94" s="7">
        <v>3</v>
      </c>
      <c r="J94" s="9"/>
    </row>
    <row r="95" spans="1:10" x14ac:dyDescent="0.2">
      <c r="A95" s="7" t="s">
        <v>109</v>
      </c>
      <c r="B95" s="8">
        <v>42263</v>
      </c>
      <c r="C95" s="9">
        <v>114000</v>
      </c>
      <c r="D95" s="9">
        <v>7650</v>
      </c>
      <c r="E95" s="9">
        <v>5560</v>
      </c>
      <c r="F95" s="7" t="s">
        <v>9</v>
      </c>
      <c r="G95" s="7">
        <v>3</v>
      </c>
      <c r="H95" s="7">
        <v>5</v>
      </c>
      <c r="J95" s="9"/>
    </row>
    <row r="96" spans="1:10" x14ac:dyDescent="0.2">
      <c r="A96" s="7" t="s">
        <v>110</v>
      </c>
      <c r="B96" s="8">
        <v>41818</v>
      </c>
      <c r="C96" s="9">
        <v>123000</v>
      </c>
      <c r="D96" s="9">
        <v>11760</v>
      </c>
      <c r="E96" s="9">
        <v>4820</v>
      </c>
      <c r="F96" s="7" t="s">
        <v>12</v>
      </c>
      <c r="G96" s="7">
        <v>5</v>
      </c>
      <c r="H96" s="7">
        <v>2</v>
      </c>
      <c r="J96" s="9"/>
    </row>
    <row r="97" spans="1:10" x14ac:dyDescent="0.2">
      <c r="A97" s="7" t="s">
        <v>111</v>
      </c>
      <c r="B97" s="8">
        <v>41881</v>
      </c>
      <c r="C97" s="9">
        <v>127000</v>
      </c>
      <c r="D97" s="9">
        <v>18270</v>
      </c>
      <c r="E97" s="9">
        <v>4980</v>
      </c>
      <c r="F97" s="7" t="s">
        <v>9</v>
      </c>
      <c r="G97" s="7">
        <v>5</v>
      </c>
      <c r="H97" s="7">
        <v>2</v>
      </c>
      <c r="J97" s="9"/>
    </row>
    <row r="98" spans="1:10" x14ac:dyDescent="0.2">
      <c r="A98" s="7" t="s">
        <v>112</v>
      </c>
      <c r="B98" s="8">
        <v>41751</v>
      </c>
      <c r="C98" s="9">
        <v>149000</v>
      </c>
      <c r="D98" s="9">
        <v>17000</v>
      </c>
      <c r="E98" s="9">
        <v>5860</v>
      </c>
      <c r="F98" s="7" t="s">
        <v>9</v>
      </c>
      <c r="G98" s="7">
        <v>5</v>
      </c>
      <c r="H98" s="7">
        <v>4</v>
      </c>
      <c r="J98" s="9"/>
    </row>
    <row r="99" spans="1:10" x14ac:dyDescent="0.2">
      <c r="A99" s="7" t="s">
        <v>113</v>
      </c>
      <c r="B99" s="8">
        <v>41705</v>
      </c>
      <c r="C99" s="9">
        <v>81000</v>
      </c>
      <c r="D99" s="9">
        <v>12600</v>
      </c>
      <c r="E99" s="9">
        <v>60</v>
      </c>
      <c r="F99" s="7" t="s">
        <v>15</v>
      </c>
      <c r="G99" s="7">
        <v>4</v>
      </c>
      <c r="H99" s="7">
        <v>1</v>
      </c>
      <c r="J99" s="9"/>
    </row>
    <row r="100" spans="1:10" x14ac:dyDescent="0.2">
      <c r="A100" s="7" t="s">
        <v>114</v>
      </c>
      <c r="B100" s="8">
        <v>41647</v>
      </c>
      <c r="C100" s="9">
        <v>81000</v>
      </c>
      <c r="D100" s="9">
        <v>6440.0000000000009</v>
      </c>
      <c r="E100" s="9">
        <v>60</v>
      </c>
      <c r="F100" s="7" t="s">
        <v>12</v>
      </c>
      <c r="G100" s="7">
        <v>3</v>
      </c>
      <c r="H100" s="7">
        <v>3</v>
      </c>
      <c r="J100" s="9"/>
    </row>
    <row r="101" spans="1:10" x14ac:dyDescent="0.2">
      <c r="A101" s="7" t="s">
        <v>115</v>
      </c>
      <c r="B101" s="8">
        <v>41752</v>
      </c>
      <c r="C101" s="9">
        <v>81000</v>
      </c>
      <c r="D101" s="9">
        <v>29050</v>
      </c>
      <c r="E101" s="9">
        <v>60</v>
      </c>
      <c r="F101" s="7" t="s">
        <v>16</v>
      </c>
      <c r="G101" s="7">
        <v>2</v>
      </c>
      <c r="H101" s="7">
        <v>5</v>
      </c>
      <c r="J101" s="9"/>
    </row>
    <row r="102" spans="1:10" x14ac:dyDescent="0.2">
      <c r="A102" s="7" t="s">
        <v>116</v>
      </c>
      <c r="B102" s="8">
        <v>42164</v>
      </c>
      <c r="C102" s="9">
        <v>84000</v>
      </c>
      <c r="D102" s="9">
        <v>53050</v>
      </c>
      <c r="E102" s="9">
        <v>60</v>
      </c>
      <c r="F102" s="7" t="s">
        <v>16</v>
      </c>
      <c r="G102" s="7">
        <v>2</v>
      </c>
      <c r="H102" s="7">
        <v>1</v>
      </c>
      <c r="J102" s="9"/>
    </row>
  </sheetData>
  <mergeCells count="1">
    <mergeCell ref="C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HR</vt:lpstr>
      <vt:lpstr>Extras</vt:lpstr>
      <vt:lpstr>Human Resources</vt:lpstr>
      <vt:lpstr>language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Human Resources Dashboard</dc:title>
  <dc:creator>MYCN</dc:creator>
  <cp:lastModifiedBy>Claire</cp:lastModifiedBy>
  <dcterms:created xsi:type="dcterms:W3CDTF">2014-10-08T10:37:31Z</dcterms:created>
  <dcterms:modified xsi:type="dcterms:W3CDTF">2019-10-13T14:45:01Z</dcterms:modified>
</cp:coreProperties>
</file>