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AppData\Local\Temp\claude\C--Users-Usuario-Downloads-2026-10-14-Ciclovia-Patologias\28ad0542-1949-4c12-9387-80c9bafbec81\scratchpad\"/>
    </mc:Choice>
  </mc:AlternateContent>
  <xr:revisionPtr revIDLastSave="0" documentId="8_{738EEC9F-D34E-4993-8FD6-BE1CF752FB3D}" xr6:coauthVersionLast="47" xr6:coauthVersionMax="47" xr10:uidLastSave="{00000000-0000-0000-0000-000000000000}"/>
  <bookViews>
    <workbookView xWindow="-120" yWindow="-120" windowWidth="29040" windowHeight="15720" firstSheet="1" activeTab="25" xr2:uid="{722EBA30-70EC-4A3D-AFF7-62BB347400B0}"/>
  </bookViews>
  <sheets>
    <sheet name="BC01 (RAC)" sheetId="100" r:id="rId1"/>
    <sheet name="PERFIL BC01" sheetId="111" r:id="rId2"/>
    <sheet name="BC02 (RAC)" sheetId="103" r:id="rId3"/>
    <sheet name="PERFIL BC02" sheetId="114" r:id="rId4"/>
    <sheet name="BC03 (RAC-MOD)" sheetId="144" r:id="rId5"/>
    <sheet name="PERFIL BC03" sheetId="145" r:id="rId6"/>
    <sheet name="BC04 (RAC-MOD)" sheetId="146" state="hidden" r:id="rId7"/>
    <sheet name="PERFIL BC04" sheetId="147" state="hidden" r:id="rId8"/>
    <sheet name="BC05 (RAC-MOD)" sheetId="148" state="hidden" r:id="rId9"/>
    <sheet name="PERFIL BC05" sheetId="149" state="hidden" r:id="rId10"/>
    <sheet name="BC06 (HUT)" sheetId="150" state="hidden" r:id="rId11"/>
    <sheet name="PERFIL BC06 (HUT)" sheetId="151" state="hidden" r:id="rId12"/>
    <sheet name="BC07 (RAC-MOD)" sheetId="152" state="hidden" r:id="rId13"/>
    <sheet name="PERFIL BC07" sheetId="153" state="hidden" r:id="rId14"/>
    <sheet name="BC08 (RAC-MOD)" sheetId="154" state="hidden" r:id="rId15"/>
    <sheet name="PERFIL BC08" sheetId="155" state="hidden" r:id="rId16"/>
    <sheet name="BC09 (HUT)" sheetId="156" state="hidden" r:id="rId17"/>
    <sheet name="PERFIL BC09 (HUT)" sheetId="157" state="hidden" r:id="rId18"/>
    <sheet name="BC10 (RAC)" sheetId="102" state="hidden" r:id="rId19"/>
    <sheet name="PERFIL BC10" sheetId="113" state="hidden" r:id="rId20"/>
    <sheet name="BC11 (RAC)" sheetId="101" state="hidden" r:id="rId21"/>
    <sheet name="PERFIL BC11" sheetId="112" state="hidden" r:id="rId22"/>
    <sheet name="BC12 (RAC)" sheetId="94" state="hidden" r:id="rId23"/>
    <sheet name="PERFIL BC12" sheetId="115" state="hidden" r:id="rId24"/>
    <sheet name="Apresentação  - Est. Hid." sheetId="106" r:id="rId25"/>
    <sheet name="Cadastro das Obras" sheetId="16" r:id="rId26"/>
    <sheet name="Base_Bueiros" sheetId="138" state="hidden" r:id="rId27"/>
    <sheet name="Tabela_DEB" sheetId="139" state="hidden" r:id="rId28"/>
    <sheet name="AUX BACIAS" sheetId="142" state="hidden" r:id="rId29"/>
    <sheet name="C_CN_IP03" sheetId="143" state="hidden" r:id="rId30"/>
    <sheet name="Tab18" sheetId="158" state="hidden" r:id="rId31"/>
  </sheets>
  <externalReferences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24">'Apresentação  - Est. Hid.'!$B$3:$AP$35</definedName>
    <definedName name="_xlnm.Print_Area" localSheetId="0">'BC01 (RAC)'!$A$1:$O$38</definedName>
    <definedName name="_xlnm.Print_Area" localSheetId="2">'BC02 (RAC)'!$A$1:$O$38</definedName>
    <definedName name="_xlnm.Print_Area" localSheetId="4">'BC03 (RAC-MOD)'!$A$1:$O$37</definedName>
    <definedName name="_xlnm.Print_Area" localSheetId="6">'BC04 (RAC-MOD)'!$A$1:$O$37</definedName>
    <definedName name="_xlnm.Print_Area" localSheetId="8">'BC05 (RAC-MOD)'!$A$1:$O$37</definedName>
    <definedName name="_xlnm.Print_Area" localSheetId="10">'BC06 (HUT)'!$A$1:$R$170</definedName>
    <definedName name="_xlnm.Print_Area" localSheetId="12">'BC07 (RAC-MOD)'!$A$1:$O$37</definedName>
    <definedName name="_xlnm.Print_Area" localSheetId="14">'BC08 (RAC-MOD)'!$A$1:$O$37</definedName>
    <definedName name="_xlnm.Print_Area" localSheetId="16">'BC09 (HUT)'!$A$1:$R$170</definedName>
    <definedName name="_xlnm.Print_Area" localSheetId="18">'BC10 (RAC)'!$A$1:$O$38</definedName>
    <definedName name="_xlnm.Print_Area" localSheetId="20">'BC11 (RAC)'!$A$1:$O$38</definedName>
    <definedName name="_xlnm.Print_Area" localSheetId="22">'BC12 (RAC)'!$A$1:$O$38</definedName>
    <definedName name="_xlnm.Print_Area" localSheetId="25">'Cadastro das Obras'!$B$1:$AC$18</definedName>
    <definedName name="_xlnm.Print_Area" localSheetId="5">'PERFIL BC03'!$A$1:$I$32</definedName>
    <definedName name="_xlnm.Print_Area" localSheetId="7">'PERFIL BC04'!$A$1:$I$32</definedName>
    <definedName name="_xlnm.Print_Area" localSheetId="9">'PERFIL BC05'!$A$1:$I$32</definedName>
    <definedName name="_xlnm.Print_Area" localSheetId="13">'PERFIL BC07'!$A$1:$I$34</definedName>
    <definedName name="_xlnm.Print_Area" localSheetId="15">'PERFIL BC08'!$A$1:$I$33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94" l="1"/>
  <c r="E8" i="101"/>
  <c r="E8" i="102"/>
  <c r="E9" i="156"/>
  <c r="E8" i="154"/>
  <c r="E8" i="152"/>
  <c r="E9" i="150"/>
  <c r="E8" i="148"/>
  <c r="E8" i="146"/>
  <c r="E8" i="144"/>
  <c r="E8" i="103"/>
  <c r="Q3" i="16"/>
  <c r="J36" i="94"/>
  <c r="J36" i="101"/>
  <c r="J36" i="102"/>
  <c r="I49" i="156"/>
  <c r="J35" i="154"/>
  <c r="J35" i="152"/>
  <c r="I49" i="150"/>
  <c r="J35" i="148"/>
  <c r="J35" i="146"/>
  <c r="J35" i="144"/>
  <c r="J36" i="103"/>
  <c r="J36" i="100"/>
  <c r="BP27" i="106"/>
  <c r="BP24" i="106"/>
  <c r="F9" i="115" l="1"/>
  <c r="D5" i="115"/>
  <c r="D6" i="115" s="1"/>
  <c r="D7" i="115" s="1"/>
  <c r="D8" i="115" s="1"/>
  <c r="F18" i="156" a="1"/>
  <c r="F18" i="156" s="1"/>
  <c r="F17" i="156" a="1"/>
  <c r="F17" i="156" s="1"/>
  <c r="AC14" i="156"/>
  <c r="F17" i="150" a="1"/>
  <c r="F17" i="150" s="1"/>
  <c r="F18" i="150" a="1"/>
  <c r="F18" i="150" s="1"/>
  <c r="F16" i="150" a="1"/>
  <c r="F16" i="150" s="1"/>
  <c r="AC14" i="150"/>
  <c r="H18" i="150" l="1"/>
  <c r="E8" i="100"/>
  <c r="J26" i="156" l="1"/>
  <c r="I26" i="156"/>
  <c r="H26" i="156"/>
  <c r="G26" i="156"/>
  <c r="F26" i="156"/>
  <c r="E26" i="156"/>
  <c r="D26" i="156"/>
  <c r="J25" i="156"/>
  <c r="I25" i="156"/>
  <c r="H25" i="156"/>
  <c r="G25" i="156"/>
  <c r="F25" i="156"/>
  <c r="E25" i="156"/>
  <c r="D25" i="156"/>
  <c r="J24" i="156"/>
  <c r="I24" i="156"/>
  <c r="H24" i="156"/>
  <c r="G24" i="156"/>
  <c r="F24" i="156"/>
  <c r="E24" i="156"/>
  <c r="D24" i="156"/>
  <c r="J26" i="150"/>
  <c r="I26" i="150"/>
  <c r="H26" i="150"/>
  <c r="G26" i="150"/>
  <c r="F26" i="150"/>
  <c r="E26" i="150"/>
  <c r="D26" i="150"/>
  <c r="J25" i="150"/>
  <c r="I25" i="150"/>
  <c r="H25" i="150"/>
  <c r="G25" i="150"/>
  <c r="F25" i="150"/>
  <c r="E25" i="150"/>
  <c r="D25" i="150"/>
  <c r="J24" i="150"/>
  <c r="I24" i="150"/>
  <c r="H24" i="150"/>
  <c r="G24" i="150"/>
  <c r="F24" i="150"/>
  <c r="E24" i="150"/>
  <c r="D24" i="150"/>
  <c r="Z17" i="100"/>
  <c r="X17" i="100"/>
  <c r="Z16" i="100"/>
  <c r="X16" i="100"/>
  <c r="Z15" i="100"/>
  <c r="X15" i="100"/>
  <c r="Z14" i="100"/>
  <c r="X14" i="100"/>
  <c r="AC4" i="16"/>
  <c r="AC5" i="16"/>
  <c r="AC6" i="16"/>
  <c r="AC7" i="16"/>
  <c r="AC8" i="16"/>
  <c r="AC9" i="16"/>
  <c r="AC10" i="16"/>
  <c r="AC11" i="16"/>
  <c r="AC12" i="16"/>
  <c r="AC13" i="16"/>
  <c r="AC14" i="16"/>
  <c r="AB11" i="16"/>
  <c r="AB12" i="16"/>
  <c r="AB3" i="16" l="1"/>
  <c r="Q11" i="16" l="1"/>
  <c r="X27" i="106" s="1"/>
  <c r="Q12" i="16"/>
  <c r="X28" i="106" s="1"/>
  <c r="Q13" i="16"/>
  <c r="X29" i="106" s="1"/>
  <c r="Q14" i="16"/>
  <c r="X30" i="106" s="1"/>
  <c r="C11" i="16" l="1"/>
  <c r="C12" i="16"/>
  <c r="C13" i="16"/>
  <c r="R21" i="100" l="1"/>
  <c r="BJ27" i="106" l="1"/>
  <c r="BJ28" i="106"/>
  <c r="BJ29" i="106"/>
  <c r="BH27" i="106"/>
  <c r="BH28" i="106"/>
  <c r="BH29" i="106"/>
  <c r="BF28" i="106"/>
  <c r="BF29" i="106"/>
  <c r="BE27" i="106"/>
  <c r="BE28" i="106"/>
  <c r="BE29" i="106"/>
  <c r="AD27" i="106"/>
  <c r="L11" i="16" s="1"/>
  <c r="AD28" i="106"/>
  <c r="L12" i="16" s="1"/>
  <c r="AD29" i="106"/>
  <c r="B28" i="115"/>
  <c r="E4" i="115"/>
  <c r="B39" i="112"/>
  <c r="F11" i="112"/>
  <c r="F12" i="112"/>
  <c r="F13" i="112"/>
  <c r="F14" i="112"/>
  <c r="F15" i="112"/>
  <c r="F16" i="112"/>
  <c r="F17" i="112"/>
  <c r="D5" i="112"/>
  <c r="D6" i="112" s="1"/>
  <c r="D7" i="112" s="1"/>
  <c r="D8" i="112" s="1"/>
  <c r="D9" i="112" s="1"/>
  <c r="D10" i="112" s="1"/>
  <c r="D11" i="112" s="1"/>
  <c r="B30" i="113"/>
  <c r="F10" i="113"/>
  <c r="F11" i="113"/>
  <c r="D5" i="113"/>
  <c r="D6" i="113" s="1"/>
  <c r="D7" i="113" s="1"/>
  <c r="D8" i="113" s="1"/>
  <c r="D9" i="113" s="1"/>
  <c r="D10" i="113" s="1"/>
  <c r="E10" i="113" s="1"/>
  <c r="F10" i="102" a="1"/>
  <c r="F10" i="102" s="1"/>
  <c r="F15" i="157"/>
  <c r="D5" i="157"/>
  <c r="D6" i="157" s="1"/>
  <c r="D7" i="157" s="1"/>
  <c r="D8" i="157" s="1"/>
  <c r="D9" i="157" s="1"/>
  <c r="D10" i="157" s="1"/>
  <c r="D11" i="157" s="1"/>
  <c r="D12" i="157" s="1"/>
  <c r="D13" i="157" s="1"/>
  <c r="D14" i="157" s="1"/>
  <c r="P26" i="157"/>
  <c r="F14" i="157"/>
  <c r="F13" i="157"/>
  <c r="F12" i="157"/>
  <c r="F11" i="157"/>
  <c r="F10" i="157"/>
  <c r="F9" i="157"/>
  <c r="F8" i="157"/>
  <c r="F7" i="157"/>
  <c r="F6" i="157"/>
  <c r="F5" i="157"/>
  <c r="F4" i="157"/>
  <c r="E4" i="157"/>
  <c r="E3" i="157"/>
  <c r="H18" i="156"/>
  <c r="H17" i="156"/>
  <c r="F11" i="156" a="1"/>
  <c r="F11" i="156" s="1"/>
  <c r="F13" i="155"/>
  <c r="B33" i="155"/>
  <c r="F12" i="155"/>
  <c r="F11" i="155"/>
  <c r="F10" i="155"/>
  <c r="F9" i="155"/>
  <c r="F8" i="155"/>
  <c r="F7" i="155"/>
  <c r="F6" i="155"/>
  <c r="F5" i="155"/>
  <c r="D5" i="155"/>
  <c r="D6" i="155" s="1"/>
  <c r="F4" i="155"/>
  <c r="E4" i="155"/>
  <c r="G4" i="155" s="1"/>
  <c r="E3" i="155"/>
  <c r="F10" i="154" a="1"/>
  <c r="F10" i="154" s="1"/>
  <c r="D27" i="106"/>
  <c r="D20" i="106"/>
  <c r="F23" i="106"/>
  <c r="F25" i="106"/>
  <c r="F28" i="106"/>
  <c r="F30" i="106"/>
  <c r="D19" i="106"/>
  <c r="E27" i="106"/>
  <c r="F20" i="106"/>
  <c r="E26" i="106"/>
  <c r="D25" i="106"/>
  <c r="B28" i="106" a="1"/>
  <c r="E21" i="106"/>
  <c r="B26" i="106" a="1"/>
  <c r="F21" i="106"/>
  <c r="E24" i="106"/>
  <c r="F24" i="106"/>
  <c r="E25" i="106"/>
  <c r="F26" i="106"/>
  <c r="D22" i="106"/>
  <c r="D21" i="106"/>
  <c r="E20" i="106"/>
  <c r="D23" i="106"/>
  <c r="D28" i="106"/>
  <c r="B27" i="106" a="1"/>
  <c r="D30" i="106"/>
  <c r="D29" i="106"/>
  <c r="F19" i="106"/>
  <c r="E23" i="106"/>
  <c r="F29" i="106"/>
  <c r="E30" i="106"/>
  <c r="E29" i="106"/>
  <c r="F22" i="106"/>
  <c r="BR27" i="106"/>
  <c r="E22" i="106"/>
  <c r="F27" i="106"/>
  <c r="BR28" i="106"/>
  <c r="E19" i="106"/>
  <c r="E28" i="106"/>
  <c r="D26" i="106"/>
  <c r="D24" i="106"/>
  <c r="BR29" i="106"/>
  <c r="D12" i="112" l="1"/>
  <c r="E11" i="112"/>
  <c r="H4" i="155"/>
  <c r="L13" i="16"/>
  <c r="AO29" i="106"/>
  <c r="AB13" i="16" s="1"/>
  <c r="H19" i="156"/>
  <c r="N6" i="156" s="1"/>
  <c r="AU28" i="106"/>
  <c r="AU29" i="106"/>
  <c r="F12" i="16"/>
  <c r="D13" i="16"/>
  <c r="F13" i="16"/>
  <c r="D12" i="16"/>
  <c r="D11" i="16"/>
  <c r="F11" i="16"/>
  <c r="B27" i="106"/>
  <c r="B28" i="106"/>
  <c r="B26" i="106"/>
  <c r="E7" i="102"/>
  <c r="E5" i="157"/>
  <c r="G5" i="157" s="1"/>
  <c r="E8" i="156"/>
  <c r="E6" i="157"/>
  <c r="G6" i="157" s="1"/>
  <c r="H6" i="157" s="1"/>
  <c r="H5" i="157"/>
  <c r="G4" i="157"/>
  <c r="H4" i="157" s="1"/>
  <c r="E6" i="155"/>
  <c r="D7" i="155"/>
  <c r="E7" i="154"/>
  <c r="E5" i="155"/>
  <c r="G5" i="155" s="1"/>
  <c r="H5" i="155" s="1"/>
  <c r="I26" i="106"/>
  <c r="J27" i="106"/>
  <c r="I28" i="106"/>
  <c r="J26" i="106"/>
  <c r="M27" i="106"/>
  <c r="I27" i="106"/>
  <c r="D13" i="112" l="1"/>
  <c r="E12" i="112"/>
  <c r="G12" i="112" s="1"/>
  <c r="H12" i="112" s="1"/>
  <c r="Q6" i="156"/>
  <c r="B12" i="16"/>
  <c r="B11" i="16"/>
  <c r="D13" i="155"/>
  <c r="E13" i="155" s="1"/>
  <c r="D15" i="157"/>
  <c r="E15" i="157" s="1"/>
  <c r="E7" i="157"/>
  <c r="G7" i="157" s="1"/>
  <c r="H7" i="157" s="1"/>
  <c r="AC7" i="156"/>
  <c r="D8" i="155"/>
  <c r="E7" i="155"/>
  <c r="G7" i="155" s="1"/>
  <c r="H7" i="155" s="1"/>
  <c r="G6" i="155"/>
  <c r="H6" i="155" s="1"/>
  <c r="R6" i="154"/>
  <c r="D14" i="112" l="1"/>
  <c r="E13" i="112"/>
  <c r="G13" i="112" s="1"/>
  <c r="H13" i="112" s="1"/>
  <c r="E8" i="157"/>
  <c r="G8" i="157" s="1"/>
  <c r="E8" i="155"/>
  <c r="G8" i="155" s="1"/>
  <c r="H8" i="155" s="1"/>
  <c r="D9" i="155"/>
  <c r="D15" i="112" l="1"/>
  <c r="E14" i="112"/>
  <c r="G14" i="112" s="1"/>
  <c r="H14" i="112" s="1"/>
  <c r="H8" i="157"/>
  <c r="E9" i="157"/>
  <c r="G9" i="157" s="1"/>
  <c r="H9" i="157" s="1"/>
  <c r="D10" i="155"/>
  <c r="E9" i="155"/>
  <c r="G9" i="155" s="1"/>
  <c r="D16" i="112" l="1"/>
  <c r="E16" i="112" s="1"/>
  <c r="E15" i="112"/>
  <c r="G15" i="112" s="1"/>
  <c r="H15" i="112" s="1"/>
  <c r="E10" i="157"/>
  <c r="G10" i="157" s="1"/>
  <c r="H10" i="157" s="1"/>
  <c r="H9" i="155"/>
  <c r="E10" i="155"/>
  <c r="G10" i="155" s="1"/>
  <c r="H10" i="155" s="1"/>
  <c r="D11" i="155"/>
  <c r="G16" i="112" l="1"/>
  <c r="H16" i="112" s="1"/>
  <c r="E11" i="157"/>
  <c r="G11" i="157" s="1"/>
  <c r="E11" i="155"/>
  <c r="G11" i="155" s="1"/>
  <c r="H11" i="155" s="1"/>
  <c r="D12" i="155"/>
  <c r="E12" i="157" l="1"/>
  <c r="G12" i="157" s="1"/>
  <c r="H12" i="157" s="1"/>
  <c r="H11" i="157"/>
  <c r="E12" i="155"/>
  <c r="G12" i="155" l="1"/>
  <c r="G13" i="155"/>
  <c r="E13" i="157"/>
  <c r="G13" i="157" s="1"/>
  <c r="H12" i="155"/>
  <c r="H13" i="155"/>
  <c r="E14" i="157" l="1"/>
  <c r="H13" i="157"/>
  <c r="K6" i="155"/>
  <c r="C15" i="155"/>
  <c r="C16" i="155" s="1"/>
  <c r="C17" i="155" s="1"/>
  <c r="R5" i="154" s="1"/>
  <c r="E9" i="154" s="1"/>
  <c r="K4" i="155"/>
  <c r="K5" i="155"/>
  <c r="K26" i="106"/>
  <c r="G14" i="157" l="1"/>
  <c r="H14" i="157" s="1"/>
  <c r="G15" i="157"/>
  <c r="H15" i="157" s="1"/>
  <c r="AC14" i="154"/>
  <c r="K6" i="157" l="1"/>
  <c r="C20" i="157"/>
  <c r="C21" i="157" s="1"/>
  <c r="C22" i="157" s="1"/>
  <c r="K4" i="157"/>
  <c r="K5" i="157"/>
  <c r="F22" i="154" a="1"/>
  <c r="F22" i="154" s="1"/>
  <c r="H22" i="154" s="1"/>
  <c r="F21" i="154" a="1"/>
  <c r="F21" i="154" s="1"/>
  <c r="H21" i="154" s="1"/>
  <c r="AC6" i="156" l="1"/>
  <c r="E10" i="156" s="1"/>
  <c r="H23" i="154"/>
  <c r="O8" i="154" s="1"/>
  <c r="M26" i="106"/>
  <c r="K27" i="106"/>
  <c r="F12" i="153" l="1"/>
  <c r="F13" i="153"/>
  <c r="F14" i="153"/>
  <c r="B34" i="153"/>
  <c r="F11" i="153"/>
  <c r="F10" i="153"/>
  <c r="F9" i="153"/>
  <c r="F8" i="153"/>
  <c r="F7" i="153"/>
  <c r="F6" i="153"/>
  <c r="F5" i="153"/>
  <c r="D5" i="153"/>
  <c r="D6" i="153" s="1"/>
  <c r="F4" i="153"/>
  <c r="E4" i="153"/>
  <c r="E3" i="153"/>
  <c r="F10" i="152" a="1"/>
  <c r="F10" i="152" s="1"/>
  <c r="B25" i="106" a="1"/>
  <c r="G4" i="153" l="1"/>
  <c r="B25" i="106"/>
  <c r="H4" i="153"/>
  <c r="E5" i="153"/>
  <c r="G5" i="153" s="1"/>
  <c r="H5" i="153" s="1"/>
  <c r="E6" i="153"/>
  <c r="D7" i="153"/>
  <c r="E7" i="152"/>
  <c r="J25" i="106"/>
  <c r="I25" i="106"/>
  <c r="G6" i="153" l="1"/>
  <c r="H6" i="153" s="1"/>
  <c r="D14" i="153"/>
  <c r="D8" i="153"/>
  <c r="E7" i="153"/>
  <c r="G7" i="153" s="1"/>
  <c r="H7" i="153" s="1"/>
  <c r="R6" i="152"/>
  <c r="E8" i="153" l="1"/>
  <c r="G8" i="153" s="1"/>
  <c r="H8" i="153" s="1"/>
  <c r="D9" i="153"/>
  <c r="D10" i="153" l="1"/>
  <c r="E9" i="153"/>
  <c r="G9" i="153" s="1"/>
  <c r="H9" i="153" s="1"/>
  <c r="D11" i="153" l="1"/>
  <c r="E10" i="153"/>
  <c r="G10" i="153" s="1"/>
  <c r="H10" i="153" s="1"/>
  <c r="E11" i="153" l="1"/>
  <c r="D12" i="153"/>
  <c r="G11" i="153"/>
  <c r="H11" i="153" s="1"/>
  <c r="D13" i="153" l="1"/>
  <c r="E13" i="153" s="1"/>
  <c r="E12" i="153"/>
  <c r="G12" i="153" s="1"/>
  <c r="H12" i="153" s="1"/>
  <c r="P27" i="151"/>
  <c r="G13" i="153" l="1"/>
  <c r="H13" i="153" s="1"/>
  <c r="D6" i="151"/>
  <c r="D7" i="151" s="1"/>
  <c r="D8" i="151" s="1"/>
  <c r="D9" i="151" s="1"/>
  <c r="D10" i="151" s="1"/>
  <c r="D11" i="151" s="1"/>
  <c r="D12" i="151" s="1"/>
  <c r="D13" i="151" s="1"/>
  <c r="D14" i="151" s="1"/>
  <c r="D15" i="151" s="1"/>
  <c r="D5" i="151"/>
  <c r="F11" i="150" a="1"/>
  <c r="F11" i="150" s="1"/>
  <c r="B24" i="106" a="1"/>
  <c r="B24" i="106" l="1"/>
  <c r="E8" i="150"/>
  <c r="J24" i="106"/>
  <c r="I24" i="106"/>
  <c r="AP9" i="106" l="1"/>
  <c r="AP10" i="106"/>
  <c r="AP11" i="106"/>
  <c r="AP12" i="106"/>
  <c r="AO10" i="106"/>
  <c r="AO12" i="106"/>
  <c r="AO9" i="106"/>
  <c r="AO11" i="106"/>
  <c r="AK9" i="106"/>
  <c r="AK10" i="106"/>
  <c r="AK11" i="106"/>
  <c r="AK12" i="106"/>
  <c r="AB9" i="106"/>
  <c r="AB10" i="106"/>
  <c r="AB11" i="106"/>
  <c r="AB12" i="106"/>
  <c r="AA10" i="106"/>
  <c r="AA9" i="106"/>
  <c r="AA11" i="106"/>
  <c r="AA12" i="106"/>
  <c r="M11" i="106"/>
  <c r="M12" i="106"/>
  <c r="K11" i="106"/>
  <c r="K12" i="106"/>
  <c r="J9" i="106"/>
  <c r="J10" i="106"/>
  <c r="J11" i="106"/>
  <c r="J12" i="106"/>
  <c r="I9" i="106"/>
  <c r="I10" i="106"/>
  <c r="I11" i="106"/>
  <c r="I12" i="106"/>
  <c r="F9" i="106"/>
  <c r="F10" i="106"/>
  <c r="F11" i="106"/>
  <c r="F12" i="106"/>
  <c r="E9" i="106"/>
  <c r="E10" i="106"/>
  <c r="E11" i="106"/>
  <c r="E12" i="106"/>
  <c r="D10" i="106"/>
  <c r="D9" i="106"/>
  <c r="D11" i="106"/>
  <c r="D12" i="106"/>
  <c r="C9" i="106"/>
  <c r="C10" i="106"/>
  <c r="C11" i="106"/>
  <c r="C12" i="106"/>
  <c r="AC7" i="150"/>
  <c r="D16" i="151"/>
  <c r="F16" i="151" l="1"/>
  <c r="E16" i="151"/>
  <c r="F15" i="151"/>
  <c r="F14" i="151"/>
  <c r="F13" i="151"/>
  <c r="F12" i="151"/>
  <c r="F11" i="151"/>
  <c r="F10" i="151"/>
  <c r="F9" i="151"/>
  <c r="F8" i="151"/>
  <c r="F7" i="151"/>
  <c r="F6" i="151"/>
  <c r="F5" i="151"/>
  <c r="E5" i="151"/>
  <c r="F4" i="151"/>
  <c r="E4" i="151"/>
  <c r="E3" i="151"/>
  <c r="H17" i="150"/>
  <c r="H16" i="150"/>
  <c r="H19" i="150" l="1"/>
  <c r="N6" i="150" s="1"/>
  <c r="Q6" i="150" s="1"/>
  <c r="G5" i="151"/>
  <c r="H5" i="151" s="1"/>
  <c r="G4" i="151"/>
  <c r="H4" i="151"/>
  <c r="E7" i="151"/>
  <c r="E6" i="151"/>
  <c r="G6" i="151" s="1"/>
  <c r="H6" i="151" s="1"/>
  <c r="M24" i="106"/>
  <c r="M9" i="106" l="1"/>
  <c r="G7" i="151"/>
  <c r="H7" i="151" s="1"/>
  <c r="E8" i="151"/>
  <c r="G8" i="151" s="1"/>
  <c r="H8" i="151" s="1"/>
  <c r="E9" i="151" l="1"/>
  <c r="G9" i="151" s="1"/>
  <c r="H9" i="151" s="1"/>
  <c r="E10" i="151" l="1"/>
  <c r="G10" i="151" s="1"/>
  <c r="H10" i="151" l="1"/>
  <c r="E11" i="151"/>
  <c r="G11" i="151" s="1"/>
  <c r="H11" i="151" s="1"/>
  <c r="E12" i="151" l="1"/>
  <c r="G12" i="151" s="1"/>
  <c r="H12" i="151" s="1"/>
  <c r="E13" i="151" l="1"/>
  <c r="G13" i="151" s="1"/>
  <c r="H13" i="151" l="1"/>
  <c r="E14" i="151"/>
  <c r="G14" i="151" s="1"/>
  <c r="H14" i="151" s="1"/>
  <c r="E15" i="151"/>
  <c r="G15" i="151" l="1"/>
  <c r="H15" i="151" s="1"/>
  <c r="G16" i="151"/>
  <c r="H16" i="151" l="1"/>
  <c r="C21" i="151" s="1"/>
  <c r="C22" i="151" s="1"/>
  <c r="C23" i="151" s="1"/>
  <c r="AC6" i="150" l="1"/>
  <c r="E10" i="150" s="1"/>
  <c r="K6" i="151"/>
  <c r="K5" i="151"/>
  <c r="K4" i="151"/>
  <c r="K24" i="106"/>
  <c r="K9" i="106" l="1"/>
  <c r="F12" i="149" l="1"/>
  <c r="F11" i="149"/>
  <c r="F10" i="149"/>
  <c r="F9" i="149"/>
  <c r="F8" i="149"/>
  <c r="F7" i="149"/>
  <c r="F6" i="149"/>
  <c r="F5" i="149"/>
  <c r="D5" i="149"/>
  <c r="D6" i="149" s="1"/>
  <c r="D7" i="149" s="1"/>
  <c r="D8" i="149" s="1"/>
  <c r="D9" i="149" s="1"/>
  <c r="D10" i="149" s="1"/>
  <c r="D11" i="149" s="1"/>
  <c r="F4" i="149"/>
  <c r="E4" i="149"/>
  <c r="G4" i="149" s="1"/>
  <c r="E3" i="149"/>
  <c r="F10" i="148" a="1"/>
  <c r="F10" i="148" s="1"/>
  <c r="F10" i="100" a="1"/>
  <c r="F10" i="100" s="1"/>
  <c r="F10" i="103" a="1"/>
  <c r="F10" i="103" s="1"/>
  <c r="F10" i="144" a="1"/>
  <c r="F10" i="144" s="1"/>
  <c r="F10" i="146" a="1"/>
  <c r="F10" i="146" s="1"/>
  <c r="B19" i="106" a="1"/>
  <c r="B21" i="106" a="1"/>
  <c r="B20" i="106" a="1"/>
  <c r="B22" i="106" a="1"/>
  <c r="B23" i="106" a="1"/>
  <c r="B22" i="106" l="1"/>
  <c r="B21" i="106"/>
  <c r="B20" i="106"/>
  <c r="B23" i="106"/>
  <c r="B19" i="106"/>
  <c r="H4" i="149"/>
  <c r="E6" i="149"/>
  <c r="E5" i="149"/>
  <c r="G5" i="149" s="1"/>
  <c r="H5" i="149" s="1"/>
  <c r="E7" i="148"/>
  <c r="F12" i="147"/>
  <c r="F11" i="147"/>
  <c r="F10" i="147"/>
  <c r="F9" i="147"/>
  <c r="F8" i="147"/>
  <c r="F7" i="147"/>
  <c r="F6" i="147"/>
  <c r="F5" i="147"/>
  <c r="D5" i="147"/>
  <c r="E5" i="147" s="1"/>
  <c r="F4" i="147"/>
  <c r="E4" i="147"/>
  <c r="G4" i="147" s="1"/>
  <c r="E3" i="147"/>
  <c r="E7" i="146"/>
  <c r="J23" i="106"/>
  <c r="I22" i="106"/>
  <c r="I23" i="106"/>
  <c r="G5" i="147" l="1"/>
  <c r="AP7" i="106"/>
  <c r="AP8" i="106"/>
  <c r="AO7" i="106"/>
  <c r="AO8" i="106"/>
  <c r="AK7" i="106"/>
  <c r="AK8" i="106"/>
  <c r="AB7" i="106"/>
  <c r="AB8" i="106"/>
  <c r="AA7" i="106"/>
  <c r="AA8" i="106"/>
  <c r="J8" i="106"/>
  <c r="I7" i="106"/>
  <c r="I8" i="106"/>
  <c r="F7" i="106"/>
  <c r="F8" i="106"/>
  <c r="E7" i="106"/>
  <c r="E8" i="106"/>
  <c r="D7" i="106"/>
  <c r="D8" i="106"/>
  <c r="AP6" i="106"/>
  <c r="C7" i="106"/>
  <c r="C8" i="106"/>
  <c r="AO6" i="106"/>
  <c r="AK6" i="106"/>
  <c r="AA6" i="106"/>
  <c r="AB6" i="106"/>
  <c r="F6" i="106"/>
  <c r="D6" i="106"/>
  <c r="E6" i="106"/>
  <c r="C6" i="106"/>
  <c r="G6" i="106" s="1"/>
  <c r="E7" i="149"/>
  <c r="G7" i="149" s="1"/>
  <c r="H7" i="149" s="1"/>
  <c r="G6" i="149"/>
  <c r="H6" i="149" s="1"/>
  <c r="R6" i="148"/>
  <c r="H4" i="147"/>
  <c r="H5" i="147"/>
  <c r="D6" i="147"/>
  <c r="J22" i="106"/>
  <c r="J7" i="106" l="1"/>
  <c r="R6" i="146"/>
  <c r="E8" i="149"/>
  <c r="G8" i="149" s="1"/>
  <c r="H8" i="149" s="1"/>
  <c r="E6" i="147"/>
  <c r="G6" i="147" s="1"/>
  <c r="D7" i="147"/>
  <c r="E9" i="149" l="1"/>
  <c r="G9" i="149" s="1"/>
  <c r="H9" i="149" s="1"/>
  <c r="D8" i="147"/>
  <c r="E7" i="147"/>
  <c r="G7" i="147" s="1"/>
  <c r="H7" i="147" s="1"/>
  <c r="H6" i="147"/>
  <c r="E11" i="149" l="1"/>
  <c r="E10" i="149"/>
  <c r="G10" i="149" s="1"/>
  <c r="H10" i="149" s="1"/>
  <c r="D9" i="147"/>
  <c r="E8" i="147"/>
  <c r="G8" i="147" s="1"/>
  <c r="G11" i="149" l="1"/>
  <c r="H11" i="149" s="1"/>
  <c r="H8" i="147"/>
  <c r="E9" i="147"/>
  <c r="G9" i="147" s="1"/>
  <c r="H9" i="147" s="1"/>
  <c r="D10" i="147"/>
  <c r="D11" i="147" l="1"/>
  <c r="E11" i="147" s="1"/>
  <c r="E10" i="147"/>
  <c r="G10" i="147" s="1"/>
  <c r="H10" i="147" s="1"/>
  <c r="G11" i="147" l="1"/>
  <c r="H11" i="147" l="1"/>
  <c r="F12" i="145" l="1"/>
  <c r="F10" i="145"/>
  <c r="F11" i="145"/>
  <c r="D5" i="145"/>
  <c r="D6" i="145" s="1"/>
  <c r="D7" i="145" s="1"/>
  <c r="D8" i="145" s="1"/>
  <c r="D9" i="145" s="1"/>
  <c r="D10" i="145" s="1"/>
  <c r="E7" i="144"/>
  <c r="I21" i="106"/>
  <c r="D11" i="145" l="1"/>
  <c r="E11" i="145" s="1"/>
  <c r="E10" i="145"/>
  <c r="I6" i="106"/>
  <c r="E14" i="153"/>
  <c r="G14" i="153" s="1"/>
  <c r="H14" i="153" s="1"/>
  <c r="C16" i="153" s="1"/>
  <c r="D12" i="147"/>
  <c r="E12" i="147" s="1"/>
  <c r="G12" i="147" s="1"/>
  <c r="D12" i="149"/>
  <c r="E12" i="149" s="1"/>
  <c r="F9" i="145"/>
  <c r="F8" i="145"/>
  <c r="F7" i="145"/>
  <c r="F6" i="145"/>
  <c r="F5" i="145"/>
  <c r="F4" i="145"/>
  <c r="E4" i="145"/>
  <c r="G4" i="145" s="1"/>
  <c r="E3" i="145"/>
  <c r="J21" i="106"/>
  <c r="G11" i="145" l="1"/>
  <c r="H11" i="145" s="1"/>
  <c r="J6" i="106"/>
  <c r="R6" i="144"/>
  <c r="K6" i="153"/>
  <c r="K5" i="153"/>
  <c r="K4" i="153"/>
  <c r="C17" i="153"/>
  <c r="C18" i="153" s="1"/>
  <c r="R5" i="152" s="1"/>
  <c r="H12" i="147"/>
  <c r="C14" i="147" s="1"/>
  <c r="C15" i="147" s="1"/>
  <c r="C16" i="147" s="1"/>
  <c r="R5" i="146" s="1"/>
  <c r="G12" i="149"/>
  <c r="H12" i="149" s="1"/>
  <c r="E6" i="145"/>
  <c r="H4" i="145"/>
  <c r="E5" i="145"/>
  <c r="G5" i="145" s="1"/>
  <c r="H5" i="145" s="1"/>
  <c r="D12" i="145"/>
  <c r="E12" i="145" s="1"/>
  <c r="K4" i="147" l="1"/>
  <c r="K6" i="147"/>
  <c r="K5" i="147"/>
  <c r="K6" i="149"/>
  <c r="K5" i="149"/>
  <c r="K4" i="149"/>
  <c r="C14" i="149"/>
  <c r="C15" i="149" s="1"/>
  <c r="C16" i="149" s="1"/>
  <c r="R5" i="148" s="1"/>
  <c r="G12" i="145"/>
  <c r="E7" i="145"/>
  <c r="G7" i="145" s="1"/>
  <c r="H7" i="145" s="1"/>
  <c r="G6" i="145"/>
  <c r="H6" i="145" s="1"/>
  <c r="E9" i="145" l="1"/>
  <c r="G10" i="145" s="1"/>
  <c r="H10" i="145" s="1"/>
  <c r="E8" i="145"/>
  <c r="G8" i="145" s="1"/>
  <c r="H8" i="145" s="1"/>
  <c r="G9" i="145" l="1"/>
  <c r="H9" i="145" s="1"/>
  <c r="H12" i="145"/>
  <c r="K5" i="145" l="1"/>
  <c r="K4" i="145"/>
  <c r="C14" i="145"/>
  <c r="C15" i="145" s="1"/>
  <c r="C16" i="145" s="1"/>
  <c r="K6" i="145"/>
  <c r="E9" i="148" l="1"/>
  <c r="E9" i="152"/>
  <c r="R5" i="144"/>
  <c r="E9" i="144" s="1"/>
  <c r="E9" i="146"/>
  <c r="K23" i="106"/>
  <c r="K25" i="106"/>
  <c r="K22" i="106"/>
  <c r="K21" i="106"/>
  <c r="K10" i="106" l="1"/>
  <c r="K7" i="106"/>
  <c r="K8" i="106"/>
  <c r="K6" i="106"/>
  <c r="C11" i="144"/>
  <c r="AC14" i="144" s="1"/>
  <c r="F22" i="144" s="1" a="1"/>
  <c r="F22" i="144" s="1"/>
  <c r="H22" i="144" s="1"/>
  <c r="AC14" i="148"/>
  <c r="AC14" i="152"/>
  <c r="F21" i="148" a="1"/>
  <c r="F21" i="148" s="1"/>
  <c r="H21" i="148" s="1"/>
  <c r="AC14" i="146"/>
  <c r="F22" i="146" s="1" a="1"/>
  <c r="F22" i="146" s="1"/>
  <c r="F22" i="148" l="1" a="1"/>
  <c r="F22" i="148" s="1"/>
  <c r="H22" i="148" s="1"/>
  <c r="F23" i="148" a="1"/>
  <c r="F23" i="148" s="1"/>
  <c r="H23" i="148" s="1"/>
  <c r="F21" i="144" a="1"/>
  <c r="F21" i="144" s="1"/>
  <c r="H21" i="144" s="1"/>
  <c r="H23" i="144" s="1"/>
  <c r="O8" i="144" s="1"/>
  <c r="F22" i="152" a="1"/>
  <c r="F22" i="152" s="1"/>
  <c r="H22" i="152" s="1"/>
  <c r="F21" i="152" a="1"/>
  <c r="F21" i="152" s="1"/>
  <c r="H21" i="152" s="1"/>
  <c r="F21" i="146" a="1"/>
  <c r="F21" i="146" s="1"/>
  <c r="H21" i="146" s="1"/>
  <c r="H22" i="146"/>
  <c r="M21" i="106"/>
  <c r="H23" i="152" l="1"/>
  <c r="H24" i="148"/>
  <c r="O8" i="148" s="1"/>
  <c r="M6" i="106"/>
  <c r="O8" i="152"/>
  <c r="H23" i="146"/>
  <c r="O8" i="146" s="1"/>
  <c r="A34" i="114"/>
  <c r="F10" i="114"/>
  <c r="D5" i="114"/>
  <c r="D6" i="114" s="1"/>
  <c r="D7" i="114" s="1"/>
  <c r="D8" i="114" s="1"/>
  <c r="D9" i="114" s="1"/>
  <c r="M25" i="106"/>
  <c r="M22" i="106"/>
  <c r="M23" i="106"/>
  <c r="M8" i="106" l="1"/>
  <c r="M10" i="106"/>
  <c r="M7" i="106"/>
  <c r="Z16" i="154"/>
  <c r="Z16" i="152"/>
  <c r="Z15" i="154"/>
  <c r="Z15" i="152"/>
  <c r="X16" i="154"/>
  <c r="X16" i="152"/>
  <c r="X14" i="154"/>
  <c r="X14" i="152"/>
  <c r="X15" i="154"/>
  <c r="X15" i="152"/>
  <c r="Z14" i="154"/>
  <c r="Z14" i="152"/>
  <c r="X17" i="154"/>
  <c r="X17" i="152"/>
  <c r="Z17" i="154"/>
  <c r="Z17" i="152"/>
  <c r="X14" i="148"/>
  <c r="X14" i="144"/>
  <c r="X14" i="146"/>
  <c r="Z15" i="148"/>
  <c r="Z15" i="146"/>
  <c r="Z15" i="144"/>
  <c r="X17" i="148"/>
  <c r="X17" i="146"/>
  <c r="X17" i="144"/>
  <c r="X16" i="148"/>
  <c r="X16" i="144"/>
  <c r="X16" i="146"/>
  <c r="X15" i="148"/>
  <c r="X15" i="146"/>
  <c r="X15" i="144"/>
  <c r="Z14" i="148"/>
  <c r="Z14" i="146"/>
  <c r="Z14" i="144"/>
  <c r="Z17" i="148"/>
  <c r="Z17" i="146"/>
  <c r="Z17" i="144"/>
  <c r="Z16" i="148"/>
  <c r="Z16" i="144"/>
  <c r="Z16" i="146"/>
  <c r="A34" i="111" l="1"/>
  <c r="F13" i="111"/>
  <c r="D5" i="111"/>
  <c r="D6" i="111" s="1"/>
  <c r="D7" i="111" s="1"/>
  <c r="D8" i="111" s="1"/>
  <c r="D9" i="111" s="1"/>
  <c r="D10" i="111" s="1"/>
  <c r="D11" i="111" s="1"/>
  <c r="D12" i="111" s="1"/>
  <c r="C7" i="142"/>
  <c r="E7" i="150" s="1"/>
  <c r="C8" i="142"/>
  <c r="E6" i="152" s="1"/>
  <c r="C9" i="142"/>
  <c r="E6" i="154" s="1"/>
  <c r="C10" i="142"/>
  <c r="E7" i="156" s="1"/>
  <c r="C11" i="142"/>
  <c r="E6" i="102" s="1"/>
  <c r="C12" i="142"/>
  <c r="E12" i="142" s="1"/>
  <c r="C13" i="142"/>
  <c r="E13" i="142" s="1"/>
  <c r="C3" i="142"/>
  <c r="C4" i="142"/>
  <c r="E6" i="144" s="1"/>
  <c r="C5" i="142"/>
  <c r="E6" i="146" s="1"/>
  <c r="C6" i="142"/>
  <c r="E6" i="148" s="1"/>
  <c r="H22" i="106"/>
  <c r="H25" i="106"/>
  <c r="H24" i="106"/>
  <c r="H27" i="106"/>
  <c r="H26" i="106"/>
  <c r="H28" i="106"/>
  <c r="H21" i="106"/>
  <c r="H23" i="106"/>
  <c r="E11" i="142" l="1"/>
  <c r="H8" i="106"/>
  <c r="H11" i="106"/>
  <c r="N27" i="106"/>
  <c r="N12" i="106" s="1"/>
  <c r="H12" i="106"/>
  <c r="H9" i="106"/>
  <c r="H6" i="106"/>
  <c r="H10" i="106"/>
  <c r="H7" i="106"/>
  <c r="N28" i="106"/>
  <c r="O10" i="148"/>
  <c r="E20" i="148"/>
  <c r="D20" i="148" s="1"/>
  <c r="O9" i="148"/>
  <c r="E20" i="154"/>
  <c r="D20" i="154" s="1"/>
  <c r="D22" i="154" s="1"/>
  <c r="O10" i="154"/>
  <c r="O9" i="154"/>
  <c r="E16" i="156"/>
  <c r="T6" i="156"/>
  <c r="D16" i="156"/>
  <c r="D18" i="156" s="1"/>
  <c r="Q7" i="156"/>
  <c r="E9" i="142"/>
  <c r="E15" i="150"/>
  <c r="D15" i="150"/>
  <c r="T6" i="150"/>
  <c r="Q7" i="150"/>
  <c r="E20" i="144"/>
  <c r="D20" i="144" s="1"/>
  <c r="D22" i="144" s="1"/>
  <c r="O10" i="144"/>
  <c r="O9" i="144"/>
  <c r="E10" i="142"/>
  <c r="E8" i="142"/>
  <c r="E20" i="152"/>
  <c r="D20" i="152" s="1"/>
  <c r="D22" i="152" s="1"/>
  <c r="O10" i="152"/>
  <c r="O9" i="152"/>
  <c r="E20" i="146"/>
  <c r="D20" i="146" s="1"/>
  <c r="D22" i="146" s="1"/>
  <c r="O10" i="146"/>
  <c r="O9" i="146"/>
  <c r="E7" i="142"/>
  <c r="F10" i="94" a="1"/>
  <c r="F10" i="94" s="1"/>
  <c r="F7" i="112"/>
  <c r="F8" i="112"/>
  <c r="F9" i="112"/>
  <c r="F10" i="112"/>
  <c r="F10" i="101" a="1"/>
  <c r="F10" i="101" s="1"/>
  <c r="F9" i="113"/>
  <c r="F8" i="113"/>
  <c r="L27" i="106"/>
  <c r="L25" i="106"/>
  <c r="L22" i="106"/>
  <c r="B29" i="106" a="1"/>
  <c r="B30" i="106" a="1"/>
  <c r="L21" i="106"/>
  <c r="L24" i="106"/>
  <c r="L26" i="106"/>
  <c r="L23" i="106"/>
  <c r="Q9" i="150" l="1"/>
  <c r="Q10" i="150" s="1"/>
  <c r="D18" i="150"/>
  <c r="E18" i="150" s="1"/>
  <c r="D16" i="150"/>
  <c r="E16" i="150" s="1"/>
  <c r="D22" i="148"/>
  <c r="E22" i="148" s="1"/>
  <c r="D23" i="148"/>
  <c r="L8" i="106"/>
  <c r="L9" i="106"/>
  <c r="L6" i="106"/>
  <c r="L11" i="106"/>
  <c r="L7" i="106"/>
  <c r="L10" i="106"/>
  <c r="L12" i="106"/>
  <c r="K17" i="148"/>
  <c r="K15" i="148"/>
  <c r="K14" i="148"/>
  <c r="K16" i="148"/>
  <c r="D17" i="150"/>
  <c r="E17" i="150" s="1"/>
  <c r="D21" i="146"/>
  <c r="E21" i="146" s="1"/>
  <c r="E22" i="146"/>
  <c r="D21" i="148"/>
  <c r="D21" i="152"/>
  <c r="E21" i="152" s="1"/>
  <c r="E22" i="152"/>
  <c r="E18" i="156"/>
  <c r="D17" i="156"/>
  <c r="E17" i="156" s="1"/>
  <c r="B29" i="150"/>
  <c r="Q8" i="150"/>
  <c r="K14" i="144"/>
  <c r="L14" i="144" s="1"/>
  <c r="N14" i="144" s="1"/>
  <c r="K15" i="144"/>
  <c r="L15" i="144" s="1"/>
  <c r="N15" i="144" s="1"/>
  <c r="K17" i="144"/>
  <c r="L17" i="144" s="1"/>
  <c r="N17" i="144" s="1"/>
  <c r="K16" i="144"/>
  <c r="L16" i="144" s="1"/>
  <c r="N16" i="144" s="1"/>
  <c r="K14" i="154"/>
  <c r="K15" i="154"/>
  <c r="K17" i="154"/>
  <c r="K16" i="154"/>
  <c r="K15" i="146"/>
  <c r="K14" i="146"/>
  <c r="K16" i="146"/>
  <c r="K17" i="146"/>
  <c r="K16" i="152"/>
  <c r="K15" i="152"/>
  <c r="K17" i="152"/>
  <c r="K14" i="152"/>
  <c r="Q8" i="156"/>
  <c r="B29" i="156"/>
  <c r="E22" i="144"/>
  <c r="D21" i="144"/>
  <c r="E21" i="144" s="1"/>
  <c r="E22" i="154"/>
  <c r="D21" i="154"/>
  <c r="E21" i="154" s="1"/>
  <c r="E5" i="115"/>
  <c r="B29" i="106"/>
  <c r="B30" i="106"/>
  <c r="E6" i="94"/>
  <c r="E7" i="94"/>
  <c r="E7" i="112"/>
  <c r="E6" i="101"/>
  <c r="E7" i="101"/>
  <c r="E9" i="113"/>
  <c r="G10" i="113" s="1"/>
  <c r="H10" i="113" s="1"/>
  <c r="E8" i="113"/>
  <c r="AB17" i="100"/>
  <c r="AB16" i="100"/>
  <c r="AB15" i="100"/>
  <c r="AB14" i="100"/>
  <c r="H30" i="106"/>
  <c r="J28" i="106"/>
  <c r="R21" i="106"/>
  <c r="I30" i="106"/>
  <c r="Q21" i="106"/>
  <c r="J20" i="106"/>
  <c r="I29" i="106"/>
  <c r="J29" i="106"/>
  <c r="J30" i="106"/>
  <c r="P21" i="106"/>
  <c r="H29" i="106"/>
  <c r="J19" i="106"/>
  <c r="O21" i="106"/>
  <c r="E21" i="148" l="1"/>
  <c r="E23" i="148"/>
  <c r="O6" i="106"/>
  <c r="Q6" i="106"/>
  <c r="R6" i="106"/>
  <c r="P6" i="106"/>
  <c r="M20" i="144"/>
  <c r="F147" i="150"/>
  <c r="F154" i="150"/>
  <c r="F81" i="150"/>
  <c r="F59" i="150"/>
  <c r="F93" i="150"/>
  <c r="F85" i="150"/>
  <c r="F74" i="150"/>
  <c r="F152" i="150"/>
  <c r="F127" i="150"/>
  <c r="F150" i="150"/>
  <c r="F131" i="150"/>
  <c r="F136" i="150"/>
  <c r="F143" i="150"/>
  <c r="F83" i="150"/>
  <c r="F66" i="150"/>
  <c r="F102" i="150"/>
  <c r="F145" i="150"/>
  <c r="F116" i="150"/>
  <c r="F124" i="150"/>
  <c r="F135" i="150"/>
  <c r="F91" i="150"/>
  <c r="F94" i="150"/>
  <c r="F56" i="150"/>
  <c r="F148" i="150"/>
  <c r="F73" i="150"/>
  <c r="F62" i="150"/>
  <c r="F139" i="150"/>
  <c r="F142" i="150"/>
  <c r="F140" i="150"/>
  <c r="F123" i="150"/>
  <c r="F151" i="150"/>
  <c r="F113" i="150"/>
  <c r="F67" i="150"/>
  <c r="F153" i="150"/>
  <c r="M29" i="150"/>
  <c r="M30" i="150" s="1"/>
  <c r="M31" i="150" s="1"/>
  <c r="M32" i="150" s="1"/>
  <c r="M33" i="150" s="1"/>
  <c r="M34" i="150" s="1"/>
  <c r="F133" i="150"/>
  <c r="F71" i="150"/>
  <c r="F149" i="150"/>
  <c r="F126" i="150"/>
  <c r="F106" i="150"/>
  <c r="F118" i="150"/>
  <c r="F64" i="150"/>
  <c r="F137" i="150"/>
  <c r="F112" i="150"/>
  <c r="F72" i="150"/>
  <c r="F111" i="150"/>
  <c r="F77" i="150"/>
  <c r="F98" i="150"/>
  <c r="F122" i="150"/>
  <c r="F86" i="150"/>
  <c r="F88" i="150"/>
  <c r="F144" i="150"/>
  <c r="F117" i="150"/>
  <c r="F90" i="150"/>
  <c r="F138" i="150"/>
  <c r="F55" i="150"/>
  <c r="E55" i="150" s="1"/>
  <c r="F103" i="150"/>
  <c r="F95" i="150"/>
  <c r="F84" i="150"/>
  <c r="F115" i="150"/>
  <c r="F79" i="150"/>
  <c r="F61" i="150"/>
  <c r="F68" i="150"/>
  <c r="F65" i="150"/>
  <c r="E65" i="150" s="1"/>
  <c r="F69" i="150"/>
  <c r="F58" i="150"/>
  <c r="E58" i="150" s="1"/>
  <c r="F87" i="150"/>
  <c r="F130" i="150"/>
  <c r="F78" i="150"/>
  <c r="F104" i="150"/>
  <c r="F101" i="150"/>
  <c r="F108" i="150"/>
  <c r="F54" i="150"/>
  <c r="F110" i="150"/>
  <c r="F63" i="150"/>
  <c r="F134" i="150"/>
  <c r="F96" i="150"/>
  <c r="F82" i="150"/>
  <c r="F128" i="150"/>
  <c r="F75" i="150"/>
  <c r="F109" i="150"/>
  <c r="F156" i="150"/>
  <c r="F57" i="150"/>
  <c r="F97" i="150"/>
  <c r="F60" i="150"/>
  <c r="E60" i="150" s="1"/>
  <c r="F76" i="150"/>
  <c r="F125" i="150"/>
  <c r="F107" i="150"/>
  <c r="F121" i="150"/>
  <c r="F70" i="150"/>
  <c r="F146" i="150"/>
  <c r="F155" i="150"/>
  <c r="F141" i="150"/>
  <c r="F129" i="150"/>
  <c r="F120" i="150"/>
  <c r="F114" i="150"/>
  <c r="F100" i="150"/>
  <c r="F89" i="150"/>
  <c r="F105" i="150"/>
  <c r="F99" i="150"/>
  <c r="F119" i="150"/>
  <c r="F132" i="150"/>
  <c r="F92" i="150"/>
  <c r="F80" i="150"/>
  <c r="B30" i="150"/>
  <c r="C29" i="150"/>
  <c r="F127" i="156"/>
  <c r="F102" i="156"/>
  <c r="F95" i="156"/>
  <c r="F80" i="156"/>
  <c r="F142" i="156"/>
  <c r="F68" i="156"/>
  <c r="F54" i="156"/>
  <c r="F76" i="156"/>
  <c r="F106" i="156"/>
  <c r="F135" i="156"/>
  <c r="F103" i="156"/>
  <c r="F77" i="156"/>
  <c r="F71" i="156"/>
  <c r="F84" i="156"/>
  <c r="F131" i="156"/>
  <c r="M29" i="156"/>
  <c r="M30" i="156" s="1"/>
  <c r="M31" i="156" s="1"/>
  <c r="M32" i="156" s="1"/>
  <c r="M33" i="156" s="1"/>
  <c r="M34" i="156" s="1"/>
  <c r="F57" i="156"/>
  <c r="F155" i="156"/>
  <c r="F129" i="156"/>
  <c r="F63" i="156"/>
  <c r="F112" i="156"/>
  <c r="F92" i="156"/>
  <c r="F136" i="156"/>
  <c r="F66" i="156"/>
  <c r="F120" i="156"/>
  <c r="F145" i="156"/>
  <c r="F116" i="156"/>
  <c r="F105" i="156"/>
  <c r="F99" i="156"/>
  <c r="F114" i="156"/>
  <c r="F85" i="156"/>
  <c r="F115" i="156"/>
  <c r="F107" i="156"/>
  <c r="F117" i="156"/>
  <c r="F65" i="156"/>
  <c r="F138" i="156"/>
  <c r="F113" i="156"/>
  <c r="F98" i="156"/>
  <c r="F90" i="156"/>
  <c r="F128" i="156"/>
  <c r="F96" i="156"/>
  <c r="F82" i="156"/>
  <c r="F79" i="156"/>
  <c r="F58" i="156"/>
  <c r="F56" i="156"/>
  <c r="F133" i="156"/>
  <c r="F156" i="156"/>
  <c r="F110" i="156"/>
  <c r="F134" i="156"/>
  <c r="F152" i="156"/>
  <c r="F67" i="156"/>
  <c r="F132" i="156"/>
  <c r="F94" i="156"/>
  <c r="F124" i="156"/>
  <c r="F126" i="156"/>
  <c r="F101" i="156"/>
  <c r="F69" i="156"/>
  <c r="F149" i="156"/>
  <c r="F111" i="156"/>
  <c r="F137" i="156"/>
  <c r="F144" i="156"/>
  <c r="F60" i="156"/>
  <c r="F88" i="156"/>
  <c r="F130" i="156"/>
  <c r="F125" i="156"/>
  <c r="F61" i="156"/>
  <c r="F119" i="156"/>
  <c r="F146" i="156"/>
  <c r="F122" i="156"/>
  <c r="F75" i="156"/>
  <c r="F151" i="156"/>
  <c r="F93" i="156"/>
  <c r="F150" i="156"/>
  <c r="F55" i="156"/>
  <c r="F118" i="156"/>
  <c r="F59" i="156"/>
  <c r="F83" i="156"/>
  <c r="F108" i="156"/>
  <c r="F139" i="156"/>
  <c r="F89" i="156"/>
  <c r="F70" i="156"/>
  <c r="F140" i="156"/>
  <c r="F74" i="156"/>
  <c r="F73" i="156"/>
  <c r="F62" i="156"/>
  <c r="F100" i="156"/>
  <c r="F154" i="156"/>
  <c r="F121" i="156"/>
  <c r="F64" i="156"/>
  <c r="F104" i="156"/>
  <c r="F109" i="156"/>
  <c r="F87" i="156"/>
  <c r="F148" i="156"/>
  <c r="F147" i="156"/>
  <c r="F86" i="156"/>
  <c r="F78" i="156"/>
  <c r="F97" i="156"/>
  <c r="F91" i="156"/>
  <c r="Q9" i="156"/>
  <c r="F72" i="156"/>
  <c r="F81" i="156"/>
  <c r="F153" i="156"/>
  <c r="F141" i="156"/>
  <c r="F143" i="156"/>
  <c r="F123" i="156"/>
  <c r="M22" i="144"/>
  <c r="M23" i="144"/>
  <c r="C29" i="156"/>
  <c r="B30" i="156"/>
  <c r="M21" i="144"/>
  <c r="E6" i="115"/>
  <c r="AP14" i="106"/>
  <c r="AP13" i="106"/>
  <c r="AO14" i="106"/>
  <c r="AO13" i="106"/>
  <c r="AK13" i="106"/>
  <c r="AK14" i="106"/>
  <c r="AB14" i="106"/>
  <c r="AB13" i="106"/>
  <c r="AA13" i="106"/>
  <c r="AA14" i="106"/>
  <c r="N13" i="106"/>
  <c r="J13" i="106"/>
  <c r="J14" i="106"/>
  <c r="I14" i="106"/>
  <c r="I13" i="106"/>
  <c r="H14" i="106"/>
  <c r="H13" i="106"/>
  <c r="F13" i="106"/>
  <c r="F14" i="106"/>
  <c r="E13" i="106"/>
  <c r="E14" i="106"/>
  <c r="D14" i="106"/>
  <c r="D13" i="106"/>
  <c r="C14" i="106"/>
  <c r="C13" i="106"/>
  <c r="B13" i="16"/>
  <c r="N29" i="106"/>
  <c r="N14" i="106" s="1"/>
  <c r="AB15" i="148"/>
  <c r="L15" i="148" s="1"/>
  <c r="N15" i="148" s="1"/>
  <c r="AB15" i="154"/>
  <c r="L15" i="154" s="1"/>
  <c r="N15" i="154" s="1"/>
  <c r="AB15" i="152"/>
  <c r="L15" i="152" s="1"/>
  <c r="N15" i="152" s="1"/>
  <c r="AB16" i="148"/>
  <c r="L16" i="148" s="1"/>
  <c r="N16" i="148" s="1"/>
  <c r="AB16" i="154"/>
  <c r="L16" i="154" s="1"/>
  <c r="N16" i="154" s="1"/>
  <c r="AB16" i="152"/>
  <c r="L16" i="152" s="1"/>
  <c r="N16" i="152" s="1"/>
  <c r="AB14" i="148"/>
  <c r="L14" i="148" s="1"/>
  <c r="N14" i="148" s="1"/>
  <c r="AB14" i="154"/>
  <c r="L14" i="154" s="1"/>
  <c r="N14" i="154" s="1"/>
  <c r="AB14" i="152"/>
  <c r="L14" i="152" s="1"/>
  <c r="N14" i="152" s="1"/>
  <c r="AB17" i="148"/>
  <c r="L17" i="148" s="1"/>
  <c r="N17" i="148" s="1"/>
  <c r="AB17" i="154"/>
  <c r="L17" i="154" s="1"/>
  <c r="N17" i="154" s="1"/>
  <c r="AB17" i="152"/>
  <c r="L17" i="152" s="1"/>
  <c r="N17" i="152" s="1"/>
  <c r="E8" i="112"/>
  <c r="G8" i="112" s="1"/>
  <c r="H8" i="112" s="1"/>
  <c r="G9" i="113"/>
  <c r="H9" i="113" s="1"/>
  <c r="AB16" i="144"/>
  <c r="AB16" i="146"/>
  <c r="L16" i="146" s="1"/>
  <c r="N16" i="146" s="1"/>
  <c r="AB14" i="146"/>
  <c r="L14" i="146" s="1"/>
  <c r="N14" i="146" s="1"/>
  <c r="AB14" i="144"/>
  <c r="AB15" i="146"/>
  <c r="L15" i="146" s="1"/>
  <c r="N15" i="146" s="1"/>
  <c r="AB15" i="144"/>
  <c r="AB17" i="146"/>
  <c r="L17" i="146" s="1"/>
  <c r="N17" i="146" s="1"/>
  <c r="AB17" i="144"/>
  <c r="Z16" i="102"/>
  <c r="Z16" i="101"/>
  <c r="Z16" i="103"/>
  <c r="Z16" i="94"/>
  <c r="AB17" i="103"/>
  <c r="AB17" i="102"/>
  <c r="AB17" i="101"/>
  <c r="AB17" i="94"/>
  <c r="X14" i="103"/>
  <c r="X14" i="102"/>
  <c r="X14" i="101"/>
  <c r="X14" i="94"/>
  <c r="AB15" i="101"/>
  <c r="AB15" i="103"/>
  <c r="AB15" i="102"/>
  <c r="AB15" i="94"/>
  <c r="Z17" i="103"/>
  <c r="Z17" i="94"/>
  <c r="Z17" i="102"/>
  <c r="Z17" i="101"/>
  <c r="AB14" i="103"/>
  <c r="AB14" i="94"/>
  <c r="AB14" i="102"/>
  <c r="AB14" i="101"/>
  <c r="AB16" i="102"/>
  <c r="AB16" i="101"/>
  <c r="AB16" i="103"/>
  <c r="AB16" i="94"/>
  <c r="X15" i="94"/>
  <c r="X15" i="103"/>
  <c r="X15" i="102"/>
  <c r="X15" i="101"/>
  <c r="X16" i="94"/>
  <c r="X16" i="101"/>
  <c r="X16" i="102"/>
  <c r="X16" i="103"/>
  <c r="Z15" i="101"/>
  <c r="Z15" i="103"/>
  <c r="Z15" i="94"/>
  <c r="Z15" i="102"/>
  <c r="X17" i="94"/>
  <c r="X17" i="102"/>
  <c r="X17" i="103"/>
  <c r="X17" i="101"/>
  <c r="Z14" i="101"/>
  <c r="Z14" i="94"/>
  <c r="Z14" i="103"/>
  <c r="Z14" i="102"/>
  <c r="AB13" i="100"/>
  <c r="Z13" i="100"/>
  <c r="X13" i="100"/>
  <c r="Q22" i="106"/>
  <c r="T21" i="106"/>
  <c r="O26" i="106"/>
  <c r="O22" i="106"/>
  <c r="R23" i="106"/>
  <c r="V21" i="106"/>
  <c r="O23" i="106"/>
  <c r="R25" i="106"/>
  <c r="R26" i="106"/>
  <c r="P23" i="106"/>
  <c r="O25" i="106"/>
  <c r="R22" i="106"/>
  <c r="S21" i="106"/>
  <c r="U21" i="106"/>
  <c r="Q26" i="106"/>
  <c r="P26" i="106"/>
  <c r="P22" i="106"/>
  <c r="Q25" i="106"/>
  <c r="P25" i="106"/>
  <c r="Q23" i="106"/>
  <c r="J31" i="144" l="1" a="1"/>
  <c r="J31" i="144" s="1"/>
  <c r="J26" i="144" a="1"/>
  <c r="J26" i="144" s="1"/>
  <c r="E57" i="150"/>
  <c r="E59" i="150"/>
  <c r="E64" i="150"/>
  <c r="E54" i="150"/>
  <c r="E62" i="150"/>
  <c r="E61" i="150"/>
  <c r="E63" i="150"/>
  <c r="E66" i="150"/>
  <c r="E67" i="150"/>
  <c r="E56" i="150"/>
  <c r="E58" i="156"/>
  <c r="E63" i="156"/>
  <c r="E54" i="156"/>
  <c r="E61" i="156"/>
  <c r="E68" i="156"/>
  <c r="E64" i="156"/>
  <c r="E59" i="156"/>
  <c r="E55" i="156"/>
  <c r="E60" i="156"/>
  <c r="T6" i="106"/>
  <c r="S6" i="106"/>
  <c r="V6" i="106"/>
  <c r="U6" i="106"/>
  <c r="E57" i="156"/>
  <c r="T162" i="156"/>
  <c r="Q12" i="156"/>
  <c r="Q11" i="156"/>
  <c r="Q10" i="156"/>
  <c r="T163" i="156" s="1"/>
  <c r="E67" i="156"/>
  <c r="Q14" i="144" a="1"/>
  <c r="Q14" i="144" s="1"/>
  <c r="S14" i="144" s="1"/>
  <c r="B31" i="156"/>
  <c r="C30" i="156"/>
  <c r="E62" i="156"/>
  <c r="Q13" i="144" a="1"/>
  <c r="Q13" i="144" s="1"/>
  <c r="J29" i="156"/>
  <c r="I29" i="156"/>
  <c r="G29" i="156"/>
  <c r="D29" i="156"/>
  <c r="H29" i="156"/>
  <c r="F29" i="156"/>
  <c r="E29" i="156"/>
  <c r="E66" i="156"/>
  <c r="D29" i="150"/>
  <c r="I29" i="150"/>
  <c r="H29" i="150"/>
  <c r="E29" i="150"/>
  <c r="G29" i="150"/>
  <c r="F29" i="150"/>
  <c r="J29" i="150"/>
  <c r="E65" i="156"/>
  <c r="B31" i="150"/>
  <c r="C30" i="150"/>
  <c r="Q11" i="150"/>
  <c r="T163" i="150"/>
  <c r="T162" i="150"/>
  <c r="Q12" i="150"/>
  <c r="E56" i="156"/>
  <c r="E7" i="115"/>
  <c r="R8" i="106"/>
  <c r="R11" i="106"/>
  <c r="R7" i="106"/>
  <c r="R10" i="106"/>
  <c r="Q7" i="106"/>
  <c r="Q10" i="106"/>
  <c r="Q11" i="106"/>
  <c r="Q8" i="106"/>
  <c r="P10" i="106"/>
  <c r="P7" i="106"/>
  <c r="P11" i="106"/>
  <c r="P8" i="106"/>
  <c r="O10" i="106"/>
  <c r="O8" i="106"/>
  <c r="O11" i="106"/>
  <c r="O7" i="106"/>
  <c r="M20" i="148"/>
  <c r="J31" i="148" s="1" a="1"/>
  <c r="J31" i="148" s="1"/>
  <c r="M22" i="152"/>
  <c r="M23" i="148"/>
  <c r="M22" i="154"/>
  <c r="M22" i="148"/>
  <c r="M23" i="154"/>
  <c r="M22" i="146"/>
  <c r="M21" i="152"/>
  <c r="M20" i="154"/>
  <c r="J31" i="154" s="1" a="1"/>
  <c r="J31" i="154" s="1"/>
  <c r="M21" i="154"/>
  <c r="M20" i="152"/>
  <c r="M21" i="148"/>
  <c r="M21" i="146"/>
  <c r="J26" i="146" s="1" a="1"/>
  <c r="J26" i="146" s="1"/>
  <c r="M20" i="146"/>
  <c r="M23" i="146"/>
  <c r="M23" i="152"/>
  <c r="AB13" i="148"/>
  <c r="AB13" i="154"/>
  <c r="AB13" i="152"/>
  <c r="E10" i="112"/>
  <c r="G11" i="112" s="1"/>
  <c r="H11" i="112" s="1"/>
  <c r="E9" i="112"/>
  <c r="G9" i="112" s="1"/>
  <c r="H9" i="112" s="1"/>
  <c r="AB13" i="146"/>
  <c r="AB13" i="144"/>
  <c r="X13" i="102"/>
  <c r="X13" i="94"/>
  <c r="X13" i="103"/>
  <c r="X13" i="101"/>
  <c r="Z13" i="94"/>
  <c r="Z13" i="101"/>
  <c r="Z13" i="103"/>
  <c r="Z13" i="102"/>
  <c r="AB13" i="101"/>
  <c r="AB13" i="94"/>
  <c r="AB13" i="103"/>
  <c r="AB13" i="102"/>
  <c r="F8" i="111"/>
  <c r="F9" i="111"/>
  <c r="F10" i="111"/>
  <c r="F11" i="111"/>
  <c r="F12" i="111"/>
  <c r="E12" i="111"/>
  <c r="E7" i="100"/>
  <c r="C2" i="142"/>
  <c r="E6" i="100" s="1"/>
  <c r="E7" i="103"/>
  <c r="E6" i="142"/>
  <c r="E5" i="142"/>
  <c r="E3" i="142"/>
  <c r="AM21" i="106"/>
  <c r="V23" i="106"/>
  <c r="R27" i="106" a="1"/>
  <c r="I19" i="106"/>
  <c r="P24" i="106" a="1"/>
  <c r="U22" i="106"/>
  <c r="H19" i="106"/>
  <c r="BP21" i="106"/>
  <c r="O24" i="106" a="1"/>
  <c r="T22" i="106"/>
  <c r="V22" i="106"/>
  <c r="S25" i="106"/>
  <c r="V26" i="106"/>
  <c r="R24" i="106" a="1"/>
  <c r="T23" i="106"/>
  <c r="Q24" i="106" a="1"/>
  <c r="S26" i="106"/>
  <c r="T26" i="106"/>
  <c r="Q27" i="106" a="1"/>
  <c r="U25" i="106"/>
  <c r="S23" i="106"/>
  <c r="U23" i="106"/>
  <c r="S22" i="106"/>
  <c r="U26" i="106"/>
  <c r="O27" i="106" a="1"/>
  <c r="T25" i="106"/>
  <c r="P27" i="106" a="1"/>
  <c r="AL21" i="106"/>
  <c r="V25" i="106"/>
  <c r="I20" i="106"/>
  <c r="J26" i="148" l="1" a="1"/>
  <c r="J26" i="148" s="1"/>
  <c r="J26" i="154" a="1"/>
  <c r="J26" i="154" s="1"/>
  <c r="J31" i="152" a="1"/>
  <c r="J31" i="152" s="1"/>
  <c r="S13" i="144"/>
  <c r="J31" i="146" a="1"/>
  <c r="J31" i="146" s="1"/>
  <c r="J26" i="152" a="1"/>
  <c r="J26" i="152" s="1"/>
  <c r="E68" i="150"/>
  <c r="G68" i="150" s="1"/>
  <c r="G56" i="150"/>
  <c r="G60" i="156"/>
  <c r="E131" i="156"/>
  <c r="G131" i="156" s="1"/>
  <c r="G65" i="156"/>
  <c r="G56" i="156"/>
  <c r="E106" i="156"/>
  <c r="G106" i="156" s="1"/>
  <c r="E136" i="156"/>
  <c r="G136" i="156" s="1"/>
  <c r="E116" i="156"/>
  <c r="G116" i="156" s="1"/>
  <c r="E107" i="156"/>
  <c r="G107" i="156" s="1"/>
  <c r="E122" i="156"/>
  <c r="G122" i="156" s="1"/>
  <c r="E74" i="156"/>
  <c r="G74" i="156" s="1"/>
  <c r="E70" i="156"/>
  <c r="G70" i="156" s="1"/>
  <c r="E148" i="156"/>
  <c r="G148" i="156" s="1"/>
  <c r="G67" i="156"/>
  <c r="E88" i="156"/>
  <c r="G88" i="156" s="1"/>
  <c r="G62" i="156"/>
  <c r="E135" i="156"/>
  <c r="G135" i="156" s="1"/>
  <c r="E92" i="156"/>
  <c r="G92" i="156" s="1"/>
  <c r="E112" i="156"/>
  <c r="G112" i="156" s="1"/>
  <c r="E149" i="156"/>
  <c r="G149" i="156" s="1"/>
  <c r="E75" i="156"/>
  <c r="G75" i="156" s="1"/>
  <c r="E140" i="156"/>
  <c r="G140" i="156" s="1"/>
  <c r="E147" i="156"/>
  <c r="G147" i="156" s="1"/>
  <c r="E144" i="156"/>
  <c r="G144" i="156" s="1"/>
  <c r="E123" i="156"/>
  <c r="G123" i="156" s="1"/>
  <c r="E77" i="156"/>
  <c r="G77" i="156" s="1"/>
  <c r="E103" i="156"/>
  <c r="G103" i="156" s="1"/>
  <c r="G66" i="156"/>
  <c r="E86" i="156"/>
  <c r="G86" i="156" s="1"/>
  <c r="E156" i="156"/>
  <c r="G156" i="156" s="1"/>
  <c r="E117" i="156"/>
  <c r="G117" i="156" s="1"/>
  <c r="E111" i="156"/>
  <c r="G111" i="156" s="1"/>
  <c r="E138" i="156"/>
  <c r="G138" i="156" s="1"/>
  <c r="E69" i="156"/>
  <c r="G69" i="156" s="1"/>
  <c r="E133" i="156"/>
  <c r="G133" i="156" s="1"/>
  <c r="E151" i="156"/>
  <c r="G151" i="156" s="1"/>
  <c r="E110" i="156"/>
  <c r="G110" i="156" s="1"/>
  <c r="G55" i="150"/>
  <c r="E71" i="156"/>
  <c r="G71" i="156" s="1"/>
  <c r="E137" i="156"/>
  <c r="G137" i="156" s="1"/>
  <c r="E93" i="156"/>
  <c r="G93" i="156" s="1"/>
  <c r="E150" i="156"/>
  <c r="G150" i="156" s="1"/>
  <c r="E73" i="156"/>
  <c r="G73" i="156" s="1"/>
  <c r="E150" i="150"/>
  <c r="G150" i="150" s="1"/>
  <c r="E103" i="150"/>
  <c r="G103" i="150" s="1"/>
  <c r="E129" i="150"/>
  <c r="G129" i="150" s="1"/>
  <c r="E148" i="150"/>
  <c r="G148" i="150" s="1"/>
  <c r="E130" i="150"/>
  <c r="G130" i="150" s="1"/>
  <c r="E152" i="150"/>
  <c r="G152" i="150" s="1"/>
  <c r="E112" i="150"/>
  <c r="G112" i="150" s="1"/>
  <c r="E135" i="150"/>
  <c r="G135" i="150" s="1"/>
  <c r="E113" i="150"/>
  <c r="G113" i="150" s="1"/>
  <c r="E156" i="150"/>
  <c r="G156" i="150" s="1"/>
  <c r="E137" i="150"/>
  <c r="G137" i="150" s="1"/>
  <c r="E138" i="150"/>
  <c r="G138" i="150" s="1"/>
  <c r="E127" i="150"/>
  <c r="G127" i="150" s="1"/>
  <c r="G68" i="156"/>
  <c r="E94" i="150"/>
  <c r="G94" i="150" s="1"/>
  <c r="E128" i="150"/>
  <c r="G128" i="150" s="1"/>
  <c r="E98" i="150"/>
  <c r="G98" i="150" s="1"/>
  <c r="E73" i="150"/>
  <c r="G73" i="150" s="1"/>
  <c r="E136" i="150"/>
  <c r="G136" i="150" s="1"/>
  <c r="E146" i="150"/>
  <c r="G146" i="150" s="1"/>
  <c r="E84" i="156"/>
  <c r="G84" i="156" s="1"/>
  <c r="E80" i="150"/>
  <c r="G80" i="150" s="1"/>
  <c r="E78" i="150"/>
  <c r="G78" i="150" s="1"/>
  <c r="E114" i="150"/>
  <c r="G114" i="150" s="1"/>
  <c r="E87" i="150"/>
  <c r="G87" i="150" s="1"/>
  <c r="E77" i="150"/>
  <c r="G77" i="150" s="1"/>
  <c r="E72" i="150"/>
  <c r="G72" i="150" s="1"/>
  <c r="E91" i="150"/>
  <c r="G91" i="150" s="1"/>
  <c r="E145" i="156"/>
  <c r="G145" i="156" s="1"/>
  <c r="E75" i="150"/>
  <c r="G75" i="150" s="1"/>
  <c r="E120" i="156"/>
  <c r="G120" i="156" s="1"/>
  <c r="E98" i="156"/>
  <c r="G98" i="156" s="1"/>
  <c r="E113" i="156"/>
  <c r="G113" i="156" s="1"/>
  <c r="E134" i="156"/>
  <c r="G134" i="156" s="1"/>
  <c r="E100" i="156"/>
  <c r="G100" i="156" s="1"/>
  <c r="E96" i="156"/>
  <c r="G96" i="156" s="1"/>
  <c r="E97" i="150"/>
  <c r="G97" i="150" s="1"/>
  <c r="E125" i="150"/>
  <c r="G125" i="150" s="1"/>
  <c r="E105" i="150"/>
  <c r="G105" i="150" s="1"/>
  <c r="E109" i="150"/>
  <c r="G109" i="150" s="1"/>
  <c r="E131" i="150"/>
  <c r="G131" i="150" s="1"/>
  <c r="E141" i="150"/>
  <c r="G141" i="150" s="1"/>
  <c r="E111" i="150"/>
  <c r="G111" i="150" s="1"/>
  <c r="E81" i="156"/>
  <c r="G81" i="156" s="1"/>
  <c r="E95" i="150"/>
  <c r="G95" i="150" s="1"/>
  <c r="E145" i="150"/>
  <c r="G145" i="150" s="1"/>
  <c r="E104" i="150"/>
  <c r="G104" i="150" s="1"/>
  <c r="E140" i="150"/>
  <c r="G140" i="150" s="1"/>
  <c r="E97" i="156"/>
  <c r="G97" i="156" s="1"/>
  <c r="E91" i="156"/>
  <c r="G91" i="156" s="1"/>
  <c r="E114" i="156"/>
  <c r="G114" i="156" s="1"/>
  <c r="E81" i="150"/>
  <c r="G81" i="150" s="1"/>
  <c r="E124" i="156"/>
  <c r="G124" i="156" s="1"/>
  <c r="E105" i="156"/>
  <c r="G105" i="156" s="1"/>
  <c r="E121" i="150"/>
  <c r="G121" i="150" s="1"/>
  <c r="E132" i="156"/>
  <c r="G132" i="156" s="1"/>
  <c r="E124" i="150"/>
  <c r="G124" i="150" s="1"/>
  <c r="E155" i="150"/>
  <c r="G155" i="150" s="1"/>
  <c r="G67" i="150"/>
  <c r="E78" i="156"/>
  <c r="G78" i="156" s="1"/>
  <c r="E101" i="150"/>
  <c r="G101" i="150" s="1"/>
  <c r="E108" i="150"/>
  <c r="G108" i="150" s="1"/>
  <c r="E95" i="156"/>
  <c r="G95" i="156" s="1"/>
  <c r="E130" i="156"/>
  <c r="G130" i="156" s="1"/>
  <c r="AL6" i="106"/>
  <c r="R24" i="106"/>
  <c r="R9" i="106" s="1"/>
  <c r="R27" i="106"/>
  <c r="R12" i="106" s="1"/>
  <c r="AM6" i="106"/>
  <c r="I5" i="16"/>
  <c r="BA21" i="106"/>
  <c r="O24" i="106"/>
  <c r="P24" i="106"/>
  <c r="P9" i="106" s="1"/>
  <c r="O27" i="106"/>
  <c r="Q27" i="106"/>
  <c r="Q12" i="106" s="1"/>
  <c r="Q24" i="106"/>
  <c r="Q9" i="106" s="1"/>
  <c r="P27" i="106"/>
  <c r="P12" i="106" s="1"/>
  <c r="E133" i="150"/>
  <c r="G133" i="150" s="1"/>
  <c r="G55" i="156"/>
  <c r="G54" i="150"/>
  <c r="E80" i="156"/>
  <c r="G80" i="156" s="1"/>
  <c r="E88" i="150"/>
  <c r="G88" i="150" s="1"/>
  <c r="G64" i="156"/>
  <c r="E155" i="156"/>
  <c r="G155" i="156" s="1"/>
  <c r="E117" i="150"/>
  <c r="G117" i="150" s="1"/>
  <c r="E109" i="156"/>
  <c r="G109" i="156" s="1"/>
  <c r="G63" i="156"/>
  <c r="G60" i="150"/>
  <c r="E69" i="150"/>
  <c r="G69" i="150" s="1"/>
  <c r="E141" i="156"/>
  <c r="G141" i="156" s="1"/>
  <c r="E115" i="156"/>
  <c r="G115" i="156" s="1"/>
  <c r="E115" i="150"/>
  <c r="G115" i="150" s="1"/>
  <c r="E100" i="150"/>
  <c r="G100" i="150" s="1"/>
  <c r="E128" i="156"/>
  <c r="G128" i="156" s="1"/>
  <c r="G63" i="150"/>
  <c r="E93" i="150"/>
  <c r="G93" i="150" s="1"/>
  <c r="E82" i="156"/>
  <c r="G82" i="156" s="1"/>
  <c r="E96" i="150"/>
  <c r="G96" i="150" s="1"/>
  <c r="E74" i="150"/>
  <c r="G74" i="150" s="1"/>
  <c r="G58" i="156"/>
  <c r="E101" i="156"/>
  <c r="G101" i="156" s="1"/>
  <c r="G66" i="150"/>
  <c r="G61" i="156"/>
  <c r="E119" i="150"/>
  <c r="G119" i="150" s="1"/>
  <c r="E151" i="150"/>
  <c r="G151" i="150" s="1"/>
  <c r="E146" i="156"/>
  <c r="G146" i="156" s="1"/>
  <c r="E139" i="150"/>
  <c r="G139" i="150" s="1"/>
  <c r="G59" i="156"/>
  <c r="E142" i="156"/>
  <c r="G142" i="156" s="1"/>
  <c r="E106" i="150"/>
  <c r="G106" i="150" s="1"/>
  <c r="E108" i="156"/>
  <c r="G108" i="156" s="1"/>
  <c r="G54" i="156"/>
  <c r="G64" i="150"/>
  <c r="E89" i="156"/>
  <c r="G89" i="156" s="1"/>
  <c r="E84" i="150"/>
  <c r="G84" i="150" s="1"/>
  <c r="E102" i="156"/>
  <c r="G102" i="156" s="1"/>
  <c r="E154" i="150"/>
  <c r="G154" i="150" s="1"/>
  <c r="E90" i="156"/>
  <c r="G90" i="156" s="1"/>
  <c r="E149" i="150"/>
  <c r="G149" i="150" s="1"/>
  <c r="E121" i="156"/>
  <c r="G121" i="156" s="1"/>
  <c r="G57" i="156"/>
  <c r="E144" i="150"/>
  <c r="G144" i="150" s="1"/>
  <c r="E104" i="156"/>
  <c r="G104" i="156" s="1"/>
  <c r="E129" i="156"/>
  <c r="G129" i="156" s="1"/>
  <c r="E90" i="150"/>
  <c r="G90" i="150" s="1"/>
  <c r="E87" i="156"/>
  <c r="G87" i="156" s="1"/>
  <c r="I30" i="156"/>
  <c r="J30" i="156"/>
  <c r="D30" i="156"/>
  <c r="E30" i="156"/>
  <c r="F30" i="156"/>
  <c r="G30" i="156"/>
  <c r="H30" i="156"/>
  <c r="E83" i="150"/>
  <c r="G83" i="150" s="1"/>
  <c r="E86" i="150"/>
  <c r="G86" i="150" s="1"/>
  <c r="E72" i="156"/>
  <c r="G72" i="156" s="1"/>
  <c r="E99" i="156"/>
  <c r="G99" i="156" s="1"/>
  <c r="G65" i="150"/>
  <c r="E153" i="156"/>
  <c r="G153" i="156" s="1"/>
  <c r="E85" i="156"/>
  <c r="G85" i="156" s="1"/>
  <c r="G58" i="150"/>
  <c r="E143" i="156"/>
  <c r="G143" i="156" s="1"/>
  <c r="N29" i="150"/>
  <c r="N29" i="156"/>
  <c r="G57" i="150"/>
  <c r="B32" i="156"/>
  <c r="C31" i="156"/>
  <c r="G62" i="150"/>
  <c r="G61" i="150"/>
  <c r="G59" i="150"/>
  <c r="E134" i="150"/>
  <c r="G134" i="150" s="1"/>
  <c r="E85" i="150"/>
  <c r="G85" i="150" s="1"/>
  <c r="E79" i="156"/>
  <c r="G79" i="156" s="1"/>
  <c r="E82" i="150"/>
  <c r="G82" i="150" s="1"/>
  <c r="E92" i="150"/>
  <c r="G92" i="150" s="1"/>
  <c r="E120" i="150"/>
  <c r="G120" i="150" s="1"/>
  <c r="E147" i="150"/>
  <c r="G147" i="150" s="1"/>
  <c r="E71" i="150"/>
  <c r="G71" i="150" s="1"/>
  <c r="E118" i="156"/>
  <c r="G118" i="156" s="1"/>
  <c r="E110" i="150"/>
  <c r="G110" i="150" s="1"/>
  <c r="E102" i="150"/>
  <c r="G102" i="150" s="1"/>
  <c r="E94" i="156"/>
  <c r="G94" i="156" s="1"/>
  <c r="E107" i="150"/>
  <c r="G107" i="150" s="1"/>
  <c r="E116" i="150"/>
  <c r="G116" i="150" s="1"/>
  <c r="E126" i="156"/>
  <c r="G126" i="156" s="1"/>
  <c r="E70" i="150"/>
  <c r="G70" i="150" s="1"/>
  <c r="G30" i="150"/>
  <c r="E30" i="150"/>
  <c r="F30" i="150"/>
  <c r="J30" i="150"/>
  <c r="H30" i="150"/>
  <c r="D30" i="150"/>
  <c r="I30" i="150"/>
  <c r="E153" i="150"/>
  <c r="G153" i="150" s="1"/>
  <c r="E127" i="156"/>
  <c r="G127" i="156" s="1"/>
  <c r="E143" i="150"/>
  <c r="G143" i="150" s="1"/>
  <c r="E152" i="156"/>
  <c r="G152" i="156" s="1"/>
  <c r="E122" i="150"/>
  <c r="G122" i="150" s="1"/>
  <c r="E154" i="156"/>
  <c r="G154" i="156" s="1"/>
  <c r="E76" i="150"/>
  <c r="G76" i="150" s="1"/>
  <c r="E142" i="150"/>
  <c r="G142" i="150" s="1"/>
  <c r="E125" i="156"/>
  <c r="G125" i="156" s="1"/>
  <c r="E99" i="150"/>
  <c r="G99" i="150" s="1"/>
  <c r="E123" i="150"/>
  <c r="G123" i="150" s="1"/>
  <c r="E119" i="156"/>
  <c r="G119" i="156" s="1"/>
  <c r="E132" i="150"/>
  <c r="G132" i="150" s="1"/>
  <c r="C31" i="150"/>
  <c r="B32" i="150"/>
  <c r="E79" i="150"/>
  <c r="G79" i="150" s="1"/>
  <c r="E89" i="150"/>
  <c r="G89" i="150" s="1"/>
  <c r="E126" i="150"/>
  <c r="G126" i="150" s="1"/>
  <c r="E83" i="156"/>
  <c r="G83" i="156" s="1"/>
  <c r="E118" i="150"/>
  <c r="G118" i="150" s="1"/>
  <c r="E139" i="156"/>
  <c r="G139" i="156" s="1"/>
  <c r="E76" i="156"/>
  <c r="G76" i="156" s="1"/>
  <c r="E8" i="115"/>
  <c r="V8" i="106"/>
  <c r="V10" i="106"/>
  <c r="V7" i="106"/>
  <c r="V11" i="106"/>
  <c r="U10" i="106"/>
  <c r="U11" i="106"/>
  <c r="U7" i="106"/>
  <c r="U8" i="106"/>
  <c r="T7" i="106"/>
  <c r="T8" i="106"/>
  <c r="T11" i="106"/>
  <c r="T10" i="106"/>
  <c r="S11" i="106"/>
  <c r="S10" i="106"/>
  <c r="S8" i="106"/>
  <c r="S7" i="106"/>
  <c r="Q13" i="154" a="1"/>
  <c r="Q13" i="154" s="1"/>
  <c r="Q13" i="152" a="1"/>
  <c r="Q13" i="152" s="1"/>
  <c r="Q13" i="148" a="1"/>
  <c r="Q13" i="148" s="1"/>
  <c r="Q14" i="146" a="1"/>
  <c r="Q14" i="146" s="1"/>
  <c r="S14" i="146" s="1"/>
  <c r="Q13" i="146" a="1"/>
  <c r="Q13" i="146" s="1"/>
  <c r="Q14" i="152" a="1"/>
  <c r="Q14" i="152" s="1"/>
  <c r="S14" i="152" s="1"/>
  <c r="Q14" i="148" a="1"/>
  <c r="Q14" i="148" s="1"/>
  <c r="S14" i="148" s="1"/>
  <c r="Q14" i="154" a="1"/>
  <c r="Q14" i="154" s="1"/>
  <c r="S14" i="154" s="1"/>
  <c r="G10" i="112"/>
  <c r="H10" i="112" s="1"/>
  <c r="E11" i="111"/>
  <c r="E8" i="111"/>
  <c r="E10" i="111"/>
  <c r="E9" i="111"/>
  <c r="E2" i="142"/>
  <c r="E6" i="103"/>
  <c r="BP23" i="106"/>
  <c r="AM22" i="106"/>
  <c r="BP22" i="106"/>
  <c r="BP25" i="106"/>
  <c r="AL23" i="106"/>
  <c r="AM26" i="106"/>
  <c r="BP26" i="106"/>
  <c r="AM25" i="106"/>
  <c r="AL26" i="106"/>
  <c r="AL25" i="106"/>
  <c r="AM23" i="106"/>
  <c r="H20" i="106"/>
  <c r="AL22" i="106"/>
  <c r="O12" i="106" l="1"/>
  <c r="O9" i="106"/>
  <c r="S13" i="146"/>
  <c r="S13" i="152"/>
  <c r="S13" i="154"/>
  <c r="S13" i="148"/>
  <c r="N30" i="150"/>
  <c r="O30" i="150" s="1"/>
  <c r="P30" i="150" s="1"/>
  <c r="N30" i="156"/>
  <c r="L30" i="156" s="1"/>
  <c r="C32" i="150"/>
  <c r="B33" i="150"/>
  <c r="I31" i="150"/>
  <c r="D31" i="150"/>
  <c r="H31" i="150"/>
  <c r="F31" i="150"/>
  <c r="G31" i="150"/>
  <c r="J31" i="150"/>
  <c r="E31" i="150"/>
  <c r="I31" i="156"/>
  <c r="H31" i="156"/>
  <c r="E31" i="156"/>
  <c r="F31" i="156"/>
  <c r="G31" i="156"/>
  <c r="D31" i="156"/>
  <c r="J31" i="156"/>
  <c r="C32" i="156"/>
  <c r="B33" i="156"/>
  <c r="O29" i="150"/>
  <c r="P29" i="150" s="1"/>
  <c r="Q29" i="150" s="1"/>
  <c r="H53" i="150" s="1"/>
  <c r="H83" i="150" s="1"/>
  <c r="L29" i="150"/>
  <c r="O29" i="156"/>
  <c r="P29" i="156" s="1"/>
  <c r="Q29" i="156" s="1"/>
  <c r="H53" i="156" s="1"/>
  <c r="H125" i="156" s="1"/>
  <c r="L29" i="156"/>
  <c r="AM7" i="106"/>
  <c r="AM8" i="106"/>
  <c r="AM11" i="106"/>
  <c r="AM10" i="106"/>
  <c r="AL7" i="106"/>
  <c r="AL8" i="106"/>
  <c r="AL10" i="106"/>
  <c r="AL11" i="106"/>
  <c r="BA22" i="106"/>
  <c r="BA23" i="106"/>
  <c r="BA25" i="106"/>
  <c r="BA26" i="106"/>
  <c r="I6" i="16"/>
  <c r="I7" i="16"/>
  <c r="I9" i="16"/>
  <c r="I10" i="16"/>
  <c r="G9" i="111"/>
  <c r="H9" i="111" s="1"/>
  <c r="G10" i="111"/>
  <c r="H10" i="111" s="1"/>
  <c r="G11" i="111"/>
  <c r="H11" i="111" s="1"/>
  <c r="G12" i="111"/>
  <c r="H12" i="111" s="1"/>
  <c r="Q5" i="16"/>
  <c r="X21" i="106" s="1"/>
  <c r="AH21" i="106" s="1"/>
  <c r="Q6" i="16"/>
  <c r="X22" i="106" s="1"/>
  <c r="AH22" i="106" s="1"/>
  <c r="Q7" i="16"/>
  <c r="X23" i="106" s="1"/>
  <c r="AH23" i="106" s="1"/>
  <c r="Q8" i="16"/>
  <c r="X24" i="106" s="1"/>
  <c r="Q9" i="16"/>
  <c r="X25" i="106" s="1"/>
  <c r="AH25" i="106" s="1"/>
  <c r="Q10" i="16"/>
  <c r="X26" i="106" s="1"/>
  <c r="AH26" i="106" s="1"/>
  <c r="O30" i="156" l="1"/>
  <c r="P30" i="156" s="1"/>
  <c r="L30" i="150"/>
  <c r="N31" i="156"/>
  <c r="L31" i="156" s="1"/>
  <c r="N31" i="150"/>
  <c r="H127" i="150"/>
  <c r="H64" i="150"/>
  <c r="H100" i="150"/>
  <c r="H89" i="150"/>
  <c r="H152" i="156"/>
  <c r="H86" i="150"/>
  <c r="H103" i="150"/>
  <c r="H65" i="150"/>
  <c r="H121" i="156"/>
  <c r="H76" i="156"/>
  <c r="H54" i="150"/>
  <c r="O54" i="150" s="1"/>
  <c r="H109" i="150"/>
  <c r="H60" i="150"/>
  <c r="H107" i="150"/>
  <c r="H126" i="156"/>
  <c r="H59" i="156"/>
  <c r="H102" i="156"/>
  <c r="H110" i="150"/>
  <c r="H82" i="150"/>
  <c r="H115" i="156"/>
  <c r="H134" i="150"/>
  <c r="H154" i="150"/>
  <c r="H63" i="150"/>
  <c r="H154" i="156"/>
  <c r="H76" i="150"/>
  <c r="H78" i="156"/>
  <c r="H117" i="150"/>
  <c r="H79" i="150"/>
  <c r="H83" i="156"/>
  <c r="H55" i="156"/>
  <c r="O55" i="156" s="1"/>
  <c r="H142" i="156"/>
  <c r="H91" i="156"/>
  <c r="H109" i="156"/>
  <c r="H102" i="150"/>
  <c r="H131" i="150"/>
  <c r="H151" i="150"/>
  <c r="H120" i="156"/>
  <c r="H118" i="150"/>
  <c r="H112" i="150"/>
  <c r="H96" i="156"/>
  <c r="H149" i="156"/>
  <c r="H93" i="150"/>
  <c r="H66" i="150"/>
  <c r="H141" i="150"/>
  <c r="H101" i="156"/>
  <c r="H126" i="150"/>
  <c r="H63" i="156"/>
  <c r="H57" i="150"/>
  <c r="O57" i="150" s="1"/>
  <c r="H119" i="150"/>
  <c r="H140" i="150"/>
  <c r="H104" i="150"/>
  <c r="H143" i="150"/>
  <c r="H85" i="150"/>
  <c r="H68" i="150"/>
  <c r="H139" i="150"/>
  <c r="H89" i="156"/>
  <c r="H94" i="156"/>
  <c r="H149" i="150"/>
  <c r="H82" i="156"/>
  <c r="Q30" i="150"/>
  <c r="I53" i="150" s="1"/>
  <c r="I106" i="150" s="1"/>
  <c r="H120" i="150"/>
  <c r="H143" i="156"/>
  <c r="H119" i="156"/>
  <c r="B34" i="150"/>
  <c r="C34" i="150" s="1"/>
  <c r="C33" i="150"/>
  <c r="H146" i="156"/>
  <c r="H80" i="156"/>
  <c r="H88" i="150"/>
  <c r="H129" i="156"/>
  <c r="H92" i="150"/>
  <c r="G32" i="150"/>
  <c r="I32" i="150"/>
  <c r="F32" i="150"/>
  <c r="H32" i="150"/>
  <c r="E32" i="150"/>
  <c r="J32" i="150"/>
  <c r="D32" i="150"/>
  <c r="H105" i="150"/>
  <c r="H84" i="150"/>
  <c r="H118" i="156"/>
  <c r="H153" i="150"/>
  <c r="H70" i="150"/>
  <c r="H144" i="150"/>
  <c r="H61" i="150"/>
  <c r="H68" i="156"/>
  <c r="H156" i="156"/>
  <c r="H66" i="156"/>
  <c r="H77" i="156"/>
  <c r="H132" i="156"/>
  <c r="H65" i="156"/>
  <c r="H135" i="156"/>
  <c r="H124" i="156"/>
  <c r="H107" i="156"/>
  <c r="H138" i="156"/>
  <c r="H131" i="156"/>
  <c r="H133" i="156"/>
  <c r="H140" i="156"/>
  <c r="H137" i="156"/>
  <c r="H122" i="156"/>
  <c r="H62" i="156"/>
  <c r="H95" i="156"/>
  <c r="H71" i="156"/>
  <c r="H150" i="156"/>
  <c r="H86" i="156"/>
  <c r="H70" i="156"/>
  <c r="H148" i="156"/>
  <c r="H75" i="156"/>
  <c r="H113" i="156"/>
  <c r="H110" i="156"/>
  <c r="H144" i="156"/>
  <c r="H74" i="156"/>
  <c r="H84" i="156"/>
  <c r="H103" i="156"/>
  <c r="H147" i="156"/>
  <c r="H130" i="156"/>
  <c r="H92" i="156"/>
  <c r="H93" i="156"/>
  <c r="H60" i="156"/>
  <c r="H136" i="156"/>
  <c r="H117" i="156"/>
  <c r="H123" i="156"/>
  <c r="H56" i="156"/>
  <c r="O56" i="156" s="1"/>
  <c r="H106" i="156"/>
  <c r="H69" i="156"/>
  <c r="H100" i="156"/>
  <c r="H73" i="156"/>
  <c r="H67" i="156"/>
  <c r="H111" i="156"/>
  <c r="H112" i="156"/>
  <c r="H151" i="156"/>
  <c r="H81" i="156"/>
  <c r="O31" i="156"/>
  <c r="P31" i="156" s="1"/>
  <c r="Q31" i="156" s="1"/>
  <c r="J53" i="156" s="1"/>
  <c r="H85" i="156"/>
  <c r="H114" i="156"/>
  <c r="H153" i="156"/>
  <c r="H104" i="156"/>
  <c r="H64" i="156"/>
  <c r="H134" i="156"/>
  <c r="H90" i="150"/>
  <c r="H147" i="150"/>
  <c r="H69" i="150"/>
  <c r="H141" i="156"/>
  <c r="H58" i="150"/>
  <c r="O58" i="150" s="1"/>
  <c r="H98" i="156"/>
  <c r="H95" i="150"/>
  <c r="H54" i="156"/>
  <c r="O54" i="156" s="1"/>
  <c r="H87" i="156"/>
  <c r="H97" i="156"/>
  <c r="H127" i="156"/>
  <c r="H61" i="156"/>
  <c r="H122" i="150"/>
  <c r="H105" i="156"/>
  <c r="H133" i="150"/>
  <c r="H116" i="156"/>
  <c r="H99" i="156"/>
  <c r="H155" i="156"/>
  <c r="H132" i="150"/>
  <c r="H72" i="156"/>
  <c r="C33" i="156"/>
  <c r="B34" i="156"/>
  <c r="C34" i="156" s="1"/>
  <c r="H145" i="156"/>
  <c r="H71" i="150"/>
  <c r="H128" i="156"/>
  <c r="H90" i="156"/>
  <c r="H79" i="156"/>
  <c r="D32" i="156"/>
  <c r="H32" i="156"/>
  <c r="J32" i="156"/>
  <c r="E32" i="156"/>
  <c r="I32" i="156"/>
  <c r="G32" i="156"/>
  <c r="F32" i="156"/>
  <c r="H139" i="156"/>
  <c r="H96" i="150"/>
  <c r="H57" i="156"/>
  <c r="O57" i="156" s="1"/>
  <c r="H142" i="150"/>
  <c r="H123" i="150"/>
  <c r="H74" i="150"/>
  <c r="H62" i="150"/>
  <c r="H98" i="150"/>
  <c r="H108" i="156"/>
  <c r="Q30" i="156"/>
  <c r="I53" i="156" s="1"/>
  <c r="H137" i="150"/>
  <c r="H146" i="150"/>
  <c r="H75" i="150"/>
  <c r="H145" i="150"/>
  <c r="H67" i="150"/>
  <c r="H72" i="150"/>
  <c r="H94" i="150"/>
  <c r="H55" i="150"/>
  <c r="O55" i="150" s="1"/>
  <c r="H78" i="150"/>
  <c r="H155" i="150"/>
  <c r="H77" i="150"/>
  <c r="H138" i="150"/>
  <c r="H56" i="150"/>
  <c r="O56" i="150" s="1"/>
  <c r="H129" i="150"/>
  <c r="H97" i="150"/>
  <c r="H156" i="150"/>
  <c r="H91" i="150"/>
  <c r="H135" i="150"/>
  <c r="H130" i="150"/>
  <c r="H80" i="150"/>
  <c r="H114" i="150"/>
  <c r="H101" i="150"/>
  <c r="H148" i="150"/>
  <c r="H81" i="150"/>
  <c r="H108" i="150"/>
  <c r="H73" i="150"/>
  <c r="H87" i="150"/>
  <c r="H124" i="150"/>
  <c r="H125" i="150"/>
  <c r="H136" i="150"/>
  <c r="H113" i="150"/>
  <c r="H150" i="150"/>
  <c r="H121" i="150"/>
  <c r="H116" i="150"/>
  <c r="H99" i="150"/>
  <c r="H58" i="156"/>
  <c r="O58" i="156" s="1"/>
  <c r="H152" i="150"/>
  <c r="H106" i="150"/>
  <c r="H88" i="156"/>
  <c r="O31" i="150"/>
  <c r="P31" i="150" s="1"/>
  <c r="Q31" i="150" s="1"/>
  <c r="J53" i="150" s="1"/>
  <c r="L31" i="150"/>
  <c r="H115" i="150"/>
  <c r="H128" i="150"/>
  <c r="H59" i="150"/>
  <c r="H111" i="150"/>
  <c r="AU27" i="106"/>
  <c r="AD20" i="106"/>
  <c r="L4" i="16" s="1"/>
  <c r="AD21" i="106"/>
  <c r="L5" i="16" s="1"/>
  <c r="AD22" i="106"/>
  <c r="L6" i="16" s="1"/>
  <c r="AD23" i="106"/>
  <c r="L7" i="16" s="1"/>
  <c r="AD24" i="106"/>
  <c r="L8" i="16" s="1"/>
  <c r="AD25" i="106"/>
  <c r="L9" i="16" s="1"/>
  <c r="AD26" i="106"/>
  <c r="L10" i="16" s="1"/>
  <c r="AD30" i="106"/>
  <c r="L14" i="16" s="1"/>
  <c r="N32" i="150" l="1"/>
  <c r="L32" i="150" s="1"/>
  <c r="N32" i="156"/>
  <c r="I98" i="150"/>
  <c r="I108" i="150"/>
  <c r="I64" i="150"/>
  <c r="I137" i="150"/>
  <c r="I133" i="150"/>
  <c r="I113" i="150"/>
  <c r="I119" i="150"/>
  <c r="I96" i="150"/>
  <c r="I116" i="150"/>
  <c r="I73" i="150"/>
  <c r="I153" i="150"/>
  <c r="I120" i="150"/>
  <c r="I88" i="150"/>
  <c r="I102" i="150"/>
  <c r="I103" i="150"/>
  <c r="I76" i="150"/>
  <c r="I99" i="150"/>
  <c r="I67" i="150"/>
  <c r="I77" i="150"/>
  <c r="I111" i="150"/>
  <c r="I141" i="150"/>
  <c r="I72" i="150"/>
  <c r="I79" i="150"/>
  <c r="I130" i="150"/>
  <c r="I150" i="150"/>
  <c r="I128" i="150"/>
  <c r="I129" i="150"/>
  <c r="I80" i="150"/>
  <c r="I104" i="150"/>
  <c r="I147" i="150"/>
  <c r="I78" i="150"/>
  <c r="I151" i="150"/>
  <c r="I121" i="150"/>
  <c r="I101" i="150"/>
  <c r="I100" i="150"/>
  <c r="I95" i="150"/>
  <c r="I89" i="150"/>
  <c r="I70" i="150"/>
  <c r="I91" i="150"/>
  <c r="I94" i="150"/>
  <c r="I105" i="150"/>
  <c r="I69" i="150"/>
  <c r="I110" i="150"/>
  <c r="I75" i="150"/>
  <c r="I154" i="150"/>
  <c r="I131" i="150"/>
  <c r="I117" i="150"/>
  <c r="I97" i="150"/>
  <c r="I138" i="150"/>
  <c r="I90" i="150"/>
  <c r="I148" i="150"/>
  <c r="I109" i="150"/>
  <c r="I145" i="150"/>
  <c r="I112" i="150"/>
  <c r="I93" i="150"/>
  <c r="I146" i="150"/>
  <c r="I71" i="150"/>
  <c r="I66" i="150"/>
  <c r="I123" i="150"/>
  <c r="I156" i="150"/>
  <c r="I136" i="150"/>
  <c r="I107" i="150"/>
  <c r="I139" i="150"/>
  <c r="I125" i="150"/>
  <c r="I127" i="150"/>
  <c r="I84" i="150"/>
  <c r="I122" i="150"/>
  <c r="I149" i="150"/>
  <c r="I81" i="150"/>
  <c r="I68" i="150"/>
  <c r="I65" i="150"/>
  <c r="I132" i="150"/>
  <c r="I87" i="150"/>
  <c r="I124" i="150"/>
  <c r="I115" i="150"/>
  <c r="I59" i="150"/>
  <c r="O59" i="150" s="1"/>
  <c r="I62" i="150"/>
  <c r="O62" i="150" s="1"/>
  <c r="I144" i="150"/>
  <c r="I92" i="150"/>
  <c r="I134" i="150"/>
  <c r="I142" i="150"/>
  <c r="I61" i="150"/>
  <c r="O61" i="150" s="1"/>
  <c r="I126" i="150"/>
  <c r="I63" i="150"/>
  <c r="O63" i="150" s="1"/>
  <c r="I85" i="150"/>
  <c r="I143" i="150"/>
  <c r="I155" i="150"/>
  <c r="I135" i="150"/>
  <c r="I82" i="150"/>
  <c r="I118" i="150"/>
  <c r="I74" i="150"/>
  <c r="I140" i="150"/>
  <c r="I83" i="150"/>
  <c r="I114" i="150"/>
  <c r="I152" i="150"/>
  <c r="I86" i="150"/>
  <c r="I60" i="150"/>
  <c r="O60" i="150" s="1"/>
  <c r="D34" i="156"/>
  <c r="H34" i="156"/>
  <c r="F34" i="156"/>
  <c r="E34" i="156"/>
  <c r="I34" i="156"/>
  <c r="G34" i="156"/>
  <c r="J34" i="156"/>
  <c r="D33" i="156"/>
  <c r="G33" i="156"/>
  <c r="E33" i="156"/>
  <c r="J33" i="156"/>
  <c r="H33" i="156"/>
  <c r="I33" i="156"/>
  <c r="F33" i="156"/>
  <c r="I74" i="156"/>
  <c r="I105" i="156"/>
  <c r="I78" i="156"/>
  <c r="I72" i="156"/>
  <c r="I116" i="156"/>
  <c r="I117" i="156"/>
  <c r="I156" i="156"/>
  <c r="I73" i="156"/>
  <c r="I71" i="156"/>
  <c r="I82" i="156"/>
  <c r="I137" i="156"/>
  <c r="I70" i="156"/>
  <c r="I140" i="156"/>
  <c r="I129" i="156"/>
  <c r="I112" i="156"/>
  <c r="I143" i="156"/>
  <c r="I136" i="156"/>
  <c r="I138" i="156"/>
  <c r="I145" i="156"/>
  <c r="I142" i="156"/>
  <c r="I127" i="156"/>
  <c r="I67" i="156"/>
  <c r="I100" i="156"/>
  <c r="I76" i="156"/>
  <c r="I155" i="156"/>
  <c r="I91" i="156"/>
  <c r="I75" i="156"/>
  <c r="I153" i="156"/>
  <c r="I80" i="156"/>
  <c r="I98" i="156"/>
  <c r="I65" i="156"/>
  <c r="I118" i="156"/>
  <c r="I115" i="156"/>
  <c r="I149" i="156"/>
  <c r="I79" i="156"/>
  <c r="I89" i="156"/>
  <c r="I97" i="156"/>
  <c r="I108" i="156"/>
  <c r="I152" i="156"/>
  <c r="I135" i="156"/>
  <c r="I141" i="156"/>
  <c r="I122" i="156"/>
  <c r="I128" i="156"/>
  <c r="I61" i="156"/>
  <c r="O61" i="156" s="1"/>
  <c r="I111" i="156"/>
  <c r="I124" i="156"/>
  <c r="I148" i="156"/>
  <c r="I88" i="156"/>
  <c r="I94" i="156"/>
  <c r="I101" i="156"/>
  <c r="I151" i="156"/>
  <c r="I93" i="156"/>
  <c r="I63" i="156"/>
  <c r="O63" i="156" s="1"/>
  <c r="I99" i="156"/>
  <c r="I113" i="156"/>
  <c r="I62" i="156"/>
  <c r="O62" i="156" s="1"/>
  <c r="I144" i="156"/>
  <c r="I84" i="156"/>
  <c r="I95" i="156"/>
  <c r="I133" i="156"/>
  <c r="I150" i="156"/>
  <c r="I77" i="156"/>
  <c r="I102" i="156"/>
  <c r="I114" i="156"/>
  <c r="I96" i="156"/>
  <c r="I104" i="156"/>
  <c r="I121" i="156"/>
  <c r="I110" i="156"/>
  <c r="I66" i="156"/>
  <c r="I132" i="156"/>
  <c r="I92" i="156"/>
  <c r="I59" i="156"/>
  <c r="O59" i="156" s="1"/>
  <c r="I103" i="156"/>
  <c r="I146" i="156"/>
  <c r="I139" i="156"/>
  <c r="I69" i="156"/>
  <c r="I109" i="156"/>
  <c r="I119" i="156"/>
  <c r="I90" i="156"/>
  <c r="I86" i="156"/>
  <c r="I68" i="156"/>
  <c r="I130" i="156"/>
  <c r="I106" i="156"/>
  <c r="I126" i="156"/>
  <c r="I87" i="156"/>
  <c r="I125" i="156"/>
  <c r="I154" i="156"/>
  <c r="I107" i="156"/>
  <c r="I123" i="156"/>
  <c r="I134" i="156"/>
  <c r="I85" i="156"/>
  <c r="I83" i="156"/>
  <c r="I120" i="156"/>
  <c r="I147" i="156"/>
  <c r="I64" i="156"/>
  <c r="I81" i="156"/>
  <c r="I60" i="156"/>
  <c r="O60" i="156" s="1"/>
  <c r="I131" i="156"/>
  <c r="L32" i="156"/>
  <c r="O32" i="156"/>
  <c r="P32" i="156" s="1"/>
  <c r="Q32" i="156" s="1"/>
  <c r="K53" i="156" s="1"/>
  <c r="G33" i="150"/>
  <c r="F33" i="150"/>
  <c r="I33" i="150"/>
  <c r="J33" i="150"/>
  <c r="H33" i="150"/>
  <c r="D33" i="150"/>
  <c r="E33" i="150"/>
  <c r="H34" i="150"/>
  <c r="F34" i="150"/>
  <c r="G34" i="150"/>
  <c r="D34" i="150"/>
  <c r="J34" i="150"/>
  <c r="E34" i="150"/>
  <c r="I34" i="150"/>
  <c r="J66" i="156"/>
  <c r="J116" i="156"/>
  <c r="J79" i="156"/>
  <c r="J110" i="156"/>
  <c r="J83" i="156"/>
  <c r="J77" i="156"/>
  <c r="J121" i="156"/>
  <c r="J122" i="156"/>
  <c r="J78" i="156"/>
  <c r="J76" i="156"/>
  <c r="J87" i="156"/>
  <c r="J142" i="156"/>
  <c r="J75" i="156"/>
  <c r="J145" i="156"/>
  <c r="J134" i="156"/>
  <c r="J117" i="156"/>
  <c r="J148" i="156"/>
  <c r="J141" i="156"/>
  <c r="J143" i="156"/>
  <c r="J150" i="156"/>
  <c r="J147" i="156"/>
  <c r="J132" i="156"/>
  <c r="J72" i="156"/>
  <c r="J105" i="156"/>
  <c r="J81" i="156"/>
  <c r="J103" i="156"/>
  <c r="J96" i="156"/>
  <c r="J80" i="156"/>
  <c r="J85" i="156"/>
  <c r="J123" i="156"/>
  <c r="J120" i="156"/>
  <c r="J154" i="156"/>
  <c r="J84" i="156"/>
  <c r="J94" i="156"/>
  <c r="J113" i="156"/>
  <c r="J140" i="156"/>
  <c r="J102" i="156"/>
  <c r="J70" i="156"/>
  <c r="J146" i="156"/>
  <c r="J127" i="156"/>
  <c r="J133" i="156"/>
  <c r="J88" i="156"/>
  <c r="J125" i="156"/>
  <c r="J152" i="156"/>
  <c r="J69" i="156"/>
  <c r="J86" i="156"/>
  <c r="J65" i="156"/>
  <c r="J136" i="156"/>
  <c r="J129" i="156"/>
  <c r="J153" i="156"/>
  <c r="J95" i="156"/>
  <c r="J93" i="156"/>
  <c r="J99" i="156"/>
  <c r="J106" i="156"/>
  <c r="J98" i="156"/>
  <c r="J68" i="156"/>
  <c r="J118" i="156"/>
  <c r="J67" i="156"/>
  <c r="O67" i="156" s="1"/>
  <c r="J149" i="156"/>
  <c r="J89" i="156"/>
  <c r="J100" i="156"/>
  <c r="J138" i="156"/>
  <c r="J155" i="156"/>
  <c r="J82" i="156"/>
  <c r="J101" i="156"/>
  <c r="J109" i="156"/>
  <c r="J126" i="156"/>
  <c r="J115" i="156"/>
  <c r="J71" i="156"/>
  <c r="J137" i="156"/>
  <c r="J107" i="156"/>
  <c r="J91" i="156"/>
  <c r="J131" i="156"/>
  <c r="J92" i="156"/>
  <c r="J130" i="156"/>
  <c r="J112" i="156"/>
  <c r="J119" i="156"/>
  <c r="J97" i="156"/>
  <c r="J64" i="156"/>
  <c r="J108" i="156"/>
  <c r="J151" i="156"/>
  <c r="J73" i="156"/>
  <c r="J144" i="156"/>
  <c r="J74" i="156"/>
  <c r="J114" i="156"/>
  <c r="J124" i="156"/>
  <c r="J135" i="156"/>
  <c r="J111" i="156"/>
  <c r="J128" i="156"/>
  <c r="J139" i="156"/>
  <c r="J90" i="156"/>
  <c r="J156" i="156"/>
  <c r="J104" i="156"/>
  <c r="O32" i="150"/>
  <c r="P32" i="150" s="1"/>
  <c r="Q32" i="150" s="1"/>
  <c r="K53" i="150" s="1"/>
  <c r="J125" i="150"/>
  <c r="J123" i="150"/>
  <c r="J131" i="150"/>
  <c r="J147" i="150"/>
  <c r="J156" i="150"/>
  <c r="J85" i="150"/>
  <c r="J155" i="150"/>
  <c r="J77" i="150"/>
  <c r="J82" i="150"/>
  <c r="J104" i="150"/>
  <c r="J65" i="150"/>
  <c r="J88" i="150"/>
  <c r="J87" i="150"/>
  <c r="J148" i="150"/>
  <c r="J66" i="150"/>
  <c r="J139" i="150"/>
  <c r="J91" i="150"/>
  <c r="J107" i="150"/>
  <c r="J101" i="150"/>
  <c r="J145" i="150"/>
  <c r="J140" i="150"/>
  <c r="J90" i="150"/>
  <c r="J124" i="150"/>
  <c r="J111" i="150"/>
  <c r="J83" i="150"/>
  <c r="J97" i="150"/>
  <c r="J118" i="150"/>
  <c r="J134" i="150"/>
  <c r="J135" i="150"/>
  <c r="J146" i="150"/>
  <c r="J64" i="150"/>
  <c r="J75" i="150"/>
  <c r="J76" i="150"/>
  <c r="J117" i="150"/>
  <c r="J130" i="150"/>
  <c r="J151" i="150"/>
  <c r="J122" i="150"/>
  <c r="J121" i="150"/>
  <c r="J113" i="150"/>
  <c r="J78" i="150"/>
  <c r="J103" i="150"/>
  <c r="J70" i="150"/>
  <c r="J110" i="150"/>
  <c r="J89" i="150"/>
  <c r="J74" i="150"/>
  <c r="J127" i="150"/>
  <c r="J128" i="150"/>
  <c r="J69" i="150"/>
  <c r="J138" i="150"/>
  <c r="J116" i="150"/>
  <c r="J109" i="150"/>
  <c r="J126" i="150"/>
  <c r="J95" i="150"/>
  <c r="J144" i="150"/>
  <c r="J93" i="150"/>
  <c r="J108" i="150"/>
  <c r="J72" i="150"/>
  <c r="J84" i="150"/>
  <c r="J133" i="150"/>
  <c r="J152" i="150"/>
  <c r="J106" i="150"/>
  <c r="J99" i="150"/>
  <c r="J81" i="150"/>
  <c r="J86" i="150"/>
  <c r="J120" i="150"/>
  <c r="J142" i="150"/>
  <c r="J143" i="150"/>
  <c r="J132" i="150"/>
  <c r="J136" i="150"/>
  <c r="J119" i="150"/>
  <c r="J114" i="150"/>
  <c r="J150" i="150"/>
  <c r="J73" i="150"/>
  <c r="J137" i="150"/>
  <c r="J129" i="150"/>
  <c r="J105" i="150"/>
  <c r="J68" i="150"/>
  <c r="J79" i="150"/>
  <c r="J92" i="150"/>
  <c r="J141" i="150"/>
  <c r="J100" i="150"/>
  <c r="J149" i="150"/>
  <c r="J153" i="150"/>
  <c r="J71" i="150"/>
  <c r="J154" i="150"/>
  <c r="J80" i="150"/>
  <c r="J96" i="150"/>
  <c r="J94" i="150"/>
  <c r="J115" i="150"/>
  <c r="J102" i="150"/>
  <c r="J98" i="150"/>
  <c r="J67" i="150"/>
  <c r="J112" i="150"/>
  <c r="BJ20" i="106"/>
  <c r="BJ21" i="106"/>
  <c r="BJ22" i="106"/>
  <c r="BJ23" i="106"/>
  <c r="BJ24" i="106"/>
  <c r="BJ25" i="106"/>
  <c r="BJ26" i="106"/>
  <c r="BJ30" i="106"/>
  <c r="BJ19" i="106"/>
  <c r="BH20" i="106"/>
  <c r="BH21" i="106"/>
  <c r="BH22" i="106"/>
  <c r="BH23" i="106"/>
  <c r="BH24" i="106"/>
  <c r="BH25" i="106"/>
  <c r="BH26" i="106"/>
  <c r="BH30" i="106"/>
  <c r="BH19" i="106"/>
  <c r="BE21" i="106"/>
  <c r="BE22" i="106"/>
  <c r="BE23" i="106"/>
  <c r="BE24" i="106"/>
  <c r="BE25" i="106"/>
  <c r="BE26" i="106"/>
  <c r="BE30" i="106"/>
  <c r="O64" i="150" l="1"/>
  <c r="N34" i="150"/>
  <c r="N33" i="150"/>
  <c r="L33" i="150" s="1"/>
  <c r="O64" i="156"/>
  <c r="N33" i="156"/>
  <c r="O33" i="156" s="1"/>
  <c r="P33" i="156" s="1"/>
  <c r="Q33" i="156" s="1"/>
  <c r="O65" i="156"/>
  <c r="O65" i="150"/>
  <c r="N34" i="156"/>
  <c r="L34" i="156" s="1"/>
  <c r="O66" i="150"/>
  <c r="O68" i="150"/>
  <c r="O67" i="150"/>
  <c r="K151" i="156"/>
  <c r="O151" i="156" s="1"/>
  <c r="K132" i="156"/>
  <c r="O132" i="156" s="1"/>
  <c r="K138" i="156"/>
  <c r="O138" i="156" s="1"/>
  <c r="K71" i="156"/>
  <c r="O71" i="156" s="1"/>
  <c r="K121" i="156"/>
  <c r="O121" i="156" s="1"/>
  <c r="K84" i="156"/>
  <c r="O84" i="156" s="1"/>
  <c r="K115" i="156"/>
  <c r="O115" i="156" s="1"/>
  <c r="K88" i="156"/>
  <c r="O88" i="156" s="1"/>
  <c r="K82" i="156"/>
  <c r="O82" i="156" s="1"/>
  <c r="K126" i="156"/>
  <c r="O126" i="156" s="1"/>
  <c r="K127" i="156"/>
  <c r="O127" i="156" s="1"/>
  <c r="K83" i="156"/>
  <c r="O83" i="156" s="1"/>
  <c r="K81" i="156"/>
  <c r="O81" i="156" s="1"/>
  <c r="K92" i="156"/>
  <c r="O92" i="156" s="1"/>
  <c r="K147" i="156"/>
  <c r="O147" i="156" s="1"/>
  <c r="K80" i="156"/>
  <c r="O80" i="156" s="1"/>
  <c r="K150" i="156"/>
  <c r="O150" i="156" s="1"/>
  <c r="K139" i="156"/>
  <c r="O139" i="156" s="1"/>
  <c r="K122" i="156"/>
  <c r="O122" i="156" s="1"/>
  <c r="K153" i="156"/>
  <c r="O153" i="156" s="1"/>
  <c r="K146" i="156"/>
  <c r="O146" i="156" s="1"/>
  <c r="K148" i="156"/>
  <c r="O148" i="156" s="1"/>
  <c r="K155" i="156"/>
  <c r="O155" i="156" s="1"/>
  <c r="K152" i="156"/>
  <c r="O152" i="156" s="1"/>
  <c r="K137" i="156"/>
  <c r="O137" i="156" s="1"/>
  <c r="K77" i="156"/>
  <c r="O77" i="156" s="1"/>
  <c r="K85" i="156"/>
  <c r="O85" i="156" s="1"/>
  <c r="K110" i="156"/>
  <c r="O110" i="156" s="1"/>
  <c r="K86" i="156"/>
  <c r="O86" i="156" s="1"/>
  <c r="K90" i="156"/>
  <c r="O90" i="156" s="1"/>
  <c r="K101" i="156"/>
  <c r="O101" i="156" s="1"/>
  <c r="K128" i="156"/>
  <c r="O128" i="156" s="1"/>
  <c r="K125" i="156"/>
  <c r="O125" i="156" s="1"/>
  <c r="K89" i="156"/>
  <c r="O89" i="156" s="1"/>
  <c r="K99" i="156"/>
  <c r="O99" i="156" s="1"/>
  <c r="K118" i="156"/>
  <c r="O118" i="156" s="1"/>
  <c r="K145" i="156"/>
  <c r="O145" i="156" s="1"/>
  <c r="K107" i="156"/>
  <c r="O107" i="156" s="1"/>
  <c r="K108" i="156"/>
  <c r="O108" i="156" s="1"/>
  <c r="K75" i="156"/>
  <c r="O75" i="156" s="1"/>
  <c r="K133" i="156"/>
  <c r="O133" i="156" s="1"/>
  <c r="K144" i="156"/>
  <c r="O144" i="156" s="1"/>
  <c r="K95" i="156"/>
  <c r="O95" i="156" s="1"/>
  <c r="K109" i="156"/>
  <c r="O109" i="156" s="1"/>
  <c r="K93" i="156"/>
  <c r="O93" i="156" s="1"/>
  <c r="K130" i="156"/>
  <c r="O130" i="156" s="1"/>
  <c r="K74" i="156"/>
  <c r="O74" i="156" s="1"/>
  <c r="K91" i="156"/>
  <c r="O91" i="156" s="1"/>
  <c r="K70" i="156"/>
  <c r="O70" i="156" s="1"/>
  <c r="K141" i="156"/>
  <c r="O141" i="156" s="1"/>
  <c r="K134" i="156"/>
  <c r="O134" i="156" s="1"/>
  <c r="K98" i="156"/>
  <c r="O98" i="156" s="1"/>
  <c r="K104" i="156"/>
  <c r="O104" i="156" s="1"/>
  <c r="K111" i="156"/>
  <c r="O111" i="156" s="1"/>
  <c r="K103" i="156"/>
  <c r="O103" i="156" s="1"/>
  <c r="K73" i="156"/>
  <c r="O73" i="156" s="1"/>
  <c r="K123" i="156"/>
  <c r="O123" i="156" s="1"/>
  <c r="K72" i="156"/>
  <c r="O72" i="156" s="1"/>
  <c r="K154" i="156"/>
  <c r="O154" i="156" s="1"/>
  <c r="K94" i="156"/>
  <c r="O94" i="156" s="1"/>
  <c r="K105" i="156"/>
  <c r="O105" i="156" s="1"/>
  <c r="K143" i="156"/>
  <c r="O143" i="156" s="1"/>
  <c r="K87" i="156"/>
  <c r="O87" i="156" s="1"/>
  <c r="K114" i="156"/>
  <c r="O114" i="156" s="1"/>
  <c r="K131" i="156"/>
  <c r="O131" i="156" s="1"/>
  <c r="K120" i="156"/>
  <c r="O120" i="156" s="1"/>
  <c r="K76" i="156"/>
  <c r="O76" i="156" s="1"/>
  <c r="K142" i="156"/>
  <c r="O142" i="156" s="1"/>
  <c r="K112" i="156"/>
  <c r="O112" i="156" s="1"/>
  <c r="K102" i="156"/>
  <c r="O102" i="156" s="1"/>
  <c r="K69" i="156"/>
  <c r="O69" i="156" s="1"/>
  <c r="K113" i="156"/>
  <c r="O113" i="156" s="1"/>
  <c r="K156" i="156"/>
  <c r="O156" i="156" s="1"/>
  <c r="K149" i="156"/>
  <c r="O149" i="156" s="1"/>
  <c r="K79" i="156"/>
  <c r="O79" i="156" s="1"/>
  <c r="K119" i="156"/>
  <c r="O119" i="156" s="1"/>
  <c r="K129" i="156"/>
  <c r="O129" i="156" s="1"/>
  <c r="K100" i="156"/>
  <c r="O100" i="156" s="1"/>
  <c r="K96" i="156"/>
  <c r="O96" i="156" s="1"/>
  <c r="K78" i="156"/>
  <c r="O78" i="156" s="1"/>
  <c r="K140" i="156"/>
  <c r="O140" i="156" s="1"/>
  <c r="K136" i="156"/>
  <c r="O136" i="156" s="1"/>
  <c r="K97" i="156"/>
  <c r="O97" i="156" s="1"/>
  <c r="K135" i="156"/>
  <c r="O135" i="156" s="1"/>
  <c r="K117" i="156"/>
  <c r="O117" i="156" s="1"/>
  <c r="K116" i="156"/>
  <c r="O116" i="156" s="1"/>
  <c r="K124" i="156"/>
  <c r="O124" i="156" s="1"/>
  <c r="K106" i="156"/>
  <c r="O106" i="156" s="1"/>
  <c r="O68" i="156"/>
  <c r="K139" i="150"/>
  <c r="O139" i="150" s="1"/>
  <c r="K140" i="150"/>
  <c r="O140" i="150" s="1"/>
  <c r="K151" i="150"/>
  <c r="O151" i="150" s="1"/>
  <c r="K128" i="150"/>
  <c r="O128" i="150" s="1"/>
  <c r="K136" i="150"/>
  <c r="O136" i="150" s="1"/>
  <c r="K152" i="150"/>
  <c r="O152" i="150" s="1"/>
  <c r="K90" i="150"/>
  <c r="O90" i="150" s="1"/>
  <c r="K82" i="150"/>
  <c r="O82" i="150" s="1"/>
  <c r="K87" i="150"/>
  <c r="O87" i="150" s="1"/>
  <c r="K109" i="150"/>
  <c r="O109" i="150" s="1"/>
  <c r="K70" i="150"/>
  <c r="O70" i="150" s="1"/>
  <c r="K93" i="150"/>
  <c r="O93" i="150" s="1"/>
  <c r="K92" i="150"/>
  <c r="O92" i="150" s="1"/>
  <c r="K153" i="150"/>
  <c r="O153" i="150" s="1"/>
  <c r="K71" i="150"/>
  <c r="O71" i="150" s="1"/>
  <c r="K144" i="150"/>
  <c r="O144" i="150" s="1"/>
  <c r="K106" i="150"/>
  <c r="O106" i="150" s="1"/>
  <c r="K112" i="150"/>
  <c r="O112" i="150" s="1"/>
  <c r="K150" i="150"/>
  <c r="O150" i="150" s="1"/>
  <c r="K145" i="150"/>
  <c r="O145" i="150" s="1"/>
  <c r="K95" i="150"/>
  <c r="O95" i="150" s="1"/>
  <c r="K129" i="150"/>
  <c r="O129" i="150" s="1"/>
  <c r="K116" i="150"/>
  <c r="O116" i="150" s="1"/>
  <c r="K96" i="150"/>
  <c r="O96" i="150" s="1"/>
  <c r="K88" i="150"/>
  <c r="O88" i="150" s="1"/>
  <c r="K102" i="150"/>
  <c r="O102" i="150" s="1"/>
  <c r="K123" i="150"/>
  <c r="O123" i="150" s="1"/>
  <c r="K99" i="150"/>
  <c r="O99" i="150" s="1"/>
  <c r="K120" i="150"/>
  <c r="O120" i="150" s="1"/>
  <c r="K107" i="150"/>
  <c r="O107" i="150" s="1"/>
  <c r="K103" i="150"/>
  <c r="O103" i="150" s="1"/>
  <c r="K72" i="150"/>
  <c r="O72" i="150" s="1"/>
  <c r="K69" i="150"/>
  <c r="O69" i="150" s="1"/>
  <c r="K80" i="150"/>
  <c r="O80" i="150" s="1"/>
  <c r="K81" i="150"/>
  <c r="O81" i="150" s="1"/>
  <c r="K122" i="150"/>
  <c r="O122" i="150" s="1"/>
  <c r="K134" i="150"/>
  <c r="O134" i="150" s="1"/>
  <c r="K127" i="150"/>
  <c r="O127" i="150" s="1"/>
  <c r="K135" i="150"/>
  <c r="O135" i="150" s="1"/>
  <c r="K156" i="150"/>
  <c r="O156" i="150" s="1"/>
  <c r="K126" i="150"/>
  <c r="O126" i="150" s="1"/>
  <c r="K130" i="150"/>
  <c r="O130" i="150" s="1"/>
  <c r="K118" i="150"/>
  <c r="O118" i="150" s="1"/>
  <c r="K83" i="150"/>
  <c r="O83" i="150" s="1"/>
  <c r="K108" i="150"/>
  <c r="O108" i="150" s="1"/>
  <c r="K75" i="150"/>
  <c r="O75" i="150" s="1"/>
  <c r="K115" i="150"/>
  <c r="O115" i="150" s="1"/>
  <c r="K94" i="150"/>
  <c r="O94" i="150" s="1"/>
  <c r="K79" i="150"/>
  <c r="O79" i="150" s="1"/>
  <c r="K132" i="150"/>
  <c r="O132" i="150" s="1"/>
  <c r="K74" i="150"/>
  <c r="O74" i="150" s="1"/>
  <c r="K143" i="150"/>
  <c r="O143" i="150" s="1"/>
  <c r="K121" i="150"/>
  <c r="O121" i="150" s="1"/>
  <c r="K114" i="150"/>
  <c r="O114" i="150" s="1"/>
  <c r="K131" i="150"/>
  <c r="O131" i="150" s="1"/>
  <c r="K100" i="150"/>
  <c r="O100" i="150" s="1"/>
  <c r="K149" i="150"/>
  <c r="O149" i="150" s="1"/>
  <c r="K85" i="150"/>
  <c r="O85" i="150" s="1"/>
  <c r="K98" i="150"/>
  <c r="O98" i="150" s="1"/>
  <c r="K113" i="150"/>
  <c r="O113" i="150" s="1"/>
  <c r="K77" i="150"/>
  <c r="O77" i="150" s="1"/>
  <c r="K89" i="150"/>
  <c r="O89" i="150" s="1"/>
  <c r="K138" i="150"/>
  <c r="O138" i="150" s="1"/>
  <c r="K111" i="150"/>
  <c r="O111" i="150" s="1"/>
  <c r="K104" i="150"/>
  <c r="O104" i="150" s="1"/>
  <c r="K146" i="150"/>
  <c r="O146" i="150" s="1"/>
  <c r="K86" i="150"/>
  <c r="O86" i="150" s="1"/>
  <c r="K147" i="150"/>
  <c r="O147" i="150" s="1"/>
  <c r="K148" i="150"/>
  <c r="O148" i="150" s="1"/>
  <c r="K137" i="150"/>
  <c r="O137" i="150" s="1"/>
  <c r="K141" i="150"/>
  <c r="O141" i="150" s="1"/>
  <c r="K124" i="150"/>
  <c r="O124" i="150" s="1"/>
  <c r="K119" i="150"/>
  <c r="O119" i="150" s="1"/>
  <c r="K155" i="150"/>
  <c r="O155" i="150" s="1"/>
  <c r="K110" i="150"/>
  <c r="O110" i="150" s="1"/>
  <c r="K73" i="150"/>
  <c r="O73" i="150" s="1"/>
  <c r="K84" i="150"/>
  <c r="O84" i="150" s="1"/>
  <c r="K97" i="150"/>
  <c r="O97" i="150" s="1"/>
  <c r="K105" i="150"/>
  <c r="O105" i="150" s="1"/>
  <c r="K154" i="150"/>
  <c r="O154" i="150" s="1"/>
  <c r="K91" i="150"/>
  <c r="O91" i="150" s="1"/>
  <c r="K76" i="150"/>
  <c r="O76" i="150" s="1"/>
  <c r="K117" i="150"/>
  <c r="O117" i="150" s="1"/>
  <c r="K133" i="150"/>
  <c r="O133" i="150" s="1"/>
  <c r="K101" i="150"/>
  <c r="O101" i="150" s="1"/>
  <c r="K78" i="150"/>
  <c r="O78" i="150" s="1"/>
  <c r="K125" i="150"/>
  <c r="O125" i="150" s="1"/>
  <c r="K142" i="150"/>
  <c r="O142" i="150" s="1"/>
  <c r="O34" i="150"/>
  <c r="P34" i="150" s="1"/>
  <c r="L34" i="150"/>
  <c r="O66" i="156"/>
  <c r="N20" i="106"/>
  <c r="N30" i="106"/>
  <c r="N21" i="106"/>
  <c r="N6" i="106" s="1"/>
  <c r="N26" i="106"/>
  <c r="N11" i="106" s="1"/>
  <c r="N24" i="106"/>
  <c r="N9" i="106" s="1"/>
  <c r="N25" i="106"/>
  <c r="N10" i="106" s="1"/>
  <c r="N22" i="106"/>
  <c r="N7" i="106" s="1"/>
  <c r="N19" i="106"/>
  <c r="L33" i="156" l="1"/>
  <c r="E39" i="156"/>
  <c r="U162" i="156" s="1"/>
  <c r="O33" i="150"/>
  <c r="P33" i="150" s="1"/>
  <c r="Q33" i="150" s="1"/>
  <c r="O34" i="156"/>
  <c r="P34" i="156" s="1"/>
  <c r="Q34" i="156" s="1"/>
  <c r="E39" i="150"/>
  <c r="U162" i="150" s="1"/>
  <c r="U38" i="156" a="1"/>
  <c r="U38" i="156" s="1"/>
  <c r="W38" i="156" s="1"/>
  <c r="U37" i="150" a="1"/>
  <c r="U37" i="150" s="1"/>
  <c r="W37" i="150" s="1"/>
  <c r="U37" i="156" a="1"/>
  <c r="U37" i="156" s="1"/>
  <c r="W37" i="156" s="1"/>
  <c r="E4" i="142"/>
  <c r="T27" i="106"/>
  <c r="U27" i="106"/>
  <c r="V24" i="106"/>
  <c r="V27" i="106"/>
  <c r="S24" i="106"/>
  <c r="S27" i="106"/>
  <c r="T24" i="106"/>
  <c r="U24" i="106"/>
  <c r="Q34" i="150" l="1"/>
  <c r="I41" i="156" a="1"/>
  <c r="I41" i="156" s="1"/>
  <c r="I45" i="156" a="1"/>
  <c r="I45" i="156" s="1"/>
  <c r="I41" i="150" a="1"/>
  <c r="I41" i="150" s="1"/>
  <c r="I45" i="150" a="1"/>
  <c r="I45" i="150" s="1"/>
  <c r="U12" i="106"/>
  <c r="V12" i="106"/>
  <c r="V9" i="106"/>
  <c r="U9" i="106"/>
  <c r="T9" i="106"/>
  <c r="U38" i="150" a="1"/>
  <c r="U38" i="150" s="1"/>
  <c r="W38" i="150" s="1"/>
  <c r="BS27" i="106"/>
  <c r="T12" i="106"/>
  <c r="S12" i="106"/>
  <c r="BQ27" i="106"/>
  <c r="S9" i="106"/>
  <c r="F8" i="115"/>
  <c r="AM24" i="106"/>
  <c r="AM27" i="106"/>
  <c r="AL27" i="106"/>
  <c r="AL24" i="106"/>
  <c r="AT27" i="106" l="1"/>
  <c r="AH27" i="106"/>
  <c r="AH24" i="106"/>
  <c r="AY27" i="106"/>
  <c r="AL12" i="106"/>
  <c r="AW27" i="106"/>
  <c r="I11" i="16"/>
  <c r="AM12" i="106"/>
  <c r="AZ27" i="106"/>
  <c r="M11" i="16" s="1"/>
  <c r="BA27" i="106"/>
  <c r="I8" i="16"/>
  <c r="BA24" i="106"/>
  <c r="AM9" i="106"/>
  <c r="AL9" i="106"/>
  <c r="BE20" i="106"/>
  <c r="Q4" i="16"/>
  <c r="X20" i="106" s="1"/>
  <c r="D11" i="113"/>
  <c r="E11" i="113" s="1"/>
  <c r="E22" i="103"/>
  <c r="D22" i="103" s="1"/>
  <c r="D23" i="103" s="1"/>
  <c r="E23" i="103" s="1"/>
  <c r="E22" i="101"/>
  <c r="D22" i="101" s="1"/>
  <c r="D23" i="101" s="1"/>
  <c r="E23" i="101" s="1"/>
  <c r="E22" i="94"/>
  <c r="D22" i="94" s="1"/>
  <c r="D10" i="114"/>
  <c r="E10" i="114" s="1"/>
  <c r="BZ27" i="106" l="1"/>
  <c r="CB27" i="106" s="1"/>
  <c r="AC27" i="106"/>
  <c r="W27" i="106"/>
  <c r="W12" i="106" s="1"/>
  <c r="Y27" i="106"/>
  <c r="BC27" i="106"/>
  <c r="BU27" i="106"/>
  <c r="BV27" i="106" s="1"/>
  <c r="AJ27" i="106"/>
  <c r="D23" i="94"/>
  <c r="E23" i="94" s="1"/>
  <c r="D24" i="94"/>
  <c r="E24" i="94" s="1"/>
  <c r="G11" i="113"/>
  <c r="H11" i="113" s="1"/>
  <c r="N23" i="106"/>
  <c r="N8" i="106" s="1"/>
  <c r="E22" i="102"/>
  <c r="D22" i="102" s="1"/>
  <c r="D24" i="102" s="1"/>
  <c r="E24" i="102" s="1"/>
  <c r="D9" i="115"/>
  <c r="E9" i="115" s="1"/>
  <c r="D17" i="112"/>
  <c r="E17" i="112" s="1"/>
  <c r="U4" i="102"/>
  <c r="U4" i="103"/>
  <c r="D13" i="111"/>
  <c r="E13" i="111" s="1"/>
  <c r="D24" i="101"/>
  <c r="E24" i="101" s="1"/>
  <c r="D24" i="103"/>
  <c r="E24" i="103" s="1"/>
  <c r="CA27" i="106" l="1"/>
  <c r="BB27" i="106"/>
  <c r="AI27" i="106" s="1"/>
  <c r="Y12" i="106"/>
  <c r="Z27" i="106"/>
  <c r="AR27" i="106" s="1"/>
  <c r="K11" i="16" s="1"/>
  <c r="CO27" i="106"/>
  <c r="V11" i="16"/>
  <c r="CN27" i="106"/>
  <c r="CC27" i="106" s="1"/>
  <c r="AQ27" i="106"/>
  <c r="BW27" i="106" s="1"/>
  <c r="G9" i="115"/>
  <c r="H9" i="115" s="1"/>
  <c r="G17" i="112"/>
  <c r="H17" i="112" s="1"/>
  <c r="G13" i="111"/>
  <c r="H13" i="111" s="1"/>
  <c r="U4" i="100"/>
  <c r="CD27" i="106" l="1"/>
  <c r="CE27" i="106" s="1"/>
  <c r="CF27" i="106" s="1"/>
  <c r="CG27" i="106" s="1"/>
  <c r="CH27" i="106" s="1"/>
  <c r="CI27" i="106" s="1"/>
  <c r="CJ27" i="106" s="1"/>
  <c r="CK27" i="106" s="1"/>
  <c r="CL27" i="106" s="1"/>
  <c r="CM27" i="106" s="1"/>
  <c r="BY27" i="106" s="1"/>
  <c r="CP27" i="106" s="1"/>
  <c r="AG27" i="106" s="1"/>
  <c r="AE27" i="106" s="1"/>
  <c r="Z12" i="106"/>
  <c r="AF27" i="106" l="1"/>
  <c r="O11" i="16"/>
  <c r="AN12" i="106"/>
  <c r="BE19" i="106"/>
  <c r="U4" i="94" l="1"/>
  <c r="U4" i="101"/>
  <c r="BR19" i="106"/>
  <c r="K37" i="138" l="1"/>
  <c r="M37" i="138" s="1"/>
  <c r="K36" i="138"/>
  <c r="M36" i="138" s="1"/>
  <c r="K35" i="138"/>
  <c r="M35" i="138" s="1"/>
  <c r="K34" i="138"/>
  <c r="M34" i="138" s="1"/>
  <c r="K33" i="138"/>
  <c r="M33" i="138" s="1"/>
  <c r="K32" i="138"/>
  <c r="M32" i="138" s="1"/>
  <c r="K31" i="138"/>
  <c r="M31" i="138" s="1"/>
  <c r="K30" i="138"/>
  <c r="M30" i="138" s="1"/>
  <c r="K29" i="138"/>
  <c r="M29" i="138" s="1"/>
  <c r="K28" i="138"/>
  <c r="M28" i="138" s="1"/>
  <c r="K27" i="138"/>
  <c r="M27" i="138" s="1"/>
  <c r="K26" i="138"/>
  <c r="M26" i="138" s="1"/>
  <c r="K25" i="138"/>
  <c r="M25" i="138" s="1"/>
  <c r="K24" i="138"/>
  <c r="M24" i="138" s="1"/>
  <c r="K23" i="138"/>
  <c r="M23" i="138" s="1"/>
  <c r="K22" i="138"/>
  <c r="M22" i="138" s="1"/>
  <c r="K21" i="138"/>
  <c r="M21" i="138" s="1"/>
  <c r="K20" i="138"/>
  <c r="M20" i="138" s="1"/>
  <c r="K19" i="138"/>
  <c r="M19" i="138" s="1"/>
  <c r="K18" i="138"/>
  <c r="M18" i="138" s="1"/>
  <c r="K17" i="138"/>
  <c r="M17" i="138" s="1"/>
  <c r="K16" i="138"/>
  <c r="M16" i="138" s="1"/>
  <c r="K15" i="138"/>
  <c r="M15" i="138" s="1"/>
  <c r="K14" i="138"/>
  <c r="M14" i="138" s="1"/>
  <c r="K13" i="138"/>
  <c r="M13" i="138" s="1"/>
  <c r="K12" i="138"/>
  <c r="M12" i="138" s="1"/>
  <c r="K11" i="138"/>
  <c r="M11" i="138" s="1"/>
  <c r="K10" i="138"/>
  <c r="M10" i="138" s="1"/>
  <c r="K9" i="138"/>
  <c r="M9" i="138" s="1"/>
  <c r="K8" i="138"/>
  <c r="M8" i="138" s="1"/>
  <c r="K7" i="138"/>
  <c r="M7" i="138" s="1"/>
  <c r="K6" i="138"/>
  <c r="M6" i="138" s="1"/>
  <c r="K5" i="138"/>
  <c r="M5" i="138" s="1"/>
  <c r="K4" i="138"/>
  <c r="M4" i="138" s="1"/>
  <c r="K3" i="138"/>
  <c r="M3" i="138" s="1"/>
  <c r="K2" i="138"/>
  <c r="M2" i="138" s="1"/>
  <c r="L2" i="138" l="1"/>
  <c r="L6" i="138"/>
  <c r="L10" i="138"/>
  <c r="L14" i="138"/>
  <c r="L18" i="138"/>
  <c r="L22" i="138"/>
  <c r="L26" i="138"/>
  <c r="L30" i="138"/>
  <c r="L34" i="138"/>
  <c r="L3" i="138"/>
  <c r="L7" i="138"/>
  <c r="L11" i="138"/>
  <c r="L15" i="138"/>
  <c r="L19" i="138"/>
  <c r="L23" i="138"/>
  <c r="L27" i="138"/>
  <c r="L31" i="138"/>
  <c r="L35" i="138"/>
  <c r="L4" i="138"/>
  <c r="L8" i="138"/>
  <c r="L12" i="138"/>
  <c r="L16" i="138"/>
  <c r="L20" i="138"/>
  <c r="L24" i="138"/>
  <c r="L28" i="138"/>
  <c r="L32" i="138"/>
  <c r="L36" i="138"/>
  <c r="L5" i="138"/>
  <c r="L9" i="138"/>
  <c r="L13" i="138"/>
  <c r="L17" i="138"/>
  <c r="L21" i="138"/>
  <c r="L25" i="138"/>
  <c r="L29" i="138"/>
  <c r="L33" i="138"/>
  <c r="L37" i="138"/>
  <c r="F5" i="115" l="1"/>
  <c r="F6" i="115"/>
  <c r="F7" i="115"/>
  <c r="F4" i="115"/>
  <c r="F5" i="114"/>
  <c r="F6" i="114"/>
  <c r="F7" i="114"/>
  <c r="F8" i="114"/>
  <c r="F9" i="114"/>
  <c r="F4" i="114"/>
  <c r="E4" i="114"/>
  <c r="F5" i="113"/>
  <c r="F6" i="113"/>
  <c r="F7" i="113"/>
  <c r="F4" i="113"/>
  <c r="E4" i="113"/>
  <c r="F5" i="112"/>
  <c r="F6" i="112"/>
  <c r="F4" i="112"/>
  <c r="E4" i="112"/>
  <c r="F5" i="111"/>
  <c r="F6" i="111"/>
  <c r="F7" i="111"/>
  <c r="F4" i="111"/>
  <c r="E5" i="111"/>
  <c r="E4" i="111"/>
  <c r="E5" i="112" l="1"/>
  <c r="G5" i="115"/>
  <c r="E5" i="114"/>
  <c r="G5" i="114" s="1"/>
  <c r="H5" i="114" s="1"/>
  <c r="E8" i="114"/>
  <c r="E9" i="114"/>
  <c r="G10" i="114" s="1"/>
  <c r="H10" i="114" s="1"/>
  <c r="E7" i="114"/>
  <c r="E6" i="114"/>
  <c r="G6" i="114" s="1"/>
  <c r="H6" i="114" s="1"/>
  <c r="E5" i="113"/>
  <c r="G5" i="113" s="1"/>
  <c r="H5" i="113" s="1"/>
  <c r="G5" i="112"/>
  <c r="H5" i="112" s="1"/>
  <c r="G5" i="111"/>
  <c r="E6" i="113"/>
  <c r="E6" i="112"/>
  <c r="F14" i="16"/>
  <c r="F10" i="16"/>
  <c r="F9" i="16"/>
  <c r="F8" i="16"/>
  <c r="F6" i="16"/>
  <c r="F5" i="16"/>
  <c r="F4" i="16"/>
  <c r="F3" i="16"/>
  <c r="D14" i="16"/>
  <c r="D10" i="16"/>
  <c r="D9" i="16"/>
  <c r="D8" i="16"/>
  <c r="D7" i="16"/>
  <c r="D6" i="16"/>
  <c r="D5" i="16"/>
  <c r="D4" i="16"/>
  <c r="D3" i="16"/>
  <c r="AU26" i="106"/>
  <c r="AU25" i="106"/>
  <c r="AU24" i="106"/>
  <c r="AU23" i="106"/>
  <c r="AU21" i="106"/>
  <c r="AU20" i="106"/>
  <c r="X19" i="106"/>
  <c r="AB9" i="16"/>
  <c r="AU30" i="106"/>
  <c r="C14" i="16"/>
  <c r="C10" i="16"/>
  <c r="C9" i="16"/>
  <c r="C8" i="16"/>
  <c r="C7" i="16"/>
  <c r="C6" i="16"/>
  <c r="C5" i="16"/>
  <c r="C4" i="16"/>
  <c r="AB10" i="16"/>
  <c r="AB14" i="16"/>
  <c r="AB5" i="16"/>
  <c r="AB6" i="16"/>
  <c r="AB7" i="16"/>
  <c r="AB8" i="16"/>
  <c r="E3" i="115"/>
  <c r="G4" i="115" s="1"/>
  <c r="E3" i="114"/>
  <c r="G4" i="114" s="1"/>
  <c r="E3" i="113"/>
  <c r="G4" i="113" s="1"/>
  <c r="E3" i="112"/>
  <c r="G4" i="112" s="1"/>
  <c r="E3" i="111"/>
  <c r="G4" i="111" s="1"/>
  <c r="C3" i="16"/>
  <c r="AC3" i="16"/>
  <c r="B8" i="16"/>
  <c r="B9" i="16"/>
  <c r="B10" i="16"/>
  <c r="B14" i="16"/>
  <c r="B3" i="16"/>
  <c r="B4" i="16"/>
  <c r="B5" i="16"/>
  <c r="B6" i="16"/>
  <c r="B7" i="16"/>
  <c r="E22" i="100"/>
  <c r="D22" i="100" s="1"/>
  <c r="D23" i="100" s="1"/>
  <c r="E23" i="100" s="1"/>
  <c r="AF6" i="16"/>
  <c r="AF5" i="16"/>
  <c r="G6" i="112" l="1"/>
  <c r="H6" i="112" s="1"/>
  <c r="G7" i="112"/>
  <c r="H7" i="112" s="1"/>
  <c r="H4" i="113"/>
  <c r="G6" i="113"/>
  <c r="H6" i="113" s="1"/>
  <c r="H4" i="114"/>
  <c r="K5" i="114" s="1"/>
  <c r="H4" i="111"/>
  <c r="H5" i="115"/>
  <c r="D24" i="100"/>
  <c r="E24" i="100" s="1"/>
  <c r="H5" i="111"/>
  <c r="G9" i="114"/>
  <c r="H9" i="114" s="1"/>
  <c r="G7" i="114"/>
  <c r="H7" i="114" s="1"/>
  <c r="G8" i="114"/>
  <c r="H8" i="114" s="1"/>
  <c r="H4" i="115"/>
  <c r="H4" i="112"/>
  <c r="K4" i="112" s="1"/>
  <c r="E6" i="111"/>
  <c r="G6" i="111" s="1"/>
  <c r="H6" i="111" s="1"/>
  <c r="E7" i="113"/>
  <c r="G8" i="113" s="1"/>
  <c r="H8" i="113" s="1"/>
  <c r="G6" i="115"/>
  <c r="H6" i="115" s="1"/>
  <c r="AU22" i="106"/>
  <c r="F7" i="16"/>
  <c r="BR25" i="106"/>
  <c r="K6" i="114" l="1"/>
  <c r="C12" i="114"/>
  <c r="K5" i="112"/>
  <c r="K4" i="114"/>
  <c r="K6" i="112"/>
  <c r="C19" i="112"/>
  <c r="BQ25" i="106"/>
  <c r="C13" i="114"/>
  <c r="C14" i="114" s="1"/>
  <c r="U3" i="103" s="1"/>
  <c r="E9" i="103" s="1"/>
  <c r="BQ26" i="106"/>
  <c r="BS25" i="106"/>
  <c r="AT25" i="106" s="1"/>
  <c r="AW25" i="106"/>
  <c r="AY25" i="106"/>
  <c r="G7" i="113"/>
  <c r="E7" i="111"/>
  <c r="G8" i="111" s="1"/>
  <c r="H8" i="111" s="1"/>
  <c r="G7" i="115"/>
  <c r="BR26" i="106"/>
  <c r="K20" i="106"/>
  <c r="BZ25" i="106" l="1"/>
  <c r="CB25" i="106" s="1"/>
  <c r="Y25" i="106"/>
  <c r="W25" i="106"/>
  <c r="W10" i="106" s="1"/>
  <c r="H7" i="113"/>
  <c r="C13" i="113" s="1"/>
  <c r="C20" i="112"/>
  <c r="C21" i="112" s="1"/>
  <c r="U3" i="101" s="1"/>
  <c r="E9" i="101" s="1"/>
  <c r="AZ25" i="106"/>
  <c r="BC25" i="106"/>
  <c r="CA25" i="106" s="1"/>
  <c r="Z9" i="16"/>
  <c r="AC25" i="106"/>
  <c r="BS26" i="106"/>
  <c r="H7" i="115"/>
  <c r="K4" i="115" s="1"/>
  <c r="G7" i="111"/>
  <c r="AC14" i="103"/>
  <c r="F23" i="103" s="1" a="1"/>
  <c r="F23" i="103" s="1"/>
  <c r="H23" i="103" s="1"/>
  <c r="O9" i="103"/>
  <c r="H7" i="111"/>
  <c r="G8" i="115"/>
  <c r="H8" i="115" s="1"/>
  <c r="K5" i="115" s="1"/>
  <c r="K29" i="106"/>
  <c r="L20" i="106"/>
  <c r="K5" i="113" l="1"/>
  <c r="K5" i="111"/>
  <c r="K4" i="111"/>
  <c r="C15" i="111"/>
  <c r="C16" i="111" s="1"/>
  <c r="C17" i="111" s="1"/>
  <c r="K6" i="111"/>
  <c r="K4" i="113"/>
  <c r="K6" i="113"/>
  <c r="K6" i="115"/>
  <c r="C11" i="115"/>
  <c r="Y10" i="106"/>
  <c r="Z25" i="106"/>
  <c r="BB25" i="106"/>
  <c r="AI25" i="106" s="1"/>
  <c r="CO25" i="106"/>
  <c r="CN25" i="106"/>
  <c r="CC25" i="106" s="1"/>
  <c r="CD25" i="106" s="1"/>
  <c r="CE25" i="106" s="1"/>
  <c r="CF25" i="106" s="1"/>
  <c r="CG25" i="106" s="1"/>
  <c r="CH25" i="106" s="1"/>
  <c r="CI25" i="106" s="1"/>
  <c r="CJ25" i="106" s="1"/>
  <c r="CK25" i="106" s="1"/>
  <c r="CL25" i="106" s="1"/>
  <c r="CM25" i="106" s="1"/>
  <c r="K14" i="106"/>
  <c r="V9" i="16"/>
  <c r="BF25" i="106" s="1"/>
  <c r="AJ25" i="106"/>
  <c r="M9" i="16"/>
  <c r="BU25" i="106"/>
  <c r="AC14" i="101"/>
  <c r="F23" i="101" s="1" a="1"/>
  <c r="F23" i="101" s="1"/>
  <c r="H23" i="101" s="1"/>
  <c r="O9" i="101"/>
  <c r="K17" i="103"/>
  <c r="L17" i="103" s="1"/>
  <c r="N17" i="103" s="1"/>
  <c r="K16" i="103"/>
  <c r="L16" i="103" s="1"/>
  <c r="N16" i="103" s="1"/>
  <c r="K15" i="103"/>
  <c r="L15" i="103" s="1"/>
  <c r="N15" i="103" s="1"/>
  <c r="K14" i="103"/>
  <c r="L14" i="103" s="1"/>
  <c r="AY26" i="106"/>
  <c r="AT26" i="106" s="1"/>
  <c r="Z10" i="16"/>
  <c r="AZ26" i="106"/>
  <c r="AW26" i="106"/>
  <c r="F24" i="103" a="1"/>
  <c r="F24" i="103" s="1"/>
  <c r="H24" i="103" s="1"/>
  <c r="H26" i="103" s="1"/>
  <c r="Q20" i="106"/>
  <c r="P20" i="106"/>
  <c r="L29" i="106"/>
  <c r="R20" i="106"/>
  <c r="BY25" i="106" l="1"/>
  <c r="CP25" i="106" s="1"/>
  <c r="AG25" i="106" s="1"/>
  <c r="BZ26" i="106"/>
  <c r="BV25" i="106"/>
  <c r="M10" i="16"/>
  <c r="AR25" i="106"/>
  <c r="K9" i="16" s="1"/>
  <c r="Z10" i="106"/>
  <c r="L14" i="106"/>
  <c r="AQ25" i="106"/>
  <c r="BW25" i="106" s="1"/>
  <c r="Y26" i="106"/>
  <c r="W26" i="106"/>
  <c r="W11" i="106" s="1"/>
  <c r="F24" i="101" a="1"/>
  <c r="F24" i="101" s="1"/>
  <c r="H24" i="101" s="1"/>
  <c r="H26" i="101" s="1"/>
  <c r="O8" i="101" s="1"/>
  <c r="U3" i="100"/>
  <c r="E9" i="100" s="1"/>
  <c r="K16" i="101"/>
  <c r="K14" i="101"/>
  <c r="L14" i="101" s="1"/>
  <c r="K17" i="101"/>
  <c r="L17" i="101" s="1"/>
  <c r="K15" i="101"/>
  <c r="L15" i="101" s="1"/>
  <c r="N14" i="103"/>
  <c r="BU26" i="106"/>
  <c r="BV26" i="106" s="1"/>
  <c r="BC26" i="106"/>
  <c r="AJ26" i="106"/>
  <c r="O8" i="103"/>
  <c r="M29" i="106"/>
  <c r="O20" i="106"/>
  <c r="M20" i="106"/>
  <c r="K19" i="106"/>
  <c r="Y11" i="106" l="1"/>
  <c r="Z26" i="106"/>
  <c r="Z11" i="106" s="1"/>
  <c r="CA26" i="106"/>
  <c r="BB26" i="106"/>
  <c r="AI26" i="106" s="1"/>
  <c r="O9" i="16"/>
  <c r="AE25" i="106"/>
  <c r="AF25" i="106" s="1"/>
  <c r="AN10" i="106"/>
  <c r="CO26" i="106"/>
  <c r="CN26" i="106"/>
  <c r="CB26" i="106"/>
  <c r="M14" i="106"/>
  <c r="V10" i="16"/>
  <c r="BF26" i="106" s="1"/>
  <c r="C12" i="115"/>
  <c r="C13" i="115" s="1"/>
  <c r="U3" i="94" s="1"/>
  <c r="E9" i="94" s="1"/>
  <c r="L16" i="101"/>
  <c r="N16" i="101" s="1"/>
  <c r="N15" i="101"/>
  <c r="N17" i="101"/>
  <c r="N14" i="101"/>
  <c r="AQ26" i="106"/>
  <c r="BW26" i="106" s="1"/>
  <c r="M23" i="103"/>
  <c r="AC26" i="106"/>
  <c r="M22" i="103"/>
  <c r="M21" i="103"/>
  <c r="M24" i="103"/>
  <c r="Q29" i="106"/>
  <c r="U20" i="106"/>
  <c r="BR21" i="106"/>
  <c r="K30" i="106"/>
  <c r="P29" i="106"/>
  <c r="O29" i="106"/>
  <c r="V20" i="106"/>
  <c r="T20" i="106"/>
  <c r="R29" i="106"/>
  <c r="S20" i="106"/>
  <c r="CC26" i="106" l="1"/>
  <c r="CD26" i="106" s="1"/>
  <c r="CE26" i="106" s="1"/>
  <c r="CF26" i="106" s="1"/>
  <c r="CG26" i="106" s="1"/>
  <c r="CH26" i="106" s="1"/>
  <c r="CI26" i="106" s="1"/>
  <c r="CJ26" i="106" s="1"/>
  <c r="CK26" i="106" s="1"/>
  <c r="CL26" i="106" s="1"/>
  <c r="CM26" i="106" s="1"/>
  <c r="BY26" i="106" s="1"/>
  <c r="CP26" i="106" s="1"/>
  <c r="AG26" i="106" s="1"/>
  <c r="AE26" i="106" s="1"/>
  <c r="BS21" i="106"/>
  <c r="AT21" i="106" s="1"/>
  <c r="R14" i="106"/>
  <c r="Q14" i="106"/>
  <c r="P14" i="106"/>
  <c r="O14" i="106"/>
  <c r="AR26" i="106"/>
  <c r="K10" i="16" s="1"/>
  <c r="Q14" i="103"/>
  <c r="S14" i="103" s="1"/>
  <c r="M22" i="101"/>
  <c r="M21" i="101"/>
  <c r="M24" i="101"/>
  <c r="M23" i="101"/>
  <c r="Q13" i="103"/>
  <c r="C11" i="94"/>
  <c r="AC14" i="94" s="1"/>
  <c r="F23" i="94" s="1" a="1"/>
  <c r="F23" i="94" s="1"/>
  <c r="H23" i="94" s="1"/>
  <c r="O9" i="94"/>
  <c r="BQ21" i="106"/>
  <c r="J32" i="101" a="1"/>
  <c r="J32" i="101" s="1"/>
  <c r="J32" i="103" a="1"/>
  <c r="J32" i="103" s="1"/>
  <c r="J27" i="103" a="1"/>
  <c r="J27" i="103" s="1"/>
  <c r="S29" i="106"/>
  <c r="V29" i="106"/>
  <c r="AM20" i="106"/>
  <c r="BP20" i="106"/>
  <c r="U29" i="106"/>
  <c r="L30" i="106"/>
  <c r="AM29" i="106"/>
  <c r="AL20" i="106"/>
  <c r="T29" i="106"/>
  <c r="AF26" i="106" l="1"/>
  <c r="O10" i="16"/>
  <c r="AN11" i="106"/>
  <c r="S13" i="103"/>
  <c r="AM14" i="106"/>
  <c r="V14" i="106"/>
  <c r="U14" i="106"/>
  <c r="T14" i="106"/>
  <c r="S14" i="106"/>
  <c r="BA20" i="106"/>
  <c r="BA29" i="106"/>
  <c r="I13" i="16"/>
  <c r="I4" i="16"/>
  <c r="F24" i="94" a="1"/>
  <c r="F24" i="94" s="1"/>
  <c r="H24" i="94" s="1"/>
  <c r="BS29" i="106"/>
  <c r="AZ29" i="106"/>
  <c r="AH29" i="106" s="1"/>
  <c r="AW29" i="106"/>
  <c r="K16" i="94"/>
  <c r="L16" i="94" s="1"/>
  <c r="N16" i="94" s="1"/>
  <c r="J27" i="101" a="1"/>
  <c r="J27" i="101" s="1"/>
  <c r="Q13" i="101"/>
  <c r="Q14" i="101"/>
  <c r="S14" i="101" s="1"/>
  <c r="K14" i="94"/>
  <c r="L14" i="94" s="1"/>
  <c r="K15" i="94"/>
  <c r="L15" i="94" s="1"/>
  <c r="K17" i="94"/>
  <c r="L17" i="94" s="1"/>
  <c r="AW21" i="106"/>
  <c r="AY21" i="106"/>
  <c r="C14" i="113"/>
  <c r="C15" i="113" s="1"/>
  <c r="Q30" i="106"/>
  <c r="BP29" i="106"/>
  <c r="AL29" i="106"/>
  <c r="BQ29" i="106" l="1"/>
  <c r="S13" i="101"/>
  <c r="BZ21" i="106"/>
  <c r="BZ29" i="106"/>
  <c r="CM29" i="106" s="1"/>
  <c r="H26" i="94"/>
  <c r="O8" i="94" s="1"/>
  <c r="AL14" i="106"/>
  <c r="M13" i="16"/>
  <c r="Y21" i="106"/>
  <c r="W21" i="106"/>
  <c r="W6" i="106" s="1"/>
  <c r="BC29" i="106"/>
  <c r="BU29" i="106"/>
  <c r="BV29" i="106" s="1"/>
  <c r="AY29" i="106"/>
  <c r="AT29" i="106" s="1"/>
  <c r="N17" i="94"/>
  <c r="N15" i="94"/>
  <c r="N14" i="94"/>
  <c r="AZ21" i="106"/>
  <c r="M5" i="16" s="1"/>
  <c r="Z5" i="16"/>
  <c r="BC21" i="106"/>
  <c r="BQ24" i="106"/>
  <c r="U3" i="102"/>
  <c r="E9" i="102" s="1"/>
  <c r="O30" i="106"/>
  <c r="P30" i="106"/>
  <c r="R30" i="106"/>
  <c r="M30" i="106"/>
  <c r="K28" i="106"/>
  <c r="BR30" i="106"/>
  <c r="BR24" i="106"/>
  <c r="CA21" i="106" l="1"/>
  <c r="BB21" i="106"/>
  <c r="AI21" i="106" s="1"/>
  <c r="BB29" i="106"/>
  <c r="AI29" i="106" s="1"/>
  <c r="Y6" i="106"/>
  <c r="Z21" i="106"/>
  <c r="Z6" i="106" s="1"/>
  <c r="CJ29" i="106"/>
  <c r="CI29" i="106"/>
  <c r="CH29" i="106"/>
  <c r="CG29" i="106"/>
  <c r="CF29" i="106"/>
  <c r="CD29" i="106"/>
  <c r="CK29" i="106"/>
  <c r="CL29" i="106"/>
  <c r="CC29" i="106"/>
  <c r="CE29" i="106"/>
  <c r="CA29" i="106"/>
  <c r="CN29" i="106" s="1"/>
  <c r="CO29" i="106" s="1"/>
  <c r="CB29" i="106" s="1"/>
  <c r="CO21" i="106"/>
  <c r="CN21" i="106"/>
  <c r="CB21" i="106"/>
  <c r="BF21" i="106"/>
  <c r="M23" i="94"/>
  <c r="K13" i="106"/>
  <c r="V13" i="16"/>
  <c r="W29" i="106"/>
  <c r="W14" i="106" s="1"/>
  <c r="Y29" i="106"/>
  <c r="AQ29" i="106"/>
  <c r="BW29" i="106" s="1"/>
  <c r="AJ29" i="106"/>
  <c r="AC29" i="106"/>
  <c r="M22" i="94"/>
  <c r="M24" i="94"/>
  <c r="M21" i="94"/>
  <c r="AC21" i="106"/>
  <c r="AC14" i="102"/>
  <c r="F24" i="102" s="1" a="1"/>
  <c r="F24" i="102" s="1"/>
  <c r="H24" i="102" s="1"/>
  <c r="AJ21" i="106"/>
  <c r="BU21" i="106"/>
  <c r="AY24" i="106"/>
  <c r="BS24" i="106"/>
  <c r="AT24" i="106" s="1"/>
  <c r="O9" i="102"/>
  <c r="C11" i="100"/>
  <c r="AC14" i="100" s="1"/>
  <c r="T30" i="106"/>
  <c r="S30" i="106"/>
  <c r="U30" i="106"/>
  <c r="V30" i="106"/>
  <c r="L28" i="106"/>
  <c r="Y14" i="106" l="1"/>
  <c r="Z29" i="106"/>
  <c r="CC21" i="106"/>
  <c r="CD21" i="106" s="1"/>
  <c r="CE21" i="106" s="1"/>
  <c r="CF21" i="106" s="1"/>
  <c r="CG21" i="106" s="1"/>
  <c r="CH21" i="106" s="1"/>
  <c r="CI21" i="106" s="1"/>
  <c r="CJ21" i="106" s="1"/>
  <c r="CK21" i="106" s="1"/>
  <c r="CL21" i="106" s="1"/>
  <c r="CM21" i="106" s="1"/>
  <c r="BY29" i="106"/>
  <c r="CP29" i="106"/>
  <c r="AG29" i="106" s="1"/>
  <c r="AE29" i="106" s="1"/>
  <c r="L13" i="106"/>
  <c r="AR21" i="106"/>
  <c r="K5" i="16" s="1"/>
  <c r="Y24" i="106"/>
  <c r="W24" i="106"/>
  <c r="W9" i="106" s="1"/>
  <c r="BS30" i="106"/>
  <c r="Q13" i="94"/>
  <c r="J32" i="94" a="1"/>
  <c r="J32" i="94" s="1"/>
  <c r="Q14" i="94"/>
  <c r="S14" i="94" s="1"/>
  <c r="J27" i="94" a="1"/>
  <c r="J27" i="94" s="1"/>
  <c r="F23" i="100" a="1"/>
  <c r="F23" i="100" s="1"/>
  <c r="H23" i="100" s="1"/>
  <c r="K17" i="102"/>
  <c r="L17" i="102" s="1"/>
  <c r="N17" i="102" s="1"/>
  <c r="K16" i="102"/>
  <c r="L16" i="102" s="1"/>
  <c r="N16" i="102" s="1"/>
  <c r="K15" i="102"/>
  <c r="L15" i="102" s="1"/>
  <c r="N15" i="102" s="1"/>
  <c r="K14" i="102"/>
  <c r="L14" i="102" s="1"/>
  <c r="N14" i="102" s="1"/>
  <c r="BV21" i="106"/>
  <c r="AQ21" i="106"/>
  <c r="BW21" i="106" s="1"/>
  <c r="Z8" i="16"/>
  <c r="H26" i="102"/>
  <c r="O8" i="102" s="1"/>
  <c r="AZ24" i="106"/>
  <c r="M8" i="16" s="1"/>
  <c r="AW24" i="106"/>
  <c r="F24" i="100" a="1"/>
  <c r="F24" i="100" s="1"/>
  <c r="O9" i="100"/>
  <c r="O28" i="106"/>
  <c r="L19" i="106"/>
  <c r="AM30" i="106"/>
  <c r="R28" i="106"/>
  <c r="Q28" i="106"/>
  <c r="BP30" i="106"/>
  <c r="M28" i="106"/>
  <c r="AL30" i="106"/>
  <c r="P28" i="106"/>
  <c r="Y9" i="106" l="1"/>
  <c r="Z24" i="106"/>
  <c r="AF29" i="106"/>
  <c r="O13" i="16"/>
  <c r="BY21" i="106"/>
  <c r="CP21" i="106" s="1"/>
  <c r="AN14" i="106"/>
  <c r="BQ30" i="106"/>
  <c r="S13" i="94"/>
  <c r="BZ24" i="106"/>
  <c r="CO24" i="106" s="1"/>
  <c r="AR29" i="106"/>
  <c r="K13" i="16" s="1"/>
  <c r="Z14" i="106"/>
  <c r="R13" i="106"/>
  <c r="Q13" i="106"/>
  <c r="P13" i="106"/>
  <c r="O13" i="106"/>
  <c r="M13" i="106"/>
  <c r="BA30" i="106"/>
  <c r="Z14" i="16" s="1"/>
  <c r="I14" i="16"/>
  <c r="AY30" i="106"/>
  <c r="AT30" i="106" s="1"/>
  <c r="AZ30" i="106"/>
  <c r="AW30" i="106"/>
  <c r="K15" i="100"/>
  <c r="L15" i="100" s="1"/>
  <c r="K16" i="100"/>
  <c r="L16" i="100" s="1"/>
  <c r="K17" i="100"/>
  <c r="L17" i="100" s="1"/>
  <c r="K14" i="100"/>
  <c r="L14" i="100" s="1"/>
  <c r="BU24" i="106"/>
  <c r="BV24" i="106" s="1"/>
  <c r="BC24" i="106"/>
  <c r="AJ24" i="106"/>
  <c r="M21" i="102"/>
  <c r="M22" i="102"/>
  <c r="M23" i="102"/>
  <c r="M24" i="102"/>
  <c r="V28" i="106"/>
  <c r="S28" i="106"/>
  <c r="U28" i="106"/>
  <c r="T28" i="106"/>
  <c r="AH30" i="106" l="1"/>
  <c r="AC30" i="106" s="1"/>
  <c r="CA24" i="106"/>
  <c r="BB24" i="106"/>
  <c r="AI24" i="106" s="1"/>
  <c r="AN6" i="106"/>
  <c r="AG21" i="106"/>
  <c r="AE21" i="106" s="1"/>
  <c r="CN24" i="106"/>
  <c r="CB24" i="106"/>
  <c r="BZ30" i="106"/>
  <c r="CM30" i="106" s="1"/>
  <c r="BC30" i="106"/>
  <c r="CA30" i="106" s="1"/>
  <c r="AR24" i="106"/>
  <c r="K8" i="16" s="1"/>
  <c r="Z9" i="106"/>
  <c r="V13" i="106"/>
  <c r="U13" i="106"/>
  <c r="T13" i="106"/>
  <c r="S13" i="106"/>
  <c r="M14" i="16"/>
  <c r="V8" i="16"/>
  <c r="BF24" i="106" s="1"/>
  <c r="W30" i="106"/>
  <c r="Y30" i="106"/>
  <c r="Z30" i="106" s="1"/>
  <c r="BS28" i="106"/>
  <c r="BU30" i="106"/>
  <c r="BV30" i="106" s="1"/>
  <c r="AJ30" i="106"/>
  <c r="N17" i="100"/>
  <c r="N16" i="100"/>
  <c r="Q14" i="102"/>
  <c r="N14" i="100"/>
  <c r="Q13" i="102"/>
  <c r="N15" i="100"/>
  <c r="AQ24" i="106"/>
  <c r="BW24" i="106" s="1"/>
  <c r="AC24" i="106"/>
  <c r="BQ22" i="106"/>
  <c r="J27" i="102" a="1"/>
  <c r="J27" i="102" s="1"/>
  <c r="J32" i="102" a="1"/>
  <c r="J32" i="102" s="1"/>
  <c r="Q19" i="106"/>
  <c r="BR22" i="106"/>
  <c r="AM28" i="106"/>
  <c r="P19" i="106"/>
  <c r="R19" i="106"/>
  <c r="O19" i="106"/>
  <c r="BR23" i="106"/>
  <c r="BP28" i="106"/>
  <c r="AL28" i="106"/>
  <c r="AH28" i="106" l="1"/>
  <c r="BB30" i="106"/>
  <c r="AI30" i="106" s="1"/>
  <c r="AF21" i="106"/>
  <c r="O5" i="16"/>
  <c r="CL30" i="106"/>
  <c r="CK30" i="106"/>
  <c r="CJ30" i="106"/>
  <c r="CH30" i="106"/>
  <c r="CI30" i="106"/>
  <c r="CE30" i="106"/>
  <c r="CG30" i="106"/>
  <c r="CD30" i="106"/>
  <c r="CC24" i="106"/>
  <c r="CD24" i="106" s="1"/>
  <c r="CE24" i="106" s="1"/>
  <c r="CF24" i="106" s="1"/>
  <c r="CG24" i="106" s="1"/>
  <c r="CH24" i="106" s="1"/>
  <c r="CI24" i="106" s="1"/>
  <c r="CJ24" i="106" s="1"/>
  <c r="CK24" i="106" s="1"/>
  <c r="CL24" i="106" s="1"/>
  <c r="CM24" i="106" s="1"/>
  <c r="BY24" i="106" s="1"/>
  <c r="CP24" i="106" s="1"/>
  <c r="AG24" i="106" s="1"/>
  <c r="AE24" i="106" s="1"/>
  <c r="CF30" i="106"/>
  <c r="CC30" i="106"/>
  <c r="BQ28" i="106"/>
  <c r="V14" i="16"/>
  <c r="BF27" i="106" s="1"/>
  <c r="CN30" i="106"/>
  <c r="CO30" i="106" s="1"/>
  <c r="CB30" i="106" s="1"/>
  <c r="AM13" i="106"/>
  <c r="AL13" i="106"/>
  <c r="BA28" i="106"/>
  <c r="AR30" i="106"/>
  <c r="K14" i="16" s="1"/>
  <c r="I12" i="16"/>
  <c r="AQ30" i="106"/>
  <c r="BW30" i="106" s="1"/>
  <c r="AZ28" i="106"/>
  <c r="M12" i="16" s="1"/>
  <c r="AY28" i="106"/>
  <c r="AT28" i="106" s="1"/>
  <c r="AW28" i="106"/>
  <c r="BS23" i="106"/>
  <c r="AT23" i="106" s="1"/>
  <c r="BQ23" i="106"/>
  <c r="BS22" i="106"/>
  <c r="AT22" i="106" s="1"/>
  <c r="AY22" i="106"/>
  <c r="AZ22" i="106"/>
  <c r="M6" i="16" s="1"/>
  <c r="S14" i="102"/>
  <c r="S13" i="102"/>
  <c r="AF24" i="106" l="1"/>
  <c r="O8" i="16"/>
  <c r="BF30" i="106"/>
  <c r="AN9" i="106"/>
  <c r="CP30" i="106"/>
  <c r="BY30" i="106"/>
  <c r="BZ28" i="106"/>
  <c r="Y28" i="106"/>
  <c r="Y22" i="106"/>
  <c r="AC28" i="106"/>
  <c r="W28" i="106"/>
  <c r="W13" i="106" s="1"/>
  <c r="W22" i="106"/>
  <c r="W7" i="106" s="1"/>
  <c r="BC28" i="106"/>
  <c r="CA28" i="106" s="1"/>
  <c r="BU28" i="106"/>
  <c r="BV28" i="106" s="1"/>
  <c r="AJ28" i="106"/>
  <c r="AW23" i="106"/>
  <c r="AZ23" i="106"/>
  <c r="M7" i="16" s="1"/>
  <c r="Z7" i="16"/>
  <c r="AY23" i="106"/>
  <c r="Z6" i="16"/>
  <c r="AJ22" i="106"/>
  <c r="AW22" i="106"/>
  <c r="Y7" i="106" l="1"/>
  <c r="Z22" i="106"/>
  <c r="Z7" i="106" s="1"/>
  <c r="Y13" i="106"/>
  <c r="Z28" i="106"/>
  <c r="BB28" i="106"/>
  <c r="AI28" i="106" s="1"/>
  <c r="AG30" i="106"/>
  <c r="AE30" i="106" s="1"/>
  <c r="CO28" i="106"/>
  <c r="CN28" i="106"/>
  <c r="CB28" i="106"/>
  <c r="BZ22" i="106"/>
  <c r="CO22" i="106" s="1"/>
  <c r="BZ23" i="106"/>
  <c r="CB23" i="106" s="1"/>
  <c r="V12" i="16"/>
  <c r="AQ28" i="106"/>
  <c r="BW28" i="106" s="1"/>
  <c r="W23" i="106"/>
  <c r="W8" i="106" s="1"/>
  <c r="Y23" i="106"/>
  <c r="AJ23" i="106"/>
  <c r="BU23" i="106"/>
  <c r="BV23" i="106" s="1"/>
  <c r="BC23" i="106"/>
  <c r="BU22" i="106"/>
  <c r="BV22" i="106" s="1"/>
  <c r="BC22" i="106"/>
  <c r="BB22" i="106" s="1"/>
  <c r="AI22" i="106" s="1"/>
  <c r="Y8" i="106" l="1"/>
  <c r="Z23" i="106"/>
  <c r="Z8" i="106" s="1"/>
  <c r="CA23" i="106"/>
  <c r="BB23" i="106"/>
  <c r="AI23" i="106" s="1"/>
  <c r="AF30" i="106"/>
  <c r="O14" i="16"/>
  <c r="CC28" i="106"/>
  <c r="CD28" i="106" s="1"/>
  <c r="CE28" i="106" s="1"/>
  <c r="CF28" i="106" s="1"/>
  <c r="CG28" i="106" s="1"/>
  <c r="CH28" i="106" s="1"/>
  <c r="CI28" i="106" s="1"/>
  <c r="CJ28" i="106" s="1"/>
  <c r="CK28" i="106" s="1"/>
  <c r="CL28" i="106" s="1"/>
  <c r="CM28" i="106" s="1"/>
  <c r="BY28" i="106" s="1"/>
  <c r="CP28" i="106" s="1"/>
  <c r="AG28" i="106" s="1"/>
  <c r="AE28" i="106" s="1"/>
  <c r="CA22" i="106"/>
  <c r="CN22" i="106" s="1"/>
  <c r="CO23" i="106"/>
  <c r="CB22" i="106"/>
  <c r="CN23" i="106"/>
  <c r="AR28" i="106"/>
  <c r="K12" i="16" s="1"/>
  <c r="Z13" i="106"/>
  <c r="AR22" i="106"/>
  <c r="K6" i="16" s="1"/>
  <c r="V7" i="16"/>
  <c r="BF23" i="106" s="1"/>
  <c r="V6" i="16"/>
  <c r="BF22" i="106" s="1"/>
  <c r="AQ23" i="106"/>
  <c r="BW23" i="106" s="1"/>
  <c r="AC23" i="106"/>
  <c r="AQ22" i="106"/>
  <c r="BW22" i="106" s="1"/>
  <c r="AC22" i="106"/>
  <c r="H24" i="100"/>
  <c r="H26" i="100" s="1"/>
  <c r="AF28" i="106" l="1"/>
  <c r="O12" i="16"/>
  <c r="CC23" i="106"/>
  <c r="CD23" i="106" s="1"/>
  <c r="CE23" i="106" s="1"/>
  <c r="CF23" i="106" s="1"/>
  <c r="CG23" i="106" s="1"/>
  <c r="CH23" i="106" s="1"/>
  <c r="CI23" i="106" s="1"/>
  <c r="CJ23" i="106" s="1"/>
  <c r="CK23" i="106" s="1"/>
  <c r="CL23" i="106" s="1"/>
  <c r="CM23" i="106" s="1"/>
  <c r="BY23" i="106" s="1"/>
  <c r="CP23" i="106" s="1"/>
  <c r="AG23" i="106" s="1"/>
  <c r="AE23" i="106" s="1"/>
  <c r="CC22" i="106"/>
  <c r="CD22" i="106" s="1"/>
  <c r="CE22" i="106" s="1"/>
  <c r="CF22" i="106" s="1"/>
  <c r="CG22" i="106" s="1"/>
  <c r="CH22" i="106" s="1"/>
  <c r="CI22" i="106" s="1"/>
  <c r="CJ22" i="106" s="1"/>
  <c r="CK22" i="106" s="1"/>
  <c r="CL22" i="106" s="1"/>
  <c r="CM22" i="106" s="1"/>
  <c r="BY22" i="106" s="1"/>
  <c r="CP22" i="106" s="1"/>
  <c r="AN13" i="106"/>
  <c r="AR23" i="106"/>
  <c r="K7" i="16" s="1"/>
  <c r="O8" i="100"/>
  <c r="M19" i="106"/>
  <c r="AF23" i="106" l="1"/>
  <c r="AN7" i="106"/>
  <c r="AG22" i="106"/>
  <c r="AE22" i="106" s="1"/>
  <c r="O7" i="16"/>
  <c r="AN8" i="106"/>
  <c r="M23" i="100"/>
  <c r="M21" i="100"/>
  <c r="M24" i="100"/>
  <c r="M22" i="100"/>
  <c r="J32" i="100" a="1"/>
  <c r="J32" i="100" s="1"/>
  <c r="J27" i="100" a="1"/>
  <c r="J27" i="100" s="1"/>
  <c r="S19" i="106"/>
  <c r="U19" i="106"/>
  <c r="AL19" i="106"/>
  <c r="T19" i="106"/>
  <c r="AM19" i="106"/>
  <c r="V19" i="106"/>
  <c r="AF22" i="106" l="1"/>
  <c r="O6" i="16"/>
  <c r="BA19" i="106"/>
  <c r="Z3" i="16" s="1"/>
  <c r="AW19" i="106"/>
  <c r="AZ19" i="106"/>
  <c r="M3" i="16" s="1"/>
  <c r="I3" i="16"/>
  <c r="AY19" i="106"/>
  <c r="Y19" i="106" s="1"/>
  <c r="Z19" i="106" s="1"/>
  <c r="BS19" i="106"/>
  <c r="Q14" i="100"/>
  <c r="Q13" i="100"/>
  <c r="BQ20" i="106"/>
  <c r="BR20" i="106"/>
  <c r="BP19" i="106"/>
  <c r="AT19" i="106" l="1"/>
  <c r="AJ19" i="106" s="1"/>
  <c r="AH19" i="106"/>
  <c r="BQ19" i="106"/>
  <c r="BZ19" i="106"/>
  <c r="CD19" i="106" s="1"/>
  <c r="BC19" i="106"/>
  <c r="BU19" i="106"/>
  <c r="BV19" i="106" s="1"/>
  <c r="W19" i="106"/>
  <c r="AR19" i="106"/>
  <c r="K3" i="16" s="1"/>
  <c r="BS20" i="106"/>
  <c r="S14" i="100"/>
  <c r="S13" i="100"/>
  <c r="AY20" i="106"/>
  <c r="BB19" i="106" l="1"/>
  <c r="AI19" i="106" s="1"/>
  <c r="AT20" i="106"/>
  <c r="CM19" i="106"/>
  <c r="CL19" i="106"/>
  <c r="CK19" i="106"/>
  <c r="CJ19" i="106"/>
  <c r="CI19" i="106"/>
  <c r="CH19" i="106"/>
  <c r="CG19" i="106"/>
  <c r="CF19" i="106"/>
  <c r="CE19" i="106"/>
  <c r="CA19" i="106"/>
  <c r="CN19" i="106" s="1"/>
  <c r="CO19" i="106" s="1"/>
  <c r="CB19" i="106" s="1"/>
  <c r="BY19" i="106" s="1"/>
  <c r="CC19" i="106"/>
  <c r="Y20" i="106"/>
  <c r="Z20" i="106" s="1"/>
  <c r="AQ19" i="106"/>
  <c r="BW19" i="106" s="1"/>
  <c r="AC19" i="106"/>
  <c r="AB19" i="106"/>
  <c r="AA19" i="106"/>
  <c r="V3" i="16"/>
  <c r="BF19" i="106" s="1"/>
  <c r="W20" i="106"/>
  <c r="AW20" i="106"/>
  <c r="AZ20" i="106"/>
  <c r="AH20" i="106" l="1"/>
  <c r="BZ20" i="106"/>
  <c r="CC20" i="106" s="1"/>
  <c r="CP19" i="106"/>
  <c r="M4" i="16"/>
  <c r="AD19" i="106"/>
  <c r="L3" i="16" s="1"/>
  <c r="BU20" i="106"/>
  <c r="BV20" i="106" s="1"/>
  <c r="BC20" i="106"/>
  <c r="AJ20" i="106"/>
  <c r="Z4" i="16"/>
  <c r="V4" i="16" l="1"/>
  <c r="BB20" i="106"/>
  <c r="AI20" i="106" s="1"/>
  <c r="CA20" i="106"/>
  <c r="AG19" i="106"/>
  <c r="AE19" i="106" s="1"/>
  <c r="CL20" i="106"/>
  <c r="CG20" i="106"/>
  <c r="CM20" i="106"/>
  <c r="CF20" i="106"/>
  <c r="CK20" i="106"/>
  <c r="CE20" i="106"/>
  <c r="CI20" i="106"/>
  <c r="CH20" i="106"/>
  <c r="CJ20" i="106"/>
  <c r="CD20" i="106"/>
  <c r="CN20" i="106"/>
  <c r="CO20" i="106" s="1"/>
  <c r="CB20" i="106" s="1"/>
  <c r="AR20" i="106"/>
  <c r="K4" i="16" s="1"/>
  <c r="BF20" i="106"/>
  <c r="AU19" i="106"/>
  <c r="AQ20" i="106"/>
  <c r="BW20" i="106" s="1"/>
  <c r="AC20" i="106"/>
  <c r="AF19" i="106" l="1"/>
  <c r="O3" i="16"/>
  <c r="CP20" i="106"/>
  <c r="BY20" i="106"/>
  <c r="AG20" i="106" l="1"/>
  <c r="AE20" i="106" s="1"/>
  <c r="AF20" i="106" l="1"/>
  <c r="O4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<sst xmlns="http://schemas.openxmlformats.org/spreadsheetml/2006/main" count="1949" uniqueCount="409">
  <si>
    <t>ESTUDOS HIDROLÓGICOS</t>
  </si>
  <si>
    <t>+</t>
  </si>
  <si>
    <t>TEMPO DE RECORRÊNCIA :</t>
  </si>
  <si>
    <t>anos</t>
  </si>
  <si>
    <t xml:space="preserve">CURSO D'ÁGUA :  </t>
  </si>
  <si>
    <t xml:space="preserve">TEMPO DE CONCENTRAÇÃO     Tc (h) : </t>
  </si>
  <si>
    <t>COMP. DO TALVEGUE  (km) :</t>
  </si>
  <si>
    <t>DESNÍVEL  (m) :</t>
  </si>
  <si>
    <t>C / CN</t>
  </si>
  <si>
    <t>Resultados</t>
  </si>
  <si>
    <t>Recorrência</t>
  </si>
  <si>
    <t xml:space="preserve">Qmáx </t>
  </si>
  <si>
    <t xml:space="preserve">Q15 = </t>
  </si>
  <si>
    <t>m³/s</t>
  </si>
  <si>
    <t xml:space="preserve">Q25 = </t>
  </si>
  <si>
    <t xml:space="preserve">Q100 = </t>
  </si>
  <si>
    <t>COD. BACIA</t>
  </si>
  <si>
    <t>DESCRIÇÃO</t>
  </si>
  <si>
    <t>ÁREA (km²)</t>
  </si>
  <si>
    <t>COMPRIMENTO TALVEGUE  (km)</t>
  </si>
  <si>
    <t>DESNÍVEL (m)</t>
  </si>
  <si>
    <t>Q (m³/s)  [15 anos</t>
  </si>
  <si>
    <t>Q (m³/s)  [25 anos</t>
  </si>
  <si>
    <t>Q (m³/s)  [50 anos</t>
  </si>
  <si>
    <t>Q (m³/s)  [100 anos</t>
  </si>
  <si>
    <t>-</t>
  </si>
  <si>
    <t>Método</t>
  </si>
  <si>
    <t>ESTACAS</t>
  </si>
  <si>
    <t>Obra Exist.</t>
  </si>
  <si>
    <t>ESTACA</t>
  </si>
  <si>
    <t>LOCAÇÃO</t>
  </si>
  <si>
    <t>COTA JUSANTE</t>
  </si>
  <si>
    <t>BOCAS (unid)</t>
  </si>
  <si>
    <t>E</t>
  </si>
  <si>
    <t>COTA MONTANTE</t>
  </si>
  <si>
    <t>LADO MONTANTE</t>
  </si>
  <si>
    <t>SERVIÇO</t>
  </si>
  <si>
    <t>Ponto</t>
  </si>
  <si>
    <t>Cota (m)</t>
  </si>
  <si>
    <t>Distância (m)</t>
  </si>
  <si>
    <t>Distância Acumulada (Km)</t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</si>
  <si>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Calibri"/>
        <family val="2"/>
        <scheme val="minor"/>
      </rPr>
      <t>Hn (m)</t>
    </r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</si>
  <si>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Calibri"/>
        <family val="2"/>
        <scheme val="minor"/>
      </rPr>
      <t>Ln (km)</t>
    </r>
  </si>
  <si>
    <t>Sn (m/km)</t>
  </si>
  <si>
    <t>C</t>
  </si>
  <si>
    <t>(m/km)</t>
  </si>
  <si>
    <t>(m/m)</t>
  </si>
  <si>
    <t>(%)</t>
  </si>
  <si>
    <t>Sef =</t>
  </si>
  <si>
    <t>m/km</t>
  </si>
  <si>
    <t>m/m</t>
  </si>
  <si>
    <t>%</t>
  </si>
  <si>
    <t>Método Racional</t>
  </si>
  <si>
    <t>Estaca:</t>
  </si>
  <si>
    <t xml:space="preserve">VIA : </t>
  </si>
  <si>
    <t>ÁREA DE CONTRIBUIÇÃO  (km²) :</t>
  </si>
  <si>
    <t>COEFICIENTE  C:</t>
  </si>
  <si>
    <t>CHUVA DE PROJETO</t>
  </si>
  <si>
    <t>TR</t>
  </si>
  <si>
    <t>D tc (min)</t>
  </si>
  <si>
    <t>Po (mm)</t>
  </si>
  <si>
    <t>I (mm/min)</t>
  </si>
  <si>
    <t>15 anos</t>
  </si>
  <si>
    <t>25 anos</t>
  </si>
  <si>
    <t>50 anos</t>
  </si>
  <si>
    <t>100 anos</t>
  </si>
  <si>
    <t>COMPOSIÇÃO DE ÁREA "C"</t>
  </si>
  <si>
    <t>m²</t>
  </si>
  <si>
    <t>km²</t>
  </si>
  <si>
    <t>Área total</t>
  </si>
  <si>
    <t>Culturas e pastagens terraceadas</t>
  </si>
  <si>
    <t>Cerrados, pastagens e matas ralas</t>
  </si>
  <si>
    <t>C adotado</t>
  </si>
  <si>
    <t>* Tabela de coeficientes de C e CN - IP 03 – Goinfra – Estudos hidrológicos</t>
  </si>
  <si>
    <t>OBRA PROJETADA</t>
  </si>
  <si>
    <t xml:space="preserve">Q50 = </t>
  </si>
  <si>
    <t>Tc (h)</t>
  </si>
  <si>
    <t>BC02</t>
  </si>
  <si>
    <t>COD. BUEIRO</t>
  </si>
  <si>
    <t>Intensidade 15 anos (mm/min)</t>
  </si>
  <si>
    <t>Intensidade 25 anos (mm/min)</t>
  </si>
  <si>
    <t>Intensidade 50 anos (mm/min)</t>
  </si>
  <si>
    <t>Intensidade 100 anos (mm/min)</t>
  </si>
  <si>
    <t>Condição da Obra</t>
  </si>
  <si>
    <t>CONDIÇÃO DA OBRA</t>
  </si>
  <si>
    <t>BC03</t>
  </si>
  <si>
    <t>*Condição de funcionamento: orifício</t>
  </si>
  <si>
    <t>*Carga hidráulica: h=1,2*H</t>
  </si>
  <si>
    <t xml:space="preserve">*Condição de funcionamento: canal </t>
  </si>
  <si>
    <t>Obra Proj. como orifício</t>
  </si>
  <si>
    <t>Obra Proj. como canal</t>
  </si>
  <si>
    <t xml:space="preserve">Carga Hidráulica </t>
  </si>
  <si>
    <t>Serviço</t>
  </si>
  <si>
    <t>i efetiva da bacia%</t>
  </si>
  <si>
    <t>DECLIVIDADE EFETIVA  (%) :</t>
  </si>
  <si>
    <t>UTILIZAR TABELA QUADRO DE CHUVAS ISOZONAS DADOS PLUVIOMÉTRICOS</t>
  </si>
  <si>
    <t>Concreto Armado</t>
  </si>
  <si>
    <t>ATERRO ACIMA GERATRIZ SUP.(m)</t>
  </si>
  <si>
    <t>Nº Bacia:</t>
  </si>
  <si>
    <t>CN</t>
  </si>
  <si>
    <t>*Bacia sem curso d'água permanente.</t>
  </si>
  <si>
    <t xml:space="preserve">Resumo Projetado - Eixo </t>
  </si>
  <si>
    <t>Executar</t>
  </si>
  <si>
    <t>CADASTRO DAS OBRAS DE ARTE CORRENTES PROJETADAS - EIXO</t>
  </si>
  <si>
    <t>TIPO TUBO PROJETADO</t>
  </si>
  <si>
    <t>DIÂMETRO TUBO PROJETADO (m)</t>
  </si>
  <si>
    <t>Ponte Projetada</t>
  </si>
  <si>
    <t>DECLIV. OBRA PROJETADA</t>
  </si>
  <si>
    <t>*Carga hidráulica= 1,2*D</t>
  </si>
  <si>
    <t>Descida d'água</t>
  </si>
  <si>
    <t>ESCONS. DO TUBO</t>
  </si>
  <si>
    <t>Dissipador de Energia</t>
  </si>
  <si>
    <t>Caixa (und)</t>
  </si>
  <si>
    <t>VELO. ESCOA. PROJ. COMO CANAL (m/s)</t>
  </si>
  <si>
    <t>VELO. ESCOA. PROJ. COMO ORIFÍCIO (m/s)</t>
  </si>
  <si>
    <t>Área Molhada como canal (m²)</t>
  </si>
  <si>
    <t>Área Molhada como orifício (m²)</t>
  </si>
  <si>
    <t>Perímetro Molhado como orifício (m)</t>
  </si>
  <si>
    <t>Perímetro Molhado como canal (m)</t>
  </si>
  <si>
    <t>*Obs.: Área molhada, perímetro molhado e enchimento foram calculados a partir das fórmas fornecidas no Manual de Drenagem de Rodovias do DNIT, sendo considerado o regime real da obra projetada, não o regime crítico.</t>
  </si>
  <si>
    <t>BC05</t>
  </si>
  <si>
    <t>*Obs. 1: As velocidades de escoamento dos bueiros projetados foram calculados a partir da fórma fornecida no Manual de Drenagem de Rodovias do DNIT, sendo considerado o regime real da obra projetada, não o regime crítico.</t>
  </si>
  <si>
    <t xml:space="preserve">*Obs. 2: As obras das bacias 06 e 07 foram projetadas como canal por não ter altura de aterro suficiente para validação da carga hidráulica necessária para a obra funcionar como orifício. </t>
  </si>
  <si>
    <t>Sem talvegue permanente</t>
  </si>
  <si>
    <t>L PROJETADO (m)</t>
  </si>
  <si>
    <t>L TOTAL  DA OBRA PROJETADA (m)</t>
  </si>
  <si>
    <t>0º</t>
  </si>
  <si>
    <t>RAIO HIDRÁULICO ORIFÍCIO</t>
  </si>
  <si>
    <t xml:space="preserve">RAIO HIDRÁULICO CANAL </t>
  </si>
  <si>
    <t>DEB 450-746</t>
  </si>
  <si>
    <t>DEB 360-414</t>
  </si>
  <si>
    <t>DEB 360-584</t>
  </si>
  <si>
    <t>DEB 300-366</t>
  </si>
  <si>
    <t>DEB 450-956</t>
  </si>
  <si>
    <t>DEB 450-551</t>
  </si>
  <si>
    <t xml:space="preserve">Regime </t>
  </si>
  <si>
    <t>Número de Froude (Fr)</t>
  </si>
  <si>
    <t>Velocidade (m/s)</t>
  </si>
  <si>
    <t>Energia específica (m)</t>
  </si>
  <si>
    <t>Pronf. Hidráulica - h (m)</t>
  </si>
  <si>
    <t>Rh</t>
  </si>
  <si>
    <t>Auxiliar - Não apagar</t>
  </si>
  <si>
    <t>Dimensionamento</t>
  </si>
  <si>
    <t>TR (anos)</t>
  </si>
  <si>
    <t>Tipo</t>
  </si>
  <si>
    <t>Diametro / Base x Altura</t>
  </si>
  <si>
    <t>Area molhada critica (m2)</t>
  </si>
  <si>
    <t>Vazao critica (m3/s)</t>
  </si>
  <si>
    <t>Velocidade critica (m/s)</t>
  </si>
  <si>
    <t>Declividade critica (%)</t>
  </si>
  <si>
    <t>Fonte</t>
  </si>
  <si>
    <t>Observacao</t>
  </si>
  <si>
    <t>Atende consulta</t>
  </si>
  <si>
    <t>Vazao elegivel</t>
  </si>
  <si>
    <t>Folga (m3/s)</t>
  </si>
  <si>
    <t>Canal</t>
  </si>
  <si>
    <t>BSTC</t>
  </si>
  <si>
    <t>1,00</t>
  </si>
  <si>
    <t>Tabela canal 15 anos</t>
  </si>
  <si>
    <t>1,20</t>
  </si>
  <si>
    <t>1,50</t>
  </si>
  <si>
    <t>BDTC</t>
  </si>
  <si>
    <t>BTTC</t>
  </si>
  <si>
    <t>BSCC</t>
  </si>
  <si>
    <t>Tabela canal 25 anos</t>
  </si>
  <si>
    <t>BDCC</t>
  </si>
  <si>
    <t>BTCC</t>
  </si>
  <si>
    <t>Orificio</t>
  </si>
  <si>
    <t>Tabela orificio 25 anos</t>
  </si>
  <si>
    <t>2,00 x 2,00</t>
  </si>
  <si>
    <t>Tabela orificio 50 anos</t>
  </si>
  <si>
    <t>2,50 x 2,50</t>
  </si>
  <si>
    <t>3,00 x 3,00</t>
  </si>
  <si>
    <t>GREIDE</t>
  </si>
  <si>
    <t>Dispositivo</t>
  </si>
  <si>
    <t>Adaptavel em</t>
  </si>
  <si>
    <t>Diametro_m</t>
  </si>
  <si>
    <t>Chave</t>
  </si>
  <si>
    <t>DEB 180-263</t>
  </si>
  <si>
    <t>BSTC 60</t>
  </si>
  <si>
    <t>DEB 240-316</t>
  </si>
  <si>
    <t>BSTC 80</t>
  </si>
  <si>
    <t>BSTC 100</t>
  </si>
  <si>
    <t>BSTC 120</t>
  </si>
  <si>
    <t>BSTC 150</t>
  </si>
  <si>
    <t>DEB 300-511</t>
  </si>
  <si>
    <t>BDTC 100</t>
  </si>
  <si>
    <t>BDTC 120</t>
  </si>
  <si>
    <t>BDTC 150</t>
  </si>
  <si>
    <t>DEB 300-666</t>
  </si>
  <si>
    <t>BTTC 100</t>
  </si>
  <si>
    <t>DEB 360-754</t>
  </si>
  <si>
    <t>BTTC 120</t>
  </si>
  <si>
    <t>BTTC 150</t>
  </si>
  <si>
    <t>DEB</t>
  </si>
  <si>
    <t>N DE LINHAS</t>
  </si>
  <si>
    <t>D</t>
  </si>
  <si>
    <t>Vazão pelo Manning</t>
  </si>
  <si>
    <t>Validação por macro</t>
  </si>
  <si>
    <t>Sef (m/km)</t>
  </si>
  <si>
    <t>Sef (m/m)</t>
  </si>
  <si>
    <t>Sef (%)</t>
  </si>
  <si>
    <t>Layer</t>
  </si>
  <si>
    <t>Area_m2</t>
  </si>
  <si>
    <t>Condições da superfície</t>
  </si>
  <si>
    <t>Orografia</t>
  </si>
  <si>
    <t>Plano</t>
  </si>
  <si>
    <t>Ondulado</t>
  </si>
  <si>
    <t>Montanhoso</t>
  </si>
  <si>
    <t>A</t>
  </si>
  <si>
    <t>B</t>
  </si>
  <si>
    <t>0,6 a 0,8</t>
  </si>
  <si>
    <t>0,6 a 0,9</t>
  </si>
  <si>
    <t>0,6 a 1</t>
  </si>
  <si>
    <t>Culturas terraceadas</t>
  </si>
  <si>
    <t>Tipo  de Relevo</t>
  </si>
  <si>
    <t>Método para C</t>
  </si>
  <si>
    <t>DECLIVIDADE EFETIVA (%):</t>
  </si>
  <si>
    <t>DECLIVIDADE MÉDIA (%):</t>
  </si>
  <si>
    <t>Áreas urbanizadas, Cerrados, pastagens</t>
  </si>
  <si>
    <t>* Classificação de orografia segundo a IP 03 – Goinfra – Estudos hidrológicos</t>
  </si>
  <si>
    <t>ComprimentoTalvegue (m)</t>
  </si>
  <si>
    <t>Prof. Crítica</t>
  </si>
  <si>
    <t>L DA OBRA</t>
  </si>
  <si>
    <t>L TOTAL DA OBRA</t>
  </si>
  <si>
    <t>ESCONSIDADE</t>
  </si>
  <si>
    <t>ALTURA DE ATERRO</t>
  </si>
  <si>
    <t>(TR-ANOS-CANAL)</t>
  </si>
  <si>
    <t>Q CORRESP. (CANAL)</t>
  </si>
  <si>
    <t>(TR-ANOS-ORIFÍCIO)</t>
  </si>
  <si>
    <t>Q CORRESP. (ORIFÍCIO)</t>
  </si>
  <si>
    <t>BC02 (RAC)</t>
  </si>
  <si>
    <t>BC07 (RAC-MOD)</t>
  </si>
  <si>
    <t>BSTC d=</t>
  </si>
  <si>
    <t>BDTC d=</t>
  </si>
  <si>
    <t>BTTC d=</t>
  </si>
  <si>
    <t>B02_Proj.</t>
  </si>
  <si>
    <t>B01_Proj.</t>
  </si>
  <si>
    <t>B03_Proj.</t>
  </si>
  <si>
    <t>B04_Proj.</t>
  </si>
  <si>
    <t>B05_Proj.</t>
  </si>
  <si>
    <t>B06_Proj.</t>
  </si>
  <si>
    <t>B07_Proj.</t>
  </si>
  <si>
    <t>B08_Proj.</t>
  </si>
  <si>
    <t>B09_Proj.</t>
  </si>
  <si>
    <t>Enchimento como canal (m)</t>
  </si>
  <si>
    <t>Enchimento como orifício (m)</t>
  </si>
  <si>
    <t>D (ORIFÍCIO)</t>
  </si>
  <si>
    <t>D (CANAL)</t>
  </si>
  <si>
    <t>Capacidade de vazão da estrutura (Qd) (m³/s)</t>
  </si>
  <si>
    <t>Declividade Crítica (Ic) (%)</t>
  </si>
  <si>
    <t>Coeficiente de Manning</t>
  </si>
  <si>
    <t>REGIME</t>
  </si>
  <si>
    <t>Verificação de Funcionamento</t>
  </si>
  <si>
    <t>BC11</t>
  </si>
  <si>
    <t>BC12</t>
  </si>
  <si>
    <t>33</t>
  </si>
  <si>
    <t>GO-116</t>
  </si>
  <si>
    <t>BC01</t>
  </si>
  <si>
    <t>BC04</t>
  </si>
  <si>
    <t>BC06</t>
  </si>
  <si>
    <t>BC07</t>
  </si>
  <si>
    <t>BC08</t>
  </si>
  <si>
    <t>BC09</t>
  </si>
  <si>
    <t>BC10</t>
  </si>
  <si>
    <t>49</t>
  </si>
  <si>
    <t>Método Racional Modificado</t>
  </si>
  <si>
    <t>DECLIVIDADE DA BACIA  (%) :</t>
  </si>
  <si>
    <t>COEFICIENTE DE RETARDO (φ):</t>
  </si>
  <si>
    <t>ax</t>
  </si>
  <si>
    <t>b</t>
  </si>
  <si>
    <t>148</t>
  </si>
  <si>
    <t>Córrego Taboca</t>
  </si>
  <si>
    <t>214</t>
  </si>
  <si>
    <t>Córrego Jacu</t>
  </si>
  <si>
    <t>314</t>
  </si>
  <si>
    <t>Córrego Piaui</t>
  </si>
  <si>
    <t>Hidrograma Unitário</t>
  </si>
  <si>
    <t>ESTACA :</t>
  </si>
  <si>
    <t>VIA :</t>
  </si>
  <si>
    <t>CN:</t>
  </si>
  <si>
    <t>S:</t>
  </si>
  <si>
    <t>HUT</t>
  </si>
  <si>
    <t>ÁREA DE CONTRIBUIÇÃO  (km2) :</t>
  </si>
  <si>
    <t xml:space="preserve">TEMPO UNITÁRIO    Tu (h) : </t>
  </si>
  <si>
    <t>https://sobreasaguas.com/2023/02/15/como-calcular-chuva-efetiva-pelo-metodo-scs/</t>
  </si>
  <si>
    <t>TEMPO DE PICO     Tp (h) :</t>
  </si>
  <si>
    <t>DECLIVIDADE EFETIVA DO TALVEGUE  (%) :</t>
  </si>
  <si>
    <t>TEMPO DE BASE     Tb (h) :</t>
  </si>
  <si>
    <t>TEMPO DE RETORNO     Tr (h) :</t>
  </si>
  <si>
    <r>
      <t>m</t>
    </r>
    <r>
      <rPr>
        <sz val="8"/>
        <rFont val="Arial"/>
        <family val="2"/>
      </rPr>
      <t xml:space="preserve"> (Tp)             </t>
    </r>
  </si>
  <si>
    <t>(m3 /s/cm) :</t>
  </si>
  <si>
    <t>COMPOSIÇÃO DE ÁREA "CN"</t>
  </si>
  <si>
    <t>IP - 03 (GOINFRA)</t>
  </si>
  <si>
    <t>CN adotado</t>
  </si>
  <si>
    <t>HST</t>
  </si>
  <si>
    <t>IDF</t>
  </si>
  <si>
    <t>Tu</t>
  </si>
  <si>
    <t>Po</t>
  </si>
  <si>
    <t>Pm</t>
  </si>
  <si>
    <t>Pe</t>
  </si>
  <si>
    <r>
      <rPr>
        <sz val="8"/>
        <color theme="0"/>
        <rFont val="Symbol"/>
        <family val="1"/>
        <charset val="2"/>
      </rPr>
      <t>D</t>
    </r>
    <r>
      <rPr>
        <sz val="8"/>
        <color theme="0"/>
        <rFont val="Arial"/>
        <family val="2"/>
      </rPr>
      <t xml:space="preserve"> Pe</t>
    </r>
  </si>
  <si>
    <r>
      <t xml:space="preserve">D </t>
    </r>
    <r>
      <rPr>
        <sz val="8"/>
        <color theme="0"/>
        <rFont val="Arial"/>
        <family val="2"/>
      </rPr>
      <t>tc (min)</t>
    </r>
  </si>
  <si>
    <r>
      <t xml:space="preserve">D </t>
    </r>
    <r>
      <rPr>
        <sz val="8"/>
        <color theme="0"/>
        <rFont val="Arial"/>
        <family val="2"/>
      </rPr>
      <t>tc (horas)</t>
    </r>
  </si>
  <si>
    <t>Po (mm) - 5 Anos</t>
  </si>
  <si>
    <t>Po (mm) - 10 Anos</t>
  </si>
  <si>
    <t>Po (mm) - 15 Anos</t>
  </si>
  <si>
    <t>Po (mm) - 20 Anos</t>
  </si>
  <si>
    <t>Po (mm) - 25 Anos</t>
  </si>
  <si>
    <t>Po (mm) - 50 Anos</t>
  </si>
  <si>
    <t>Po (mm) - 100 Anos</t>
  </si>
  <si>
    <t>(h)</t>
  </si>
  <si>
    <t>(mm)</t>
  </si>
  <si>
    <t>(cm)</t>
  </si>
  <si>
    <t>Obs: Precipitação em mm, Po = f(ΔT) obtido no gráfico de precipitações.</t>
  </si>
  <si>
    <t>Obs: IDF é a intesindade de chuva em função do Δtc.</t>
  </si>
  <si>
    <t>Obra Projetada</t>
  </si>
  <si>
    <t>*Condição de funcionamento: canal</t>
  </si>
  <si>
    <t>t/tr</t>
  </si>
  <si>
    <t>Q/qp</t>
  </si>
  <si>
    <t>t</t>
  </si>
  <si>
    <t>HU</t>
  </si>
  <si>
    <r>
      <rPr>
        <sz val="8"/>
        <rFont val="Symbol"/>
        <family val="1"/>
        <charset val="2"/>
      </rPr>
      <t>D</t>
    </r>
    <r>
      <rPr>
        <sz val="8"/>
        <rFont val="Arial"/>
        <family val="2"/>
      </rPr>
      <t xml:space="preserve"> Pe</t>
    </r>
  </si>
  <si>
    <t>Qp</t>
  </si>
  <si>
    <t>tempo (h)</t>
  </si>
  <si>
    <t>Q (m³/s)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</si>
  <si>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Hn = Cota¹-Cota²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</si>
  <si>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Ln = Lacum²-Lacum¹</t>
    </r>
  </si>
  <si>
    <t>Tabela 6.21 – Bacia Hidrográfica 06</t>
  </si>
  <si>
    <t>397</t>
  </si>
  <si>
    <t>Córrego Palmeira</t>
  </si>
  <si>
    <t>Valores de Precipitação (mm)</t>
  </si>
  <si>
    <t>TEMPO DE RECORRÊNCIA</t>
  </si>
  <si>
    <t>5 anos</t>
  </si>
  <si>
    <t>10 anos</t>
  </si>
  <si>
    <t>20 anos</t>
  </si>
  <si>
    <t>24 h</t>
  </si>
  <si>
    <t>1 h</t>
  </si>
  <si>
    <t>6 min</t>
  </si>
  <si>
    <t>Duração da Chuva</t>
  </si>
  <si>
    <t>Córrego Barreiro</t>
  </si>
  <si>
    <t>542</t>
  </si>
  <si>
    <t>Córrego Fundo</t>
  </si>
  <si>
    <t>GROTA</t>
  </si>
  <si>
    <t>754</t>
  </si>
  <si>
    <t>Córrego Lavandeira</t>
  </si>
  <si>
    <t>847</t>
  </si>
  <si>
    <t>Córrego Landim</t>
  </si>
  <si>
    <t>BC01 (RAC)</t>
  </si>
  <si>
    <t>BC03 (RAC-MOD)</t>
  </si>
  <si>
    <t>BC04 (RAC-MOD)</t>
  </si>
  <si>
    <t>BC05 (RAC-MOD)</t>
  </si>
  <si>
    <t>BC06 (HUT)</t>
  </si>
  <si>
    <t>BC08 (RAC-MOD)</t>
  </si>
  <si>
    <t>BC09 (HUT)</t>
  </si>
  <si>
    <t>BC10 (RAC)</t>
  </si>
  <si>
    <t>BC11 (RAC)</t>
  </si>
  <si>
    <t>BC12 (RAC)</t>
  </si>
  <si>
    <t>B10_Proj.</t>
  </si>
  <si>
    <t>B11_Proj.</t>
  </si>
  <si>
    <t>B12_Proj.</t>
  </si>
  <si>
    <t>Q(bueiro-canal)</t>
  </si>
  <si>
    <t>Q(bueiro-orifício)</t>
  </si>
  <si>
    <t>GO-116 - TRECHO ENTR. GO-524 (P/ SALTO DO ITIQUIRA) / ENTR. GO-485</t>
  </si>
  <si>
    <t>Ponte existente 9,50x4,00m</t>
  </si>
  <si>
    <t>Ponte existente 15,00x3,90m</t>
  </si>
  <si>
    <t>Ponte existente 11,50x3,80m</t>
  </si>
  <si>
    <t>Ponte existente 12,00x3,80m</t>
  </si>
  <si>
    <t>Ponte existente 15,00x3,50m</t>
  </si>
  <si>
    <t>Ponte existente 20,00x4,20m</t>
  </si>
  <si>
    <t xml:space="preserve">Ponte existente 19,40x3,80m </t>
  </si>
  <si>
    <t>Ponte existente 14,80x4,20m</t>
  </si>
  <si>
    <t>Ponte existente 9,80x4,00m</t>
  </si>
  <si>
    <t>Substituir obra existente</t>
  </si>
  <si>
    <t>Resumo Existente - Eixo</t>
  </si>
  <si>
    <t>BUEIRO GREIDE</t>
  </si>
  <si>
    <t>Áreas Urbanizadas, Cerrados, pastagens</t>
  </si>
  <si>
    <t>496</t>
  </si>
  <si>
    <t>893</t>
  </si>
  <si>
    <t>1069</t>
  </si>
  <si>
    <t>20º</t>
  </si>
  <si>
    <t>15º</t>
  </si>
  <si>
    <t>30º</t>
  </si>
  <si>
    <t>KV</t>
  </si>
  <si>
    <t>Enchimento como canal – tirante d (m)</t>
  </si>
  <si>
    <t>d/D tubular (Tab. 18)</t>
  </si>
  <si>
    <t>Forma (lida da sigla)</t>
  </si>
  <si>
    <t>d0 – iteração tirante celular (m)</t>
  </si>
  <si>
    <t>d1 – iteração tirante celular (m)</t>
  </si>
  <si>
    <t>d2 – iteração tirante celular (m)</t>
  </si>
  <si>
    <t>d3 – iteração tirante celular (m)</t>
  </si>
  <si>
    <t>d4 – iteração tirante celular (m)</t>
  </si>
  <si>
    <t>d5 – iteração tirante celular (m)</t>
  </si>
  <si>
    <t>d6 – iteração tirante celular (m)</t>
  </si>
  <si>
    <t>d7 – iteração tirante celular (m)</t>
  </si>
  <si>
    <t>d8 – iteração tirante celular (m)</t>
  </si>
  <si>
    <t>d9 – iteração tirante celular (m)</t>
  </si>
  <si>
    <t>d10 – iteração tirante celular (m)</t>
  </si>
  <si>
    <t>Q canal por linha (m³/s)</t>
  </si>
  <si>
    <t>KV (tub: Tab. 18 com d/D | cel: [B·d/(B+2d)]^(2/3))</t>
  </si>
  <si>
    <t>KQ (tub: Q·n/D^(8/3)·I^½ | cel: Q·n/I^½)</t>
  </si>
  <si>
    <t>Tabela 18 – Circulares parcialmente cheios</t>
  </si>
  <si>
    <t>Transcrita do Manual IPR-724, p. 76–77. KV = V·n/(D^(2/3)·I^(1/2));  KQ = Q·n/(D^(8/3)·I^(1/2)). Interpolação linear usada nas abas de cálculo (faixa d/D 0,01–0,93, onde KQ é crescente).</t>
  </si>
  <si>
    <t>d/D</t>
  </si>
  <si>
    <t>A/D²</t>
  </si>
  <si>
    <t>R/D</t>
  </si>
  <si>
    <t>KQ</t>
  </si>
  <si>
    <t>Linha Tab. 18 (aux.)</t>
  </si>
  <si>
    <t>OBRA EXISTENTE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</si>
</sst>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"/>
    <numFmt numFmtId="166" formatCode="0.0"/>
    <numFmt numFmtId="167" formatCode="0.0%"/>
    <numFmt numFmtId="168" formatCode="0.00000"/>
    <numFmt numFmtId="169" formatCode="#,##0.0"/>
  </numFmts>
  <fonts count="7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1"/>
      <charset val="2"/>
      <scheme val="minor"/>
    </font>
    <font>
      <b/>
      <sz val="11"/>
      <color theme="1"/>
      <name val="Symbol"/>
      <family val="1"/>
      <charset val="2"/>
    </font>
    <font>
      <b/>
      <u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indexed="12"/>
      <name val="Calibri"/>
      <family val="2"/>
      <scheme val="minor"/>
    </font>
    <font>
      <sz val="10"/>
      <color theme="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Symbol"/>
      <family val="1"/>
      <charset val="2"/>
    </font>
    <font>
      <sz val="10"/>
      <color theme="1"/>
      <name val="Symbol"/>
      <family val="1"/>
      <charset val="2"/>
    </font>
    <font>
      <u/>
      <sz val="1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u/>
      <sz val="10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Calibri"/>
      <family val="2"/>
    </font>
    <font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8"/>
      <color theme="1"/>
      <name val="Symbol"/>
      <family val="1"/>
      <charset val="2"/>
    </font>
    <font>
      <sz val="8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Symbol"/>
      <family val="1"/>
      <charset val="2"/>
    </font>
    <font>
      <sz val="8"/>
      <color indexed="12"/>
      <name val="Calibri"/>
      <family val="2"/>
      <scheme val="minor"/>
    </font>
    <font>
      <sz val="10"/>
      <color theme="0"/>
      <name val="Arial"/>
      <family val="2"/>
    </font>
    <font>
      <i/>
      <sz val="10"/>
      <color theme="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8"/>
      <name val="Arial"/>
      <family val="2"/>
    </font>
    <font>
      <sz val="8"/>
      <name val="Symbol"/>
      <family val="1"/>
      <charset val="2"/>
    </font>
    <font>
      <sz val="9"/>
      <color theme="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sz val="7.5"/>
      <color theme="0"/>
      <name val="Arial"/>
      <family val="2"/>
    </font>
    <font>
      <sz val="11"/>
      <name val="Calibri"/>
      <family val="2"/>
      <scheme val="minor"/>
    </font>
    <font>
      <sz val="8"/>
      <color theme="0"/>
      <name val="Arial"/>
      <family val="2"/>
    </font>
    <font>
      <sz val="8"/>
      <color theme="0"/>
      <name val="Symbol"/>
      <family val="1"/>
      <charset val="2"/>
    </font>
    <font>
      <i/>
      <u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1F4E78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F5597"/>
        <bgColor rgb="FF1F3864"/>
      </patternFill>
    </fill>
  </fills>
  <borders count="70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medium">
        <color rgb="FF000000"/>
      </right>
      <top style="thick">
        <color rgb="FF0000FF"/>
      </top>
      <bottom/>
      <diagonal/>
    </border>
    <border>
      <left style="thick">
        <color rgb="FF0000FF"/>
      </left>
      <right/>
      <top style="thick">
        <color rgb="FF0000FF"/>
      </top>
      <bottom style="thick">
        <color rgb="FF0000FF"/>
      </bottom>
      <diagonal/>
    </border>
    <border>
      <left/>
      <right/>
      <top style="thick">
        <color rgb="FF0000FF"/>
      </top>
      <bottom style="thick">
        <color rgb="FF0000FF"/>
      </bottom>
      <diagonal/>
    </border>
    <border>
      <left/>
      <right style="medium">
        <color rgb="FF000000"/>
      </right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n">
        <color rgb="FF808080"/>
      </right>
      <top style="thick">
        <color rgb="FF0000FF"/>
      </top>
      <bottom style="thick">
        <color rgb="FF0000FF"/>
      </bottom>
      <diagonal/>
    </border>
    <border>
      <left style="thin">
        <color rgb="FF808080"/>
      </left>
      <right style="thin">
        <color rgb="FF808080"/>
      </right>
      <top style="thick">
        <color rgb="FF0000FF"/>
      </top>
      <bottom style="thick">
        <color rgb="FF0000FF"/>
      </bottom>
      <diagonal/>
    </border>
    <border>
      <left style="thin">
        <color rgb="FF808080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n">
        <color rgb="FF808080"/>
      </right>
      <top style="thick">
        <color rgb="FF0000FF"/>
      </top>
      <bottom/>
      <diagonal/>
    </border>
    <border>
      <left style="thin">
        <color rgb="FF808080"/>
      </left>
      <right style="thin">
        <color rgb="FF808080"/>
      </right>
      <top style="thick">
        <color rgb="FF0000FF"/>
      </top>
      <bottom/>
      <diagonal/>
    </border>
    <border>
      <left style="thin">
        <color rgb="FF808080"/>
      </left>
      <right style="thick">
        <color rgb="FF0000FF"/>
      </right>
      <top style="thick">
        <color rgb="FF0000FF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9" fontId="4" fillId="0" borderId="0" applyFont="0" applyFill="0" applyBorder="0" applyAlignment="0" applyProtection="0"/>
    <xf numFmtId="0" fontId="33" fillId="0" borderId="0"/>
    <xf numFmtId="0" fontId="70" fillId="0" borderId="0"/>
  </cellStyleXfs>
  <cellXfs count="571">
    <xf numFmtId="0" fontId="0" fillId="0" borderId="0" xfId="0"/>
    <xf numFmtId="0" fontId="9" fillId="3" borderId="14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5" xfId="0" applyBorder="1"/>
    <xf numFmtId="165" fontId="0" fillId="0" borderId="16" xfId="0" applyNumberFormat="1" applyBorder="1"/>
    <xf numFmtId="0" fontId="0" fillId="0" borderId="16" xfId="0" applyBorder="1"/>
    <xf numFmtId="0" fontId="0" fillId="0" borderId="17" xfId="0" applyBorder="1"/>
    <xf numFmtId="164" fontId="0" fillId="0" borderId="16" xfId="0" applyNumberFormat="1" applyBorder="1"/>
    <xf numFmtId="0" fontId="9" fillId="3" borderId="15" xfId="0" applyFont="1" applyFill="1" applyBorder="1"/>
    <xf numFmtId="0" fontId="9" fillId="3" borderId="16" xfId="0" applyFont="1" applyFill="1" applyBorder="1"/>
    <xf numFmtId="0" fontId="9" fillId="3" borderId="17" xfId="0" applyFont="1" applyFill="1" applyBorder="1"/>
    <xf numFmtId="2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4" borderId="0" xfId="0" applyFill="1"/>
    <xf numFmtId="0" fontId="13" fillId="4" borderId="0" xfId="0" applyFont="1" applyFill="1" applyAlignment="1">
      <alignment horizontal="left" vertical="center"/>
    </xf>
    <xf numFmtId="1" fontId="7" fillId="4" borderId="0" xfId="0" applyNumberFormat="1" applyFont="1" applyFill="1" applyAlignment="1">
      <alignment horizontal="center" vertical="center"/>
    </xf>
    <xf numFmtId="2" fontId="7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2" fontId="7" fillId="4" borderId="0" xfId="0" applyNumberFormat="1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167" fontId="7" fillId="4" borderId="0" xfId="3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66" fontId="7" fillId="4" borderId="0" xfId="0" applyNumberFormat="1" applyFont="1" applyFill="1" applyAlignment="1">
      <alignment horizontal="center" vertical="center"/>
    </xf>
    <xf numFmtId="166" fontId="7" fillId="4" borderId="0" xfId="0" quotePrefix="1" applyNumberFormat="1" applyFont="1" applyFill="1" applyAlignment="1">
      <alignment horizontal="center" vertical="center"/>
    </xf>
    <xf numFmtId="166" fontId="7" fillId="4" borderId="0" xfId="0" applyNumberFormat="1" applyFont="1" applyFill="1" applyAlignment="1">
      <alignment horizontal="center" vertical="center" wrapText="1"/>
    </xf>
    <xf numFmtId="2" fontId="0" fillId="4" borderId="0" xfId="0" applyNumberFormat="1" applyFill="1"/>
    <xf numFmtId="0" fontId="13" fillId="4" borderId="0" xfId="0" applyFont="1" applyFill="1" applyAlignment="1">
      <alignment horizontal="left" vertical="top"/>
    </xf>
    <xf numFmtId="0" fontId="6" fillId="2" borderId="3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2" fontId="13" fillId="4" borderId="9" xfId="0" applyNumberFormat="1" applyFont="1" applyFill="1" applyBorder="1" applyAlignment="1">
      <alignment horizontal="center" vertical="center" textRotation="90"/>
    </xf>
    <xf numFmtId="2" fontId="13" fillId="4" borderId="9" xfId="0" applyNumberFormat="1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0" fontId="13" fillId="0" borderId="0" xfId="0" applyFont="1"/>
    <xf numFmtId="0" fontId="16" fillId="4" borderId="0" xfId="0" applyFont="1" applyFill="1" applyAlignment="1">
      <alignment horizontal="left" vertical="center"/>
    </xf>
    <xf numFmtId="2" fontId="0" fillId="0" borderId="0" xfId="0" applyNumberFormat="1"/>
    <xf numFmtId="1" fontId="0" fillId="4" borderId="14" xfId="0" applyNumberFormat="1" applyFill="1" applyBorder="1" applyAlignment="1">
      <alignment horizontal="center" vertical="center"/>
    </xf>
    <xf numFmtId="0" fontId="19" fillId="0" borderId="24" xfId="0" applyFont="1" applyBorder="1" applyAlignment="1">
      <alignment vertical="center"/>
    </xf>
    <xf numFmtId="0" fontId="20" fillId="0" borderId="0" xfId="0" quotePrefix="1" applyFont="1" applyAlignment="1">
      <alignment vertical="center"/>
    </xf>
    <xf numFmtId="1" fontId="20" fillId="0" borderId="25" xfId="0" applyNumberFormat="1" applyFont="1" applyBorder="1" applyAlignment="1">
      <alignment horizontal="center" vertical="center"/>
    </xf>
    <xf numFmtId="49" fontId="20" fillId="4" borderId="25" xfId="0" applyNumberFormat="1" applyFont="1" applyFill="1" applyBorder="1" applyAlignment="1">
      <alignment horizontal="center" vertical="center"/>
    </xf>
    <xf numFmtId="2" fontId="20" fillId="4" borderId="25" xfId="0" applyNumberFormat="1" applyFont="1" applyFill="1" applyBorder="1" applyAlignment="1">
      <alignment horizontal="center" vertical="center"/>
    </xf>
    <xf numFmtId="2" fontId="20" fillId="4" borderId="0" xfId="0" quotePrefix="1" applyNumberFormat="1" applyFont="1" applyFill="1" applyAlignment="1">
      <alignment horizontal="left" vertical="center"/>
    </xf>
    <xf numFmtId="0" fontId="19" fillId="4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9" fillId="0" borderId="26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quotePrefix="1" applyFont="1" applyAlignment="1">
      <alignment horizontal="right" vertical="center"/>
    </xf>
    <xf numFmtId="1" fontId="20" fillId="4" borderId="0" xfId="0" applyNumberFormat="1" applyFont="1" applyFill="1" applyAlignment="1">
      <alignment horizontal="left" vertical="center"/>
    </xf>
    <xf numFmtId="0" fontId="20" fillId="4" borderId="0" xfId="0" applyFont="1" applyFill="1" applyAlignment="1">
      <alignment vertical="center"/>
    </xf>
    <xf numFmtId="2" fontId="20" fillId="0" borderId="26" xfId="0" applyNumberFormat="1" applyFont="1" applyBorder="1" applyAlignment="1">
      <alignment horizontal="left" vertical="center"/>
    </xf>
    <xf numFmtId="2" fontId="20" fillId="4" borderId="0" xfId="0" applyNumberFormat="1" applyFont="1" applyFill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0" fontId="22" fillId="0" borderId="0" xfId="0" quotePrefix="1" applyFont="1" applyAlignment="1">
      <alignment vertical="center"/>
    </xf>
    <xf numFmtId="0" fontId="22" fillId="4" borderId="0" xfId="0" applyFont="1" applyFill="1" applyAlignment="1">
      <alignment horizontal="left" vertical="center"/>
    </xf>
    <xf numFmtId="0" fontId="21" fillId="4" borderId="0" xfId="0" applyFont="1" applyFill="1" applyAlignment="1">
      <alignment horizontal="left" vertical="center"/>
    </xf>
    <xf numFmtId="0" fontId="20" fillId="4" borderId="0" xfId="0" quotePrefix="1" applyFont="1" applyFill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2" fillId="0" borderId="0" xfId="0" quotePrefix="1" applyFont="1" applyAlignment="1">
      <alignment horizontal="left" vertical="center"/>
    </xf>
    <xf numFmtId="0" fontId="22" fillId="0" borderId="0" xfId="0" applyFont="1" applyAlignment="1">
      <alignment horizontal="right" vertical="center"/>
    </xf>
    <xf numFmtId="2" fontId="19" fillId="0" borderId="26" xfId="0" applyNumberFormat="1" applyFont="1" applyBorder="1" applyAlignment="1">
      <alignment horizontal="left" vertical="center"/>
    </xf>
    <xf numFmtId="2" fontId="19" fillId="0" borderId="26" xfId="0" applyNumberFormat="1" applyFont="1" applyBorder="1" applyAlignment="1">
      <alignment horizontal="right" vertical="center"/>
    </xf>
    <xf numFmtId="0" fontId="23" fillId="2" borderId="5" xfId="0" applyFont="1" applyFill="1" applyBorder="1" applyAlignment="1">
      <alignment horizontal="center" vertical="center"/>
    </xf>
    <xf numFmtId="2" fontId="19" fillId="0" borderId="26" xfId="0" applyNumberFormat="1" applyFont="1" applyBorder="1" applyAlignment="1">
      <alignment vertical="center"/>
    </xf>
    <xf numFmtId="0" fontId="19" fillId="0" borderId="0" xfId="0" quotePrefix="1" applyFont="1" applyAlignment="1">
      <alignment vertical="center"/>
    </xf>
    <xf numFmtId="2" fontId="23" fillId="2" borderId="6" xfId="0" applyNumberFormat="1" applyFont="1" applyFill="1" applyBorder="1" applyAlignment="1">
      <alignment horizontal="center" vertical="center"/>
    </xf>
    <xf numFmtId="2" fontId="20" fillId="0" borderId="6" xfId="0" applyNumberFormat="1" applyFont="1" applyBorder="1" applyAlignment="1">
      <alignment horizontal="center" vertical="center"/>
    </xf>
    <xf numFmtId="169" fontId="20" fillId="0" borderId="6" xfId="0" applyNumberFormat="1" applyFont="1" applyBorder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2" fontId="25" fillId="0" borderId="6" xfId="0" applyNumberFormat="1" applyFont="1" applyBorder="1" applyAlignment="1">
      <alignment horizontal="center" vertical="center"/>
    </xf>
    <xf numFmtId="0" fontId="26" fillId="0" borderId="0" xfId="0" applyFont="1"/>
    <xf numFmtId="0" fontId="19" fillId="0" borderId="0" xfId="0" applyFont="1"/>
    <xf numFmtId="2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19" fillId="0" borderId="27" xfId="0" applyFont="1" applyBorder="1" applyAlignment="1">
      <alignment vertical="center"/>
    </xf>
    <xf numFmtId="0" fontId="19" fillId="0" borderId="28" xfId="0" applyFont="1" applyBorder="1" applyAlignment="1">
      <alignment vertical="center"/>
    </xf>
    <xf numFmtId="0" fontId="19" fillId="0" borderId="29" xfId="0" applyFont="1" applyBorder="1" applyAlignment="1">
      <alignment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3" fillId="4" borderId="0" xfId="0" applyFont="1" applyFill="1" applyAlignment="1">
      <alignment horizontal="center" vertical="center"/>
    </xf>
    <xf numFmtId="165" fontId="20" fillId="4" borderId="0" xfId="0" applyNumberFormat="1" applyFont="1" applyFill="1" applyAlignment="1">
      <alignment horizontal="center" vertical="center"/>
    </xf>
    <xf numFmtId="164" fontId="19" fillId="4" borderId="0" xfId="0" applyNumberFormat="1" applyFont="1" applyFill="1" applyAlignment="1">
      <alignment horizontal="right" vertical="center"/>
    </xf>
    <xf numFmtId="0" fontId="29" fillId="4" borderId="0" xfId="0" applyFont="1" applyFill="1" applyAlignment="1">
      <alignment horizontal="right" vertical="center"/>
    </xf>
    <xf numFmtId="0" fontId="30" fillId="4" borderId="0" xfId="0" applyFont="1" applyFill="1" applyAlignment="1">
      <alignment vertical="center"/>
    </xf>
    <xf numFmtId="0" fontId="30" fillId="4" borderId="0" xfId="0" quotePrefix="1" applyFont="1" applyFill="1" applyAlignment="1">
      <alignment vertical="center"/>
    </xf>
    <xf numFmtId="0" fontId="16" fillId="4" borderId="0" xfId="0" applyFont="1" applyFill="1" applyAlignment="1">
      <alignment vertical="center" wrapText="1"/>
    </xf>
    <xf numFmtId="0" fontId="31" fillId="4" borderId="0" xfId="0" applyFont="1" applyFill="1" applyAlignment="1">
      <alignment horizontal="left" vertical="center"/>
    </xf>
    <xf numFmtId="0" fontId="13" fillId="5" borderId="0" xfId="0" applyFont="1" applyFill="1"/>
    <xf numFmtId="0" fontId="0" fillId="4" borderId="0" xfId="0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right" vertical="center"/>
    </xf>
    <xf numFmtId="0" fontId="26" fillId="4" borderId="0" xfId="0" applyFont="1" applyFill="1" applyAlignment="1">
      <alignment horizontal="right" vertical="center"/>
    </xf>
    <xf numFmtId="168" fontId="26" fillId="4" borderId="0" xfId="0" applyNumberFormat="1" applyFont="1" applyFill="1" applyAlignment="1">
      <alignment horizontal="right" vertical="center"/>
    </xf>
    <xf numFmtId="0" fontId="28" fillId="4" borderId="0" xfId="0" applyFont="1" applyFill="1" applyAlignment="1">
      <alignment horizontal="right" vertical="center"/>
    </xf>
    <xf numFmtId="164" fontId="26" fillId="4" borderId="0" xfId="0" applyNumberFormat="1" applyFont="1" applyFill="1" applyAlignment="1">
      <alignment horizontal="right" vertical="center"/>
    </xf>
    <xf numFmtId="2" fontId="19" fillId="4" borderId="0" xfId="0" applyNumberFormat="1" applyFont="1" applyFill="1" applyAlignment="1">
      <alignment vertical="center"/>
    </xf>
    <xf numFmtId="2" fontId="19" fillId="4" borderId="0" xfId="0" applyNumberFormat="1" applyFont="1" applyFill="1" applyAlignment="1">
      <alignment horizontal="left" vertical="center"/>
    </xf>
    <xf numFmtId="0" fontId="12" fillId="4" borderId="0" xfId="0" applyFont="1" applyFill="1" applyAlignment="1">
      <alignment vertical="center"/>
    </xf>
    <xf numFmtId="4" fontId="19" fillId="0" borderId="0" xfId="0" applyNumberFormat="1" applyFont="1" applyAlignment="1">
      <alignment vertical="center"/>
    </xf>
    <xf numFmtId="0" fontId="3" fillId="2" borderId="6" xfId="0" applyFont="1" applyFill="1" applyBorder="1" applyAlignment="1">
      <alignment horizontal="center" vertical="center" textRotation="90" wrapText="1"/>
    </xf>
    <xf numFmtId="0" fontId="13" fillId="4" borderId="0" xfId="0" applyFont="1" applyFill="1"/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9" fillId="3" borderId="16" xfId="0" applyNumberFormat="1" applyFont="1" applyFill="1" applyBorder="1"/>
    <xf numFmtId="0" fontId="34" fillId="6" borderId="0" xfId="4" applyFont="1" applyFill="1"/>
    <xf numFmtId="2" fontId="34" fillId="6" borderId="0" xfId="4" applyNumberFormat="1" applyFont="1" applyFill="1"/>
    <xf numFmtId="0" fontId="33" fillId="0" borderId="0" xfId="4"/>
    <xf numFmtId="0" fontId="32" fillId="0" borderId="0" xfId="0" applyFont="1"/>
    <xf numFmtId="2" fontId="33" fillId="0" borderId="0" xfId="4" applyNumberFormat="1"/>
    <xf numFmtId="0" fontId="13" fillId="4" borderId="0" xfId="0" applyFont="1" applyFill="1" applyAlignment="1">
      <alignment horizontal="center" vertical="center" textRotation="90"/>
    </xf>
    <xf numFmtId="0" fontId="13" fillId="7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2" fontId="13" fillId="4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center" textRotation="90"/>
    </xf>
    <xf numFmtId="2" fontId="9" fillId="3" borderId="15" xfId="0" applyNumberFormat="1" applyFont="1" applyFill="1" applyBorder="1"/>
    <xf numFmtId="0" fontId="0" fillId="0" borderId="38" xfId="0" applyBorder="1"/>
    <xf numFmtId="0" fontId="0" fillId="0" borderId="40" xfId="0" applyBorder="1"/>
    <xf numFmtId="2" fontId="0" fillId="0" borderId="37" xfId="0" applyNumberFormat="1" applyBorder="1"/>
    <xf numFmtId="164" fontId="0" fillId="0" borderId="41" xfId="0" applyNumberFormat="1" applyBorder="1"/>
    <xf numFmtId="165" fontId="0" fillId="0" borderId="39" xfId="0" applyNumberFormat="1" applyBorder="1"/>
    <xf numFmtId="2" fontId="20" fillId="0" borderId="0" xfId="0" applyNumberFormat="1" applyFont="1" applyAlignment="1">
      <alignment horizontal="left" vertical="center"/>
    </xf>
    <xf numFmtId="0" fontId="35" fillId="4" borderId="0" xfId="0" applyFont="1" applyFill="1" applyAlignment="1">
      <alignment vertical="center"/>
    </xf>
    <xf numFmtId="0" fontId="36" fillId="4" borderId="0" xfId="0" applyFont="1" applyFill="1" applyAlignment="1">
      <alignment vertic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6" fillId="4" borderId="0" xfId="0" applyFont="1" applyFill="1" applyAlignment="1">
      <alignment horizontal="left" vertical="center"/>
    </xf>
    <xf numFmtId="0" fontId="26" fillId="4" borderId="0" xfId="0" applyFont="1" applyFill="1" applyAlignment="1">
      <alignment vertical="center"/>
    </xf>
    <xf numFmtId="2" fontId="19" fillId="0" borderId="0" xfId="0" applyNumberFormat="1" applyFont="1"/>
    <xf numFmtId="9" fontId="20" fillId="0" borderId="6" xfId="3" applyFont="1" applyFill="1" applyBorder="1" applyAlignment="1">
      <alignment horizontal="center" vertical="center"/>
    </xf>
    <xf numFmtId="2" fontId="19" fillId="0" borderId="0" xfId="0" applyNumberFormat="1" applyFont="1" applyAlignment="1">
      <alignment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19" fillId="4" borderId="0" xfId="0" applyNumberFormat="1" applyFont="1" applyFill="1" applyAlignment="1">
      <alignment vertical="center"/>
    </xf>
    <xf numFmtId="0" fontId="20" fillId="0" borderId="49" xfId="0" applyFont="1" applyBorder="1" applyAlignment="1">
      <alignment horizontal="left" vertical="center"/>
    </xf>
    <xf numFmtId="0" fontId="19" fillId="0" borderId="49" xfId="0" applyFont="1" applyBorder="1" applyAlignment="1">
      <alignment vertical="center"/>
    </xf>
    <xf numFmtId="0" fontId="20" fillId="0" borderId="51" xfId="0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0" fillId="0" borderId="54" xfId="0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2" fontId="37" fillId="8" borderId="60" xfId="1" applyNumberFormat="1" applyFont="1" applyFill="1" applyBorder="1" applyAlignment="1">
      <alignment horizontal="center" vertical="center"/>
    </xf>
    <xf numFmtId="165" fontId="37" fillId="8" borderId="62" xfId="0" applyNumberFormat="1" applyFont="1" applyFill="1" applyBorder="1" applyAlignment="1">
      <alignment horizontal="center" vertical="center"/>
    </xf>
    <xf numFmtId="2" fontId="37" fillId="8" borderId="57" xfId="1" applyNumberFormat="1" applyFont="1" applyFill="1" applyBorder="1" applyAlignment="1">
      <alignment horizontal="center" vertical="center"/>
    </xf>
    <xf numFmtId="165" fontId="37" fillId="8" borderId="59" xfId="0" applyNumberFormat="1" applyFont="1" applyFill="1" applyBorder="1" applyAlignment="1">
      <alignment horizontal="center" vertical="center"/>
    </xf>
    <xf numFmtId="2" fontId="37" fillId="8" borderId="63" xfId="1" applyNumberFormat="1" applyFont="1" applyFill="1" applyBorder="1" applyAlignment="1">
      <alignment horizontal="center" vertical="center"/>
    </xf>
    <xf numFmtId="165" fontId="37" fillId="8" borderId="63" xfId="0" applyNumberFormat="1" applyFont="1" applyFill="1" applyBorder="1" applyAlignment="1">
      <alignment horizontal="center" vertical="center"/>
    </xf>
    <xf numFmtId="2" fontId="37" fillId="8" borderId="50" xfId="1" applyNumberFormat="1" applyFont="1" applyFill="1" applyBorder="1" applyAlignment="1">
      <alignment horizontal="center" vertical="center"/>
    </xf>
    <xf numFmtId="165" fontId="37" fillId="8" borderId="50" xfId="0" applyNumberFormat="1" applyFont="1" applyFill="1" applyBorder="1" applyAlignment="1">
      <alignment horizontal="center" vertical="center"/>
    </xf>
    <xf numFmtId="0" fontId="37" fillId="8" borderId="51" xfId="0" applyFont="1" applyFill="1" applyBorder="1" applyAlignment="1">
      <alignment vertical="center"/>
    </xf>
    <xf numFmtId="0" fontId="37" fillId="8" borderId="52" xfId="0" applyFont="1" applyFill="1" applyBorder="1" applyAlignment="1">
      <alignment vertical="center"/>
    </xf>
    <xf numFmtId="0" fontId="37" fillId="8" borderId="53" xfId="0" applyFont="1" applyFill="1" applyBorder="1" applyAlignment="1">
      <alignment horizontal="left" vertical="center"/>
    </xf>
    <xf numFmtId="0" fontId="37" fillId="8" borderId="54" xfId="0" applyFont="1" applyFill="1" applyBorder="1" applyAlignment="1">
      <alignment vertical="center"/>
    </xf>
    <xf numFmtId="0" fontId="37" fillId="8" borderId="55" xfId="0" applyFont="1" applyFill="1" applyBorder="1" applyAlignment="1">
      <alignment vertical="center"/>
    </xf>
    <xf numFmtId="0" fontId="37" fillId="8" borderId="56" xfId="0" applyFont="1" applyFill="1" applyBorder="1" applyAlignment="1">
      <alignment horizontal="left" vertical="center"/>
    </xf>
    <xf numFmtId="0" fontId="37" fillId="8" borderId="49" xfId="0" applyFont="1" applyFill="1" applyBorder="1" applyAlignment="1">
      <alignment horizontal="left" vertical="center"/>
    </xf>
    <xf numFmtId="0" fontId="37" fillId="8" borderId="62" xfId="0" applyFont="1" applyFill="1" applyBorder="1" applyAlignment="1">
      <alignment vertical="center"/>
    </xf>
    <xf numFmtId="0" fontId="37" fillId="8" borderId="59" xfId="0" applyFont="1" applyFill="1" applyBorder="1" applyAlignment="1">
      <alignment vertical="center"/>
    </xf>
    <xf numFmtId="0" fontId="37" fillId="8" borderId="63" xfId="0" applyFont="1" applyFill="1" applyBorder="1" applyAlignment="1">
      <alignment vertical="center"/>
    </xf>
    <xf numFmtId="0" fontId="37" fillId="8" borderId="50" xfId="0" applyFont="1" applyFill="1" applyBorder="1" applyAlignment="1">
      <alignment vertical="center"/>
    </xf>
    <xf numFmtId="0" fontId="19" fillId="0" borderId="53" xfId="0" applyFont="1" applyBorder="1" applyAlignment="1">
      <alignment vertical="center"/>
    </xf>
    <xf numFmtId="0" fontId="19" fillId="0" borderId="56" xfId="0" applyFont="1" applyBorder="1" applyAlignment="1">
      <alignment vertical="center"/>
    </xf>
    <xf numFmtId="0" fontId="13" fillId="4" borderId="0" xfId="0" applyFont="1" applyFill="1" applyAlignment="1">
      <alignment horizontal="center" vertical="center" wrapText="1"/>
    </xf>
    <xf numFmtId="1" fontId="13" fillId="4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 textRotation="90" wrapText="1"/>
    </xf>
    <xf numFmtId="0" fontId="0" fillId="4" borderId="0" xfId="0" applyFill="1" applyAlignment="1">
      <alignment horizontal="center" vertical="center" textRotation="90" wrapText="1"/>
    </xf>
    <xf numFmtId="49" fontId="20" fillId="0" borderId="25" xfId="0" applyNumberFormat="1" applyFont="1" applyBorder="1" applyAlignment="1">
      <alignment horizontal="center" vertical="center"/>
    </xf>
    <xf numFmtId="2" fontId="20" fillId="0" borderId="25" xfId="0" applyNumberFormat="1" applyFont="1" applyBorder="1" applyAlignment="1">
      <alignment horizontal="center" vertical="center"/>
    </xf>
    <xf numFmtId="2" fontId="20" fillId="0" borderId="0" xfId="0" quotePrefix="1" applyNumberFormat="1" applyFont="1" applyAlignment="1">
      <alignment horizontal="left" vertical="center"/>
    </xf>
    <xf numFmtId="2" fontId="0" fillId="0" borderId="0" xfId="0" applyNumberFormat="1" applyAlignment="1">
      <alignment horizontal="center"/>
    </xf>
    <xf numFmtId="0" fontId="2" fillId="0" borderId="0" xfId="1"/>
    <xf numFmtId="165" fontId="2" fillId="0" borderId="0" xfId="1" applyNumberFormat="1"/>
    <xf numFmtId="1" fontId="19" fillId="0" borderId="0" xfId="0" applyNumberFormat="1" applyFont="1" applyAlignment="1">
      <alignment vertical="center"/>
    </xf>
    <xf numFmtId="1" fontId="0" fillId="0" borderId="0" xfId="0" applyNumberFormat="1"/>
    <xf numFmtId="1" fontId="20" fillId="0" borderId="0" xfId="0" applyNumberFormat="1" applyFont="1" applyAlignment="1">
      <alignment vertical="center"/>
    </xf>
    <xf numFmtId="2" fontId="9" fillId="0" borderId="0" xfId="0" applyNumberFormat="1" applyFont="1"/>
    <xf numFmtId="0" fontId="38" fillId="0" borderId="0" xfId="0" applyFont="1" applyAlignment="1">
      <alignment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40" fillId="0" borderId="0" xfId="0" applyFont="1" applyAlignment="1">
      <alignment vertical="center"/>
    </xf>
    <xf numFmtId="0" fontId="40" fillId="11" borderId="0" xfId="0" applyFont="1" applyFill="1" applyAlignment="1">
      <alignment horizontal="left" vertical="center"/>
    </xf>
    <xf numFmtId="168" fontId="40" fillId="11" borderId="0" xfId="0" applyNumberFormat="1" applyFont="1" applyFill="1" applyAlignment="1">
      <alignment horizontal="right" vertical="center"/>
    </xf>
    <xf numFmtId="0" fontId="41" fillId="11" borderId="0" xfId="0" applyFont="1" applyFill="1" applyAlignment="1">
      <alignment horizontal="right" vertical="center"/>
    </xf>
    <xf numFmtId="164" fontId="40" fillId="11" borderId="0" xfId="0" applyNumberFormat="1" applyFont="1" applyFill="1" applyAlignment="1">
      <alignment horizontal="right" vertical="center"/>
    </xf>
    <xf numFmtId="0" fontId="38" fillId="11" borderId="0" xfId="0" applyFont="1" applyFill="1" applyAlignment="1">
      <alignment vertical="center"/>
    </xf>
    <xf numFmtId="0" fontId="38" fillId="4" borderId="0" xfId="0" applyFont="1" applyFill="1" applyAlignment="1">
      <alignment vertical="center"/>
    </xf>
    <xf numFmtId="1" fontId="20" fillId="0" borderId="0" xfId="0" applyNumberFormat="1" applyFont="1" applyAlignment="1">
      <alignment horizontal="left" vertical="center"/>
    </xf>
    <xf numFmtId="2" fontId="19" fillId="0" borderId="49" xfId="0" applyNumberFormat="1" applyFont="1" applyBorder="1" applyAlignment="1">
      <alignment horizontal="left" vertical="center"/>
    </xf>
    <xf numFmtId="0" fontId="40" fillId="11" borderId="0" xfId="0" applyFont="1" applyFill="1" applyAlignment="1">
      <alignment horizontal="right" vertical="center"/>
    </xf>
    <xf numFmtId="0" fontId="38" fillId="4" borderId="0" xfId="0" applyFont="1" applyFill="1" applyAlignment="1">
      <alignment horizontal="center" vertical="center"/>
    </xf>
    <xf numFmtId="2" fontId="40" fillId="4" borderId="0" xfId="0" applyNumberFormat="1" applyFont="1" applyFill="1" applyAlignment="1">
      <alignment horizontal="right" vertical="center"/>
    </xf>
    <xf numFmtId="0" fontId="41" fillId="4" borderId="0" xfId="0" applyFont="1" applyFill="1" applyAlignment="1">
      <alignment horizontal="right" vertical="center"/>
    </xf>
    <xf numFmtId="164" fontId="40" fillId="4" borderId="0" xfId="0" applyNumberFormat="1" applyFont="1" applyFill="1" applyAlignment="1">
      <alignment horizontal="right" vertical="center"/>
    </xf>
    <xf numFmtId="2" fontId="38" fillId="4" borderId="0" xfId="0" applyNumberFormat="1" applyFont="1" applyFill="1" applyAlignment="1">
      <alignment vertical="center"/>
    </xf>
    <xf numFmtId="0" fontId="19" fillId="0" borderId="0" xfId="0" applyFont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23" fillId="2" borderId="64" xfId="0" applyFont="1" applyFill="1" applyBorder="1" applyAlignment="1">
      <alignment horizontal="center" vertical="center"/>
    </xf>
    <xf numFmtId="2" fontId="20" fillId="0" borderId="65" xfId="1" applyNumberFormat="1" applyFont="1" applyBorder="1" applyAlignment="1">
      <alignment horizontal="center" vertical="center"/>
    </xf>
    <xf numFmtId="2" fontId="19" fillId="0" borderId="65" xfId="0" applyNumberFormat="1" applyFont="1" applyBorder="1" applyAlignment="1">
      <alignment horizontal="center" vertical="center"/>
    </xf>
    <xf numFmtId="165" fontId="20" fillId="0" borderId="65" xfId="0" applyNumberFormat="1" applyFont="1" applyBorder="1" applyAlignment="1">
      <alignment horizontal="center" vertical="center"/>
    </xf>
    <xf numFmtId="2" fontId="20" fillId="0" borderId="57" xfId="1" applyNumberFormat="1" applyFont="1" applyBorder="1" applyAlignment="1">
      <alignment horizontal="center" vertical="center"/>
    </xf>
    <xf numFmtId="2" fontId="19" fillId="0" borderId="58" xfId="0" applyNumberFormat="1" applyFont="1" applyBorder="1" applyAlignment="1">
      <alignment horizontal="center" vertical="center"/>
    </xf>
    <xf numFmtId="165" fontId="20" fillId="0" borderId="59" xfId="0" applyNumberFormat="1" applyFont="1" applyBorder="1" applyAlignment="1">
      <alignment horizontal="center" vertical="center"/>
    </xf>
    <xf numFmtId="0" fontId="42" fillId="4" borderId="0" xfId="0" applyFont="1" applyFill="1" applyAlignment="1">
      <alignment horizontal="center" vertical="center"/>
    </xf>
    <xf numFmtId="2" fontId="20" fillId="0" borderId="63" xfId="1" applyNumberFormat="1" applyFont="1" applyBorder="1" applyAlignment="1">
      <alignment horizontal="center" vertical="center"/>
    </xf>
    <xf numFmtId="2" fontId="19" fillId="0" borderId="63" xfId="0" applyNumberFormat="1" applyFont="1" applyBorder="1" applyAlignment="1">
      <alignment horizontal="center" vertical="center"/>
    </xf>
    <xf numFmtId="165" fontId="20" fillId="0" borderId="63" xfId="0" applyNumberFormat="1" applyFont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69" fontId="20" fillId="0" borderId="6" xfId="0" applyNumberFormat="1" applyFont="1" applyBorder="1" applyAlignment="1">
      <alignment horizontal="center" vertical="center" wrapText="1"/>
    </xf>
    <xf numFmtId="2" fontId="20" fillId="0" borderId="6" xfId="0" applyNumberFormat="1" applyFont="1" applyBorder="1" applyAlignment="1">
      <alignment horizontal="center" vertical="center" wrapText="1"/>
    </xf>
    <xf numFmtId="0" fontId="19" fillId="0" borderId="24" xfId="0" applyFont="1" applyBorder="1" applyAlignment="1">
      <alignment vertical="center" wrapText="1"/>
    </xf>
    <xf numFmtId="2" fontId="20" fillId="0" borderId="0" xfId="0" applyNumberFormat="1" applyFont="1" applyAlignment="1">
      <alignment horizontal="center" vertical="center" wrapText="1"/>
    </xf>
    <xf numFmtId="0" fontId="19" fillId="0" borderId="26" xfId="0" applyFont="1" applyBorder="1" applyAlignment="1">
      <alignment vertical="center" wrapText="1"/>
    </xf>
    <xf numFmtId="0" fontId="3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4" fontId="38" fillId="0" borderId="0" xfId="0" applyNumberFormat="1" applyFont="1" applyAlignment="1">
      <alignment vertical="center"/>
    </xf>
    <xf numFmtId="0" fontId="38" fillId="4" borderId="0" xfId="0" applyFont="1" applyFill="1" applyAlignment="1">
      <alignment horizontal="right" vertical="center"/>
    </xf>
    <xf numFmtId="164" fontId="38" fillId="4" borderId="0" xfId="0" applyNumberFormat="1" applyFont="1" applyFill="1" applyAlignment="1">
      <alignment horizontal="right" vertical="center"/>
    </xf>
    <xf numFmtId="0" fontId="44" fillId="4" borderId="0" xfId="0" applyFont="1" applyFill="1" applyAlignment="1">
      <alignment horizontal="right" vertical="center"/>
    </xf>
    <xf numFmtId="0" fontId="45" fillId="4" borderId="0" xfId="0" applyFont="1" applyFill="1" applyAlignment="1">
      <alignment horizontal="left" vertical="center"/>
    </xf>
    <xf numFmtId="0" fontId="0" fillId="4" borderId="14" xfId="0" applyFill="1" applyBorder="1" applyAlignment="1">
      <alignment horizontal="center" vertical="center"/>
    </xf>
    <xf numFmtId="9" fontId="20" fillId="0" borderId="6" xfId="3" applyFont="1" applyFill="1" applyBorder="1" applyAlignment="1">
      <alignment horizontal="center" vertical="center" wrapText="1"/>
    </xf>
    <xf numFmtId="0" fontId="20" fillId="4" borderId="51" xfId="0" applyFont="1" applyFill="1" applyBorder="1" applyAlignment="1">
      <alignment vertical="center"/>
    </xf>
    <xf numFmtId="0" fontId="20" fillId="4" borderId="52" xfId="0" applyFont="1" applyFill="1" applyBorder="1" applyAlignment="1">
      <alignment vertical="center"/>
    </xf>
    <xf numFmtId="2" fontId="19" fillId="0" borderId="53" xfId="0" applyNumberFormat="1" applyFont="1" applyBorder="1" applyAlignment="1">
      <alignment horizontal="left" vertical="center"/>
    </xf>
    <xf numFmtId="0" fontId="20" fillId="0" borderId="56" xfId="0" applyFont="1" applyBorder="1" applyAlignment="1">
      <alignment horizontal="left" vertical="center"/>
    </xf>
    <xf numFmtId="2" fontId="20" fillId="0" borderId="60" xfId="1" applyNumberFormat="1" applyFont="1" applyBorder="1" applyAlignment="1">
      <alignment horizontal="center" vertical="center"/>
    </xf>
    <xf numFmtId="2" fontId="19" fillId="0" borderId="61" xfId="0" applyNumberFormat="1" applyFont="1" applyBorder="1" applyAlignment="1">
      <alignment horizontal="center" vertical="center"/>
    </xf>
    <xf numFmtId="165" fontId="20" fillId="0" borderId="62" xfId="0" applyNumberFormat="1" applyFont="1" applyBorder="1" applyAlignment="1">
      <alignment horizontal="center" vertical="center"/>
    </xf>
    <xf numFmtId="0" fontId="30" fillId="0" borderId="0" xfId="0" quotePrefix="1" applyFont="1" applyAlignment="1">
      <alignment vertical="center"/>
    </xf>
    <xf numFmtId="0" fontId="0" fillId="0" borderId="10" xfId="0" applyBorder="1"/>
    <xf numFmtId="2" fontId="48" fillId="4" borderId="25" xfId="0" applyNumberFormat="1" applyFont="1" applyFill="1" applyBorder="1" applyAlignment="1">
      <alignment horizontal="center" vertical="center"/>
    </xf>
    <xf numFmtId="0" fontId="49" fillId="4" borderId="0" xfId="0" applyFont="1" applyFill="1" applyAlignment="1">
      <alignment vertical="center"/>
    </xf>
    <xf numFmtId="0" fontId="50" fillId="0" borderId="11" xfId="0" applyFont="1" applyBorder="1" applyAlignment="1">
      <alignment horizontal="centerContinuous" vertical="center"/>
    </xf>
    <xf numFmtId="0" fontId="48" fillId="0" borderId="11" xfId="0" applyFont="1" applyBorder="1" applyAlignment="1">
      <alignment vertical="center"/>
    </xf>
    <xf numFmtId="0" fontId="48" fillId="0" borderId="12" xfId="0" applyFont="1" applyBorder="1" applyAlignment="1">
      <alignment vertical="center"/>
    </xf>
    <xf numFmtId="0" fontId="0" fillId="0" borderId="13" xfId="0" applyBorder="1"/>
    <xf numFmtId="0" fontId="48" fillId="4" borderId="0" xfId="0" applyFont="1" applyFill="1" applyAlignment="1">
      <alignment vertical="center"/>
    </xf>
    <xf numFmtId="0" fontId="48" fillId="0" borderId="0" xfId="0" applyFont="1" applyAlignment="1">
      <alignment vertical="center"/>
    </xf>
    <xf numFmtId="0" fontId="50" fillId="12" borderId="0" xfId="0" applyFont="1" applyFill="1" applyAlignment="1">
      <alignment horizontal="left" vertical="center"/>
    </xf>
    <xf numFmtId="0" fontId="48" fillId="0" borderId="7" xfId="0" applyFont="1" applyBorder="1" applyAlignment="1">
      <alignment horizontal="left" vertical="center"/>
    </xf>
    <xf numFmtId="3" fontId="48" fillId="0" borderId="0" xfId="0" applyNumberFormat="1" applyFont="1" applyAlignment="1">
      <alignment horizontal="left" vertical="center"/>
    </xf>
    <xf numFmtId="0" fontId="52" fillId="0" borderId="0" xfId="0" applyFont="1"/>
    <xf numFmtId="0" fontId="53" fillId="0" borderId="0" xfId="0" applyFont="1"/>
    <xf numFmtId="0" fontId="48" fillId="0" borderId="0" xfId="0" quotePrefix="1" applyFont="1" applyAlignment="1">
      <alignment horizontal="left" vertical="center"/>
    </xf>
    <xf numFmtId="0" fontId="48" fillId="0" borderId="0" xfId="0" applyFont="1" applyAlignment="1">
      <alignment horizontal="right" vertical="center"/>
    </xf>
    <xf numFmtId="0" fontId="50" fillId="0" borderId="7" xfId="0" applyFont="1" applyBorder="1" applyAlignment="1">
      <alignment horizontal="left" vertical="center"/>
    </xf>
    <xf numFmtId="2" fontId="48" fillId="0" borderId="0" xfId="0" quotePrefix="1" applyNumberFormat="1" applyFont="1" applyAlignment="1">
      <alignment horizontal="left" vertical="center"/>
    </xf>
    <xf numFmtId="2" fontId="48" fillId="0" borderId="7" xfId="0" applyNumberFormat="1" applyFont="1" applyBorder="1" applyAlignment="1">
      <alignment vertical="center"/>
    </xf>
    <xf numFmtId="0" fontId="48" fillId="0" borderId="0" xfId="0" applyFont="1" applyAlignment="1">
      <alignment horizontal="left" vertical="center"/>
    </xf>
    <xf numFmtId="3" fontId="53" fillId="0" borderId="0" xfId="0" applyNumberFormat="1" applyFont="1" applyAlignment="1">
      <alignment horizontal="center"/>
    </xf>
    <xf numFmtId="2" fontId="48" fillId="0" borderId="7" xfId="0" applyNumberFormat="1" applyFont="1" applyBorder="1" applyAlignment="1">
      <alignment horizontal="right" vertical="center"/>
    </xf>
    <xf numFmtId="0" fontId="54" fillId="4" borderId="0" xfId="0" applyFont="1" applyFill="1" applyAlignment="1">
      <alignment vertical="center"/>
    </xf>
    <xf numFmtId="0" fontId="54" fillId="4" borderId="0" xfId="0" quotePrefix="1" applyFont="1" applyFill="1" applyAlignment="1">
      <alignment vertical="center"/>
    </xf>
    <xf numFmtId="0" fontId="50" fillId="0" borderId="0" xfId="0" applyFont="1" applyAlignment="1">
      <alignment horizontal="left" vertical="center"/>
    </xf>
    <xf numFmtId="3" fontId="50" fillId="0" borderId="0" xfId="0" applyNumberFormat="1" applyFont="1" applyAlignment="1">
      <alignment horizontal="center" vertical="center"/>
    </xf>
    <xf numFmtId="0" fontId="48" fillId="0" borderId="0" xfId="0" quotePrefix="1" applyFont="1" applyAlignment="1">
      <alignment horizontal="right" vertical="center"/>
    </xf>
    <xf numFmtId="165" fontId="48" fillId="0" borderId="0" xfId="0" quotePrefix="1" applyNumberFormat="1" applyFont="1" applyAlignment="1">
      <alignment horizontal="left" vertical="center"/>
    </xf>
    <xf numFmtId="0" fontId="48" fillId="0" borderId="0" xfId="0" quotePrefix="1" applyFont="1" applyAlignment="1">
      <alignment horizontal="center" vertical="center"/>
    </xf>
    <xf numFmtId="2" fontId="56" fillId="2" borderId="6" xfId="0" applyNumberFormat="1" applyFont="1" applyFill="1" applyBorder="1" applyAlignment="1">
      <alignment horizontal="center" vertical="center"/>
    </xf>
    <xf numFmtId="164" fontId="0" fillId="0" borderId="0" xfId="0" applyNumberFormat="1"/>
    <xf numFmtId="2" fontId="57" fillId="4" borderId="6" xfId="0" applyNumberFormat="1" applyFont="1" applyFill="1" applyBorder="1" applyAlignment="1">
      <alignment horizontal="center" vertical="center"/>
    </xf>
    <xf numFmtId="1" fontId="59" fillId="4" borderId="6" xfId="0" applyNumberFormat="1" applyFont="1" applyFill="1" applyBorder="1" applyAlignment="1">
      <alignment horizontal="center" vertical="center"/>
    </xf>
    <xf numFmtId="0" fontId="40" fillId="0" borderId="0" xfId="0" applyFont="1"/>
    <xf numFmtId="0" fontId="0" fillId="0" borderId="0" xfId="0" quotePrefix="1"/>
    <xf numFmtId="165" fontId="0" fillId="0" borderId="0" xfId="0" applyNumberFormat="1"/>
    <xf numFmtId="166" fontId="60" fillId="2" borderId="32" xfId="0" applyNumberFormat="1" applyFont="1" applyFill="1" applyBorder="1" applyAlignment="1">
      <alignment horizontal="center" vertical="center"/>
    </xf>
    <xf numFmtId="0" fontId="60" fillId="2" borderId="6" xfId="0" applyFont="1" applyFill="1" applyBorder="1" applyAlignment="1">
      <alignment horizontal="center" vertical="center"/>
    </xf>
    <xf numFmtId="166" fontId="60" fillId="2" borderId="6" xfId="0" applyNumberFormat="1" applyFont="1" applyFill="1" applyBorder="1" applyAlignment="1">
      <alignment horizontal="center" vertical="center"/>
    </xf>
    <xf numFmtId="0" fontId="62" fillId="0" borderId="0" xfId="0" applyFont="1"/>
    <xf numFmtId="165" fontId="62" fillId="0" borderId="0" xfId="0" applyNumberFormat="1" applyFont="1"/>
    <xf numFmtId="0" fontId="62" fillId="0" borderId="7" xfId="0" applyFont="1" applyBorder="1"/>
    <xf numFmtId="2" fontId="48" fillId="0" borderId="6" xfId="0" applyNumberFormat="1" applyFont="1" applyBorder="1" applyAlignment="1">
      <alignment horizontal="center" vertical="center"/>
    </xf>
    <xf numFmtId="2" fontId="48" fillId="0" borderId="0" xfId="0" applyNumberFormat="1" applyFont="1" applyAlignment="1">
      <alignment vertical="center"/>
    </xf>
    <xf numFmtId="0" fontId="63" fillId="2" borderId="6" xfId="0" applyFont="1" applyFill="1" applyBorder="1" applyAlignment="1">
      <alignment horizontal="center" vertical="center"/>
    </xf>
    <xf numFmtId="0" fontId="64" fillId="2" borderId="6" xfId="0" applyFont="1" applyFill="1" applyBorder="1" applyAlignment="1">
      <alignment horizontal="center" vertical="center" wrapText="1"/>
    </xf>
    <xf numFmtId="0" fontId="63" fillId="2" borderId="6" xfId="0" applyFont="1" applyFill="1" applyBorder="1" applyAlignment="1">
      <alignment horizontal="center" vertical="center" wrapText="1"/>
    </xf>
    <xf numFmtId="0" fontId="63" fillId="2" borderId="31" xfId="0" applyFont="1" applyFill="1" applyBorder="1" applyAlignment="1">
      <alignment horizontal="center" vertical="center"/>
    </xf>
    <xf numFmtId="165" fontId="0" fillId="0" borderId="13" xfId="0" applyNumberFormat="1" applyBorder="1"/>
    <xf numFmtId="2" fontId="48" fillId="0" borderId="9" xfId="1" applyNumberFormat="1" applyFont="1" applyBorder="1" applyAlignment="1">
      <alignment horizontal="center" vertical="center"/>
    </xf>
    <xf numFmtId="165" fontId="48" fillId="0" borderId="6" xfId="0" applyNumberFormat="1" applyFont="1" applyBorder="1" applyAlignment="1">
      <alignment horizontal="center" vertical="center"/>
    </xf>
    <xf numFmtId="2" fontId="48" fillId="0" borderId="6" xfId="1" applyNumberFormat="1" applyFont="1" applyBorder="1" applyAlignment="1">
      <alignment horizontal="center" vertical="center"/>
    </xf>
    <xf numFmtId="165" fontId="48" fillId="0" borderId="0" xfId="0" applyNumberFormat="1" applyFont="1" applyAlignment="1">
      <alignment horizontal="left" vertical="center"/>
    </xf>
    <xf numFmtId="2" fontId="48" fillId="0" borderId="0" xfId="1" applyNumberFormat="1" applyFont="1" applyAlignment="1">
      <alignment horizontal="center" vertical="center"/>
    </xf>
    <xf numFmtId="2" fontId="48" fillId="0" borderId="0" xfId="0" applyNumberFormat="1" applyFont="1" applyAlignment="1">
      <alignment horizontal="center" vertical="center"/>
    </xf>
    <xf numFmtId="165" fontId="48" fillId="0" borderId="0" xfId="0" applyNumberFormat="1" applyFont="1" applyAlignment="1">
      <alignment horizontal="center" vertical="center"/>
    </xf>
    <xf numFmtId="2" fontId="48" fillId="0" borderId="66" xfId="0" applyNumberFormat="1" applyFont="1" applyBorder="1" applyAlignment="1">
      <alignment horizontal="center" vertical="center"/>
    </xf>
    <xf numFmtId="0" fontId="48" fillId="0" borderId="32" xfId="0" applyFont="1" applyBorder="1" applyAlignment="1">
      <alignment vertical="center"/>
    </xf>
    <xf numFmtId="0" fontId="48" fillId="4" borderId="32" xfId="0" applyFont="1" applyFill="1" applyBorder="1" applyAlignment="1">
      <alignment vertical="center"/>
    </xf>
    <xf numFmtId="0" fontId="65" fillId="0" borderId="0" xfId="0" applyFont="1"/>
    <xf numFmtId="3" fontId="63" fillId="4" borderId="0" xfId="0" applyNumberFormat="1" applyFont="1" applyFill="1" applyAlignment="1">
      <alignment horizontal="center" vertical="center" textRotation="90"/>
    </xf>
    <xf numFmtId="0" fontId="48" fillId="4" borderId="0" xfId="0" applyFont="1" applyFill="1" applyAlignment="1">
      <alignment horizontal="center" vertical="center"/>
    </xf>
    <xf numFmtId="2" fontId="48" fillId="4" borderId="0" xfId="0" applyNumberFormat="1" applyFont="1" applyFill="1" applyAlignment="1">
      <alignment horizontal="center" vertical="center"/>
    </xf>
    <xf numFmtId="0" fontId="0" fillId="0" borderId="3" xfId="0" applyBorder="1"/>
    <xf numFmtId="0" fontId="62" fillId="0" borderId="4" xfId="0" applyFont="1" applyBorder="1"/>
    <xf numFmtId="2" fontId="48" fillId="0" borderId="8" xfId="0" applyNumberFormat="1" applyFont="1" applyBorder="1" applyAlignment="1">
      <alignment vertical="center"/>
    </xf>
    <xf numFmtId="165" fontId="49" fillId="0" borderId="0" xfId="0" applyNumberFormat="1" applyFont="1" applyAlignment="1">
      <alignment vertical="center"/>
    </xf>
    <xf numFmtId="165" fontId="49" fillId="0" borderId="0" xfId="0" applyNumberFormat="1" applyFont="1" applyAlignment="1">
      <alignment horizontal="left" vertical="center"/>
    </xf>
    <xf numFmtId="166" fontId="48" fillId="0" borderId="6" xfId="0" quotePrefix="1" applyNumberFormat="1" applyFont="1" applyBorder="1" applyAlignment="1">
      <alignment horizontal="center" vertical="center"/>
    </xf>
    <xf numFmtId="166" fontId="48" fillId="0" borderId="0" xfId="0" quotePrefix="1" applyNumberFormat="1" applyFont="1" applyAlignment="1">
      <alignment horizontal="center" vertical="center"/>
    </xf>
    <xf numFmtId="0" fontId="67" fillId="0" borderId="6" xfId="0" applyFont="1" applyBorder="1" applyAlignment="1">
      <alignment horizontal="center" vertical="center"/>
    </xf>
    <xf numFmtId="2" fontId="67" fillId="0" borderId="6" xfId="0" applyNumberFormat="1" applyFont="1" applyBorder="1" applyAlignment="1">
      <alignment horizontal="center" vertical="center"/>
    </xf>
    <xf numFmtId="0" fontId="68" fillId="0" borderId="0" xfId="0" applyFont="1"/>
    <xf numFmtId="49" fontId="48" fillId="0" borderId="25" xfId="0" applyNumberFormat="1" applyFont="1" applyBorder="1" applyAlignment="1">
      <alignment horizontal="center" vertical="center"/>
    </xf>
    <xf numFmtId="1" fontId="48" fillId="0" borderId="0" xfId="0" applyNumberFormat="1" applyFont="1" applyAlignment="1">
      <alignment horizontal="left" vertical="center"/>
    </xf>
    <xf numFmtId="9" fontId="57" fillId="4" borderId="6" xfId="3" applyFont="1" applyFill="1" applyBorder="1" applyAlignment="1">
      <alignment horizontal="center" vertical="center"/>
    </xf>
    <xf numFmtId="2" fontId="57" fillId="0" borderId="6" xfId="0" applyNumberFormat="1" applyFont="1" applyBorder="1" applyAlignment="1">
      <alignment horizontal="center" vertical="center"/>
    </xf>
    <xf numFmtId="1" fontId="48" fillId="0" borderId="0" xfId="0" applyNumberFormat="1" applyFont="1" applyAlignment="1">
      <alignment horizontal="right" vertical="center"/>
    </xf>
    <xf numFmtId="164" fontId="48" fillId="0" borderId="0" xfId="0" applyNumberFormat="1" applyFont="1" applyAlignment="1">
      <alignment vertical="center"/>
    </xf>
    <xf numFmtId="165" fontId="48" fillId="0" borderId="0" xfId="0" applyNumberFormat="1" applyFont="1" applyAlignment="1">
      <alignment horizontal="right" vertical="center"/>
    </xf>
    <xf numFmtId="165" fontId="48" fillId="0" borderId="0" xfId="0" applyNumberFormat="1" applyFont="1" applyAlignment="1">
      <alignment vertical="center"/>
    </xf>
    <xf numFmtId="0" fontId="55" fillId="0" borderId="0" xfId="0" quotePrefix="1" applyFont="1" applyAlignment="1">
      <alignment horizontal="left" vertical="center"/>
    </xf>
    <xf numFmtId="1" fontId="48" fillId="0" borderId="6" xfId="1" applyNumberFormat="1" applyFont="1" applyBorder="1" applyAlignment="1">
      <alignment horizontal="center" vertical="center"/>
    </xf>
    <xf numFmtId="2" fontId="20" fillId="0" borderId="50" xfId="1" applyNumberFormat="1" applyFont="1" applyBorder="1" applyAlignment="1">
      <alignment horizontal="center" vertical="center"/>
    </xf>
    <xf numFmtId="2" fontId="19" fillId="0" borderId="50" xfId="0" applyNumberFormat="1" applyFont="1" applyBorder="1" applyAlignment="1">
      <alignment horizontal="center" vertical="center"/>
    </xf>
    <xf numFmtId="165" fontId="20" fillId="0" borderId="50" xfId="0" applyNumberFormat="1" applyFont="1" applyBorder="1" applyAlignment="1">
      <alignment horizontal="center" vertical="center"/>
    </xf>
    <xf numFmtId="0" fontId="20" fillId="4" borderId="54" xfId="0" applyFont="1" applyFill="1" applyBorder="1" applyAlignment="1">
      <alignment vertical="center"/>
    </xf>
    <xf numFmtId="0" fontId="20" fillId="4" borderId="55" xfId="0" applyFont="1" applyFill="1" applyBorder="1" applyAlignment="1">
      <alignment vertical="center"/>
    </xf>
    <xf numFmtId="2" fontId="19" fillId="0" borderId="56" xfId="0" applyNumberFormat="1" applyFont="1" applyBorder="1" applyAlignment="1">
      <alignment horizontal="left" vertical="center"/>
    </xf>
    <xf numFmtId="0" fontId="50" fillId="12" borderId="0" xfId="0" applyFont="1" applyFill="1" applyAlignment="1">
      <alignment vertical="center"/>
    </xf>
    <xf numFmtId="0" fontId="48" fillId="0" borderId="49" xfId="0" quotePrefix="1" applyFont="1" applyBorder="1" applyAlignment="1">
      <alignment horizontal="left" vertical="center"/>
    </xf>
    <xf numFmtId="2" fontId="37" fillId="8" borderId="65" xfId="1" applyNumberFormat="1" applyFont="1" applyFill="1" applyBorder="1" applyAlignment="1">
      <alignment horizontal="center" vertical="center"/>
    </xf>
    <xf numFmtId="165" fontId="37" fillId="8" borderId="65" xfId="0" applyNumberFormat="1" applyFont="1" applyFill="1" applyBorder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2" fontId="13" fillId="4" borderId="6" xfId="0" applyNumberFormat="1" applyFont="1" applyFill="1" applyBorder="1" applyAlignment="1">
      <alignment horizontal="center" vertical="center" wrapText="1"/>
    </xf>
    <xf numFmtId="0" fontId="51" fillId="0" borderId="0" xfId="0" quotePrefix="1" applyFont="1" applyAlignment="1">
      <alignment horizontal="right" vertical="center"/>
    </xf>
    <xf numFmtId="0" fontId="14" fillId="4" borderId="6" xfId="0" applyFont="1" applyFill="1" applyBorder="1" applyAlignment="1">
      <alignment horizontal="center" vertical="center" textRotation="90"/>
    </xf>
    <xf numFmtId="1" fontId="13" fillId="4" borderId="67" xfId="0" applyNumberFormat="1" applyFont="1" applyFill="1" applyBorder="1" applyAlignment="1">
      <alignment horizontal="center" vertical="center"/>
    </xf>
    <xf numFmtId="2" fontId="13" fillId="4" borderId="67" xfId="0" applyNumberFormat="1" applyFont="1" applyFill="1" applyBorder="1" applyAlignment="1">
      <alignment horizontal="center" vertical="center"/>
    </xf>
    <xf numFmtId="1" fontId="13" fillId="4" borderId="6" xfId="0" applyNumberFormat="1" applyFont="1" applyFill="1" applyBorder="1" applyAlignment="1">
      <alignment horizontal="center" vertical="center" textRotation="90" wrapText="1"/>
    </xf>
    <xf numFmtId="2" fontId="13" fillId="4" borderId="6" xfId="0" applyNumberFormat="1" applyFont="1" applyFill="1" applyBorder="1" applyAlignment="1">
      <alignment horizontal="center" vertical="center" textRotation="90"/>
    </xf>
    <xf numFmtId="2" fontId="14" fillId="4" borderId="9" xfId="0" applyNumberFormat="1" applyFont="1" applyFill="1" applyBorder="1" applyAlignment="1">
      <alignment horizontal="center" vertical="center" textRotation="90"/>
    </xf>
    <xf numFmtId="2" fontId="15" fillId="4" borderId="9" xfId="0" applyNumberFormat="1" applyFont="1" applyFill="1" applyBorder="1" applyAlignment="1">
      <alignment horizontal="center" vertical="center"/>
    </xf>
    <xf numFmtId="2" fontId="13" fillId="4" borderId="9" xfId="0" applyNumberFormat="1" applyFont="1" applyFill="1" applyBorder="1" applyAlignment="1">
      <alignment horizontal="center" vertical="center"/>
    </xf>
    <xf numFmtId="0" fontId="48" fillId="0" borderId="0" xfId="0" quotePrefix="1" applyFont="1" applyAlignment="1">
      <alignment vertical="center"/>
    </xf>
    <xf numFmtId="2" fontId="48" fillId="0" borderId="0" xfId="0" applyNumberFormat="1" applyFont="1" applyAlignment="1">
      <alignment horizontal="right" vertical="center"/>
    </xf>
    <xf numFmtId="0" fontId="0" fillId="13" borderId="0" xfId="0" applyFill="1"/>
    <xf numFmtId="0" fontId="0" fillId="13" borderId="0" xfId="0" applyFill="1" applyAlignment="1">
      <alignment horizontal="center" vertical="center"/>
    </xf>
    <xf numFmtId="2" fontId="0" fillId="13" borderId="0" xfId="0" applyNumberFormat="1" applyFill="1"/>
    <xf numFmtId="2" fontId="0" fillId="13" borderId="14" xfId="0" applyNumberFormat="1" applyFill="1" applyBorder="1"/>
    <xf numFmtId="164" fontId="13" fillId="4" borderId="0" xfId="0" applyNumberFormat="1" applyFont="1" applyFill="1" applyAlignment="1">
      <alignment horizontal="center" vertical="center"/>
    </xf>
    <xf numFmtId="165" fontId="13" fillId="4" borderId="0" xfId="0" applyNumberFormat="1" applyFont="1" applyFill="1" applyAlignment="1">
      <alignment horizontal="center" vertical="center"/>
    </xf>
    <xf numFmtId="0" fontId="71" fillId="0" borderId="0" xfId="5" applyFont="1"/>
    <xf numFmtId="0" fontId="70" fillId="0" borderId="0" xfId="5"/>
    <xf numFmtId="0" fontId="72" fillId="0" borderId="0" xfId="5" applyFont="1"/>
    <xf numFmtId="0" fontId="73" fillId="14" borderId="68" xfId="5" applyFont="1" applyFill="1" applyBorder="1" applyAlignment="1">
      <alignment horizontal="center" vertical="center" wrapText="1"/>
    </xf>
    <xf numFmtId="2" fontId="2" fillId="0" borderId="68" xfId="5" applyNumberFormat="1" applyFont="1" applyBorder="1"/>
    <xf numFmtId="164" fontId="2" fillId="0" borderId="68" xfId="5" applyNumberFormat="1" applyFont="1" applyBorder="1"/>
    <xf numFmtId="168" fontId="2" fillId="0" borderId="68" xfId="5" applyNumberFormat="1" applyFont="1" applyBorder="1"/>
    <xf numFmtId="0" fontId="13" fillId="11" borderId="0" xfId="0" applyFont="1" applyFill="1" applyAlignment="1">
      <alignment horizontal="center" vertical="center"/>
    </xf>
    <xf numFmtId="0" fontId="14" fillId="0" borderId="6" xfId="0" applyFont="1" applyBorder="1" applyAlignment="1">
      <alignment horizontal="center" vertical="center" textRotation="90"/>
    </xf>
    <xf numFmtId="2" fontId="13" fillId="0" borderId="2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textRotation="90" wrapText="1"/>
    </xf>
    <xf numFmtId="2" fontId="13" fillId="0" borderId="9" xfId="0" applyNumberFormat="1" applyFont="1" applyBorder="1" applyAlignment="1">
      <alignment horizontal="center" vertical="center" textRotation="90"/>
    </xf>
    <xf numFmtId="0" fontId="13" fillId="0" borderId="9" xfId="0" applyFont="1" applyBorder="1" applyAlignment="1">
      <alignment horizontal="center" vertical="center" textRotation="90"/>
    </xf>
    <xf numFmtId="10" fontId="13" fillId="0" borderId="9" xfId="0" applyNumberFormat="1" applyFont="1" applyBorder="1" applyAlignment="1">
      <alignment horizontal="center" vertical="center" textRotation="90"/>
    </xf>
    <xf numFmtId="165" fontId="13" fillId="0" borderId="9" xfId="0" applyNumberFormat="1" applyFont="1" applyBorder="1" applyAlignment="1">
      <alignment horizontal="center" vertical="center" textRotation="90"/>
    </xf>
    <xf numFmtId="2" fontId="13" fillId="0" borderId="6" xfId="0" applyNumberFormat="1" applyFont="1" applyBorder="1" applyAlignment="1">
      <alignment horizontal="center" vertical="center" wrapText="1"/>
    </xf>
    <xf numFmtId="2" fontId="13" fillId="0" borderId="6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 wrapText="1"/>
    </xf>
    <xf numFmtId="1" fontId="13" fillId="0" borderId="6" xfId="0" applyNumberFormat="1" applyFont="1" applyBorder="1" applyAlignment="1">
      <alignment horizontal="center" vertical="center" textRotation="90" wrapText="1"/>
    </xf>
    <xf numFmtId="2" fontId="15" fillId="0" borderId="6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1" fontId="7" fillId="0" borderId="33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2" fontId="7" fillId="0" borderId="34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2" fontId="7" fillId="0" borderId="14" xfId="0" applyNumberFormat="1" applyFont="1" applyBorder="1" applyAlignment="1">
      <alignment horizontal="center" vertical="center" wrapText="1"/>
    </xf>
    <xf numFmtId="2" fontId="7" fillId="0" borderId="14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7" fontId="7" fillId="0" borderId="14" xfId="3" applyNumberFormat="1" applyFont="1" applyFill="1" applyBorder="1" applyAlignment="1">
      <alignment horizontal="center" vertical="center"/>
    </xf>
    <xf numFmtId="165" fontId="7" fillId="0" borderId="14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66" fontId="7" fillId="0" borderId="14" xfId="0" applyNumberFormat="1" applyFont="1" applyBorder="1" applyAlignment="1">
      <alignment horizontal="center" vertical="center"/>
    </xf>
    <xf numFmtId="166" fontId="7" fillId="0" borderId="14" xfId="0" quotePrefix="1" applyNumberFormat="1" applyFont="1" applyBorder="1" applyAlignment="1">
      <alignment horizontal="center" vertical="center" wrapText="1"/>
    </xf>
    <xf numFmtId="10" fontId="7" fillId="0" borderId="14" xfId="3" applyNumberFormat="1" applyFont="1" applyFill="1" applyBorder="1" applyAlignment="1">
      <alignment horizontal="center" vertical="center"/>
    </xf>
    <xf numFmtId="2" fontId="37" fillId="8" borderId="61" xfId="0" applyNumberFormat="1" applyFont="1" applyFill="1" applyBorder="1" applyAlignment="1">
      <alignment horizontal="center" vertical="center"/>
    </xf>
    <xf numFmtId="2" fontId="37" fillId="8" borderId="58" xfId="0" applyNumberFormat="1" applyFont="1" applyFill="1" applyBorder="1" applyAlignment="1">
      <alignment horizontal="center" vertical="center"/>
    </xf>
    <xf numFmtId="2" fontId="37" fillId="8" borderId="63" xfId="0" applyNumberFormat="1" applyFont="1" applyFill="1" applyBorder="1" applyAlignment="1">
      <alignment horizontal="center" vertical="center"/>
    </xf>
    <xf numFmtId="2" fontId="37" fillId="8" borderId="50" xfId="0" applyNumberFormat="1" applyFont="1" applyFill="1" applyBorder="1" applyAlignment="1">
      <alignment horizontal="center" vertical="center"/>
    </xf>
    <xf numFmtId="2" fontId="37" fillId="8" borderId="65" xfId="0" applyNumberFormat="1" applyFont="1" applyFill="1" applyBorder="1" applyAlignment="1">
      <alignment horizontal="center" vertical="center"/>
    </xf>
    <xf numFmtId="0" fontId="37" fillId="8" borderId="0" xfId="0" applyFont="1" applyFill="1" applyAlignment="1">
      <alignment vertical="center"/>
    </xf>
    <xf numFmtId="2" fontId="20" fillId="0" borderId="50" xfId="0" applyNumberFormat="1" applyFont="1" applyBorder="1" applyAlignment="1">
      <alignment horizontal="center" vertical="center"/>
    </xf>
    <xf numFmtId="0" fontId="20" fillId="0" borderId="50" xfId="0" applyFont="1" applyBorder="1" applyAlignment="1">
      <alignment vertical="center"/>
    </xf>
    <xf numFmtId="2" fontId="20" fillId="0" borderId="63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vertical="center"/>
    </xf>
    <xf numFmtId="2" fontId="20" fillId="0" borderId="58" xfId="0" applyNumberFormat="1" applyFont="1" applyBorder="1" applyAlignment="1">
      <alignment horizontal="center" vertical="center"/>
    </xf>
    <xf numFmtId="0" fontId="20" fillId="0" borderId="59" xfId="0" applyFont="1" applyBorder="1" applyAlignment="1">
      <alignment vertical="center"/>
    </xf>
    <xf numFmtId="2" fontId="20" fillId="0" borderId="61" xfId="0" applyNumberFormat="1" applyFont="1" applyBorder="1" applyAlignment="1">
      <alignment horizontal="center" vertical="center"/>
    </xf>
    <xf numFmtId="0" fontId="20" fillId="0" borderId="62" xfId="0" applyFont="1" applyBorder="1" applyAlignment="1">
      <alignment vertical="center"/>
    </xf>
    <xf numFmtId="2" fontId="20" fillId="0" borderId="50" xfId="0" applyNumberFormat="1" applyFont="1" applyBorder="1" applyAlignment="1">
      <alignment horizontal="center" vertical="center" wrapText="1"/>
    </xf>
    <xf numFmtId="0" fontId="20" fillId="0" borderId="50" xfId="0" applyFont="1" applyBorder="1" applyAlignment="1">
      <alignment vertical="center" wrapText="1"/>
    </xf>
    <xf numFmtId="2" fontId="20" fillId="0" borderId="65" xfId="0" applyNumberFormat="1" applyFont="1" applyBorder="1" applyAlignment="1">
      <alignment horizontal="center" vertical="center" wrapText="1"/>
    </xf>
    <xf numFmtId="0" fontId="20" fillId="0" borderId="65" xfId="0" applyFont="1" applyBorder="1" applyAlignment="1">
      <alignment vertical="center" wrapText="1"/>
    </xf>
    <xf numFmtId="0" fontId="19" fillId="0" borderId="63" xfId="0" applyFont="1" applyBorder="1" applyAlignment="1">
      <alignment horizontal="center" vertical="center"/>
    </xf>
    <xf numFmtId="0" fontId="19" fillId="0" borderId="63" xfId="0" applyFont="1" applyBorder="1" applyAlignment="1">
      <alignment vertical="center"/>
    </xf>
    <xf numFmtId="0" fontId="19" fillId="0" borderId="59" xfId="0" applyFont="1" applyBorder="1" applyAlignment="1">
      <alignment vertical="center"/>
    </xf>
    <xf numFmtId="0" fontId="19" fillId="0" borderId="62" xfId="0" applyFont="1" applyBorder="1" applyAlignment="1">
      <alignment vertical="center"/>
    </xf>
    <xf numFmtId="2" fontId="20" fillId="0" borderId="63" xfId="0" applyNumberFormat="1" applyFont="1" applyBorder="1" applyAlignment="1">
      <alignment horizontal="center" vertical="center" wrapText="1"/>
    </xf>
    <xf numFmtId="0" fontId="20" fillId="0" borderId="63" xfId="0" applyFont="1" applyBorder="1" applyAlignment="1">
      <alignment vertical="center" wrapText="1"/>
    </xf>
    <xf numFmtId="0" fontId="19" fillId="0" borderId="58" xfId="0" applyFont="1" applyBorder="1" applyAlignment="1">
      <alignment horizontal="center" vertical="center"/>
    </xf>
    <xf numFmtId="0" fontId="50" fillId="0" borderId="0" xfId="0" applyFont="1" applyAlignment="1">
      <alignment vertical="center"/>
    </xf>
    <xf numFmtId="1" fontId="48" fillId="0" borderId="0" xfId="0" applyNumberFormat="1" applyFont="1" applyAlignment="1">
      <alignment horizontal="center" vertical="center"/>
    </xf>
    <xf numFmtId="2" fontId="20" fillId="0" borderId="65" xfId="0" applyNumberFormat="1" applyFont="1" applyBorder="1" applyAlignment="1">
      <alignment horizontal="center" vertical="center"/>
    </xf>
    <xf numFmtId="0" fontId="20" fillId="0" borderId="65" xfId="0" applyFont="1" applyBorder="1" applyAlignment="1">
      <alignment vertical="center"/>
    </xf>
    <xf numFmtId="168" fontId="7" fillId="0" borderId="14" xfId="0" applyNumberFormat="1" applyFont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left" vertical="center" wrapText="1"/>
    </xf>
    <xf numFmtId="0" fontId="23" fillId="2" borderId="14" xfId="0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17" fillId="2" borderId="6" xfId="0" quotePrefix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right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2" fontId="37" fillId="8" borderId="61" xfId="0" applyNumberFormat="1" applyFont="1" applyFill="1" applyBorder="1" applyAlignment="1">
      <alignment horizontal="center" vertical="center"/>
    </xf>
    <xf numFmtId="2" fontId="37" fillId="8" borderId="58" xfId="0" applyNumberFormat="1" applyFont="1" applyFill="1" applyBorder="1" applyAlignment="1">
      <alignment horizontal="center" vertical="center"/>
    </xf>
    <xf numFmtId="3" fontId="17" fillId="2" borderId="6" xfId="0" applyNumberFormat="1" applyFont="1" applyFill="1" applyBorder="1" applyAlignment="1">
      <alignment horizontal="center" vertical="center" textRotation="90"/>
    </xf>
    <xf numFmtId="3" fontId="17" fillId="2" borderId="1" xfId="0" applyNumberFormat="1" applyFont="1" applyFill="1" applyBorder="1" applyAlignment="1">
      <alignment horizontal="center" vertical="center" textRotation="90"/>
    </xf>
    <xf numFmtId="0" fontId="17" fillId="2" borderId="0" xfId="0" applyFont="1" applyFill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37" fillId="8" borderId="60" xfId="0" applyFont="1" applyFill="1" applyBorder="1" applyAlignment="1">
      <alignment horizontal="center" vertical="center"/>
    </xf>
    <xf numFmtId="0" fontId="37" fillId="8" borderId="61" xfId="0" applyFont="1" applyFill="1" applyBorder="1" applyAlignment="1">
      <alignment horizontal="center" vertical="center"/>
    </xf>
    <xf numFmtId="2" fontId="20" fillId="0" borderId="6" xfId="0" applyNumberFormat="1" applyFont="1" applyBorder="1" applyAlignment="1">
      <alignment horizontal="left" vertical="center"/>
    </xf>
    <xf numFmtId="0" fontId="37" fillId="8" borderId="57" xfId="0" applyFont="1" applyFill="1" applyBorder="1" applyAlignment="1">
      <alignment horizontal="center" vertical="center"/>
    </xf>
    <xf numFmtId="0" fontId="37" fillId="8" borderId="58" xfId="0" applyFont="1" applyFill="1" applyBorder="1" applyAlignment="1">
      <alignment horizontal="center" vertical="center"/>
    </xf>
    <xf numFmtId="2" fontId="37" fillId="8" borderId="63" xfId="0" applyNumberFormat="1" applyFont="1" applyFill="1" applyBorder="1" applyAlignment="1">
      <alignment horizontal="center" vertical="center"/>
    </xf>
    <xf numFmtId="2" fontId="37" fillId="8" borderId="50" xfId="0" applyNumberFormat="1" applyFont="1" applyFill="1" applyBorder="1" applyAlignment="1">
      <alignment horizontal="center" vertical="center"/>
    </xf>
    <xf numFmtId="0" fontId="37" fillId="8" borderId="63" xfId="0" applyFont="1" applyFill="1" applyBorder="1" applyAlignment="1">
      <alignment horizontal="center" vertical="center"/>
    </xf>
    <xf numFmtId="2" fontId="27" fillId="0" borderId="14" xfId="0" applyNumberFormat="1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17" fillId="4" borderId="0" xfId="0" quotePrefix="1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/>
    </xf>
    <xf numFmtId="2" fontId="24" fillId="0" borderId="6" xfId="0" applyNumberFormat="1" applyFont="1" applyBorder="1" applyAlignment="1">
      <alignment horizontal="right" vertical="center"/>
    </xf>
    <xf numFmtId="2" fontId="17" fillId="2" borderId="14" xfId="0" applyNumberFormat="1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2" fontId="27" fillId="9" borderId="14" xfId="0" applyNumberFormat="1" applyFont="1" applyFill="1" applyBorder="1" applyAlignment="1">
      <alignment horizontal="center" vertical="center"/>
    </xf>
    <xf numFmtId="0" fontId="27" fillId="9" borderId="14" xfId="0" applyFont="1" applyFill="1" applyBorder="1" applyAlignment="1">
      <alignment horizontal="center" vertical="center"/>
    </xf>
    <xf numFmtId="0" fontId="27" fillId="10" borderId="14" xfId="0" applyFont="1" applyFill="1" applyBorder="1" applyAlignment="1">
      <alignment horizontal="center" vertical="center"/>
    </xf>
    <xf numFmtId="0" fontId="37" fillId="8" borderId="50" xfId="0" applyFont="1" applyFill="1" applyBorder="1" applyAlignment="1">
      <alignment horizontal="center" vertical="center"/>
    </xf>
    <xf numFmtId="2" fontId="9" fillId="3" borderId="15" xfId="0" applyNumberFormat="1" applyFont="1" applyFill="1" applyBorder="1" applyAlignment="1">
      <alignment horizontal="center"/>
    </xf>
    <xf numFmtId="2" fontId="9" fillId="3" borderId="17" xfId="0" applyNumberFormat="1" applyFont="1" applyFill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0" fontId="20" fillId="0" borderId="61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0" fontId="20" fillId="0" borderId="63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43" fillId="4" borderId="0" xfId="0" quotePrefix="1" applyFont="1" applyFill="1" applyAlignment="1">
      <alignment horizontal="center" vertical="center"/>
    </xf>
    <xf numFmtId="0" fontId="43" fillId="4" borderId="0" xfId="0" applyFont="1" applyFill="1" applyAlignment="1">
      <alignment horizontal="center" vertical="center" wrapText="1"/>
    </xf>
    <xf numFmtId="0" fontId="43" fillId="4" borderId="0" xfId="0" applyFont="1" applyFill="1" applyAlignment="1">
      <alignment horizontal="center" vertical="center"/>
    </xf>
    <xf numFmtId="0" fontId="17" fillId="2" borderId="1" xfId="0" quotePrefix="1" applyFont="1" applyFill="1" applyBorder="1" applyAlignment="1">
      <alignment horizontal="center" vertical="center"/>
    </xf>
    <xf numFmtId="0" fontId="17" fillId="2" borderId="66" xfId="0" quotePrefix="1" applyFont="1" applyFill="1" applyBorder="1" applyAlignment="1">
      <alignment horizontal="center" vertical="center"/>
    </xf>
    <xf numFmtId="0" fontId="17" fillId="2" borderId="32" xfId="0" quotePrefix="1" applyFont="1" applyFill="1" applyBorder="1" applyAlignment="1">
      <alignment horizontal="center" vertical="center"/>
    </xf>
    <xf numFmtId="0" fontId="23" fillId="2" borderId="1" xfId="0" quotePrefix="1" applyFont="1" applyFill="1" applyBorder="1" applyAlignment="1">
      <alignment horizontal="center" vertical="center"/>
    </xf>
    <xf numFmtId="0" fontId="23" fillId="2" borderId="32" xfId="0" quotePrefix="1" applyFont="1" applyFill="1" applyBorder="1" applyAlignment="1">
      <alignment horizontal="center" vertical="center"/>
    </xf>
    <xf numFmtId="0" fontId="19" fillId="0" borderId="57" xfId="0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/>
    </xf>
    <xf numFmtId="0" fontId="20" fillId="0" borderId="63" xfId="0" applyFont="1" applyBorder="1" applyAlignment="1">
      <alignment horizontal="center" vertical="center" wrapText="1"/>
    </xf>
    <xf numFmtId="0" fontId="20" fillId="0" borderId="65" xfId="0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/>
    </xf>
    <xf numFmtId="0" fontId="19" fillId="0" borderId="61" xfId="0" applyFont="1" applyBorder="1" applyAlignment="1">
      <alignment horizontal="center" vertical="center"/>
    </xf>
    <xf numFmtId="2" fontId="20" fillId="4" borderId="65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2" fontId="20" fillId="4" borderId="61" xfId="0" applyNumberFormat="1" applyFont="1" applyFill="1" applyBorder="1" applyAlignment="1">
      <alignment horizontal="center" vertical="center"/>
    </xf>
    <xf numFmtId="2" fontId="20" fillId="4" borderId="63" xfId="0" applyNumberFormat="1" applyFont="1" applyFill="1" applyBorder="1" applyAlignment="1">
      <alignment horizontal="center" vertical="center"/>
    </xf>
    <xf numFmtId="0" fontId="38" fillId="4" borderId="0" xfId="0" applyFont="1" applyFill="1" applyAlignment="1">
      <alignment horizontal="right" vertical="center"/>
    </xf>
    <xf numFmtId="2" fontId="20" fillId="4" borderId="58" xfId="0" applyNumberFormat="1" applyFont="1" applyFill="1" applyBorder="1" applyAlignment="1">
      <alignment horizontal="center" vertical="center"/>
    </xf>
    <xf numFmtId="0" fontId="38" fillId="4" borderId="0" xfId="0" applyFont="1" applyFill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32" xfId="0" applyFont="1" applyFill="1" applyBorder="1" applyAlignment="1">
      <alignment horizontal="center" vertical="center"/>
    </xf>
    <xf numFmtId="0" fontId="48" fillId="0" borderId="0" xfId="0" quotePrefix="1" applyFont="1" applyAlignment="1">
      <alignment vertical="center"/>
    </xf>
    <xf numFmtId="0" fontId="0" fillId="0" borderId="4" xfId="0" applyBorder="1" applyAlignment="1">
      <alignment horizontal="center" vertical="center"/>
    </xf>
    <xf numFmtId="0" fontId="46" fillId="2" borderId="10" xfId="0" applyFont="1" applyFill="1" applyBorder="1" applyAlignment="1">
      <alignment horizontal="center" vertical="center"/>
    </xf>
    <xf numFmtId="0" fontId="46" fillId="2" borderId="11" xfId="0" applyFont="1" applyFill="1" applyBorder="1" applyAlignment="1">
      <alignment horizontal="center" vertical="center"/>
    </xf>
    <xf numFmtId="0" fontId="46" fillId="2" borderId="12" xfId="0" applyFont="1" applyFill="1" applyBorder="1" applyAlignment="1">
      <alignment horizontal="center" vertical="center"/>
    </xf>
    <xf numFmtId="0" fontId="47" fillId="2" borderId="3" xfId="0" applyFont="1" applyFill="1" applyBorder="1" applyAlignment="1">
      <alignment horizontal="center" vertical="center"/>
    </xf>
    <xf numFmtId="0" fontId="47" fillId="2" borderId="4" xfId="0" applyFont="1" applyFill="1" applyBorder="1" applyAlignment="1">
      <alignment horizontal="center" vertical="center"/>
    </xf>
    <xf numFmtId="0" fontId="47" fillId="2" borderId="0" xfId="0" applyFont="1" applyFill="1" applyAlignment="1">
      <alignment horizontal="center" vertical="center"/>
    </xf>
    <xf numFmtId="0" fontId="47" fillId="2" borderId="8" xfId="0" applyFont="1" applyFill="1" applyBorder="1" applyAlignment="1">
      <alignment horizontal="center" vertical="center"/>
    </xf>
    <xf numFmtId="0" fontId="48" fillId="0" borderId="11" xfId="0" quotePrefix="1" applyFont="1" applyBorder="1" applyAlignment="1">
      <alignment vertical="center"/>
    </xf>
    <xf numFmtId="0" fontId="48" fillId="0" borderId="0" xfId="0" applyFont="1" applyAlignment="1">
      <alignment vertical="center"/>
    </xf>
    <xf numFmtId="2" fontId="58" fillId="4" borderId="6" xfId="0" applyNumberFormat="1" applyFont="1" applyFill="1" applyBorder="1" applyAlignment="1">
      <alignment horizontal="right" vertical="center"/>
    </xf>
    <xf numFmtId="0" fontId="48" fillId="0" borderId="0" xfId="0" quotePrefix="1" applyFont="1" applyAlignment="1">
      <alignment vertical="center" wrapText="1"/>
    </xf>
    <xf numFmtId="2" fontId="57" fillId="0" borderId="1" xfId="0" applyNumberFormat="1" applyFont="1" applyBorder="1" applyAlignment="1">
      <alignment horizontal="center" vertical="center"/>
    </xf>
    <xf numFmtId="2" fontId="57" fillId="0" borderId="32" xfId="0" applyNumberFormat="1" applyFont="1" applyBorder="1" applyAlignment="1">
      <alignment horizontal="center" vertical="center"/>
    </xf>
    <xf numFmtId="2" fontId="57" fillId="0" borderId="6" xfId="0" applyNumberFormat="1" applyFont="1" applyBorder="1" applyAlignment="1">
      <alignment horizontal="left" vertical="center"/>
    </xf>
    <xf numFmtId="0" fontId="6" fillId="2" borderId="1" xfId="0" quotePrefix="1" applyFont="1" applyFill="1" applyBorder="1" applyAlignment="1">
      <alignment horizontal="center" vertical="center"/>
    </xf>
    <xf numFmtId="0" fontId="6" fillId="2" borderId="66" xfId="0" quotePrefix="1" applyFont="1" applyFill="1" applyBorder="1" applyAlignment="1">
      <alignment horizontal="center" vertical="center"/>
    </xf>
    <xf numFmtId="0" fontId="6" fillId="2" borderId="32" xfId="0" quotePrefix="1" applyFont="1" applyFill="1" applyBorder="1" applyAlignment="1">
      <alignment horizontal="center" vertical="center"/>
    </xf>
    <xf numFmtId="0" fontId="56" fillId="2" borderId="1" xfId="0" applyFont="1" applyFill="1" applyBorder="1" applyAlignment="1">
      <alignment horizontal="center" vertical="center"/>
    </xf>
    <xf numFmtId="0" fontId="56" fillId="2" borderId="3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66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60" fillId="2" borderId="10" xfId="0" applyFont="1" applyFill="1" applyBorder="1" applyAlignment="1">
      <alignment horizontal="center" vertical="center" wrapText="1"/>
    </xf>
    <xf numFmtId="0" fontId="60" fillId="2" borderId="12" xfId="0" applyFont="1" applyFill="1" applyBorder="1" applyAlignment="1">
      <alignment horizontal="center" vertical="center" wrapText="1"/>
    </xf>
    <xf numFmtId="0" fontId="60" fillId="2" borderId="3" xfId="0" applyFont="1" applyFill="1" applyBorder="1" applyAlignment="1">
      <alignment horizontal="center" vertical="center" wrapText="1"/>
    </xf>
    <xf numFmtId="0" fontId="60" fillId="2" borderId="8" xfId="0" applyFont="1" applyFill="1" applyBorder="1" applyAlignment="1">
      <alignment horizontal="center" vertical="center" wrapText="1"/>
    </xf>
    <xf numFmtId="0" fontId="61" fillId="2" borderId="1" xfId="0" applyFont="1" applyFill="1" applyBorder="1" applyAlignment="1">
      <alignment horizontal="center" vertical="center"/>
    </xf>
    <xf numFmtId="0" fontId="61" fillId="2" borderId="66" xfId="0" applyFont="1" applyFill="1" applyBorder="1" applyAlignment="1">
      <alignment horizontal="center" vertical="center"/>
    </xf>
    <xf numFmtId="0" fontId="61" fillId="2" borderId="32" xfId="0" applyFont="1" applyFill="1" applyBorder="1" applyAlignment="1">
      <alignment horizontal="center" vertical="center"/>
    </xf>
    <xf numFmtId="3" fontId="63" fillId="2" borderId="6" xfId="0" applyNumberFormat="1" applyFont="1" applyFill="1" applyBorder="1" applyAlignment="1">
      <alignment horizontal="center" vertical="center" textRotation="90"/>
    </xf>
    <xf numFmtId="3" fontId="63" fillId="2" borderId="5" xfId="0" applyNumberFormat="1" applyFont="1" applyFill="1" applyBorder="1" applyAlignment="1">
      <alignment horizontal="center" vertical="center" textRotation="90"/>
    </xf>
    <xf numFmtId="0" fontId="63" fillId="2" borderId="6" xfId="0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8" fillId="0" borderId="32" xfId="0" applyFont="1" applyBorder="1" applyAlignment="1">
      <alignment horizontal="center" vertical="center"/>
    </xf>
    <xf numFmtId="0" fontId="48" fillId="4" borderId="1" xfId="0" applyFont="1" applyFill="1" applyBorder="1" applyAlignment="1">
      <alignment horizontal="center" vertical="center"/>
    </xf>
    <xf numFmtId="0" fontId="48" fillId="4" borderId="32" xfId="0" applyFont="1" applyFill="1" applyBorder="1" applyAlignment="1">
      <alignment horizontal="center" vertical="center"/>
    </xf>
    <xf numFmtId="0" fontId="43" fillId="2" borderId="14" xfId="0" applyFont="1" applyFill="1" applyBorder="1" applyAlignment="1">
      <alignment horizontal="center" vertical="center"/>
    </xf>
    <xf numFmtId="0" fontId="66" fillId="0" borderId="14" xfId="0" applyFont="1" applyBorder="1" applyAlignment="1">
      <alignment horizontal="center" vertical="center"/>
    </xf>
    <xf numFmtId="0" fontId="48" fillId="0" borderId="6" xfId="0" applyFont="1" applyBorder="1" applyAlignment="1">
      <alignment horizontal="center" vertical="center"/>
    </xf>
    <xf numFmtId="2" fontId="48" fillId="0" borderId="6" xfId="0" applyNumberFormat="1" applyFont="1" applyBorder="1" applyAlignment="1">
      <alignment horizontal="center" vertical="center"/>
    </xf>
    <xf numFmtId="165" fontId="48" fillId="0" borderId="6" xfId="0" applyNumberFormat="1" applyFont="1" applyBorder="1" applyAlignment="1">
      <alignment horizontal="center" vertical="center"/>
    </xf>
    <xf numFmtId="0" fontId="17" fillId="2" borderId="69" xfId="0" applyFont="1" applyFill="1" applyBorder="1" applyAlignment="1">
      <alignment horizontal="center" vertical="center"/>
    </xf>
    <xf numFmtId="2" fontId="20" fillId="4" borderId="50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 wrapText="1"/>
    </xf>
    <xf numFmtId="0" fontId="6" fillId="2" borderId="6" xfId="0" quotePrefix="1" applyFont="1" applyFill="1" applyBorder="1" applyAlignment="1">
      <alignment horizontal="center" vertical="center"/>
    </xf>
    <xf numFmtId="0" fontId="56" fillId="2" borderId="6" xfId="0" applyFont="1" applyFill="1" applyBorder="1" applyAlignment="1">
      <alignment horizontal="center" vertical="center"/>
    </xf>
    <xf numFmtId="2" fontId="57" fillId="0" borderId="1" xfId="0" applyNumberFormat="1" applyFont="1" applyBorder="1" applyAlignment="1">
      <alignment horizontal="center" vertical="center" wrapText="1"/>
    </xf>
    <xf numFmtId="2" fontId="57" fillId="0" borderId="32" xfId="0" applyNumberFormat="1" applyFont="1" applyBorder="1" applyAlignment="1">
      <alignment horizontal="center" vertical="center" wrapText="1"/>
    </xf>
    <xf numFmtId="2" fontId="37" fillId="8" borderId="65" xfId="0" applyNumberFormat="1" applyFont="1" applyFill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2" fontId="13" fillId="4" borderId="1" xfId="0" applyNumberFormat="1" applyFont="1" applyFill="1" applyBorder="1" applyAlignment="1">
      <alignment horizontal="center" vertical="center" textRotation="90"/>
    </xf>
    <xf numFmtId="2" fontId="13" fillId="4" borderId="32" xfId="0" applyNumberFormat="1" applyFont="1" applyFill="1" applyBorder="1" applyAlignment="1">
      <alignment horizontal="center" vertical="center" textRotation="90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3" fillId="2" borderId="32" xfId="0" applyFont="1" applyFill="1" applyBorder="1" applyAlignment="1">
      <alignment horizontal="center" vertical="center" textRotation="90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2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</cellXfs>
  <cellStyles count="6">
    <cellStyle name="Normal" xfId="0" builtinId="0"/>
    <cellStyle name="Normal 2" xfId="1" xr:uid="{EC59B0E5-68A2-4992-97EC-5E9DB8F97EF6}"/>
    <cellStyle name="Normal 2 2" xfId="2" xr:uid="{C54BCA0E-AD02-4FBC-BC73-D6B0B67C2B14}"/>
    <cellStyle name="Normal 3" xfId="4" xr:uid="{9DC37087-F542-4321-B981-6F89F2FDB41E}"/>
    <cellStyle name="Normal 4" xfId="5" xr:uid="{778C08D5-40B6-42A9-82C9-9A836863BEDA}"/>
    <cellStyle name="Porcentagem" xfId="3" builtinId="5"/>
  </cellStyles>
  <dxfs count="164">
    <dxf>
      <font>
        <b/>
        <i val="0"/>
      </font>
      <fill>
        <patternFill>
          <bgColor theme="0" tint="-0.14996795556505021"/>
        </patternFill>
      </fill>
      <border>
        <vertical/>
        <horizontal/>
      </border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B4C6E7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theme" Target="theme/theme1.xml"/><Relationship Id="rId40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'PERFIL BC01'!$A$34</c:f>
          <c:strCache>
            <c:ptCount val="1"/>
            <c:pt idx="0">
              <c:v>Perfil Longitudinal - Sem talvegue permanente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Cota (m)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4.0298169770918338E-2"/>
                  <c:y val="-8.4212590071337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0E-47E2-AD3E-105DE0913ED6}"/>
                </c:ext>
              </c:extLst>
            </c:dLbl>
            <c:dLbl>
              <c:idx val="1"/>
              <c:layout>
                <c:manualLayout>
                  <c:x val="-4.286371465051389E-2"/>
                  <c:y val="9.18681053710289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0E-47E2-AD3E-105DE0913ED6}"/>
                </c:ext>
              </c:extLst>
            </c:dLbl>
            <c:dLbl>
              <c:idx val="2"/>
              <c:layout>
                <c:manualLayout>
                  <c:x val="-5.30004848288958E-2"/>
                  <c:y val="0.1125510667929040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0E-47E2-AD3E-105DE0913ED6}"/>
                </c:ext>
              </c:extLst>
            </c:dLbl>
            <c:dLbl>
              <c:idx val="3"/>
              <c:layout>
                <c:manualLayout>
                  <c:x val="-5.5988444911316715E-2"/>
                  <c:y val="0.120654333289075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D0E-47E2-AD3E-105DE0913ED6}"/>
                </c:ext>
              </c:extLst>
            </c:dLbl>
            <c:dLbl>
              <c:idx val="4"/>
              <c:layout>
                <c:manualLayout>
                  <c:x val="-3.07866348834391E-2"/>
                  <c:y val="0.113446558190189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0E-47E2-AD3E-105DE0913ED6}"/>
                </c:ext>
              </c:extLst>
            </c:dLbl>
            <c:dLbl>
              <c:idx val="5"/>
              <c:layout>
                <c:manualLayout>
                  <c:x val="-4.8745505232111928E-2"/>
                  <c:y val="6.30359764185885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4B-45CC-A7DB-128FF9CFD8E3}"/>
                </c:ext>
              </c:extLst>
            </c:dLbl>
            <c:dLbl>
              <c:idx val="6"/>
              <c:layout>
                <c:manualLayout>
                  <c:x val="-3.8483293604298814E-2"/>
                  <c:y val="6.30359764185886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94B-45CC-A7DB-128FF9CFD8E3}"/>
                </c:ext>
              </c:extLst>
            </c:dLbl>
            <c:dLbl>
              <c:idx val="7"/>
              <c:layout>
                <c:manualLayout>
                  <c:x val="-4.361439941820542E-2"/>
                  <c:y val="6.30359764185886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94B-45CC-A7DB-128FF9CFD8E3}"/>
                </c:ext>
              </c:extLst>
            </c:dLbl>
            <c:dLbl>
              <c:idx val="8"/>
              <c:layout>
                <c:manualLayout>
                  <c:x val="-3.3352187790392306E-2"/>
                  <c:y val="-7.35419724883535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94B-45CC-A7DB-128FF9CFD8E3}"/>
                </c:ext>
              </c:extLst>
            </c:dLbl>
            <c:dLbl>
              <c:idx val="9"/>
              <c:layout>
                <c:manualLayout>
                  <c:x val="-5.6442163952971594E-2"/>
                  <c:y val="-6.30359764185886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94B-45CC-A7DB-128FF9CFD8E3}"/>
                </c:ext>
              </c:extLst>
            </c:dLbl>
            <c:dLbl>
              <c:idx val="10"/>
              <c:layout>
                <c:manualLayout>
                  <c:x val="-4.0689063068158865E-2"/>
                  <c:y val="-0.148377754256479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D6-4CC1-B861-1D4D0861FF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og"/>
            <c:dispRSqr val="0"/>
            <c:dispEq val="0"/>
          </c:trendline>
          <c:xVal>
            <c:numRef>
              <c:f>'PERFIL BC01'!$E$3:$E$13</c:f>
              <c:numCache>
                <c:formatCode>0.00</c:formatCode>
                <c:ptCount val="1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2.3534563499190098</c:v>
                </c:pt>
              </c:numCache>
            </c:numRef>
          </c:xVal>
          <c:yVal>
            <c:numRef>
              <c:f>'PERFIL BC01'!$C$3:$C$13</c:f>
              <c:numCache>
                <c:formatCode>0</c:formatCode>
                <c:ptCount val="11"/>
                <c:pt idx="0">
                  <c:v>681</c:v>
                </c:pt>
                <c:pt idx="1">
                  <c:v>678</c:v>
                </c:pt>
                <c:pt idx="2">
                  <c:v>673</c:v>
                </c:pt>
                <c:pt idx="3">
                  <c:v>665</c:v>
                </c:pt>
                <c:pt idx="4">
                  <c:v>657</c:v>
                </c:pt>
                <c:pt idx="5">
                  <c:v>650</c:v>
                </c:pt>
                <c:pt idx="6">
                  <c:v>644</c:v>
                </c:pt>
                <c:pt idx="7">
                  <c:v>638</c:v>
                </c:pt>
                <c:pt idx="8">
                  <c:v>631</c:v>
                </c:pt>
                <c:pt idx="9">
                  <c:v>628.5</c:v>
                </c:pt>
                <c:pt idx="10">
                  <c:v>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07-442D-B7B0-4F01E967B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91663"/>
        <c:axId val="707322463"/>
      </c:scatterChart>
      <c:valAx>
        <c:axId val="810791663"/>
        <c:scaling>
          <c:orientation val="minMax"/>
          <c:max val="2.36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Distância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7322463"/>
        <c:crosses val="autoZero"/>
        <c:crossBetween val="midCat"/>
        <c:majorUnit val="0.5"/>
      </c:valAx>
      <c:valAx>
        <c:axId val="707322463"/>
        <c:scaling>
          <c:orientation val="minMax"/>
          <c:max val="681"/>
          <c:min val="628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elevação</a:t>
                </a:r>
                <a:r>
                  <a:rPr lang="pt-BR" baseline="0"/>
                  <a:t> (</a:t>
                </a:r>
                <a:r>
                  <a:rPr lang="pt-BR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0791663"/>
        <c:crossesAt val="0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'PERFIL BC02'!$A$34</c:f>
          <c:strCache>
            <c:ptCount val="1"/>
            <c:pt idx="0">
              <c:v>Perfil Longitudinal - Sem talvegue permanente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Cota (m)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3.6434157452936836E-2"/>
                  <c:y val="-8.42124299234432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17-4269-BA79-57032296035A}"/>
                </c:ext>
              </c:extLst>
            </c:dLbl>
            <c:dLbl>
              <c:idx val="1"/>
              <c:layout>
                <c:manualLayout>
                  <c:x val="-3.214782865517609E-2"/>
                  <c:y val="8.10060408282534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417-4269-BA79-57032296035A}"/>
                </c:ext>
              </c:extLst>
            </c:dLbl>
            <c:dLbl>
              <c:idx val="2"/>
              <c:layout>
                <c:manualLayout>
                  <c:x val="-3.6434157452936822E-2"/>
                  <c:y val="-8.42124299234432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17-4269-BA79-57032296035A}"/>
                </c:ext>
              </c:extLst>
            </c:dLbl>
            <c:dLbl>
              <c:idx val="3"/>
              <c:layout>
                <c:manualLayout>
                  <c:x val="-3.2147785987885473E-2"/>
                  <c:y val="-8.42124299234432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417-4269-BA79-57032296035A}"/>
                </c:ext>
              </c:extLst>
            </c:dLbl>
            <c:dLbl>
              <c:idx val="4"/>
              <c:layout>
                <c:manualLayout>
                  <c:x val="-3.4290971720411206E-2"/>
                  <c:y val="-7.65567544758575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17-4269-BA79-57032296035A}"/>
                </c:ext>
              </c:extLst>
            </c:dLbl>
            <c:dLbl>
              <c:idx val="5"/>
              <c:layout>
                <c:manualLayout>
                  <c:x val="-4.0720528917988212E-2"/>
                  <c:y val="-8.42124299234432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417-4269-BA79-57032296035A}"/>
                </c:ext>
              </c:extLst>
            </c:dLbl>
            <c:dLbl>
              <c:idx val="6"/>
              <c:layout>
                <c:manualLayout>
                  <c:x val="-4.0720528917988295E-2"/>
                  <c:y val="-9.18681053710290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417-4269-BA79-57032296035A}"/>
                </c:ext>
              </c:extLst>
            </c:dLbl>
            <c:dLbl>
              <c:idx val="7"/>
              <c:layout>
                <c:manualLayout>
                  <c:x val="-1.0715928662628478E-2"/>
                  <c:y val="-8.42124299234432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417-4269-BA79-5703229603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og"/>
            <c:dispRSqr val="0"/>
            <c:dispEq val="0"/>
          </c:trendline>
          <c:xVal>
            <c:numRef>
              <c:f>'PERFIL BC02'!$E$3:$E$10</c:f>
              <c:numCache>
                <c:formatCode>0.00</c:formatCode>
                <c:ptCount val="8"/>
                <c:pt idx="0" formatCode="0">
                  <c:v>0</c:v>
                </c:pt>
                <c:pt idx="1">
                  <c:v>7.0000000000000007E-2</c:v>
                </c:pt>
                <c:pt idx="2">
                  <c:v>0.32</c:v>
                </c:pt>
                <c:pt idx="3">
                  <c:v>0.56999999999999995</c:v>
                </c:pt>
                <c:pt idx="4">
                  <c:v>0.82</c:v>
                </c:pt>
                <c:pt idx="5">
                  <c:v>1.07</c:v>
                </c:pt>
                <c:pt idx="6">
                  <c:v>1.32</c:v>
                </c:pt>
                <c:pt idx="7">
                  <c:v>1.5718308652639508</c:v>
                </c:pt>
              </c:numCache>
            </c:numRef>
          </c:xVal>
          <c:yVal>
            <c:numRef>
              <c:f>'PERFIL BC02'!$C$3:$C$10</c:f>
              <c:numCache>
                <c:formatCode>0</c:formatCode>
                <c:ptCount val="8"/>
                <c:pt idx="0">
                  <c:v>668</c:v>
                </c:pt>
                <c:pt idx="1">
                  <c:v>667</c:v>
                </c:pt>
                <c:pt idx="2">
                  <c:v>659</c:v>
                </c:pt>
                <c:pt idx="3">
                  <c:v>651</c:v>
                </c:pt>
                <c:pt idx="4">
                  <c:v>645</c:v>
                </c:pt>
                <c:pt idx="5">
                  <c:v>640</c:v>
                </c:pt>
                <c:pt idx="6">
                  <c:v>637</c:v>
                </c:pt>
                <c:pt idx="7">
                  <c:v>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7C-40CB-BBAB-EAC14E458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91663"/>
        <c:axId val="707322463"/>
      </c:scatterChart>
      <c:valAx>
        <c:axId val="810791663"/>
        <c:scaling>
          <c:orientation val="minMax"/>
          <c:max val="1.58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Distância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7322463"/>
        <c:crosses val="autoZero"/>
        <c:crossBetween val="midCat"/>
        <c:majorUnit val="0.5"/>
      </c:valAx>
      <c:valAx>
        <c:axId val="707322463"/>
        <c:scaling>
          <c:orientation val="minMax"/>
          <c:max val="668"/>
          <c:min val="633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elevação</a:t>
                </a:r>
                <a:r>
                  <a:rPr lang="pt-BR" baseline="0"/>
                  <a:t> (</a:t>
                </a:r>
                <a:r>
                  <a:rPr lang="pt-BR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0791663"/>
        <c:crossesAt val="0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Perfil</a:t>
            </a:r>
            <a:r>
              <a:rPr lang="en-US" baseline="0"/>
              <a:t> Longitudinal - Córrego Taboca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Cota (m)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2.1401747022924108E-3"/>
                  <c:y val="-6.11615640504848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2F-4100-AF44-8AFB9B217873}"/>
                </c:ext>
              </c:extLst>
            </c:dLbl>
            <c:dLbl>
              <c:idx val="1"/>
              <c:layout>
                <c:manualLayout>
                  <c:x val="-1.928867159273126E-2"/>
                  <c:y val="-0.114835131713786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2F-4100-AF44-8AFB9B217873}"/>
                </c:ext>
              </c:extLst>
            </c:dLbl>
            <c:dLbl>
              <c:idx val="2"/>
              <c:layout>
                <c:manualLayout>
                  <c:x val="-2.7861414522834041E-2"/>
                  <c:y val="-0.145457833504129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2F-4100-AF44-8AFB9B217873}"/>
                </c:ext>
              </c:extLst>
            </c:dLbl>
            <c:dLbl>
              <c:idx val="3"/>
              <c:layout>
                <c:manualLayout>
                  <c:x val="-1.5011751802735646E-2"/>
                  <c:y val="-0.137856376490750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2F-4100-AF44-8AFB9B217873}"/>
                </c:ext>
              </c:extLst>
            </c:dLbl>
            <c:dLbl>
              <c:idx val="4"/>
              <c:layout>
                <c:manualLayout>
                  <c:x val="-3.214778598788539E-2"/>
                  <c:y val="-0.168424859846886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2F-4100-AF44-8AFB9B217873}"/>
                </c:ext>
              </c:extLst>
            </c:dLbl>
            <c:dLbl>
              <c:idx val="5"/>
              <c:layout>
                <c:manualLayout>
                  <c:x val="-3.6434157452936822E-2"/>
                  <c:y val="-0.168424859846886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2F-4100-AF44-8AFB9B217873}"/>
                </c:ext>
              </c:extLst>
            </c:dLbl>
            <c:dLbl>
              <c:idx val="6"/>
              <c:layout>
                <c:manualLayout>
                  <c:x val="0"/>
                  <c:y val="-0.114632595011165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D2F-4100-AF44-8AFB9B217873}"/>
                </c:ext>
              </c:extLst>
            </c:dLbl>
            <c:dLbl>
              <c:idx val="7"/>
              <c:layout>
                <c:manualLayout>
                  <c:x val="-2.7894002789400279E-2"/>
                  <c:y val="-0.133440506023210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2F-4100-AF44-8AFB9B217873}"/>
                </c:ext>
              </c:extLst>
            </c:dLbl>
            <c:dLbl>
              <c:idx val="8"/>
              <c:layout>
                <c:manualLayout>
                  <c:x val="-4.1841004184100625E-2"/>
                  <c:y val="-9.09821631976433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D2F-4100-AF44-8AFB9B217873}"/>
                </c:ext>
              </c:extLst>
            </c:dLbl>
            <c:dLbl>
              <c:idx val="9"/>
              <c:layout>
                <c:manualLayout>
                  <c:x val="-3.0638816591440715E-2"/>
                  <c:y val="-8.230423193621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F8-4A5B-BC61-E8C6D0FB0C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og"/>
            <c:dispRSqr val="0"/>
            <c:dispEq val="0"/>
          </c:trendline>
          <c:xVal>
            <c:numRef>
              <c:f>'PERFIL BC03'!$E$3:$E$12</c:f>
              <c:numCache>
                <c:formatCode>0.00</c:formatCode>
                <c:ptCount val="10"/>
                <c:pt idx="0" formatCode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4.4800612135541158</c:v>
                </c:pt>
              </c:numCache>
            </c:numRef>
          </c:xVal>
          <c:yVal>
            <c:numRef>
              <c:f>'PERFIL BC03'!$C$3:$C$12</c:f>
              <c:numCache>
                <c:formatCode>General</c:formatCode>
                <c:ptCount val="10"/>
                <c:pt idx="0">
                  <c:v>1164</c:v>
                </c:pt>
                <c:pt idx="1">
                  <c:v>944</c:v>
                </c:pt>
                <c:pt idx="2">
                  <c:v>843</c:v>
                </c:pt>
                <c:pt idx="3">
                  <c:v>766</c:v>
                </c:pt>
                <c:pt idx="4">
                  <c:v>721</c:v>
                </c:pt>
                <c:pt idx="5">
                  <c:v>695</c:v>
                </c:pt>
                <c:pt idx="6">
                  <c:v>676</c:v>
                </c:pt>
                <c:pt idx="7">
                  <c:v>664</c:v>
                </c:pt>
                <c:pt idx="8">
                  <c:v>654</c:v>
                </c:pt>
                <c:pt idx="9">
                  <c:v>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D2F-4100-AF44-8AFB9B217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91663"/>
        <c:axId val="707322463"/>
      </c:scatterChart>
      <c:valAx>
        <c:axId val="810791663"/>
        <c:scaling>
          <c:orientation val="minMax"/>
          <c:max val="4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Distância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7322463"/>
        <c:crosses val="autoZero"/>
        <c:crossBetween val="midCat"/>
        <c:majorUnit val="0.5"/>
      </c:valAx>
      <c:valAx>
        <c:axId val="707322463"/>
        <c:scaling>
          <c:orientation val="minMax"/>
          <c:max val="1164"/>
          <c:min val="644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elevação</a:t>
                </a:r>
                <a:r>
                  <a:rPr lang="pt-BR" baseline="0"/>
                  <a:t> (</a:t>
                </a:r>
                <a:r>
                  <a:rPr lang="pt-BR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0791663"/>
        <c:crossesAt val="0"/>
        <c:crossBetween val="midCat"/>
        <c:majorUnit val="10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Perfil</a:t>
            </a:r>
            <a:r>
              <a:rPr lang="en-US" baseline="0"/>
              <a:t> Longitudinal - Córrego Jacu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Cota (m)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2.1401747022924108E-3"/>
                  <c:y val="-6.11615640504848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94B-4B52-B55B-F832EF161C62}"/>
                </c:ext>
              </c:extLst>
            </c:dLbl>
            <c:dLbl>
              <c:idx val="1"/>
              <c:layout>
                <c:manualLayout>
                  <c:x val="-1.928867159273126E-2"/>
                  <c:y val="-0.114835131713786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4B-4B52-B55B-F832EF161C62}"/>
                </c:ext>
              </c:extLst>
            </c:dLbl>
            <c:dLbl>
              <c:idx val="2"/>
              <c:layout>
                <c:manualLayout>
                  <c:x val="-2.7861414522834041E-2"/>
                  <c:y val="-0.145457833504129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94B-4B52-B55B-F832EF161C62}"/>
                </c:ext>
              </c:extLst>
            </c:dLbl>
            <c:dLbl>
              <c:idx val="3"/>
              <c:layout>
                <c:manualLayout>
                  <c:x val="-1.5011751802735646E-2"/>
                  <c:y val="-0.137856376490750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4B-4B52-B55B-F832EF161C62}"/>
                </c:ext>
              </c:extLst>
            </c:dLbl>
            <c:dLbl>
              <c:idx val="4"/>
              <c:layout>
                <c:manualLayout>
                  <c:x val="-3.214778598788539E-2"/>
                  <c:y val="-0.168424859846886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94B-4B52-B55B-F832EF161C62}"/>
                </c:ext>
              </c:extLst>
            </c:dLbl>
            <c:dLbl>
              <c:idx val="5"/>
              <c:layout>
                <c:manualLayout>
                  <c:x val="-3.6434157452936822E-2"/>
                  <c:y val="-0.168424859846886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4B-4B52-B55B-F832EF161C62}"/>
                </c:ext>
              </c:extLst>
            </c:dLbl>
            <c:dLbl>
              <c:idx val="6"/>
              <c:layout>
                <c:manualLayout>
                  <c:x val="0"/>
                  <c:y val="-0.114632595011165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94B-4B52-B55B-F832EF161C62}"/>
                </c:ext>
              </c:extLst>
            </c:dLbl>
            <c:dLbl>
              <c:idx val="7"/>
              <c:layout>
                <c:manualLayout>
                  <c:x val="-2.7894002789400279E-2"/>
                  <c:y val="-0.133440506023210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94B-4B52-B55B-F832EF161C62}"/>
                </c:ext>
              </c:extLst>
            </c:dLbl>
            <c:dLbl>
              <c:idx val="8"/>
              <c:layout>
                <c:manualLayout>
                  <c:x val="-4.1841004184100625E-2"/>
                  <c:y val="-9.09821631976433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94B-4B52-B55B-F832EF161C62}"/>
                </c:ext>
              </c:extLst>
            </c:dLbl>
            <c:dLbl>
              <c:idx val="9"/>
              <c:layout>
                <c:manualLayout>
                  <c:x val="-3.0638816591440715E-2"/>
                  <c:y val="-8.230423193621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94B-4B52-B55B-F832EF161C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og"/>
            <c:dispRSqr val="0"/>
            <c:dispEq val="0"/>
          </c:trendline>
          <c:xVal>
            <c:numRef>
              <c:f>'PERFIL BC04'!$E$3:$E$12</c:f>
              <c:numCache>
                <c:formatCode>0.00</c:formatCode>
                <c:ptCount val="10"/>
                <c:pt idx="0" formatCode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4.4800612135541158</c:v>
                </c:pt>
              </c:numCache>
            </c:numRef>
          </c:xVal>
          <c:yVal>
            <c:numRef>
              <c:f>'PERFIL BC04'!$C$3:$C$12</c:f>
              <c:numCache>
                <c:formatCode>General</c:formatCode>
                <c:ptCount val="10"/>
                <c:pt idx="0">
                  <c:v>1135</c:v>
                </c:pt>
                <c:pt idx="1">
                  <c:v>876</c:v>
                </c:pt>
                <c:pt idx="2">
                  <c:v>772</c:v>
                </c:pt>
                <c:pt idx="3">
                  <c:v>725</c:v>
                </c:pt>
                <c:pt idx="4">
                  <c:v>688</c:v>
                </c:pt>
                <c:pt idx="5">
                  <c:v>667</c:v>
                </c:pt>
                <c:pt idx="6">
                  <c:v>652</c:v>
                </c:pt>
                <c:pt idx="7">
                  <c:v>649</c:v>
                </c:pt>
                <c:pt idx="8">
                  <c:v>639</c:v>
                </c:pt>
                <c:pt idx="9">
                  <c:v>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94B-4B52-B55B-F832EF161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91663"/>
        <c:axId val="707322463"/>
      </c:scatterChart>
      <c:valAx>
        <c:axId val="810791663"/>
        <c:scaling>
          <c:orientation val="minMax"/>
          <c:max val="4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Distância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7322463"/>
        <c:crosses val="autoZero"/>
        <c:crossBetween val="midCat"/>
        <c:majorUnit val="0.5"/>
      </c:valAx>
      <c:valAx>
        <c:axId val="707322463"/>
        <c:scaling>
          <c:orientation val="minMax"/>
          <c:max val="1135"/>
          <c:min val="634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elevação</a:t>
                </a:r>
                <a:r>
                  <a:rPr lang="pt-BR" baseline="0"/>
                  <a:t> (</a:t>
                </a:r>
                <a:r>
                  <a:rPr lang="pt-BR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0791663"/>
        <c:crossesAt val="0"/>
        <c:crossBetween val="midCat"/>
        <c:majorUnit val="10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Perfil</a:t>
            </a:r>
            <a:r>
              <a:rPr lang="en-US" baseline="0"/>
              <a:t> Longitudinal - Córrego Piauí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Cota (m)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2.1401747022924108E-3"/>
                  <c:y val="-6.11615640504848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BF7-44C8-9F36-79D428325A7E}"/>
                </c:ext>
              </c:extLst>
            </c:dLbl>
            <c:dLbl>
              <c:idx val="1"/>
              <c:layout>
                <c:manualLayout>
                  <c:x val="-1.928867159273126E-2"/>
                  <c:y val="-0.114835131713786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F7-44C8-9F36-79D428325A7E}"/>
                </c:ext>
              </c:extLst>
            </c:dLbl>
            <c:dLbl>
              <c:idx val="2"/>
              <c:layout>
                <c:manualLayout>
                  <c:x val="-2.7861414522834041E-2"/>
                  <c:y val="-0.145457833504129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BF7-44C8-9F36-79D428325A7E}"/>
                </c:ext>
              </c:extLst>
            </c:dLbl>
            <c:dLbl>
              <c:idx val="3"/>
              <c:layout>
                <c:manualLayout>
                  <c:x val="-1.5011751802735646E-2"/>
                  <c:y val="-0.137856376490750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F7-44C8-9F36-79D428325A7E}"/>
                </c:ext>
              </c:extLst>
            </c:dLbl>
            <c:dLbl>
              <c:idx val="4"/>
              <c:layout>
                <c:manualLayout>
                  <c:x val="-3.214778598788539E-2"/>
                  <c:y val="-0.168424859846886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BF7-44C8-9F36-79D428325A7E}"/>
                </c:ext>
              </c:extLst>
            </c:dLbl>
            <c:dLbl>
              <c:idx val="5"/>
              <c:layout>
                <c:manualLayout>
                  <c:x val="-3.6434157452936822E-2"/>
                  <c:y val="-0.168424859846886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F7-44C8-9F36-79D428325A7E}"/>
                </c:ext>
              </c:extLst>
            </c:dLbl>
            <c:dLbl>
              <c:idx val="6"/>
              <c:layout>
                <c:manualLayout>
                  <c:x val="0"/>
                  <c:y val="-0.114632595011165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BF7-44C8-9F36-79D428325A7E}"/>
                </c:ext>
              </c:extLst>
            </c:dLbl>
            <c:dLbl>
              <c:idx val="7"/>
              <c:layout>
                <c:manualLayout>
                  <c:x val="-2.7894002789400279E-2"/>
                  <c:y val="-0.133440506023210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BF7-44C8-9F36-79D428325A7E}"/>
                </c:ext>
              </c:extLst>
            </c:dLbl>
            <c:dLbl>
              <c:idx val="8"/>
              <c:layout>
                <c:manualLayout>
                  <c:x val="-4.1841004184100625E-2"/>
                  <c:y val="-9.09821631976433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BF7-44C8-9F36-79D428325A7E}"/>
                </c:ext>
              </c:extLst>
            </c:dLbl>
            <c:dLbl>
              <c:idx val="9"/>
              <c:layout>
                <c:manualLayout>
                  <c:x val="-3.0638816591440715E-2"/>
                  <c:y val="-8.230423193621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BF7-44C8-9F36-79D428325A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og"/>
            <c:dispRSqr val="0"/>
            <c:dispEq val="0"/>
          </c:trendline>
          <c:xVal>
            <c:numRef>
              <c:f>'PERFIL BC05'!$E$3:$E$12</c:f>
              <c:numCache>
                <c:formatCode>0.00</c:formatCode>
                <c:ptCount val="10"/>
                <c:pt idx="0" formatCode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4.4800612135541158</c:v>
                </c:pt>
              </c:numCache>
            </c:numRef>
          </c:xVal>
          <c:yVal>
            <c:numRef>
              <c:f>'PERFIL BC05'!$C$3:$C$12</c:f>
              <c:numCache>
                <c:formatCode>General</c:formatCode>
                <c:ptCount val="10"/>
                <c:pt idx="0">
                  <c:v>1151</c:v>
                </c:pt>
                <c:pt idx="1">
                  <c:v>918</c:v>
                </c:pt>
                <c:pt idx="2">
                  <c:v>806</c:v>
                </c:pt>
                <c:pt idx="3">
                  <c:v>746</c:v>
                </c:pt>
                <c:pt idx="4">
                  <c:v>707</c:v>
                </c:pt>
                <c:pt idx="5">
                  <c:v>685</c:v>
                </c:pt>
                <c:pt idx="6">
                  <c:v>672</c:v>
                </c:pt>
                <c:pt idx="7">
                  <c:v>656</c:v>
                </c:pt>
                <c:pt idx="8">
                  <c:v>645</c:v>
                </c:pt>
                <c:pt idx="9">
                  <c:v>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BF7-44C8-9F36-79D428325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91663"/>
        <c:axId val="707322463"/>
      </c:scatterChart>
      <c:valAx>
        <c:axId val="810791663"/>
        <c:scaling>
          <c:orientation val="minMax"/>
          <c:max val="4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Distância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7322463"/>
        <c:crosses val="autoZero"/>
        <c:crossBetween val="midCat"/>
        <c:majorUnit val="0.5"/>
      </c:valAx>
      <c:valAx>
        <c:axId val="707322463"/>
        <c:scaling>
          <c:orientation val="minMax"/>
          <c:max val="1151"/>
          <c:min val="642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elevação</a:t>
                </a:r>
                <a:r>
                  <a:rPr lang="pt-BR" baseline="0"/>
                  <a:t> (</a:t>
                </a:r>
                <a:r>
                  <a:rPr lang="pt-BR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0791663"/>
        <c:crossesAt val="0"/>
        <c:crossBetween val="midCat"/>
        <c:majorUnit val="10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/>
              <a:t>Hidrograma Adimensional</a:t>
            </a:r>
          </a:p>
        </c:rich>
      </c:tx>
      <c:layout>
        <c:manualLayout>
          <c:xMode val="edge"/>
          <c:yMode val="edge"/>
          <c:x val="0.251293215044952"/>
          <c:y val="1.7093468411989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9082928946078451"/>
          <c:y val="0.10933610534259312"/>
          <c:w val="0.73915690975396309"/>
          <c:h val="0.7239534834734328"/>
        </c:manualLayout>
      </c:layout>
      <c:scatterChart>
        <c:scatterStyle val="lineMarker"/>
        <c:varyColors val="0"/>
        <c:ser>
          <c:idx val="4"/>
          <c:order val="0"/>
          <c:tx>
            <c:v>qp</c:v>
          </c:tx>
          <c:spPr>
            <a:ln w="952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1587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marker>
          <c:xVal>
            <c:numRef>
              <c:f>'BC06 (HUT)'!$F$54:$F$156</c:f>
              <c:numCache>
                <c:formatCode>0.00</c:formatCode>
                <c:ptCount val="103"/>
                <c:pt idx="0">
                  <c:v>0</c:v>
                </c:pt>
                <c:pt idx="1">
                  <c:v>0.10187529601408161</c:v>
                </c:pt>
                <c:pt idx="2">
                  <c:v>0.20375059202816323</c:v>
                </c:pt>
                <c:pt idx="3">
                  <c:v>0.30562588804224483</c:v>
                </c:pt>
                <c:pt idx="4">
                  <c:v>0.40750118405632646</c:v>
                </c:pt>
                <c:pt idx="5">
                  <c:v>0.50937648007040803</c:v>
                </c:pt>
                <c:pt idx="6">
                  <c:v>0.61125177608448966</c:v>
                </c:pt>
                <c:pt idx="7">
                  <c:v>0.71312707209857118</c:v>
                </c:pt>
                <c:pt idx="8">
                  <c:v>0.81500236811265292</c:v>
                </c:pt>
                <c:pt idx="9">
                  <c:v>0.91687766412673444</c:v>
                </c:pt>
                <c:pt idx="10">
                  <c:v>1.0187529601408161</c:v>
                </c:pt>
                <c:pt idx="11">
                  <c:v>1.1206282561548977</c:v>
                </c:pt>
                <c:pt idx="12">
                  <c:v>1.2225035521689793</c:v>
                </c:pt>
                <c:pt idx="13">
                  <c:v>1.324378848183061</c:v>
                </c:pt>
                <c:pt idx="14">
                  <c:v>1.4262541441971424</c:v>
                </c:pt>
                <c:pt idx="15">
                  <c:v>1.5281294402112242</c:v>
                </c:pt>
                <c:pt idx="16">
                  <c:v>1.6300047362253058</c:v>
                </c:pt>
                <c:pt idx="17">
                  <c:v>1.7318800322393872</c:v>
                </c:pt>
                <c:pt idx="18">
                  <c:v>1.8337553282534689</c:v>
                </c:pt>
                <c:pt idx="19">
                  <c:v>1.9356306242675505</c:v>
                </c:pt>
                <c:pt idx="20">
                  <c:v>2.0375059202816321</c:v>
                </c:pt>
                <c:pt idx="21">
                  <c:v>2.139381216295714</c:v>
                </c:pt>
                <c:pt idx="22">
                  <c:v>2.2412565123097954</c:v>
                </c:pt>
                <c:pt idx="23">
                  <c:v>2.3431318083238768</c:v>
                </c:pt>
                <c:pt idx="24">
                  <c:v>2.4450071043379586</c:v>
                </c:pt>
                <c:pt idx="25">
                  <c:v>2.5468824003520401</c:v>
                </c:pt>
                <c:pt idx="26">
                  <c:v>2.6487576963661219</c:v>
                </c:pt>
                <c:pt idx="27">
                  <c:v>2.7506329923802038</c:v>
                </c:pt>
                <c:pt idx="28">
                  <c:v>2.8525082883942847</c:v>
                </c:pt>
                <c:pt idx="29">
                  <c:v>2.9543835844083666</c:v>
                </c:pt>
                <c:pt idx="30">
                  <c:v>3.0562588804224484</c:v>
                </c:pt>
                <c:pt idx="31">
                  <c:v>3.1581341764365298</c:v>
                </c:pt>
                <c:pt idx="32">
                  <c:v>3.2600094724506117</c:v>
                </c:pt>
                <c:pt idx="33">
                  <c:v>3.3618847684646926</c:v>
                </c:pt>
                <c:pt idx="34">
                  <c:v>3.4637600644787745</c:v>
                </c:pt>
                <c:pt idx="35">
                  <c:v>3.5656353604928563</c:v>
                </c:pt>
                <c:pt idx="36">
                  <c:v>3.6675106565069377</c:v>
                </c:pt>
                <c:pt idx="37">
                  <c:v>3.7693859525210196</c:v>
                </c:pt>
                <c:pt idx="38">
                  <c:v>3.871261248535101</c:v>
                </c:pt>
                <c:pt idx="39">
                  <c:v>3.9731365445491824</c:v>
                </c:pt>
                <c:pt idx="40">
                  <c:v>4.0750118405632643</c:v>
                </c:pt>
                <c:pt idx="41">
                  <c:v>4.1768871365773457</c:v>
                </c:pt>
                <c:pt idx="42">
                  <c:v>4.278762432591428</c:v>
                </c:pt>
                <c:pt idx="43">
                  <c:v>4.3806377286055085</c:v>
                </c:pt>
                <c:pt idx="44">
                  <c:v>4.4825130246195908</c:v>
                </c:pt>
                <c:pt idx="45">
                  <c:v>4.5843883206336722</c:v>
                </c:pt>
                <c:pt idx="46">
                  <c:v>4.6862636166477536</c:v>
                </c:pt>
                <c:pt idx="47">
                  <c:v>4.7881389126618359</c:v>
                </c:pt>
                <c:pt idx="48">
                  <c:v>4.8900142086759173</c:v>
                </c:pt>
                <c:pt idx="49">
                  <c:v>4.9918895046899987</c:v>
                </c:pt>
                <c:pt idx="50">
                  <c:v>5.0937648007040801</c:v>
                </c:pt>
                <c:pt idx="51">
                  <c:v>5.1956400967181615</c:v>
                </c:pt>
                <c:pt idx="52">
                  <c:v>5.2975153927322438</c:v>
                </c:pt>
                <c:pt idx="53">
                  <c:v>5.3993906887463252</c:v>
                </c:pt>
                <c:pt idx="54">
                  <c:v>5.5012659847604075</c:v>
                </c:pt>
                <c:pt idx="55">
                  <c:v>5.603141280774488</c:v>
                </c:pt>
                <c:pt idx="56">
                  <c:v>5.7050165767885694</c:v>
                </c:pt>
                <c:pt idx="57">
                  <c:v>5.8068918728026517</c:v>
                </c:pt>
                <c:pt idx="58">
                  <c:v>5.9087671688167331</c:v>
                </c:pt>
                <c:pt idx="59">
                  <c:v>6.0106424648308154</c:v>
                </c:pt>
                <c:pt idx="60">
                  <c:v>6.1125177608448968</c:v>
                </c:pt>
                <c:pt idx="61">
                  <c:v>6.2143930568589774</c:v>
                </c:pt>
                <c:pt idx="62">
                  <c:v>6.3162683528730597</c:v>
                </c:pt>
                <c:pt idx="63">
                  <c:v>6.4181436488871411</c:v>
                </c:pt>
                <c:pt idx="64">
                  <c:v>6.5200189449012234</c:v>
                </c:pt>
                <c:pt idx="65">
                  <c:v>6.6218942409153048</c:v>
                </c:pt>
                <c:pt idx="66">
                  <c:v>6.7237695369293853</c:v>
                </c:pt>
                <c:pt idx="67">
                  <c:v>6.8256448329434676</c:v>
                </c:pt>
                <c:pt idx="68">
                  <c:v>6.927520128957549</c:v>
                </c:pt>
                <c:pt idx="69">
                  <c:v>7.0293954249716313</c:v>
                </c:pt>
                <c:pt idx="70">
                  <c:v>7.1312707209857127</c:v>
                </c:pt>
                <c:pt idx="71">
                  <c:v>7.2331460169997941</c:v>
                </c:pt>
                <c:pt idx="72">
                  <c:v>7.3350213130138755</c:v>
                </c:pt>
                <c:pt idx="73">
                  <c:v>7.4368966090279569</c:v>
                </c:pt>
                <c:pt idx="74">
                  <c:v>7.5387719050420392</c:v>
                </c:pt>
                <c:pt idx="75">
                  <c:v>7.6406472010561206</c:v>
                </c:pt>
                <c:pt idx="76">
                  <c:v>7.742522497070202</c:v>
                </c:pt>
                <c:pt idx="77">
                  <c:v>7.8443977930842843</c:v>
                </c:pt>
                <c:pt idx="78">
                  <c:v>7.9462730890983648</c:v>
                </c:pt>
                <c:pt idx="79">
                  <c:v>8.048148385112448</c:v>
                </c:pt>
                <c:pt idx="80">
                  <c:v>8.1500236811265285</c:v>
                </c:pt>
                <c:pt idx="81">
                  <c:v>8.251898977140609</c:v>
                </c:pt>
                <c:pt idx="82">
                  <c:v>8.3537742731546913</c:v>
                </c:pt>
                <c:pt idx="83">
                  <c:v>8.4556495691687736</c:v>
                </c:pt>
                <c:pt idx="84">
                  <c:v>8.5575248651828559</c:v>
                </c:pt>
                <c:pt idx="85">
                  <c:v>8.6594001611969365</c:v>
                </c:pt>
                <c:pt idx="86">
                  <c:v>8.761275457211017</c:v>
                </c:pt>
                <c:pt idx="87">
                  <c:v>8.8631507532250993</c:v>
                </c:pt>
                <c:pt idx="88">
                  <c:v>8.9650260492391816</c:v>
                </c:pt>
                <c:pt idx="89">
                  <c:v>9.0669013452532639</c:v>
                </c:pt>
                <c:pt idx="90">
                  <c:v>9.1687766412673444</c:v>
                </c:pt>
                <c:pt idx="91">
                  <c:v>9.2706519372814267</c:v>
                </c:pt>
                <c:pt idx="92">
                  <c:v>9.3725272332955072</c:v>
                </c:pt>
                <c:pt idx="93">
                  <c:v>9.4744025293095895</c:v>
                </c:pt>
                <c:pt idx="94">
                  <c:v>9.5762778253236718</c:v>
                </c:pt>
                <c:pt idx="95">
                  <c:v>9.6781531213377523</c:v>
                </c:pt>
                <c:pt idx="96">
                  <c:v>9.7800284173518346</c:v>
                </c:pt>
                <c:pt idx="97">
                  <c:v>9.8819037133659151</c:v>
                </c:pt>
                <c:pt idx="98">
                  <c:v>9.9837790093799974</c:v>
                </c:pt>
                <c:pt idx="99">
                  <c:v>10.08565430539408</c:v>
                </c:pt>
                <c:pt idx="100">
                  <c:v>10.18752960140816</c:v>
                </c:pt>
                <c:pt idx="101">
                  <c:v>10.289404897422243</c:v>
                </c:pt>
                <c:pt idx="102">
                  <c:v>10.391280193436323</c:v>
                </c:pt>
              </c:numCache>
            </c:numRef>
          </c:xVal>
          <c:yVal>
            <c:numRef>
              <c:f>'BC06 (HUT)'!$O$54:$O$156</c:f>
              <c:numCache>
                <c:formatCode>0.00</c:formatCode>
                <c:ptCount val="103"/>
                <c:pt idx="0">
                  <c:v>0</c:v>
                </c:pt>
                <c:pt idx="1">
                  <c:v>1.2799974752391305</c:v>
                </c:pt>
                <c:pt idx="2">
                  <c:v>2.5599949504782611</c:v>
                </c:pt>
                <c:pt idx="3">
                  <c:v>3.8399924257173912</c:v>
                </c:pt>
                <c:pt idx="4">
                  <c:v>5.1199899009565222</c:v>
                </c:pt>
                <c:pt idx="5">
                  <c:v>6.3999873761956527</c:v>
                </c:pt>
                <c:pt idx="6">
                  <c:v>9.1747038604382105</c:v>
                </c:pt>
                <c:pt idx="7">
                  <c:v>11.949420344680769</c:v>
                </c:pt>
                <c:pt idx="8">
                  <c:v>14.724136828923331</c:v>
                </c:pt>
                <c:pt idx="9">
                  <c:v>17.498853313165888</c:v>
                </c:pt>
                <c:pt idx="10">
                  <c:v>20.273569797408449</c:v>
                </c:pt>
                <c:pt idx="11">
                  <c:v>24.57867827758551</c:v>
                </c:pt>
                <c:pt idx="12">
                  <c:v>28.883786757762568</c:v>
                </c:pt>
                <c:pt idx="13">
                  <c:v>33.188895237939633</c:v>
                </c:pt>
                <c:pt idx="14">
                  <c:v>36.811849375025183</c:v>
                </c:pt>
                <c:pt idx="15">
                  <c:v>39.07049482592771</c:v>
                </c:pt>
                <c:pt idx="16">
                  <c:v>42.546975078331215</c:v>
                </c:pt>
                <c:pt idx="17">
                  <c:v>46.023455330734706</c:v>
                </c:pt>
                <c:pt idx="18">
                  <c:v>49.49993558313821</c:v>
                </c:pt>
                <c:pt idx="19">
                  <c:v>52.179829058288384</c:v>
                </c:pt>
                <c:pt idx="20">
                  <c:v>53.266548978931915</c:v>
                </c:pt>
                <c:pt idx="21">
                  <c:v>54.35326889957544</c:v>
                </c:pt>
                <c:pt idx="22">
                  <c:v>55.439988820218964</c:v>
                </c:pt>
                <c:pt idx="23">
                  <c:v>56.526708740862489</c:v>
                </c:pt>
                <c:pt idx="24">
                  <c:v>56.797830531936128</c:v>
                </c:pt>
                <c:pt idx="25">
                  <c:v>55.437756063870012</c:v>
                </c:pt>
                <c:pt idx="26">
                  <c:v>54.077681595803881</c:v>
                </c:pt>
                <c:pt idx="27">
                  <c:v>52.71760712773775</c:v>
                </c:pt>
                <c:pt idx="28">
                  <c:v>51.357532659671634</c:v>
                </c:pt>
                <c:pt idx="29">
                  <c:v>49.348432459069052</c:v>
                </c:pt>
                <c:pt idx="30">
                  <c:v>46.041280793393575</c:v>
                </c:pt>
                <c:pt idx="31">
                  <c:v>42.734129127718106</c:v>
                </c:pt>
                <c:pt idx="32">
                  <c:v>39.426977462042629</c:v>
                </c:pt>
                <c:pt idx="33">
                  <c:v>36.119825796367167</c:v>
                </c:pt>
                <c:pt idx="34">
                  <c:v>32.81267413069169</c:v>
                </c:pt>
                <c:pt idx="35">
                  <c:v>29.50552246501622</c:v>
                </c:pt>
                <c:pt idx="36">
                  <c:v>26.198370799340744</c:v>
                </c:pt>
                <c:pt idx="37">
                  <c:v>23.28211656622333</c:v>
                </c:pt>
                <c:pt idx="38">
                  <c:v>20.741430454583274</c:v>
                </c:pt>
                <c:pt idx="39">
                  <c:v>18.200744342943203</c:v>
                </c:pt>
                <c:pt idx="40">
                  <c:v>15.66005823130314</c:v>
                </c:pt>
                <c:pt idx="41">
                  <c:v>13.119372119663073</c:v>
                </c:pt>
                <c:pt idx="42">
                  <c:v>11.035157082628842</c:v>
                </c:pt>
                <c:pt idx="43">
                  <c:v>9.3895122937453337</c:v>
                </c:pt>
                <c:pt idx="44">
                  <c:v>7.7438675048618091</c:v>
                </c:pt>
                <c:pt idx="45">
                  <c:v>6.0982227159782862</c:v>
                </c:pt>
                <c:pt idx="46">
                  <c:v>4.4525779270947687</c:v>
                </c:pt>
                <c:pt idx="47">
                  <c:v>3.2742983585265732</c:v>
                </c:pt>
                <c:pt idx="48">
                  <c:v>2.5450559624182096</c:v>
                </c:pt>
                <c:pt idx="49">
                  <c:v>1.8158135663098387</c:v>
                </c:pt>
                <c:pt idx="50">
                  <c:v>1.0865711702014684</c:v>
                </c:pt>
                <c:pt idx="51">
                  <c:v>0.35732877409310115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BD-42C6-9AFE-FC67119D1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86952"/>
        <c:axId val="1"/>
      </c:scatterChart>
      <c:valAx>
        <c:axId val="28498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 (hora)</a:t>
                </a:r>
              </a:p>
            </c:rich>
          </c:tx>
          <c:layout>
            <c:manualLayout>
              <c:xMode val="edge"/>
              <c:yMode val="edge"/>
              <c:x val="0.41875464661939882"/>
              <c:y val="0.926191216543791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Qp (m³/s)</a:t>
                </a:r>
              </a:p>
            </c:rich>
          </c:tx>
          <c:layout>
            <c:manualLayout>
              <c:xMode val="edge"/>
              <c:yMode val="edge"/>
              <c:x val="1.7756558710704147E-2"/>
              <c:y val="0.282014477489676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4986952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58" footer="0.31496062000000058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/>
              <a:t>Hidrograma Triangular</a:t>
            </a:r>
          </a:p>
        </c:rich>
      </c:tx>
      <c:layout>
        <c:manualLayout>
          <c:xMode val="edge"/>
          <c:yMode val="edge"/>
          <c:x val="0.29265054457266476"/>
          <c:y val="1.27388535031847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8843144606924131"/>
          <c:y val="0.11257970142267248"/>
          <c:w val="0.74045744281964754"/>
          <c:h val="0.723148937592991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'BC06 (HUT)'!$U$160</c:f>
              <c:strCache>
                <c:ptCount val="1"/>
                <c:pt idx="0">
                  <c:v>Q (m³/s)</c:v>
                </c:pt>
              </c:strCache>
            </c:strRef>
          </c:tx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'BC06 (HUT)'!$T$161:$T$163</c:f>
              <c:numCache>
                <c:formatCode>0.00</c:formatCode>
                <c:ptCount val="3"/>
                <c:pt idx="0">
                  <c:v>0</c:v>
                </c:pt>
                <c:pt idx="1">
                  <c:v>1.3922957121924486</c:v>
                </c:pt>
                <c:pt idx="2">
                  <c:v>3.7174295515538378</c:v>
                </c:pt>
              </c:numCache>
            </c:numRef>
          </c:xVal>
          <c:yVal>
            <c:numRef>
              <c:f>'BC06 (HUT)'!$U$161:$U$163</c:f>
              <c:numCache>
                <c:formatCode>0.00</c:formatCode>
                <c:ptCount val="3"/>
                <c:pt idx="0">
                  <c:v>0</c:v>
                </c:pt>
                <c:pt idx="1">
                  <c:v>56.797830531936128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86-4D16-910B-EF7E1E849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161168"/>
        <c:axId val="1"/>
      </c:scatterChart>
      <c:valAx>
        <c:axId val="28516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Tempo (hora)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 (m³/s)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5161168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75" footer="0.3149606200000007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'PERFIL BC06 (HUT)'!$P$27</c:f>
          <c:strCache>
            <c:ptCount val="1"/>
            <c:pt idx="0">
              <c:v>Perfil Longitudinal - Córrego Palmeira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Cota (m)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6"/>
              <c:layout>
                <c:manualLayout>
                  <c:x val="-1.4687279081597412E-2"/>
                  <c:y val="-3.39277296204491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752-4A3D-B2FD-2BD957D2817D}"/>
                </c:ext>
              </c:extLst>
            </c:dLbl>
            <c:dLbl>
              <c:idx val="7"/>
              <c:layout>
                <c:manualLayout>
                  <c:x val="-2.5178192711309718E-2"/>
                  <c:y val="-3.65375549758684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752-4A3D-B2FD-2BD957D2817D}"/>
                </c:ext>
              </c:extLst>
            </c:dLbl>
            <c:dLbl>
              <c:idx val="8"/>
              <c:layout>
                <c:manualLayout>
                  <c:x val="-2.9374558163194748E-2"/>
                  <c:y val="-3.91473803312874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752-4A3D-B2FD-2BD957D2817D}"/>
                </c:ext>
              </c:extLst>
            </c:dLbl>
            <c:dLbl>
              <c:idx val="9"/>
              <c:layout>
                <c:manualLayout>
                  <c:x val="-3.3570923615079622E-2"/>
                  <c:y val="-4.17572056867066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752-4A3D-B2FD-2BD957D2817D}"/>
                </c:ext>
              </c:extLst>
            </c:dLbl>
            <c:dLbl>
              <c:idx val="10"/>
              <c:layout>
                <c:manualLayout>
                  <c:x val="-3.1472740889137145E-2"/>
                  <c:y val="-3.39277296204492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752-4A3D-B2FD-2BD957D2817D}"/>
                </c:ext>
              </c:extLst>
            </c:dLbl>
            <c:dLbl>
              <c:idx val="11"/>
              <c:layout>
                <c:manualLayout>
                  <c:x val="-3.3570923615079622E-2"/>
                  <c:y val="-3.6537554975868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752-4A3D-B2FD-2BD957D2817D}"/>
                </c:ext>
              </c:extLst>
            </c:dLbl>
            <c:dLbl>
              <c:idx val="12"/>
              <c:layout>
                <c:manualLayout>
                  <c:x val="-6.294548177827429E-2"/>
                  <c:y val="-6.52456338854793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752-4A3D-B2FD-2BD957D2817D}"/>
                </c:ext>
              </c:extLst>
            </c:dLbl>
            <c:dLbl>
              <c:idx val="13"/>
              <c:layout>
                <c:manualLayout>
                  <c:x val="-1.4687279081597488E-2"/>
                  <c:y val="-7.82947606625750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752-4A3D-B2FD-2BD957D281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og"/>
            <c:dispRSqr val="0"/>
            <c:dispEq val="0"/>
          </c:trendline>
          <c:xVal>
            <c:numRef>
              <c:f>'PERFIL BC06 (HUT)'!$E$3:$E$16</c:f>
              <c:numCache>
                <c:formatCode>0.00</c:formatCode>
                <c:ptCount val="14"/>
                <c:pt idx="0" formatCode="0">
                  <c:v>0</c:v>
                </c:pt>
                <c:pt idx="1">
                  <c:v>0.75</c:v>
                </c:pt>
                <c:pt idx="2">
                  <c:v>1.5</c:v>
                </c:pt>
                <c:pt idx="3">
                  <c:v>2.25</c:v>
                </c:pt>
                <c:pt idx="4">
                  <c:v>3</c:v>
                </c:pt>
                <c:pt idx="5">
                  <c:v>3.75</c:v>
                </c:pt>
                <c:pt idx="6">
                  <c:v>4.5</c:v>
                </c:pt>
                <c:pt idx="7">
                  <c:v>5.25</c:v>
                </c:pt>
                <c:pt idx="8">
                  <c:v>6</c:v>
                </c:pt>
                <c:pt idx="9">
                  <c:v>6.75</c:v>
                </c:pt>
                <c:pt idx="10">
                  <c:v>7.5</c:v>
                </c:pt>
                <c:pt idx="11">
                  <c:v>8.25</c:v>
                </c:pt>
                <c:pt idx="12">
                  <c:v>9</c:v>
                </c:pt>
                <c:pt idx="13">
                  <c:v>9.217249068243289</c:v>
                </c:pt>
              </c:numCache>
            </c:numRef>
          </c:xVal>
          <c:yVal>
            <c:numRef>
              <c:f>'PERFIL BC06 (HUT)'!$C$3:$C$16</c:f>
              <c:numCache>
                <c:formatCode>General</c:formatCode>
                <c:ptCount val="14"/>
                <c:pt idx="0">
                  <c:v>1222</c:v>
                </c:pt>
                <c:pt idx="1">
                  <c:v>1141</c:v>
                </c:pt>
                <c:pt idx="2">
                  <c:v>1009</c:v>
                </c:pt>
                <c:pt idx="3">
                  <c:v>923</c:v>
                </c:pt>
                <c:pt idx="4">
                  <c:v>820</c:v>
                </c:pt>
                <c:pt idx="5">
                  <c:v>764</c:v>
                </c:pt>
                <c:pt idx="6">
                  <c:v>738</c:v>
                </c:pt>
                <c:pt idx="7">
                  <c:v>716</c:v>
                </c:pt>
                <c:pt idx="8">
                  <c:v>691</c:v>
                </c:pt>
                <c:pt idx="9">
                  <c:v>676</c:v>
                </c:pt>
                <c:pt idx="10">
                  <c:v>668</c:v>
                </c:pt>
                <c:pt idx="11">
                  <c:v>653</c:v>
                </c:pt>
                <c:pt idx="12">
                  <c:v>645</c:v>
                </c:pt>
                <c:pt idx="13">
                  <c:v>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52-4A3D-B2FD-2BD957D28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91663"/>
        <c:axId val="707322463"/>
      </c:scatterChart>
      <c:valAx>
        <c:axId val="810791663"/>
        <c:scaling>
          <c:orientation val="minMax"/>
          <c:max val="9.2299999999999986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Distância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7322463"/>
        <c:crosses val="autoZero"/>
        <c:crossBetween val="midCat"/>
        <c:minorUnit val="2"/>
      </c:valAx>
      <c:valAx>
        <c:axId val="707322463"/>
        <c:scaling>
          <c:orientation val="minMax"/>
          <c:max val="1222"/>
          <c:min val="639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elevação</a:t>
                </a:r>
                <a:r>
                  <a:rPr lang="pt-BR" baseline="0"/>
                  <a:t> (</a:t>
                </a:r>
                <a:r>
                  <a:rPr lang="pt-BR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0791663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'PERFIL BC07'!$B$34</c:f>
          <c:strCache>
            <c:ptCount val="1"/>
            <c:pt idx="0">
              <c:v>Perfil Longitudinal - Córrego Barreiro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Cota (m)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2.1401747022924108E-3"/>
                  <c:y val="-6.11615640504848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A3F-49EB-95C8-AE6685B7E520}"/>
                </c:ext>
              </c:extLst>
            </c:dLbl>
            <c:dLbl>
              <c:idx val="1"/>
              <c:layout>
                <c:manualLayout>
                  <c:x val="-1.928867159273126E-2"/>
                  <c:y val="-0.114835131713786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3F-49EB-95C8-AE6685B7E520}"/>
                </c:ext>
              </c:extLst>
            </c:dLbl>
            <c:dLbl>
              <c:idx val="2"/>
              <c:layout>
                <c:manualLayout>
                  <c:x val="-2.7861414522834041E-2"/>
                  <c:y val="-0.145457833504129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A3F-49EB-95C8-AE6685B7E520}"/>
                </c:ext>
              </c:extLst>
            </c:dLbl>
            <c:dLbl>
              <c:idx val="3"/>
              <c:layout>
                <c:manualLayout>
                  <c:x val="-1.5011751802735646E-2"/>
                  <c:y val="-0.137856376490750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3F-49EB-95C8-AE6685B7E520}"/>
                </c:ext>
              </c:extLst>
            </c:dLbl>
            <c:dLbl>
              <c:idx val="4"/>
              <c:layout>
                <c:manualLayout>
                  <c:x val="-3.214778598788539E-2"/>
                  <c:y val="-0.168424859846886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3F-49EB-95C8-AE6685B7E520}"/>
                </c:ext>
              </c:extLst>
            </c:dLbl>
            <c:dLbl>
              <c:idx val="5"/>
              <c:layout>
                <c:manualLayout>
                  <c:x val="-3.6434157452936822E-2"/>
                  <c:y val="-0.168424859846886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3F-49EB-95C8-AE6685B7E520}"/>
                </c:ext>
              </c:extLst>
            </c:dLbl>
            <c:dLbl>
              <c:idx val="6"/>
              <c:layout>
                <c:manualLayout>
                  <c:x val="0"/>
                  <c:y val="-0.114632595011165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A3F-49EB-95C8-AE6685B7E520}"/>
                </c:ext>
              </c:extLst>
            </c:dLbl>
            <c:dLbl>
              <c:idx val="7"/>
              <c:layout>
                <c:manualLayout>
                  <c:x val="-2.7894002789400279E-2"/>
                  <c:y val="-0.133440506023210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3F-49EB-95C8-AE6685B7E520}"/>
                </c:ext>
              </c:extLst>
            </c:dLbl>
            <c:dLbl>
              <c:idx val="8"/>
              <c:layout>
                <c:manualLayout>
                  <c:x val="-4.1841004184100625E-2"/>
                  <c:y val="-9.09821631976433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A3F-49EB-95C8-AE6685B7E520}"/>
                </c:ext>
              </c:extLst>
            </c:dLbl>
            <c:dLbl>
              <c:idx val="9"/>
              <c:layout>
                <c:manualLayout>
                  <c:x val="-3.6262203626220464E-2"/>
                  <c:y val="-9.09821631976433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3F-49EB-95C8-AE6685B7E520}"/>
                </c:ext>
              </c:extLst>
            </c:dLbl>
            <c:dLbl>
              <c:idx val="10"/>
              <c:layout>
                <c:manualLayout>
                  <c:x val="-3.6262203626220464E-2"/>
                  <c:y val="-9.09821631976433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A3F-49EB-95C8-AE6685B7E520}"/>
                </c:ext>
              </c:extLst>
            </c:dLbl>
            <c:dLbl>
              <c:idx val="11"/>
              <c:layout>
                <c:manualLayout>
                  <c:x val="-2.7448138020404354E-3"/>
                  <c:y val="-0.197548305319901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08-420C-BD1E-838397E4C3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og"/>
            <c:dispRSqr val="0"/>
            <c:dispEq val="0"/>
          </c:trendline>
          <c:xVal>
            <c:numRef>
              <c:f>'PERFIL BC07'!$E$3:$E$14</c:f>
              <c:numCache>
                <c:formatCode>0.00</c:formatCode>
                <c:ptCount val="12"/>
                <c:pt idx="0" formatCode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5.0370615192364543</c:v>
                </c:pt>
              </c:numCache>
            </c:numRef>
          </c:xVal>
          <c:yVal>
            <c:numRef>
              <c:f>'PERFIL BC07'!$C$3:$C$14</c:f>
              <c:numCache>
                <c:formatCode>General</c:formatCode>
                <c:ptCount val="12"/>
                <c:pt idx="0">
                  <c:v>1047</c:v>
                </c:pt>
                <c:pt idx="1">
                  <c:v>867</c:v>
                </c:pt>
                <c:pt idx="2">
                  <c:v>798</c:v>
                </c:pt>
                <c:pt idx="3">
                  <c:v>732</c:v>
                </c:pt>
                <c:pt idx="4">
                  <c:v>699</c:v>
                </c:pt>
                <c:pt idx="5">
                  <c:v>675</c:v>
                </c:pt>
                <c:pt idx="6">
                  <c:v>658</c:v>
                </c:pt>
                <c:pt idx="7">
                  <c:v>647</c:v>
                </c:pt>
                <c:pt idx="8">
                  <c:v>639</c:v>
                </c:pt>
                <c:pt idx="9">
                  <c:v>633</c:v>
                </c:pt>
                <c:pt idx="10">
                  <c:v>624</c:v>
                </c:pt>
                <c:pt idx="11">
                  <c:v>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A3F-49EB-95C8-AE6685B7E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91663"/>
        <c:axId val="707322463"/>
      </c:scatterChart>
      <c:valAx>
        <c:axId val="810791663"/>
        <c:scaling>
          <c:orientation val="minMax"/>
          <c:max val="5.05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Distância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7322463"/>
        <c:crosses val="autoZero"/>
        <c:crossBetween val="midCat"/>
        <c:majorUnit val="0.5"/>
      </c:valAx>
      <c:valAx>
        <c:axId val="707322463"/>
        <c:scaling>
          <c:orientation val="minMax"/>
          <c:max val="1047"/>
          <c:min val="623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elevação</a:t>
                </a:r>
                <a:r>
                  <a:rPr lang="pt-BR" baseline="0"/>
                  <a:t> (</a:t>
                </a:r>
                <a:r>
                  <a:rPr lang="pt-BR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0791663"/>
        <c:crossesAt val="0"/>
        <c:crossBetween val="midCat"/>
        <c:majorUnit val="10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'PERFIL BC08'!$B$33</c:f>
          <c:strCache>
            <c:ptCount val="1"/>
            <c:pt idx="0">
              <c:v>Perfil Longitudinal - Córrego Fundo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Cota (m)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2.1401747022924108E-3"/>
                  <c:y val="-6.11615640504848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1D1-4BA5-B073-FCF0EBFBD119}"/>
                </c:ext>
              </c:extLst>
            </c:dLbl>
            <c:dLbl>
              <c:idx val="1"/>
              <c:layout>
                <c:manualLayout>
                  <c:x val="-1.928867159273126E-2"/>
                  <c:y val="-0.114835131713786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D1-4BA5-B073-FCF0EBFBD119}"/>
                </c:ext>
              </c:extLst>
            </c:dLbl>
            <c:dLbl>
              <c:idx val="2"/>
              <c:layout>
                <c:manualLayout>
                  <c:x val="-2.7861414522834041E-2"/>
                  <c:y val="-0.145457833504129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1D1-4BA5-B073-FCF0EBFBD119}"/>
                </c:ext>
              </c:extLst>
            </c:dLbl>
            <c:dLbl>
              <c:idx val="3"/>
              <c:layout>
                <c:manualLayout>
                  <c:x val="-1.5011751802735646E-2"/>
                  <c:y val="-0.137856376490750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D1-4BA5-B073-FCF0EBFBD119}"/>
                </c:ext>
              </c:extLst>
            </c:dLbl>
            <c:dLbl>
              <c:idx val="4"/>
              <c:layout>
                <c:manualLayout>
                  <c:x val="-3.214778598788539E-2"/>
                  <c:y val="-0.168424859846886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1D1-4BA5-B073-FCF0EBFBD119}"/>
                </c:ext>
              </c:extLst>
            </c:dLbl>
            <c:dLbl>
              <c:idx val="5"/>
              <c:layout>
                <c:manualLayout>
                  <c:x val="-3.6434157452936822E-2"/>
                  <c:y val="-0.168424859846886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D1-4BA5-B073-FCF0EBFBD119}"/>
                </c:ext>
              </c:extLst>
            </c:dLbl>
            <c:dLbl>
              <c:idx val="6"/>
              <c:layout>
                <c:manualLayout>
                  <c:x val="0"/>
                  <c:y val="-0.114632595011165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1D1-4BA5-B073-FCF0EBFBD119}"/>
                </c:ext>
              </c:extLst>
            </c:dLbl>
            <c:dLbl>
              <c:idx val="7"/>
              <c:layout>
                <c:manualLayout>
                  <c:x val="-2.7894002789400279E-2"/>
                  <c:y val="-0.133440506023210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D1-4BA5-B073-FCF0EBFBD119}"/>
                </c:ext>
              </c:extLst>
            </c:dLbl>
            <c:dLbl>
              <c:idx val="8"/>
              <c:layout>
                <c:manualLayout>
                  <c:x val="-4.1841004184100625E-2"/>
                  <c:y val="-9.09821631976433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1D1-4BA5-B073-FCF0EBFBD119}"/>
                </c:ext>
              </c:extLst>
            </c:dLbl>
            <c:dLbl>
              <c:idx val="9"/>
              <c:layout>
                <c:manualLayout>
                  <c:x val="-3.6262203626220464E-2"/>
                  <c:y val="-9.09821631976433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1D1-4BA5-B073-FCF0EBFBD119}"/>
                </c:ext>
              </c:extLst>
            </c:dLbl>
            <c:dLbl>
              <c:idx val="10"/>
              <c:layout>
                <c:manualLayout>
                  <c:x val="-2.7448138020404354E-3"/>
                  <c:y val="-0.197548305319901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1D1-4BA5-B073-FCF0EBFBD1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og"/>
            <c:dispRSqr val="0"/>
            <c:dispEq val="0"/>
          </c:trendline>
          <c:xVal>
            <c:numRef>
              <c:f>'PERFIL BC08'!$E$3:$E$13</c:f>
              <c:numCache>
                <c:formatCode>0.00</c:formatCode>
                <c:ptCount val="11"/>
                <c:pt idx="0" formatCode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4.5538123586517587</c:v>
                </c:pt>
              </c:numCache>
            </c:numRef>
          </c:xVal>
          <c:yVal>
            <c:numRef>
              <c:f>'PERFIL BC08'!$C$3:$C$13</c:f>
              <c:numCache>
                <c:formatCode>General</c:formatCode>
                <c:ptCount val="11"/>
                <c:pt idx="0">
                  <c:v>996</c:v>
                </c:pt>
                <c:pt idx="1">
                  <c:v>845</c:v>
                </c:pt>
                <c:pt idx="2">
                  <c:v>744</c:v>
                </c:pt>
                <c:pt idx="3">
                  <c:v>692</c:v>
                </c:pt>
                <c:pt idx="4">
                  <c:v>670</c:v>
                </c:pt>
                <c:pt idx="5">
                  <c:v>658</c:v>
                </c:pt>
                <c:pt idx="6">
                  <c:v>647</c:v>
                </c:pt>
                <c:pt idx="7">
                  <c:v>643</c:v>
                </c:pt>
                <c:pt idx="8">
                  <c:v>636</c:v>
                </c:pt>
                <c:pt idx="9">
                  <c:v>628</c:v>
                </c:pt>
                <c:pt idx="10">
                  <c:v>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D1-4BA5-B073-FCF0EBFBD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91663"/>
        <c:axId val="707322463"/>
      </c:scatterChart>
      <c:valAx>
        <c:axId val="810791663"/>
        <c:scaling>
          <c:orientation val="minMax"/>
          <c:max val="4.5599999999999996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Distância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7322463"/>
        <c:crosses val="autoZero"/>
        <c:crossBetween val="midCat"/>
        <c:majorUnit val="0.5"/>
      </c:valAx>
      <c:valAx>
        <c:axId val="707322463"/>
        <c:scaling>
          <c:orientation val="minMax"/>
          <c:max val="996"/>
          <c:min val="627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elevação</a:t>
                </a:r>
                <a:r>
                  <a:rPr lang="pt-BR" baseline="0"/>
                  <a:t> (</a:t>
                </a:r>
                <a:r>
                  <a:rPr lang="pt-BR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0791663"/>
        <c:crossesAt val="0"/>
        <c:crossBetween val="midCat"/>
        <c:majorUnit val="10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/>
              <a:t>Hidrograma Adimensional</a:t>
            </a:r>
          </a:p>
        </c:rich>
      </c:tx>
      <c:layout>
        <c:manualLayout>
          <c:xMode val="edge"/>
          <c:yMode val="edge"/>
          <c:x val="0.251293215044952"/>
          <c:y val="1.7093468411989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9082928946078451"/>
          <c:y val="0.10933610534259312"/>
          <c:w val="0.73915690975396309"/>
          <c:h val="0.7239534834734328"/>
        </c:manualLayout>
      </c:layout>
      <c:scatterChart>
        <c:scatterStyle val="lineMarker"/>
        <c:varyColors val="0"/>
        <c:ser>
          <c:idx val="4"/>
          <c:order val="0"/>
          <c:tx>
            <c:v>qp</c:v>
          </c:tx>
          <c:spPr>
            <a:ln w="952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1587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marker>
          <c:xVal>
            <c:numRef>
              <c:f>'BC09 (HUT)'!$F$54:$F$156</c:f>
              <c:numCache>
                <c:formatCode>0.00</c:formatCode>
                <c:ptCount val="103"/>
                <c:pt idx="0">
                  <c:v>0</c:v>
                </c:pt>
                <c:pt idx="1">
                  <c:v>7.7535728503462242E-2</c:v>
                </c:pt>
                <c:pt idx="2">
                  <c:v>0.15507145700692448</c:v>
                </c:pt>
                <c:pt idx="3">
                  <c:v>0.23260718551038673</c:v>
                </c:pt>
                <c:pt idx="4">
                  <c:v>0.31014291401384897</c:v>
                </c:pt>
                <c:pt idx="5">
                  <c:v>0.38767864251731121</c:v>
                </c:pt>
                <c:pt idx="6">
                  <c:v>0.46521437102077345</c:v>
                </c:pt>
                <c:pt idx="7">
                  <c:v>0.5427500995242357</c:v>
                </c:pt>
                <c:pt idx="8">
                  <c:v>0.62028582802769794</c:v>
                </c:pt>
                <c:pt idx="9">
                  <c:v>0.69782155653116018</c:v>
                </c:pt>
                <c:pt idx="10">
                  <c:v>0.77535728503462242</c:v>
                </c:pt>
                <c:pt idx="11">
                  <c:v>0.85289301353808478</c:v>
                </c:pt>
                <c:pt idx="12">
                  <c:v>0.93042874204154691</c:v>
                </c:pt>
                <c:pt idx="13">
                  <c:v>1.0079644705450093</c:v>
                </c:pt>
                <c:pt idx="14">
                  <c:v>1.0855001990484714</c:v>
                </c:pt>
                <c:pt idx="15">
                  <c:v>1.1630359275519337</c:v>
                </c:pt>
                <c:pt idx="16">
                  <c:v>1.2405716560553959</c:v>
                </c:pt>
                <c:pt idx="17">
                  <c:v>1.318107384558858</c:v>
                </c:pt>
                <c:pt idx="18">
                  <c:v>1.3956431130623204</c:v>
                </c:pt>
                <c:pt idx="19">
                  <c:v>1.4731788415657825</c:v>
                </c:pt>
                <c:pt idx="20">
                  <c:v>1.5507145700692448</c:v>
                </c:pt>
                <c:pt idx="21">
                  <c:v>1.6282502985727072</c:v>
                </c:pt>
                <c:pt idx="22">
                  <c:v>1.7057860270761696</c:v>
                </c:pt>
                <c:pt idx="23">
                  <c:v>1.7833217555796315</c:v>
                </c:pt>
                <c:pt idx="24">
                  <c:v>1.8608574840830938</c:v>
                </c:pt>
                <c:pt idx="25">
                  <c:v>1.9383932125865559</c:v>
                </c:pt>
                <c:pt idx="26">
                  <c:v>2.0159289410900185</c:v>
                </c:pt>
                <c:pt idx="27">
                  <c:v>2.0934646695934807</c:v>
                </c:pt>
                <c:pt idx="28">
                  <c:v>2.1710003980969428</c:v>
                </c:pt>
                <c:pt idx="29">
                  <c:v>2.2485361266004049</c:v>
                </c:pt>
                <c:pt idx="30">
                  <c:v>2.3260718551038675</c:v>
                </c:pt>
                <c:pt idx="31">
                  <c:v>2.4036075836073296</c:v>
                </c:pt>
                <c:pt idx="32">
                  <c:v>2.4811433121107918</c:v>
                </c:pt>
                <c:pt idx="33">
                  <c:v>2.5586790406142539</c:v>
                </c:pt>
                <c:pt idx="34">
                  <c:v>2.636214769117716</c:v>
                </c:pt>
                <c:pt idx="35">
                  <c:v>2.7137504976211786</c:v>
                </c:pt>
                <c:pt idx="36">
                  <c:v>2.7912862261246407</c:v>
                </c:pt>
                <c:pt idx="37">
                  <c:v>2.8688219546281033</c:v>
                </c:pt>
                <c:pt idx="38">
                  <c:v>2.946357683131565</c:v>
                </c:pt>
                <c:pt idx="39">
                  <c:v>3.0238934116350276</c:v>
                </c:pt>
                <c:pt idx="40">
                  <c:v>3.1014291401384897</c:v>
                </c:pt>
                <c:pt idx="41">
                  <c:v>3.1789648686419518</c:v>
                </c:pt>
                <c:pt idx="42">
                  <c:v>3.2565005971454144</c:v>
                </c:pt>
                <c:pt idx="43">
                  <c:v>3.3340363256488761</c:v>
                </c:pt>
                <c:pt idx="44">
                  <c:v>3.4115720541523391</c:v>
                </c:pt>
                <c:pt idx="45">
                  <c:v>3.4891077826558008</c:v>
                </c:pt>
                <c:pt idx="46">
                  <c:v>3.5666435111592629</c:v>
                </c:pt>
                <c:pt idx="47">
                  <c:v>3.6441792396627255</c:v>
                </c:pt>
                <c:pt idx="48">
                  <c:v>3.7217149681661876</c:v>
                </c:pt>
                <c:pt idx="49">
                  <c:v>3.7992506966696502</c:v>
                </c:pt>
                <c:pt idx="50">
                  <c:v>3.8767864251731119</c:v>
                </c:pt>
                <c:pt idx="51">
                  <c:v>3.954322153676574</c:v>
                </c:pt>
                <c:pt idx="52">
                  <c:v>4.031857882180037</c:v>
                </c:pt>
                <c:pt idx="53">
                  <c:v>4.1093936106834983</c:v>
                </c:pt>
                <c:pt idx="54">
                  <c:v>4.1869293391869613</c:v>
                </c:pt>
                <c:pt idx="55">
                  <c:v>4.2644650676904234</c:v>
                </c:pt>
                <c:pt idx="56">
                  <c:v>4.3420007961938856</c:v>
                </c:pt>
                <c:pt idx="57">
                  <c:v>4.4195365246973477</c:v>
                </c:pt>
                <c:pt idx="58">
                  <c:v>4.4970722532008098</c:v>
                </c:pt>
                <c:pt idx="59">
                  <c:v>4.5746079817042729</c:v>
                </c:pt>
                <c:pt idx="60">
                  <c:v>4.652143710207735</c:v>
                </c:pt>
                <c:pt idx="61">
                  <c:v>4.7296794387111962</c:v>
                </c:pt>
                <c:pt idx="62">
                  <c:v>4.8072151672146592</c:v>
                </c:pt>
                <c:pt idx="63">
                  <c:v>4.8847508957181214</c:v>
                </c:pt>
                <c:pt idx="64">
                  <c:v>4.9622866242215835</c:v>
                </c:pt>
                <c:pt idx="65">
                  <c:v>5.0398223527250456</c:v>
                </c:pt>
                <c:pt idx="66">
                  <c:v>5.1173580812285078</c:v>
                </c:pt>
                <c:pt idx="67">
                  <c:v>5.1948938097319708</c:v>
                </c:pt>
                <c:pt idx="68">
                  <c:v>5.272429538235432</c:v>
                </c:pt>
                <c:pt idx="69">
                  <c:v>5.3499652667388951</c:v>
                </c:pt>
                <c:pt idx="70">
                  <c:v>5.4275009952423572</c:v>
                </c:pt>
                <c:pt idx="71">
                  <c:v>5.5050367237458193</c:v>
                </c:pt>
                <c:pt idx="72">
                  <c:v>5.5825724522492814</c:v>
                </c:pt>
                <c:pt idx="73">
                  <c:v>5.6601081807527436</c:v>
                </c:pt>
                <c:pt idx="74">
                  <c:v>5.7376439092562066</c:v>
                </c:pt>
                <c:pt idx="75">
                  <c:v>5.8151796377596678</c:v>
                </c:pt>
                <c:pt idx="76">
                  <c:v>5.89271536626313</c:v>
                </c:pt>
                <c:pt idx="77">
                  <c:v>5.970251094766593</c:v>
                </c:pt>
                <c:pt idx="78">
                  <c:v>6.0477868232700551</c:v>
                </c:pt>
                <c:pt idx="79">
                  <c:v>6.1253225517735173</c:v>
                </c:pt>
                <c:pt idx="80">
                  <c:v>6.2028582802769794</c:v>
                </c:pt>
                <c:pt idx="81">
                  <c:v>6.2803940087804415</c:v>
                </c:pt>
                <c:pt idx="82">
                  <c:v>6.3579297372839036</c:v>
                </c:pt>
                <c:pt idx="83">
                  <c:v>6.4354654657873667</c:v>
                </c:pt>
                <c:pt idx="84">
                  <c:v>6.5130011942908288</c:v>
                </c:pt>
                <c:pt idx="85">
                  <c:v>6.5905369227942909</c:v>
                </c:pt>
                <c:pt idx="86">
                  <c:v>6.6680726512977522</c:v>
                </c:pt>
                <c:pt idx="87">
                  <c:v>6.7456083798012143</c:v>
                </c:pt>
                <c:pt idx="88">
                  <c:v>6.8231441083046782</c:v>
                </c:pt>
                <c:pt idx="89">
                  <c:v>6.9006798368081395</c:v>
                </c:pt>
                <c:pt idx="90">
                  <c:v>6.9782155653116016</c:v>
                </c:pt>
                <c:pt idx="91">
                  <c:v>7.0557512938150637</c:v>
                </c:pt>
                <c:pt idx="92">
                  <c:v>7.1332870223185258</c:v>
                </c:pt>
                <c:pt idx="93">
                  <c:v>7.2108227508219889</c:v>
                </c:pt>
                <c:pt idx="94">
                  <c:v>7.288358479325451</c:v>
                </c:pt>
                <c:pt idx="95">
                  <c:v>7.3658942078289131</c:v>
                </c:pt>
                <c:pt idx="96">
                  <c:v>7.4434299363323753</c:v>
                </c:pt>
                <c:pt idx="97">
                  <c:v>7.5209656648358374</c:v>
                </c:pt>
                <c:pt idx="98">
                  <c:v>7.5985013933393004</c:v>
                </c:pt>
                <c:pt idx="99">
                  <c:v>7.6760371218427625</c:v>
                </c:pt>
                <c:pt idx="100">
                  <c:v>7.7535728503462238</c:v>
                </c:pt>
                <c:pt idx="101">
                  <c:v>7.8311085788496859</c:v>
                </c:pt>
                <c:pt idx="102">
                  <c:v>7.9086443073531481</c:v>
                </c:pt>
              </c:numCache>
            </c:numRef>
          </c:xVal>
          <c:yVal>
            <c:numRef>
              <c:f>'BC09 (HUT)'!$O$54:$O$156</c:f>
              <c:numCache>
                <c:formatCode>0.00</c:formatCode>
                <c:ptCount val="103"/>
                <c:pt idx="0">
                  <c:v>0</c:v>
                </c:pt>
                <c:pt idx="1">
                  <c:v>0.36765762604908747</c:v>
                </c:pt>
                <c:pt idx="2">
                  <c:v>0.73531525209817494</c:v>
                </c:pt>
                <c:pt idx="3">
                  <c:v>1.1029728781472625</c:v>
                </c:pt>
                <c:pt idx="4">
                  <c:v>1.4706305041963499</c:v>
                </c:pt>
                <c:pt idx="5">
                  <c:v>1.8382881302454377</c:v>
                </c:pt>
                <c:pt idx="6">
                  <c:v>3.1976789662882421</c:v>
                </c:pt>
                <c:pt idx="7">
                  <c:v>4.5570698023310472</c:v>
                </c:pt>
                <c:pt idx="8">
                  <c:v>5.9164606383738523</c:v>
                </c:pt>
                <c:pt idx="9">
                  <c:v>7.2758514744166565</c:v>
                </c:pt>
                <c:pt idx="10">
                  <c:v>8.6352423104594624</c:v>
                </c:pt>
                <c:pt idx="11">
                  <c:v>10.952621024124424</c:v>
                </c:pt>
                <c:pt idx="12">
                  <c:v>13.269999737789387</c:v>
                </c:pt>
                <c:pt idx="13">
                  <c:v>15.587378451454345</c:v>
                </c:pt>
                <c:pt idx="14">
                  <c:v>17.904757165119314</c:v>
                </c:pt>
                <c:pt idx="15">
                  <c:v>19.928229932212098</c:v>
                </c:pt>
                <c:pt idx="16">
                  <c:v>22.653516350977316</c:v>
                </c:pt>
                <c:pt idx="17">
                  <c:v>25.378802769742524</c:v>
                </c:pt>
                <c:pt idx="18">
                  <c:v>28.104089188507743</c:v>
                </c:pt>
                <c:pt idx="19">
                  <c:v>30.829375607272958</c:v>
                </c:pt>
                <c:pt idx="20">
                  <c:v>32.76186931026475</c:v>
                </c:pt>
                <c:pt idx="21">
                  <c:v>33.901570297483126</c:v>
                </c:pt>
                <c:pt idx="22">
                  <c:v>35.041271284701494</c:v>
                </c:pt>
                <c:pt idx="23">
                  <c:v>36.18097227191987</c:v>
                </c:pt>
                <c:pt idx="24">
                  <c:v>37.320673259138246</c:v>
                </c:pt>
                <c:pt idx="25">
                  <c:v>37.694557589694597</c:v>
                </c:pt>
                <c:pt idx="26">
                  <c:v>37.302625263588922</c:v>
                </c:pt>
                <c:pt idx="27">
                  <c:v>36.91069293748324</c:v>
                </c:pt>
                <c:pt idx="28">
                  <c:v>36.518760611377573</c:v>
                </c:pt>
                <c:pt idx="29">
                  <c:v>36.126828285271898</c:v>
                </c:pt>
                <c:pt idx="30">
                  <c:v>34.93891651985092</c:v>
                </c:pt>
                <c:pt idx="31">
                  <c:v>32.955025315114653</c:v>
                </c:pt>
                <c:pt idx="32">
                  <c:v>30.97113411037839</c:v>
                </c:pt>
                <c:pt idx="33">
                  <c:v>28.987242905642127</c:v>
                </c:pt>
                <c:pt idx="34">
                  <c:v>27.00335170090586</c:v>
                </c:pt>
                <c:pt idx="35">
                  <c:v>25.019460496169593</c:v>
                </c:pt>
                <c:pt idx="36">
                  <c:v>23.035569291433319</c:v>
                </c:pt>
                <c:pt idx="37">
                  <c:v>21.051678086697056</c:v>
                </c:pt>
                <c:pt idx="38">
                  <c:v>19.067786881960792</c:v>
                </c:pt>
                <c:pt idx="39">
                  <c:v>17.146639643346681</c:v>
                </c:pt>
                <c:pt idx="40">
                  <c:v>15.382902705705671</c:v>
                </c:pt>
                <c:pt idx="41">
                  <c:v>13.619165768064665</c:v>
                </c:pt>
                <c:pt idx="42">
                  <c:v>11.855428830423659</c:v>
                </c:pt>
                <c:pt idx="43">
                  <c:v>10.091691892782663</c:v>
                </c:pt>
                <c:pt idx="44">
                  <c:v>8.4972028382843003</c:v>
                </c:pt>
                <c:pt idx="45">
                  <c:v>7.3273181221964157</c:v>
                </c:pt>
                <c:pt idx="46">
                  <c:v>6.1574334061085372</c:v>
                </c:pt>
                <c:pt idx="47">
                  <c:v>4.9875486900206552</c:v>
                </c:pt>
                <c:pt idx="48">
                  <c:v>3.8176639739327802</c:v>
                </c:pt>
                <c:pt idx="49">
                  <c:v>2.8112682070199404</c:v>
                </c:pt>
                <c:pt idx="50">
                  <c:v>2.215028926633948</c:v>
                </c:pt>
                <c:pt idx="51">
                  <c:v>1.6187896462479596</c:v>
                </c:pt>
                <c:pt idx="52">
                  <c:v>1.0225503658619675</c:v>
                </c:pt>
                <c:pt idx="53">
                  <c:v>0.42631108547598223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0F-49C3-855F-4A69B890D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86952"/>
        <c:axId val="1"/>
      </c:scatterChart>
      <c:valAx>
        <c:axId val="28498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 (hora)</a:t>
                </a:r>
              </a:p>
            </c:rich>
          </c:tx>
          <c:layout>
            <c:manualLayout>
              <c:xMode val="edge"/>
              <c:yMode val="edge"/>
              <c:x val="0.41875464661939882"/>
              <c:y val="0.926191216543791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Qp (m³/s)</a:t>
                </a:r>
              </a:p>
            </c:rich>
          </c:tx>
          <c:layout>
            <c:manualLayout>
              <c:xMode val="edge"/>
              <c:yMode val="edge"/>
              <c:x val="1.7756558710704147E-2"/>
              <c:y val="0.282014477489676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4986952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58" footer="0.31496062000000058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/>
              <a:t>Hidrograma Triangular</a:t>
            </a:r>
          </a:p>
        </c:rich>
      </c:tx>
      <c:layout>
        <c:manualLayout>
          <c:xMode val="edge"/>
          <c:yMode val="edge"/>
          <c:x val="0.29265054457266476"/>
          <c:y val="1.27388535031847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8843144606924131"/>
          <c:y val="0.11257970142267248"/>
          <c:w val="0.74045744281964754"/>
          <c:h val="0.723148937592991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'BC09 (HUT)'!$U$160</c:f>
              <c:strCache>
                <c:ptCount val="1"/>
                <c:pt idx="0">
                  <c:v>Q (m³/s)</c:v>
                </c:pt>
              </c:strCache>
            </c:strRef>
          </c:tx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'BC09 (HUT)'!$T$161:$T$163</c:f>
              <c:numCache>
                <c:formatCode>0.00</c:formatCode>
                <c:ptCount val="3"/>
                <c:pt idx="0">
                  <c:v>0</c:v>
                </c:pt>
                <c:pt idx="1">
                  <c:v>1.1242680633002025</c:v>
                </c:pt>
                <c:pt idx="2">
                  <c:v>3.0017957290115405</c:v>
                </c:pt>
              </c:numCache>
            </c:numRef>
          </c:xVal>
          <c:yVal>
            <c:numRef>
              <c:f>'BC09 (HUT)'!$U$161:$U$163</c:f>
              <c:numCache>
                <c:formatCode>0.00</c:formatCode>
                <c:ptCount val="3"/>
                <c:pt idx="0">
                  <c:v>0</c:v>
                </c:pt>
                <c:pt idx="1">
                  <c:v>37.694557589694597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91-4007-8F34-5C36E7965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161168"/>
        <c:axId val="1"/>
      </c:scatterChart>
      <c:valAx>
        <c:axId val="28516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Tempo (hora)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Vazão (m³/s)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5161168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75" footer="0.3149606200000007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'PERFIL BC09 (HUT)'!$P$26</c:f>
          <c:strCache>
            <c:ptCount val="1"/>
            <c:pt idx="0">
              <c:v>Perfil Longitudinal - Córrego Lavandeira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Cota (m)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4"/>
              <c:layout>
                <c:manualLayout>
                  <c:x val="-1.4687279081597412E-2"/>
                  <c:y val="-3.80261803193771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281-4B0D-AF2B-46761F516E5C}"/>
                </c:ext>
              </c:extLst>
            </c:dLbl>
            <c:dLbl>
              <c:idx val="5"/>
              <c:layout>
                <c:manualLayout>
                  <c:x val="-2.5178192711309794E-2"/>
                  <c:y val="-4.34584917935738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281-4B0D-AF2B-46761F516E5C}"/>
                </c:ext>
              </c:extLst>
            </c:dLbl>
            <c:dLbl>
              <c:idx val="6"/>
              <c:layout>
                <c:manualLayout>
                  <c:x val="-1.4687279081597412E-2"/>
                  <c:y val="-3.39277296204491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81-4B0D-AF2B-46761F516E5C}"/>
                </c:ext>
              </c:extLst>
            </c:dLbl>
            <c:dLbl>
              <c:idx val="7"/>
              <c:layout>
                <c:manualLayout>
                  <c:x val="-2.5178192711309718E-2"/>
                  <c:y val="-3.65375549758684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81-4B0D-AF2B-46761F516E5C}"/>
                </c:ext>
              </c:extLst>
            </c:dLbl>
            <c:dLbl>
              <c:idx val="8"/>
              <c:layout>
                <c:manualLayout>
                  <c:x val="-2.9374558163194748E-2"/>
                  <c:y val="-3.91473803312874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281-4B0D-AF2B-46761F516E5C}"/>
                </c:ext>
              </c:extLst>
            </c:dLbl>
            <c:dLbl>
              <c:idx val="9"/>
              <c:layout>
                <c:manualLayout>
                  <c:x val="-3.3570923615079622E-2"/>
                  <c:y val="-4.17572056867066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81-4B0D-AF2B-46761F516E5C}"/>
                </c:ext>
              </c:extLst>
            </c:dLbl>
            <c:dLbl>
              <c:idx val="10"/>
              <c:layout>
                <c:manualLayout>
                  <c:x val="-3.1472740889137145E-2"/>
                  <c:y val="-3.39277296204492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281-4B0D-AF2B-46761F516E5C}"/>
                </c:ext>
              </c:extLst>
            </c:dLbl>
            <c:dLbl>
              <c:idx val="11"/>
              <c:layout>
                <c:manualLayout>
                  <c:x val="-3.3570923615079622E-2"/>
                  <c:y val="-3.6537554975868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281-4B0D-AF2B-46761F516E5C}"/>
                </c:ext>
              </c:extLst>
            </c:dLbl>
            <c:dLbl>
              <c:idx val="12"/>
              <c:layout>
                <c:manualLayout>
                  <c:x val="-1.0490913629712382E-2"/>
                  <c:y val="-4.02686128314617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281-4B0D-AF2B-46761F516E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og"/>
            <c:dispRSqr val="0"/>
            <c:dispEq val="0"/>
          </c:trendline>
          <c:xVal>
            <c:numRef>
              <c:f>'PERFIL BC09 (HUT)'!$E$3:$E$15</c:f>
              <c:numCache>
                <c:formatCode>0.00</c:formatCode>
                <c:ptCount val="13"/>
                <c:pt idx="0" formatCode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5.832545936297505</c:v>
                </c:pt>
              </c:numCache>
            </c:numRef>
          </c:xVal>
          <c:yVal>
            <c:numRef>
              <c:f>'PERFIL BC09 (HUT)'!$C$3:$C$15</c:f>
              <c:numCache>
                <c:formatCode>General</c:formatCode>
                <c:ptCount val="13"/>
                <c:pt idx="0">
                  <c:v>1133</c:v>
                </c:pt>
                <c:pt idx="1">
                  <c:v>938</c:v>
                </c:pt>
                <c:pt idx="2">
                  <c:v>804</c:v>
                </c:pt>
                <c:pt idx="3">
                  <c:v>723</c:v>
                </c:pt>
                <c:pt idx="4">
                  <c:v>689</c:v>
                </c:pt>
                <c:pt idx="5">
                  <c:v>664</c:v>
                </c:pt>
                <c:pt idx="6">
                  <c:v>650</c:v>
                </c:pt>
                <c:pt idx="7">
                  <c:v>643</c:v>
                </c:pt>
                <c:pt idx="8">
                  <c:v>635</c:v>
                </c:pt>
                <c:pt idx="9">
                  <c:v>625</c:v>
                </c:pt>
                <c:pt idx="10">
                  <c:v>616</c:v>
                </c:pt>
                <c:pt idx="11">
                  <c:v>613</c:v>
                </c:pt>
                <c:pt idx="12">
                  <c:v>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281-4B0D-AF2B-46761F516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91663"/>
        <c:axId val="707322463"/>
      </c:scatterChart>
      <c:valAx>
        <c:axId val="810791663"/>
        <c:scaling>
          <c:orientation val="minMax"/>
          <c:max val="5.84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Distância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7322463"/>
        <c:crosses val="autoZero"/>
        <c:crossBetween val="midCat"/>
        <c:minorUnit val="2"/>
      </c:valAx>
      <c:valAx>
        <c:axId val="707322463"/>
        <c:scaling>
          <c:orientation val="minMax"/>
          <c:max val="1133"/>
          <c:min val="609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elevação</a:t>
                </a:r>
                <a:r>
                  <a:rPr lang="pt-BR" baseline="0"/>
                  <a:t> (</a:t>
                </a:r>
                <a:r>
                  <a:rPr lang="pt-BR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0791663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'PERFIL BC10'!$B$30</c:f>
          <c:strCache>
            <c:ptCount val="1"/>
            <c:pt idx="0">
              <c:v>Perfil Longitudinal - Sem talvegue permanente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Cota (m)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3.4290971720411144E-2"/>
                  <c:y val="-9.18681053710290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B2-4E9A-BB1E-3852FE35E7A4}"/>
                </c:ext>
              </c:extLst>
            </c:dLbl>
            <c:dLbl>
              <c:idx val="1"/>
              <c:layout>
                <c:manualLayout>
                  <c:x val="-3.2147785987885452E-2"/>
                  <c:y val="-9.18681053710289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4B2-4E9A-BB1E-3852FE35E7A4}"/>
                </c:ext>
              </c:extLst>
            </c:dLbl>
            <c:dLbl>
              <c:idx val="2"/>
              <c:layout>
                <c:manualLayout>
                  <c:x val="-3.429097172041113E-2"/>
                  <c:y val="-9.95237808186147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B2-4E9A-BB1E-3852FE35E7A4}"/>
                </c:ext>
              </c:extLst>
            </c:dLbl>
            <c:dLbl>
              <c:idx val="3"/>
              <c:layout>
                <c:manualLayout>
                  <c:x val="-4.2863714650513869E-2"/>
                  <c:y val="-9.95237808186147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4B2-4E9A-BB1E-3852FE35E7A4}"/>
                </c:ext>
              </c:extLst>
            </c:dLbl>
            <c:dLbl>
              <c:idx val="4"/>
              <c:layout>
                <c:manualLayout>
                  <c:x val="-4.0720528917988212E-2"/>
                  <c:y val="-7.65567544758574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4B2-4E9A-BB1E-3852FE35E7A4}"/>
                </c:ext>
              </c:extLst>
            </c:dLbl>
            <c:dLbl>
              <c:idx val="5"/>
              <c:layout>
                <c:manualLayout>
                  <c:x val="-3.6723163841808015E-2"/>
                  <c:y val="-0.10959435368265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4B2-4E9A-BB1E-3852FE35E7A4}"/>
                </c:ext>
              </c:extLst>
            </c:dLbl>
            <c:dLbl>
              <c:idx val="6"/>
              <c:layout>
                <c:manualLayout>
                  <c:x val="-4.2372881355932306E-2"/>
                  <c:y val="-0.116041080369869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72-48D5-B828-4B9E087B9181}"/>
                </c:ext>
              </c:extLst>
            </c:dLbl>
            <c:dLbl>
              <c:idx val="7"/>
              <c:layout>
                <c:manualLayout>
                  <c:x val="-5.3672316384180789E-2"/>
                  <c:y val="-7.09139935593648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9C5-4677-8031-FE3DB62876F6}"/>
                </c:ext>
              </c:extLst>
            </c:dLbl>
            <c:dLbl>
              <c:idx val="8"/>
              <c:layout>
                <c:manualLayout>
                  <c:x val="-1.432069931936474E-2"/>
                  <c:y val="-7.89744323834818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CD-443C-9757-10A59F464D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og"/>
            <c:dispRSqr val="0"/>
            <c:dispEq val="0"/>
          </c:trendline>
          <c:xVal>
            <c:numRef>
              <c:f>'PERFIL BC10'!$E$3:$E$11</c:f>
              <c:numCache>
                <c:formatCode>0.00</c:formatCode>
                <c:ptCount val="9"/>
                <c:pt idx="0" formatCode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3.7917068081139047</c:v>
                </c:pt>
              </c:numCache>
            </c:numRef>
          </c:xVal>
          <c:yVal>
            <c:numRef>
              <c:f>'PERFIL BC10'!$C$3:$C$11</c:f>
              <c:numCache>
                <c:formatCode>0</c:formatCode>
                <c:ptCount val="9"/>
                <c:pt idx="0">
                  <c:v>845</c:v>
                </c:pt>
                <c:pt idx="1">
                  <c:v>762</c:v>
                </c:pt>
                <c:pt idx="2">
                  <c:v>694</c:v>
                </c:pt>
                <c:pt idx="3">
                  <c:v>666</c:v>
                </c:pt>
                <c:pt idx="4">
                  <c:v>651</c:v>
                </c:pt>
                <c:pt idx="5">
                  <c:v>639</c:v>
                </c:pt>
                <c:pt idx="6">
                  <c:v>635</c:v>
                </c:pt>
                <c:pt idx="7">
                  <c:v>632</c:v>
                </c:pt>
                <c:pt idx="8">
                  <c:v>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A4-45D8-8BAB-8B4828AFE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91663"/>
        <c:axId val="707322463"/>
      </c:scatterChart>
      <c:valAx>
        <c:axId val="810791663"/>
        <c:scaling>
          <c:orientation val="minMax"/>
          <c:max val="3.8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Distância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7322463"/>
        <c:crosses val="autoZero"/>
        <c:crossBetween val="midCat"/>
        <c:majorUnit val="0.5"/>
      </c:valAx>
      <c:valAx>
        <c:axId val="707322463"/>
        <c:scaling>
          <c:orientation val="minMax"/>
          <c:max val="845"/>
          <c:min val="629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elevação</a:t>
                </a:r>
                <a:r>
                  <a:rPr lang="pt-BR" baseline="0"/>
                  <a:t> (</a:t>
                </a:r>
                <a:r>
                  <a:rPr lang="pt-BR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0791663"/>
        <c:crossesAt val="0"/>
        <c:crossBetween val="midCat"/>
        <c:majorUnit val="50"/>
        <c:min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'PERFIL BC11'!$B$39</c:f>
          <c:strCache>
            <c:ptCount val="1"/>
            <c:pt idx="0">
              <c:v>Perfil Longitudinal - Córrego Landim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Cota (m)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4.0720528917988212E-2"/>
                  <c:y val="-9.95237808186147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F5-49CB-84D1-B91435FF0783}"/>
                </c:ext>
              </c:extLst>
            </c:dLbl>
            <c:dLbl>
              <c:idx val="1"/>
              <c:layout>
                <c:manualLayout>
                  <c:x val="1.7471064524577481E-3"/>
                  <c:y val="-0.122139976929062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BF5-49CB-84D1-B91435FF0783}"/>
                </c:ext>
              </c:extLst>
            </c:dLbl>
            <c:dLbl>
              <c:idx val="2"/>
              <c:layout>
                <c:manualLayout>
                  <c:x val="-2.7866224047469929E-2"/>
                  <c:y val="-9.15712849260845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F5-49CB-84D1-B91435FF0783}"/>
                </c:ext>
              </c:extLst>
            </c:dLbl>
            <c:dLbl>
              <c:idx val="3"/>
              <c:layout>
                <c:manualLayout>
                  <c:x val="-3.6434129703882941E-2"/>
                  <c:y val="-8.39020333595895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BF5-49CB-84D1-B91435FF0783}"/>
                </c:ext>
              </c:extLst>
            </c:dLbl>
            <c:dLbl>
              <c:idx val="4"/>
              <c:layout>
                <c:manualLayout>
                  <c:x val="-8.4925690021231421E-3"/>
                  <c:y val="-0.114632595011165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BF5-49CB-84D1-B91435FF0783}"/>
                </c:ext>
              </c:extLst>
            </c:dLbl>
            <c:dLbl>
              <c:idx val="5"/>
              <c:layout>
                <c:manualLayout>
                  <c:x val="-2.8308563340411512E-3"/>
                  <c:y val="-0.114632595011165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44-4531-8D72-934700EC49B3}"/>
                </c:ext>
              </c:extLst>
            </c:dLbl>
            <c:dLbl>
              <c:idx val="6"/>
              <c:layout>
                <c:manualLayout>
                  <c:x val="-5.661712668082095E-3"/>
                  <c:y val="-0.137559114013398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44-4531-8D72-934700EC49B3}"/>
                </c:ext>
              </c:extLst>
            </c:dLbl>
            <c:dLbl>
              <c:idx val="7"/>
              <c:layout>
                <c:manualLayout>
                  <c:x val="-2.8308563340410475E-3"/>
                  <c:y val="-0.129916941012654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44-4531-8D72-934700EC49B3}"/>
                </c:ext>
              </c:extLst>
            </c:dLbl>
            <c:dLbl>
              <c:idx val="8"/>
              <c:layout>
                <c:manualLayout>
                  <c:x val="-1.5594538718865666E-2"/>
                  <c:y val="-7.30398015157772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8E-4614-BFA8-F401DCE8ABF9}"/>
                </c:ext>
              </c:extLst>
            </c:dLbl>
            <c:dLbl>
              <c:idx val="9"/>
              <c:layout>
                <c:manualLayout>
                  <c:x val="-1.5594538718865666E-2"/>
                  <c:y val="-6.81704814147254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EF-408D-A5CF-DD421A07A1E4}"/>
                </c:ext>
              </c:extLst>
            </c:dLbl>
            <c:dLbl>
              <c:idx val="10"/>
              <c:layout>
                <c:manualLayout>
                  <c:x val="-2.5990897864776111E-2"/>
                  <c:y val="-8.76477618189326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EF-408D-A5CF-DD421A07A1E4}"/>
                </c:ext>
              </c:extLst>
            </c:dLbl>
            <c:dLbl>
              <c:idx val="11"/>
              <c:layout>
                <c:manualLayout>
                  <c:x val="-3.1189077437731333E-2"/>
                  <c:y val="-8.2778441717880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EF-408D-A5CF-DD421A07A1E4}"/>
                </c:ext>
              </c:extLst>
            </c:dLbl>
            <c:dLbl>
              <c:idx val="12"/>
              <c:layout>
                <c:manualLayout>
                  <c:x val="-3.898634679716436E-2"/>
                  <c:y val="-6.8170481414725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EF-408D-A5CF-DD421A07A1E4}"/>
                </c:ext>
              </c:extLst>
            </c:dLbl>
            <c:dLbl>
              <c:idx val="13"/>
              <c:layout>
                <c:manualLayout>
                  <c:x val="-4.938270594307461E-2"/>
                  <c:y val="-5.84318412126216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EF-408D-A5CF-DD421A07A1E4}"/>
                </c:ext>
              </c:extLst>
            </c:dLbl>
            <c:dLbl>
              <c:idx val="14"/>
              <c:layout>
                <c:manualLayout>
                  <c:x val="-3.2143010114071238E-2"/>
                  <c:y val="-0.1144298066409882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2FF-417F-8EA5-4B155757A7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og"/>
            <c:dispRSqr val="0"/>
            <c:dispEq val="0"/>
          </c:trendline>
          <c:xVal>
            <c:numRef>
              <c:f>'PERFIL BC11'!$E$3:$E$17</c:f>
              <c:numCache>
                <c:formatCode>0.00</c:formatCode>
                <c:ptCount val="15"/>
                <c:pt idx="0" formatCode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1.3600747739946264</c:v>
                </c:pt>
              </c:numCache>
            </c:numRef>
          </c:xVal>
          <c:yVal>
            <c:numRef>
              <c:f>'PERFIL BC11'!$C$3:$C$17</c:f>
              <c:numCache>
                <c:formatCode>0</c:formatCode>
                <c:ptCount val="15"/>
                <c:pt idx="0">
                  <c:v>687</c:v>
                </c:pt>
                <c:pt idx="1">
                  <c:v>678</c:v>
                </c:pt>
                <c:pt idx="2">
                  <c:v>670</c:v>
                </c:pt>
                <c:pt idx="3">
                  <c:v>662</c:v>
                </c:pt>
                <c:pt idx="4">
                  <c:v>655</c:v>
                </c:pt>
                <c:pt idx="5">
                  <c:v>650</c:v>
                </c:pt>
                <c:pt idx="6">
                  <c:v>644</c:v>
                </c:pt>
                <c:pt idx="7">
                  <c:v>641</c:v>
                </c:pt>
                <c:pt idx="8">
                  <c:v>638</c:v>
                </c:pt>
                <c:pt idx="9">
                  <c:v>635</c:v>
                </c:pt>
                <c:pt idx="10">
                  <c:v>634</c:v>
                </c:pt>
                <c:pt idx="11">
                  <c:v>631</c:v>
                </c:pt>
                <c:pt idx="12">
                  <c:v>630</c:v>
                </c:pt>
                <c:pt idx="13">
                  <c:v>629</c:v>
                </c:pt>
                <c:pt idx="14">
                  <c:v>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6A-494E-AE75-79A657F5A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91663"/>
        <c:axId val="707322463"/>
      </c:scatterChart>
      <c:valAx>
        <c:axId val="810791663"/>
        <c:scaling>
          <c:orientation val="minMax"/>
          <c:max val="1.37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Distância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7322463"/>
        <c:crosses val="autoZero"/>
        <c:crossBetween val="midCat"/>
        <c:majorUnit val="0.5"/>
      </c:valAx>
      <c:valAx>
        <c:axId val="707322463"/>
        <c:scaling>
          <c:orientation val="minMax"/>
          <c:max val="687"/>
          <c:min val="628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elevação</a:t>
                </a:r>
                <a:r>
                  <a:rPr lang="pt-BR" baseline="0"/>
                  <a:t> (</a:t>
                </a:r>
                <a:r>
                  <a:rPr lang="pt-BR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0791663"/>
        <c:crossesAt val="0"/>
        <c:crossBetween val="midCat"/>
        <c:majorUnit val="20"/>
        <c:min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'PERFIL BC12'!$B$28</c:f>
          <c:strCache>
            <c:ptCount val="1"/>
            <c:pt idx="0">
              <c:v>Perfil Longitudinal - Sem talvegue permanente</c:v>
            </c:pt>
          </c:strCache>
        </c:strRef>
      </c:tx>
      <c:layout>
        <c:manualLayout>
          <c:xMode val="edge"/>
          <c:yMode val="edge"/>
          <c:x val="0.16756732004244151"/>
          <c:y val="4.58530380044661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Cota (m)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2.3391746244485395E-2"/>
                  <c:y val="-0.10002973781247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1CB-413B-A9E2-6568FCF7E275}"/>
                </c:ext>
              </c:extLst>
            </c:dLbl>
            <c:dLbl>
              <c:idx val="1"/>
              <c:layout>
                <c:manualLayout>
                  <c:x val="-1.928867159273126E-2"/>
                  <c:y val="-0.114835131713786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1CB-413B-A9E2-6568FCF7E275}"/>
                </c:ext>
              </c:extLst>
            </c:dLbl>
            <c:dLbl>
              <c:idx val="2"/>
              <c:layout>
                <c:manualLayout>
                  <c:x val="-2.3575043057782651E-2"/>
                  <c:y val="-0.114835131713786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CB-413B-A9E2-6568FCF7E275}"/>
                </c:ext>
              </c:extLst>
            </c:dLbl>
            <c:dLbl>
              <c:idx val="3"/>
              <c:layout>
                <c:manualLayout>
                  <c:x val="-3.857734318546252E-2"/>
                  <c:y val="-0.114835131713786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23-4676-9A06-D202F87BA810}"/>
                </c:ext>
              </c:extLst>
            </c:dLbl>
            <c:dLbl>
              <c:idx val="4"/>
              <c:layout>
                <c:manualLayout>
                  <c:x val="-4.0720528917988136E-2"/>
                  <c:y val="-8.42124299234433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23-4676-9A06-D202F87BA810}"/>
                </c:ext>
              </c:extLst>
            </c:dLbl>
            <c:dLbl>
              <c:idx val="5"/>
              <c:layout>
                <c:manualLayout>
                  <c:x val="-3.6434157452936822E-2"/>
                  <c:y val="-9.18681053710289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23-4676-9A06-D202F87BA810}"/>
                </c:ext>
              </c:extLst>
            </c:dLbl>
            <c:dLbl>
              <c:idx val="6"/>
              <c:layout>
                <c:manualLayout>
                  <c:x val="-8.5606988091698789E-3"/>
                  <c:y val="-9.93875415820377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115-4A66-AD98-E1354E5A1F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og"/>
            <c:dispRSqr val="0"/>
            <c:dispEq val="0"/>
          </c:trendline>
          <c:xVal>
            <c:numRef>
              <c:f>'PERFIL BC12'!$E$3:$E$9</c:f>
              <c:numCache>
                <c:formatCode>0.00</c:formatCode>
                <c:ptCount val="7"/>
                <c:pt idx="0" formatCode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1.5714890000000001</c:v>
                </c:pt>
              </c:numCache>
            </c:numRef>
          </c:xVal>
          <c:yVal>
            <c:numRef>
              <c:f>'PERFIL BC12'!$C$3:$C$9</c:f>
              <c:numCache>
                <c:formatCode>0</c:formatCode>
                <c:ptCount val="7"/>
                <c:pt idx="0">
                  <c:v>631</c:v>
                </c:pt>
                <c:pt idx="1">
                  <c:v>629</c:v>
                </c:pt>
                <c:pt idx="2">
                  <c:v>628</c:v>
                </c:pt>
                <c:pt idx="3">
                  <c:v>623</c:v>
                </c:pt>
                <c:pt idx="4">
                  <c:v>614</c:v>
                </c:pt>
                <c:pt idx="5">
                  <c:v>613</c:v>
                </c:pt>
                <c:pt idx="6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F4-45D4-97ED-6A175AC29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91663"/>
        <c:axId val="707322463"/>
      </c:scatterChart>
      <c:valAx>
        <c:axId val="810791663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Distância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7322463"/>
        <c:crosses val="autoZero"/>
        <c:crossBetween val="midCat"/>
        <c:majorUnit val="0.5"/>
      </c:valAx>
      <c:valAx>
        <c:axId val="707322463"/>
        <c:scaling>
          <c:orientation val="minMax"/>
          <c:max val="632"/>
          <c:min val="61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elevação</a:t>
                </a:r>
                <a:r>
                  <a:rPr lang="pt-BR" baseline="0"/>
                  <a:t> (</a:t>
                </a:r>
                <a:r>
                  <a:rPr lang="pt-BR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0791663"/>
        <c:crossesAt val="0"/>
        <c:crossBetween val="midCat"/>
        <c:majorUnit val="5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8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10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13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14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15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16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166139</xdr:colOff>
      <xdr:row>2</xdr:row>
      <xdr:rowOff>162243</xdr:rowOff>
    </xdr:from>
    <xdr:to>
      <xdr:col>9</xdr:col>
      <xdr:colOff>365438</xdr:colOff>
      <xdr:row>8</xdr:row>
      <xdr:rowOff>150401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DF013AB-3E0E-4F3B-96D0-061BD4D2D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1933" y1="67154" x2="11933" y2="67154"/>
                      <a14:foregroundMark x1="19411" y1="66479" x2="19411" y2="66479"/>
                      <a14:foregroundMark x1="22355" y1="66479" x2="22355" y2="66479"/>
                      <a14:foregroundMark x1="28083" y1="66142" x2="28083" y2="66142"/>
                      <a14:foregroundMark x1="33333" y1="67154" x2="33333" y2="67154"/>
                      <a14:foregroundMark x1="37550" y1="64679" x2="37550" y2="64679"/>
                      <a14:foregroundMark x1="46460" y1="63667" x2="46460" y2="63667"/>
                      <a14:foregroundMark x1="56165" y1="66817" x2="56165" y2="66817"/>
                      <a14:foregroundMark x1="59666" y1="65354" x2="59666" y2="65354"/>
                      <a14:foregroundMark x1="66348" y1="65354" x2="66348" y2="65354"/>
                      <a14:foregroundMark x1="72076" y1="66479" x2="72076" y2="66479"/>
                      <a14:foregroundMark x1="78043" y1="67492" x2="78043" y2="67492"/>
                      <a14:foregroundMark x1="81305" y1="67829" x2="81305" y2="67829"/>
                      <a14:foregroundMark x1="87749" y1="68166" x2="87749" y2="68166"/>
                      <a14:foregroundMark x1="73349" y1="81890" x2="73349" y2="81890"/>
                      <a14:foregroundMark x1="68656" y1="82565" x2="68656" y2="82565"/>
                      <a14:foregroundMark x1="64360" y1="81890" x2="64360" y2="81890"/>
                      <a14:foregroundMark x1="58711" y1="81552" x2="58711" y2="81552"/>
                      <a14:foregroundMark x1="51949" y1="81215" x2="51949" y2="81215"/>
                      <a14:foregroundMark x1="48449" y1="81552" x2="48449" y2="81552"/>
                      <a14:foregroundMark x1="42482" y1="81552" x2="42482" y2="81552"/>
                      <a14:foregroundMark x1="37550" y1="82565" x2="37550" y2="82565"/>
                      <a14:foregroundMark x1="36834" y1="81890" x2="36834" y2="81890"/>
                      <a14:foregroundMark x1="38504" y1="82227" x2="38504" y2="82227"/>
                      <a14:foregroundMark x1="33095" y1="82227" x2="33095" y2="82227"/>
                      <a14:foregroundMark x1="26571" y1="81552" x2="26571" y2="8155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3389" y="486093"/>
          <a:ext cx="1294674" cy="1016858"/>
        </a:xfrm>
        <a:prstGeom prst="rect">
          <a:avLst/>
        </a:prstGeom>
      </xdr:spPr>
    </xdr:pic>
    <xdr:clientData/>
  </xdr:twoCellAnchor>
  <xdr:twoCellAnchor editAs="oneCell">
    <xdr:from>
      <xdr:col>15</xdr:col>
      <xdr:colOff>358587</xdr:colOff>
      <xdr:row>35</xdr:row>
      <xdr:rowOff>44824</xdr:rowOff>
    </xdr:from>
    <xdr:to>
      <xdr:col>22</xdr:col>
      <xdr:colOff>46176</xdr:colOff>
      <xdr:row>51</xdr:row>
      <xdr:rowOff>34494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67DEA76-CFA4-46B8-B0CF-F912CF941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93112" y="6016999"/>
          <a:ext cx="5316864" cy="2589995"/>
        </a:xfrm>
        <a:prstGeom prst="rect">
          <a:avLst/>
        </a:prstGeom>
      </xdr:spPr>
    </xdr:pic>
    <xdr:clientData/>
  </xdr:twoCellAnchor>
  <xdr:twoCellAnchor editAs="oneCell">
    <xdr:from>
      <xdr:col>16</xdr:col>
      <xdr:colOff>33618</xdr:colOff>
      <xdr:row>25</xdr:row>
      <xdr:rowOff>0</xdr:rowOff>
    </xdr:from>
    <xdr:to>
      <xdr:col>28</xdr:col>
      <xdr:colOff>57592</xdr:colOff>
      <xdr:row>35</xdr:row>
      <xdr:rowOff>28628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FA1DEFA-F83D-40C6-BAB4-AE6105832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49168" y="4352925"/>
          <a:ext cx="8215474" cy="16478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593350</xdr:colOff>
      <xdr:row>17</xdr:row>
      <xdr:rowOff>87409</xdr:rowOff>
    </xdr:from>
    <xdr:to>
      <xdr:col>7</xdr:col>
      <xdr:colOff>533400</xdr:colOff>
      <xdr:row>29</xdr:row>
      <xdr:rowOff>171451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06C65F-1571-40DE-92E1-FF0B8D022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21</xdr:col>
      <xdr:colOff>462327</xdr:colOff>
      <xdr:row>1</xdr:row>
      <xdr:rowOff>379793</xdr:rowOff>
    </xdr:from>
    <xdr:ext cx="929787" cy="376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BFD20C50-ED68-401F-AB7E-6648B7871DF3}"/>
                </a:ext>
              </a:extLst>
            </xdr:cNvPr>
            <xdr:cNvSpPr txBox="1"/>
          </xdr:nvSpPr>
          <xdr:spPr>
            <a:xfrm>
              <a:off x="13502052" y="570293"/>
              <a:ext cx="929787" cy="376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pt-BR" sz="1100" b="0" i="1">
                        <a:latin typeface="Cambria Math" panose="02040503050406030204" pitchFamily="18" charset="0"/>
                      </a:rPr>
                      <m:t>𝑆𝑛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</m:ctrlPr>
                      </m:fPr>
                      <m:num>
                        <m:r>
                          <a:rPr lang="pt-BR" sz="11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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𝐻𝑛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 (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𝑚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)</m:t>
                        </m:r>
                      </m:num>
                      <m:den>
                        <m:r>
                          <a:rPr lang="pt-B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  <a:sym typeface="Symbol" panose="05050102010706020507" pitchFamily="18" charset="2"/>
                          </a:rPr>
                          <m:t>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𝐿𝑛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(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𝑘𝑚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BFD20C50-ED68-401F-AB7E-6648B7871DF3}"/>
                </a:ext>
              </a:extLst>
            </xdr:cNvPr>
            <xdr:cNvSpPr txBox="1"/>
          </xdr:nvSpPr>
          <xdr:spPr>
            <a:xfrm>
              <a:off x="13502052" y="570293"/>
              <a:ext cx="929787" cy="376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𝑆𝑛=</a:t>
              </a:r>
              <a:r>
                <a:rPr lang="pt-BR" sz="1100" i="0">
                  <a:latin typeface="Cambria Math" panose="02040503050406030204" pitchFamily="18" charset="0"/>
                </a:rPr>
                <a:t>(</a:t>
              </a:r>
              <a:r>
                <a:rPr lang="pt-BR" sz="1100" i="0">
                  <a:latin typeface="Cambria Math" panose="02040503050406030204" pitchFamily="18" charset="0"/>
                  <a:sym typeface="Symbol" panose="05050102010706020507" pitchFamily="18" charset="2"/>
                </a:rPr>
                <a:t></a:t>
              </a:r>
              <a:r>
                <a:rPr lang="pt-BR" sz="1100" b="0" i="0">
                  <a:latin typeface="Cambria Math" panose="02040503050406030204" pitchFamily="18" charset="0"/>
                  <a:sym typeface="Symbol" panose="05050102010706020507" pitchFamily="18" charset="2"/>
                </a:rPr>
                <a:t>𝐻𝑛 (𝑚))/(</a:t>
              </a:r>
              <a:r>
                <a:rPr lang="pt-B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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𝐿𝑛 (𝑘𝑚))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16</xdr:col>
      <xdr:colOff>353526</xdr:colOff>
      <xdr:row>23</xdr:row>
      <xdr:rowOff>53482</xdr:rowOff>
    </xdr:from>
    <xdr:ext cx="4108939" cy="1703484"/>
    <xdr:pic>
      <xdr:nvPicPr>
        <xdr:cNvPr id="4" name="Imagem 3">
          <a:extLst>
            <a:ext uri="{FF2B5EF4-FFF2-40B4-BE49-F238E27FC236}">
              <a16:creationId xmlns:a16="http://schemas.microsoft.com/office/drawing/2014/main" id="{8575C77A-9CBA-45ED-9539-36C1FDDCD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45251" y="3330082"/>
          <a:ext cx="4108939" cy="1703484"/>
        </a:xfrm>
        <a:prstGeom prst="rect">
          <a:avLst/>
        </a:prstGeom>
      </xdr:spPr>
    </xdr:pic>
    <xdr:clientData/>
  </xdr:oneCellAnchor>
  <xdr:twoCellAnchor>
    <xdr:from>
      <xdr:col>8</xdr:col>
      <xdr:colOff>85725</xdr:colOff>
      <xdr:row>15</xdr:row>
      <xdr:rowOff>180975</xdr:rowOff>
    </xdr:from>
    <xdr:to>
      <xdr:col>11</xdr:col>
      <xdr:colOff>85725</xdr:colOff>
      <xdr:row>17</xdr:row>
      <xdr:rowOff>0</xdr:rowOff>
    </xdr:to>
    <xdr:sp macro="[0]!GerarFormulaECalcular" textlink="">
      <xdr:nvSpPr>
        <xdr:cNvPr id="5" name="Retângulo 4">
          <a:extLst>
            <a:ext uri="{FF2B5EF4-FFF2-40B4-BE49-F238E27FC236}">
              <a16:creationId xmlns:a16="http://schemas.microsoft.com/office/drawing/2014/main" id="{18731B16-0F59-4FA2-A5B4-09D1A690707E}"/>
            </a:ext>
          </a:extLst>
        </xdr:cNvPr>
        <xdr:cNvSpPr/>
      </xdr:nvSpPr>
      <xdr:spPr>
        <a:xfrm>
          <a:off x="5153025" y="3819525"/>
          <a:ext cx="1790700" cy="21907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ysClr val="windowText" lastClr="000000"/>
              </a:solidFill>
            </a:rPr>
            <a:t>Calcular declividade efetiva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166139</xdr:colOff>
      <xdr:row>2</xdr:row>
      <xdr:rowOff>162243</xdr:rowOff>
    </xdr:from>
    <xdr:to>
      <xdr:col>9</xdr:col>
      <xdr:colOff>365438</xdr:colOff>
      <xdr:row>8</xdr:row>
      <xdr:rowOff>150401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41D07E-3490-4978-AC42-C2EE866BA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1933" y1="67154" x2="11933" y2="67154"/>
                      <a14:foregroundMark x1="19411" y1="66479" x2="19411" y2="66479"/>
                      <a14:foregroundMark x1="22355" y1="66479" x2="22355" y2="66479"/>
                      <a14:foregroundMark x1="28083" y1="66142" x2="28083" y2="66142"/>
                      <a14:foregroundMark x1="33333" y1="67154" x2="33333" y2="67154"/>
                      <a14:foregroundMark x1="37550" y1="64679" x2="37550" y2="64679"/>
                      <a14:foregroundMark x1="46460" y1="63667" x2="46460" y2="63667"/>
                      <a14:foregroundMark x1="56165" y1="66817" x2="56165" y2="66817"/>
                      <a14:foregroundMark x1="59666" y1="65354" x2="59666" y2="65354"/>
                      <a14:foregroundMark x1="66348" y1="65354" x2="66348" y2="65354"/>
                      <a14:foregroundMark x1="72076" y1="66479" x2="72076" y2="66479"/>
                      <a14:foregroundMark x1="78043" y1="67492" x2="78043" y2="67492"/>
                      <a14:foregroundMark x1="81305" y1="67829" x2="81305" y2="67829"/>
                      <a14:foregroundMark x1="87749" y1="68166" x2="87749" y2="68166"/>
                      <a14:foregroundMark x1="73349" y1="81890" x2="73349" y2="81890"/>
                      <a14:foregroundMark x1="68656" y1="82565" x2="68656" y2="82565"/>
                      <a14:foregroundMark x1="64360" y1="81890" x2="64360" y2="81890"/>
                      <a14:foregroundMark x1="58711" y1="81552" x2="58711" y2="81552"/>
                      <a14:foregroundMark x1="51949" y1="81215" x2="51949" y2="81215"/>
                      <a14:foregroundMark x1="48449" y1="81552" x2="48449" y2="81552"/>
                      <a14:foregroundMark x1="42482" y1="81552" x2="42482" y2="81552"/>
                      <a14:foregroundMark x1="37550" y1="82565" x2="37550" y2="82565"/>
                      <a14:foregroundMark x1="36834" y1="81890" x2="36834" y2="81890"/>
                      <a14:foregroundMark x1="38504" y1="82227" x2="38504" y2="82227"/>
                      <a14:foregroundMark x1="33095" y1="82227" x2="33095" y2="82227"/>
                      <a14:foregroundMark x1="26571" y1="81552" x2="26571" y2="8155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3389" y="486093"/>
          <a:ext cx="1294674" cy="1016858"/>
        </a:xfrm>
        <a:prstGeom prst="rect">
          <a:avLst/>
        </a:prstGeom>
      </xdr:spPr>
    </xdr:pic>
    <xdr:clientData/>
  </xdr:twoCellAnchor>
  <xdr:twoCellAnchor editAs="oneCell">
    <xdr:from>
      <xdr:col>15</xdr:col>
      <xdr:colOff>358587</xdr:colOff>
      <xdr:row>35</xdr:row>
      <xdr:rowOff>44824</xdr:rowOff>
    </xdr:from>
    <xdr:to>
      <xdr:col>22</xdr:col>
      <xdr:colOff>493851</xdr:colOff>
      <xdr:row>49</xdr:row>
      <xdr:rowOff>186894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F9287BC-C4D4-437F-B984-B234EF552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93112" y="6016999"/>
          <a:ext cx="5316864" cy="2589995"/>
        </a:xfrm>
        <a:prstGeom prst="rect">
          <a:avLst/>
        </a:prstGeom>
      </xdr:spPr>
    </xdr:pic>
    <xdr:clientData/>
  </xdr:twoCellAnchor>
  <xdr:twoCellAnchor editAs="oneCell">
    <xdr:from>
      <xdr:col>16</xdr:col>
      <xdr:colOff>33618</xdr:colOff>
      <xdr:row>25</xdr:row>
      <xdr:rowOff>0</xdr:rowOff>
    </xdr:from>
    <xdr:to>
      <xdr:col>28</xdr:col>
      <xdr:colOff>505267</xdr:colOff>
      <xdr:row>35</xdr:row>
      <xdr:rowOff>28628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0D25C93-6122-4AB7-83B2-DC98BF71D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49168" y="4352925"/>
          <a:ext cx="8215474" cy="16478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66676</xdr:colOff>
      <xdr:row>15</xdr:row>
      <xdr:rowOff>104775</xdr:rowOff>
    </xdr:from>
    <xdr:to>
      <xdr:col>7</xdr:col>
      <xdr:colOff>523876</xdr:colOff>
      <xdr:row>26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DAA873-5C8D-4D6B-AE8E-18931E5F4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21</xdr:col>
      <xdr:colOff>309927</xdr:colOff>
      <xdr:row>4</xdr:row>
      <xdr:rowOff>141668</xdr:rowOff>
    </xdr:from>
    <xdr:ext cx="929787" cy="376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2DDD78B1-C59C-4C57-B3EF-37AEC0B7C5C5}"/>
                </a:ext>
              </a:extLst>
            </xdr:cNvPr>
            <xdr:cNvSpPr txBox="1"/>
          </xdr:nvSpPr>
          <xdr:spPr>
            <a:xfrm>
              <a:off x="13502052" y="1303718"/>
              <a:ext cx="929787" cy="376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pt-BR" sz="1100" b="0" i="1">
                        <a:latin typeface="Cambria Math" panose="02040503050406030204" pitchFamily="18" charset="0"/>
                      </a:rPr>
                      <m:t>𝑆𝑛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</m:ctrlPr>
                      </m:fPr>
                      <m:num>
                        <m:r>
                          <a:rPr lang="pt-BR" sz="11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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𝐻𝑛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 (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𝑚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)</m:t>
                        </m:r>
                      </m:num>
                      <m:den>
                        <m:r>
                          <a:rPr lang="pt-B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  <a:sym typeface="Symbol" panose="05050102010706020507" pitchFamily="18" charset="2"/>
                          </a:rPr>
                          <m:t>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𝐿𝑛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(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𝑘𝑚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2DDD78B1-C59C-4C57-B3EF-37AEC0B7C5C5}"/>
                </a:ext>
              </a:extLst>
            </xdr:cNvPr>
            <xdr:cNvSpPr txBox="1"/>
          </xdr:nvSpPr>
          <xdr:spPr>
            <a:xfrm>
              <a:off x="13502052" y="1303718"/>
              <a:ext cx="929787" cy="376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𝑆𝑛=</a:t>
              </a:r>
              <a:r>
                <a:rPr lang="pt-BR" sz="1100" i="0">
                  <a:latin typeface="Cambria Math" panose="02040503050406030204" pitchFamily="18" charset="0"/>
                  <a:sym typeface="Symbol" panose="05050102010706020507" pitchFamily="18" charset="2"/>
                </a:rPr>
                <a:t>(</a:t>
              </a:r>
              <a:r>
                <a:rPr lang="pt-BR" sz="1100" b="0" i="0">
                  <a:latin typeface="Cambria Math" panose="02040503050406030204" pitchFamily="18" charset="0"/>
                  <a:sym typeface="Symbol" panose="05050102010706020507" pitchFamily="18" charset="2"/>
                </a:rPr>
                <a:t>𝐻𝑛 (𝑚))/(</a:t>
              </a:r>
              <a:r>
                <a:rPr lang="pt-B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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𝐿𝑛 (𝑘𝑚)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16</xdr:col>
      <xdr:colOff>353526</xdr:colOff>
      <xdr:row>20</xdr:row>
      <xdr:rowOff>53482</xdr:rowOff>
    </xdr:from>
    <xdr:ext cx="4108939" cy="1703484"/>
    <xdr:pic>
      <xdr:nvPicPr>
        <xdr:cNvPr id="4" name="Imagem 3">
          <a:extLst>
            <a:ext uri="{FF2B5EF4-FFF2-40B4-BE49-F238E27FC236}">
              <a16:creationId xmlns:a16="http://schemas.microsoft.com/office/drawing/2014/main" id="{E1C655BD-E5F9-4AE5-AA28-9A24EA2F2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45251" y="3120532"/>
          <a:ext cx="4108939" cy="1703484"/>
        </a:xfrm>
        <a:prstGeom prst="rect">
          <a:avLst/>
        </a:prstGeom>
      </xdr:spPr>
    </xdr:pic>
    <xdr:clientData/>
  </xdr:oneCellAnchor>
  <xdr:twoCellAnchor>
    <xdr:from>
      <xdr:col>11</xdr:col>
      <xdr:colOff>66675</xdr:colOff>
      <xdr:row>4</xdr:row>
      <xdr:rowOff>190500</xdr:rowOff>
    </xdr:from>
    <xdr:to>
      <xdr:col>14</xdr:col>
      <xdr:colOff>190500</xdr:colOff>
      <xdr:row>6</xdr:row>
      <xdr:rowOff>9525</xdr:rowOff>
    </xdr:to>
    <xdr:sp macro="[0]!GerarFormulaECalcular" textlink="">
      <xdr:nvSpPr>
        <xdr:cNvPr id="5" name="Retângulo 4">
          <a:extLst>
            <a:ext uri="{FF2B5EF4-FFF2-40B4-BE49-F238E27FC236}">
              <a16:creationId xmlns:a16="http://schemas.microsoft.com/office/drawing/2014/main" id="{C8DD74B9-21D0-45FB-8A9C-3AF8107599F9}"/>
            </a:ext>
          </a:extLst>
        </xdr:cNvPr>
        <xdr:cNvSpPr/>
      </xdr:nvSpPr>
      <xdr:spPr>
        <a:xfrm>
          <a:off x="7048500" y="1352550"/>
          <a:ext cx="2038350" cy="21907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ysClr val="windowText" lastClr="000000"/>
              </a:solidFill>
            </a:rPr>
            <a:t>Calcular declividade efetiva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285823</xdr:colOff>
      <xdr:row>2</xdr:row>
      <xdr:rowOff>77346</xdr:rowOff>
    </xdr:from>
    <xdr:to>
      <xdr:col>9</xdr:col>
      <xdr:colOff>388216</xdr:colOff>
      <xdr:row>8</xdr:row>
      <xdr:rowOff>106089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DD90DE2-555E-4571-BFA2-06086A48F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1933" y1="67154" x2="11933" y2="67154"/>
                      <a14:foregroundMark x1="19411" y1="66479" x2="19411" y2="66479"/>
                      <a14:foregroundMark x1="22355" y1="66479" x2="22355" y2="66479"/>
                      <a14:foregroundMark x1="28083" y1="66142" x2="28083" y2="66142"/>
                      <a14:foregroundMark x1="33333" y1="67154" x2="33333" y2="67154"/>
                      <a14:foregroundMark x1="37550" y1="64679" x2="37550" y2="64679"/>
                      <a14:foregroundMark x1="46460" y1="63667" x2="46460" y2="63667"/>
                      <a14:foregroundMark x1="56165" y1="66817" x2="56165" y2="66817"/>
                      <a14:foregroundMark x1="59666" y1="65354" x2="59666" y2="65354"/>
                      <a14:foregroundMark x1="66348" y1="65354" x2="66348" y2="65354"/>
                      <a14:foregroundMark x1="72076" y1="66479" x2="72076" y2="66479"/>
                      <a14:foregroundMark x1="78043" y1="67492" x2="78043" y2="67492"/>
                      <a14:foregroundMark x1="81305" y1="67829" x2="81305" y2="67829"/>
                      <a14:foregroundMark x1="87749" y1="68166" x2="87749" y2="68166"/>
                      <a14:foregroundMark x1="73349" y1="81890" x2="73349" y2="81890"/>
                      <a14:foregroundMark x1="68656" y1="82565" x2="68656" y2="82565"/>
                      <a14:foregroundMark x1="64360" y1="81890" x2="64360" y2="81890"/>
                      <a14:foregroundMark x1="58711" y1="81552" x2="58711" y2="81552"/>
                      <a14:foregroundMark x1="51949" y1="81215" x2="51949" y2="81215"/>
                      <a14:foregroundMark x1="48449" y1="81552" x2="48449" y2="81552"/>
                      <a14:foregroundMark x1="42482" y1="81552" x2="42482" y2="81552"/>
                      <a14:foregroundMark x1="37550" y1="82565" x2="37550" y2="82565"/>
                      <a14:foregroundMark x1="36834" y1="81890" x2="36834" y2="81890"/>
                      <a14:foregroundMark x1="38504" y1="82227" x2="38504" y2="82227"/>
                      <a14:foregroundMark x1="33095" y1="82227" x2="33095" y2="82227"/>
                      <a14:foregroundMark x1="26571" y1="81552" x2="26571" y2="8155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898" y="401196"/>
          <a:ext cx="1293018" cy="1057443"/>
        </a:xfrm>
        <a:prstGeom prst="rect">
          <a:avLst/>
        </a:prstGeom>
      </xdr:spPr>
    </xdr:pic>
    <xdr:clientData/>
  </xdr:twoCellAnchor>
  <xdr:twoCellAnchor editAs="oneCell">
    <xdr:from>
      <xdr:col>15</xdr:col>
      <xdr:colOff>358587</xdr:colOff>
      <xdr:row>34</xdr:row>
      <xdr:rowOff>44824</xdr:rowOff>
    </xdr:from>
    <xdr:to>
      <xdr:col>22</xdr:col>
      <xdr:colOff>86346</xdr:colOff>
      <xdr:row>51</xdr:row>
      <xdr:rowOff>96199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5EF7065-6149-4FA9-A15A-EE2CE64EC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31187" y="6493249"/>
          <a:ext cx="5290359" cy="2680275"/>
        </a:xfrm>
        <a:prstGeom prst="rect">
          <a:avLst/>
        </a:prstGeom>
      </xdr:spPr>
    </xdr:pic>
    <xdr:clientData/>
  </xdr:twoCellAnchor>
  <xdr:oneCellAnchor>
    <xdr:from>
      <xdr:col>16</xdr:col>
      <xdr:colOff>476250</xdr:colOff>
      <xdr:row>50</xdr:row>
      <xdr:rowOff>47625</xdr:rowOff>
    </xdr:from>
    <xdr:ext cx="6325483" cy="2791215"/>
    <xdr:pic>
      <xdr:nvPicPr>
        <xdr:cNvPr id="4" name="Imagem 3">
          <a:extLst>
            <a:ext uri="{FF2B5EF4-FFF2-40B4-BE49-F238E27FC236}">
              <a16:creationId xmlns:a16="http://schemas.microsoft.com/office/drawing/2014/main" id="{42C97F7A-F29D-42B2-A547-AD92A1EF9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29875" y="8982075"/>
          <a:ext cx="6325483" cy="279121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17</xdr:row>
      <xdr:rowOff>11208</xdr:rowOff>
    </xdr:from>
    <xdr:to>
      <xdr:col>8</xdr:col>
      <xdr:colOff>47625</xdr:colOff>
      <xdr:row>29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7F0E8C-EB94-4115-9253-6F2B9A170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21</xdr:col>
      <xdr:colOff>462327</xdr:colOff>
      <xdr:row>1</xdr:row>
      <xdr:rowOff>379793</xdr:rowOff>
    </xdr:from>
    <xdr:ext cx="929787" cy="376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F89C269C-6AF5-443A-BC62-A671168288BF}"/>
                </a:ext>
              </a:extLst>
            </xdr:cNvPr>
            <xdr:cNvSpPr txBox="1"/>
          </xdr:nvSpPr>
          <xdr:spPr>
            <a:xfrm>
              <a:off x="13625877" y="570293"/>
              <a:ext cx="929787" cy="376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pt-BR" sz="1100" b="0" i="1">
                        <a:latin typeface="Cambria Math" panose="02040503050406030204" pitchFamily="18" charset="0"/>
                      </a:rPr>
                      <m:t>𝑆𝑛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</m:ctrlPr>
                      </m:fPr>
                      <m:num>
                        <m:r>
                          <a:rPr lang="pt-BR" sz="11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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𝐻𝑛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 (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𝑚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)</m:t>
                        </m:r>
                      </m:num>
                      <m:den>
                        <m:r>
                          <a:rPr lang="pt-B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  <a:sym typeface="Symbol" panose="05050102010706020507" pitchFamily="18" charset="2"/>
                          </a:rPr>
                          <m:t>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𝐿𝑛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(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𝑘𝑚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F89C269C-6AF5-443A-BC62-A671168288BF}"/>
                </a:ext>
              </a:extLst>
            </xdr:cNvPr>
            <xdr:cNvSpPr txBox="1"/>
          </xdr:nvSpPr>
          <xdr:spPr>
            <a:xfrm>
              <a:off x="13625877" y="570293"/>
              <a:ext cx="929787" cy="376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𝑆𝑛=</a:t>
              </a:r>
              <a:r>
                <a:rPr lang="pt-BR" sz="1100" i="0">
                  <a:latin typeface="Cambria Math" panose="02040503050406030204" pitchFamily="18" charset="0"/>
                  <a:sym typeface="Symbol" panose="05050102010706020507" pitchFamily="18" charset="2"/>
                </a:rPr>
                <a:t>(</a:t>
              </a:r>
              <a:r>
                <a:rPr lang="pt-BR" sz="1100" b="0" i="0">
                  <a:latin typeface="Cambria Math" panose="02040503050406030204" pitchFamily="18" charset="0"/>
                  <a:sym typeface="Symbol" panose="05050102010706020507" pitchFamily="18" charset="2"/>
                </a:rPr>
                <a:t>𝐻𝑛 (𝑚))/(</a:t>
              </a:r>
              <a:r>
                <a:rPr lang="pt-B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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𝐿𝑛 (𝑘𝑚)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16</xdr:col>
      <xdr:colOff>353526</xdr:colOff>
      <xdr:row>22</xdr:row>
      <xdr:rowOff>53482</xdr:rowOff>
    </xdr:from>
    <xdr:ext cx="4108939" cy="1703484"/>
    <xdr:pic>
      <xdr:nvPicPr>
        <xdr:cNvPr id="4" name="Imagem 3">
          <a:extLst>
            <a:ext uri="{FF2B5EF4-FFF2-40B4-BE49-F238E27FC236}">
              <a16:creationId xmlns:a16="http://schemas.microsoft.com/office/drawing/2014/main" id="{717774F4-855B-4C5F-9F69-1FE135D52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69076" y="4111132"/>
          <a:ext cx="4108939" cy="1703484"/>
        </a:xfrm>
        <a:prstGeom prst="rect">
          <a:avLst/>
        </a:prstGeom>
      </xdr:spPr>
    </xdr:pic>
    <xdr:clientData/>
  </xdr:oneCellAnchor>
  <xdr:twoCellAnchor>
    <xdr:from>
      <xdr:col>9</xdr:col>
      <xdr:colOff>127000</xdr:colOff>
      <xdr:row>11</xdr:row>
      <xdr:rowOff>174625</xdr:rowOff>
    </xdr:from>
    <xdr:to>
      <xdr:col>12</xdr:col>
      <xdr:colOff>593165</xdr:colOff>
      <xdr:row>13</xdr:row>
      <xdr:rowOff>1494</xdr:rowOff>
    </xdr:to>
    <xdr:sp macro="[3]!GerarFormulaECalcular" textlink="">
      <xdr:nvSpPr>
        <xdr:cNvPr id="5" name="Retângulo 4">
          <a:extLst>
            <a:ext uri="{FF2B5EF4-FFF2-40B4-BE49-F238E27FC236}">
              <a16:creationId xmlns:a16="http://schemas.microsoft.com/office/drawing/2014/main" id="{EF6F1251-52C1-4BD1-ACA1-D6ADD429AA98}"/>
            </a:ext>
          </a:extLst>
        </xdr:cNvPr>
        <xdr:cNvSpPr/>
      </xdr:nvSpPr>
      <xdr:spPr>
        <a:xfrm>
          <a:off x="5765800" y="2308225"/>
          <a:ext cx="2418790" cy="217394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ysClr val="windowText" lastClr="000000"/>
              </a:solidFill>
            </a:rPr>
            <a:t>Calcular declividade efetiva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285823</xdr:colOff>
      <xdr:row>2</xdr:row>
      <xdr:rowOff>77346</xdr:rowOff>
    </xdr:from>
    <xdr:to>
      <xdr:col>9</xdr:col>
      <xdr:colOff>388216</xdr:colOff>
      <xdr:row>8</xdr:row>
      <xdr:rowOff>106089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E4ED89-C456-40C3-8C3F-91BB93C6A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1933" y1="67154" x2="11933" y2="67154"/>
                      <a14:foregroundMark x1="19411" y1="66479" x2="19411" y2="66479"/>
                      <a14:foregroundMark x1="22355" y1="66479" x2="22355" y2="66479"/>
                      <a14:foregroundMark x1="28083" y1="66142" x2="28083" y2="66142"/>
                      <a14:foregroundMark x1="33333" y1="67154" x2="33333" y2="67154"/>
                      <a14:foregroundMark x1="37550" y1="64679" x2="37550" y2="64679"/>
                      <a14:foregroundMark x1="46460" y1="63667" x2="46460" y2="63667"/>
                      <a14:foregroundMark x1="56165" y1="66817" x2="56165" y2="66817"/>
                      <a14:foregroundMark x1="59666" y1="65354" x2="59666" y2="65354"/>
                      <a14:foregroundMark x1="66348" y1="65354" x2="66348" y2="65354"/>
                      <a14:foregroundMark x1="72076" y1="66479" x2="72076" y2="66479"/>
                      <a14:foregroundMark x1="78043" y1="67492" x2="78043" y2="67492"/>
                      <a14:foregroundMark x1="81305" y1="67829" x2="81305" y2="67829"/>
                      <a14:foregroundMark x1="87749" y1="68166" x2="87749" y2="68166"/>
                      <a14:foregroundMark x1="73349" y1="81890" x2="73349" y2="81890"/>
                      <a14:foregroundMark x1="68656" y1="82565" x2="68656" y2="82565"/>
                      <a14:foregroundMark x1="64360" y1="81890" x2="64360" y2="81890"/>
                      <a14:foregroundMark x1="58711" y1="81552" x2="58711" y2="81552"/>
                      <a14:foregroundMark x1="51949" y1="81215" x2="51949" y2="81215"/>
                      <a14:foregroundMark x1="48449" y1="81552" x2="48449" y2="81552"/>
                      <a14:foregroundMark x1="42482" y1="81552" x2="42482" y2="81552"/>
                      <a14:foregroundMark x1="37550" y1="82565" x2="37550" y2="82565"/>
                      <a14:foregroundMark x1="36834" y1="81890" x2="36834" y2="81890"/>
                      <a14:foregroundMark x1="38504" y1="82227" x2="38504" y2="82227"/>
                      <a14:foregroundMark x1="33095" y1="82227" x2="33095" y2="82227"/>
                      <a14:foregroundMark x1="26571" y1="81552" x2="26571" y2="8155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148" y="401196"/>
          <a:ext cx="1293018" cy="1057443"/>
        </a:xfrm>
        <a:prstGeom prst="rect">
          <a:avLst/>
        </a:prstGeom>
      </xdr:spPr>
    </xdr:pic>
    <xdr:clientData/>
  </xdr:twoCellAnchor>
  <xdr:twoCellAnchor editAs="oneCell">
    <xdr:from>
      <xdr:col>15</xdr:col>
      <xdr:colOff>358587</xdr:colOff>
      <xdr:row>34</xdr:row>
      <xdr:rowOff>44824</xdr:rowOff>
    </xdr:from>
    <xdr:to>
      <xdr:col>22</xdr:col>
      <xdr:colOff>86346</xdr:colOff>
      <xdr:row>51</xdr:row>
      <xdr:rowOff>96199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5977440-98DE-458C-88F9-53C65A771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26437" y="6531349"/>
          <a:ext cx="5290359" cy="2680275"/>
        </a:xfrm>
        <a:prstGeom prst="rect">
          <a:avLst/>
        </a:prstGeom>
      </xdr:spPr>
    </xdr:pic>
    <xdr:clientData/>
  </xdr:twoCellAnchor>
  <xdr:oneCellAnchor>
    <xdr:from>
      <xdr:col>16</xdr:col>
      <xdr:colOff>476250</xdr:colOff>
      <xdr:row>50</xdr:row>
      <xdr:rowOff>47625</xdr:rowOff>
    </xdr:from>
    <xdr:ext cx="6325483" cy="2791215"/>
    <xdr:pic>
      <xdr:nvPicPr>
        <xdr:cNvPr id="4" name="Imagem 3">
          <a:extLst>
            <a:ext uri="{FF2B5EF4-FFF2-40B4-BE49-F238E27FC236}">
              <a16:creationId xmlns:a16="http://schemas.microsoft.com/office/drawing/2014/main" id="{8C93B491-29C5-4D3B-AD07-B5EB978C7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25125" y="9020175"/>
          <a:ext cx="6325483" cy="279121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16</xdr:row>
      <xdr:rowOff>133350</xdr:rowOff>
    </xdr:from>
    <xdr:to>
      <xdr:col>7</xdr:col>
      <xdr:colOff>523875</xdr:colOff>
      <xdr:row>28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4DEB45-CBD8-4B92-B8CC-F1FB0076E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21</xdr:col>
      <xdr:colOff>462327</xdr:colOff>
      <xdr:row>1</xdr:row>
      <xdr:rowOff>379793</xdr:rowOff>
    </xdr:from>
    <xdr:ext cx="929787" cy="376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1C9078A6-CFD4-441A-98FA-4E1B5452CF05}"/>
                </a:ext>
              </a:extLst>
            </xdr:cNvPr>
            <xdr:cNvSpPr txBox="1"/>
          </xdr:nvSpPr>
          <xdr:spPr>
            <a:xfrm>
              <a:off x="13625877" y="570293"/>
              <a:ext cx="929787" cy="376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pt-BR" sz="1100" b="0" i="1">
                        <a:latin typeface="Cambria Math" panose="02040503050406030204" pitchFamily="18" charset="0"/>
                      </a:rPr>
                      <m:t>𝑆𝑛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</m:ctrlPr>
                      </m:fPr>
                      <m:num>
                        <m:r>
                          <a:rPr lang="pt-BR" sz="11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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𝐻𝑛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 (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𝑚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)</m:t>
                        </m:r>
                      </m:num>
                      <m:den>
                        <m:r>
                          <a:rPr lang="pt-B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  <a:sym typeface="Symbol" panose="05050102010706020507" pitchFamily="18" charset="2"/>
                          </a:rPr>
                          <m:t>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𝐿𝑛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(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𝑘𝑚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1C9078A6-CFD4-441A-98FA-4E1B5452CF05}"/>
                </a:ext>
              </a:extLst>
            </xdr:cNvPr>
            <xdr:cNvSpPr txBox="1"/>
          </xdr:nvSpPr>
          <xdr:spPr>
            <a:xfrm>
              <a:off x="13625877" y="570293"/>
              <a:ext cx="929787" cy="376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𝑆𝑛=</a:t>
              </a:r>
              <a:r>
                <a:rPr lang="pt-BR" sz="1100" i="0">
                  <a:latin typeface="Cambria Math" panose="02040503050406030204" pitchFamily="18" charset="0"/>
                  <a:sym typeface="Symbol" panose="05050102010706020507" pitchFamily="18" charset="2"/>
                </a:rPr>
                <a:t>(</a:t>
              </a:r>
              <a:r>
                <a:rPr lang="pt-BR" sz="1100" b="0" i="0">
                  <a:latin typeface="Cambria Math" panose="02040503050406030204" pitchFamily="18" charset="0"/>
                  <a:sym typeface="Symbol" panose="05050102010706020507" pitchFamily="18" charset="2"/>
                </a:rPr>
                <a:t>𝐻𝑛 (𝑚))/(</a:t>
              </a:r>
              <a:r>
                <a:rPr lang="pt-B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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𝐿𝑛 (𝑘𝑚)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16</xdr:col>
      <xdr:colOff>353526</xdr:colOff>
      <xdr:row>22</xdr:row>
      <xdr:rowOff>53482</xdr:rowOff>
    </xdr:from>
    <xdr:ext cx="4108939" cy="1703484"/>
    <xdr:pic>
      <xdr:nvPicPr>
        <xdr:cNvPr id="4" name="Imagem 3">
          <a:extLst>
            <a:ext uri="{FF2B5EF4-FFF2-40B4-BE49-F238E27FC236}">
              <a16:creationId xmlns:a16="http://schemas.microsoft.com/office/drawing/2014/main" id="{778E6E30-95E2-4A1E-99E3-A4F6221F7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69076" y="4492132"/>
          <a:ext cx="4108939" cy="1703484"/>
        </a:xfrm>
        <a:prstGeom prst="rect">
          <a:avLst/>
        </a:prstGeom>
      </xdr:spPr>
    </xdr:pic>
    <xdr:clientData/>
  </xdr:oneCellAnchor>
  <xdr:twoCellAnchor>
    <xdr:from>
      <xdr:col>9</xdr:col>
      <xdr:colOff>127000</xdr:colOff>
      <xdr:row>11</xdr:row>
      <xdr:rowOff>174625</xdr:rowOff>
    </xdr:from>
    <xdr:to>
      <xdr:col>12</xdr:col>
      <xdr:colOff>593165</xdr:colOff>
      <xdr:row>13</xdr:row>
      <xdr:rowOff>1494</xdr:rowOff>
    </xdr:to>
    <xdr:sp macro="[3]!GerarFormulaECalcular" textlink="">
      <xdr:nvSpPr>
        <xdr:cNvPr id="5" name="Retângulo 4">
          <a:extLst>
            <a:ext uri="{FF2B5EF4-FFF2-40B4-BE49-F238E27FC236}">
              <a16:creationId xmlns:a16="http://schemas.microsoft.com/office/drawing/2014/main" id="{DE2EE4A5-2BE9-4D7A-BBED-75DB468CA722}"/>
            </a:ext>
          </a:extLst>
        </xdr:cNvPr>
        <xdr:cNvSpPr/>
      </xdr:nvSpPr>
      <xdr:spPr>
        <a:xfrm>
          <a:off x="5765800" y="2689225"/>
          <a:ext cx="2418790" cy="217394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ysClr val="windowText" lastClr="000000"/>
              </a:solidFill>
            </a:rPr>
            <a:t>Calcular declividade efetiva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285823</xdr:colOff>
      <xdr:row>2</xdr:row>
      <xdr:rowOff>77346</xdr:rowOff>
    </xdr:from>
    <xdr:to>
      <xdr:col>9</xdr:col>
      <xdr:colOff>388216</xdr:colOff>
      <xdr:row>8</xdr:row>
      <xdr:rowOff>106089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7E5561-9FE7-43F5-B1B4-E7BD34C61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1933" y1="67154" x2="11933" y2="67154"/>
                      <a14:foregroundMark x1="19411" y1="66479" x2="19411" y2="66479"/>
                      <a14:foregroundMark x1="22355" y1="66479" x2="22355" y2="66479"/>
                      <a14:foregroundMark x1="28083" y1="66142" x2="28083" y2="66142"/>
                      <a14:foregroundMark x1="33333" y1="67154" x2="33333" y2="67154"/>
                      <a14:foregroundMark x1="37550" y1="64679" x2="37550" y2="64679"/>
                      <a14:foregroundMark x1="46460" y1="63667" x2="46460" y2="63667"/>
                      <a14:foregroundMark x1="56165" y1="66817" x2="56165" y2="66817"/>
                      <a14:foregroundMark x1="59666" y1="65354" x2="59666" y2="65354"/>
                      <a14:foregroundMark x1="66348" y1="65354" x2="66348" y2="65354"/>
                      <a14:foregroundMark x1="72076" y1="66479" x2="72076" y2="66479"/>
                      <a14:foregroundMark x1="78043" y1="67492" x2="78043" y2="67492"/>
                      <a14:foregroundMark x1="81305" y1="67829" x2="81305" y2="67829"/>
                      <a14:foregroundMark x1="87749" y1="68166" x2="87749" y2="68166"/>
                      <a14:foregroundMark x1="73349" y1="81890" x2="73349" y2="81890"/>
                      <a14:foregroundMark x1="68656" y1="82565" x2="68656" y2="82565"/>
                      <a14:foregroundMark x1="64360" y1="81890" x2="64360" y2="81890"/>
                      <a14:foregroundMark x1="58711" y1="81552" x2="58711" y2="81552"/>
                      <a14:foregroundMark x1="51949" y1="81215" x2="51949" y2="81215"/>
                      <a14:foregroundMark x1="48449" y1="81552" x2="48449" y2="81552"/>
                      <a14:foregroundMark x1="42482" y1="81552" x2="42482" y2="81552"/>
                      <a14:foregroundMark x1="37550" y1="82565" x2="37550" y2="82565"/>
                      <a14:foregroundMark x1="36834" y1="81890" x2="36834" y2="81890"/>
                      <a14:foregroundMark x1="38504" y1="82227" x2="38504" y2="82227"/>
                      <a14:foregroundMark x1="33095" y1="82227" x2="33095" y2="82227"/>
                      <a14:foregroundMark x1="26571" y1="81552" x2="26571" y2="8155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148" y="401196"/>
          <a:ext cx="1293018" cy="1057443"/>
        </a:xfrm>
        <a:prstGeom prst="rect">
          <a:avLst/>
        </a:prstGeom>
      </xdr:spPr>
    </xdr:pic>
    <xdr:clientData/>
  </xdr:twoCellAnchor>
  <xdr:twoCellAnchor editAs="oneCell">
    <xdr:from>
      <xdr:col>15</xdr:col>
      <xdr:colOff>358587</xdr:colOff>
      <xdr:row>34</xdr:row>
      <xdr:rowOff>44824</xdr:rowOff>
    </xdr:from>
    <xdr:to>
      <xdr:col>22</xdr:col>
      <xdr:colOff>86346</xdr:colOff>
      <xdr:row>51</xdr:row>
      <xdr:rowOff>96199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7BEEEF0-D8FE-42C9-BD93-92BFA1FEE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26437" y="6531349"/>
          <a:ext cx="5290359" cy="2680275"/>
        </a:xfrm>
        <a:prstGeom prst="rect">
          <a:avLst/>
        </a:prstGeom>
      </xdr:spPr>
    </xdr:pic>
    <xdr:clientData/>
  </xdr:twoCellAnchor>
  <xdr:oneCellAnchor>
    <xdr:from>
      <xdr:col>16</xdr:col>
      <xdr:colOff>476250</xdr:colOff>
      <xdr:row>50</xdr:row>
      <xdr:rowOff>47625</xdr:rowOff>
    </xdr:from>
    <xdr:ext cx="6325483" cy="2791215"/>
    <xdr:pic>
      <xdr:nvPicPr>
        <xdr:cNvPr id="4" name="Imagem 3">
          <a:extLst>
            <a:ext uri="{FF2B5EF4-FFF2-40B4-BE49-F238E27FC236}">
              <a16:creationId xmlns:a16="http://schemas.microsoft.com/office/drawing/2014/main" id="{6C91E093-9845-4DBB-BBFB-2A77BC96A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25125" y="9020175"/>
          <a:ext cx="6325483" cy="279121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17</xdr:row>
      <xdr:rowOff>11208</xdr:rowOff>
    </xdr:from>
    <xdr:to>
      <xdr:col>8</xdr:col>
      <xdr:colOff>47625</xdr:colOff>
      <xdr:row>29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6FDFFE-5D3E-4092-A736-AB4ED847CC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21</xdr:col>
      <xdr:colOff>462327</xdr:colOff>
      <xdr:row>1</xdr:row>
      <xdr:rowOff>379793</xdr:rowOff>
    </xdr:from>
    <xdr:ext cx="929787" cy="376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70F9EEA6-864A-4F3E-B2B8-830FA4136850}"/>
                </a:ext>
              </a:extLst>
            </xdr:cNvPr>
            <xdr:cNvSpPr txBox="1"/>
          </xdr:nvSpPr>
          <xdr:spPr>
            <a:xfrm>
              <a:off x="13625877" y="570293"/>
              <a:ext cx="929787" cy="376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pt-BR" sz="1100" b="0" i="1">
                        <a:latin typeface="Cambria Math" panose="02040503050406030204" pitchFamily="18" charset="0"/>
                      </a:rPr>
                      <m:t>𝑆𝑛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</m:ctrlPr>
                      </m:fPr>
                      <m:num>
                        <m:r>
                          <a:rPr lang="pt-BR" sz="11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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𝐻𝑛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 (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𝑚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)</m:t>
                        </m:r>
                      </m:num>
                      <m:den>
                        <m:r>
                          <a:rPr lang="pt-B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  <a:sym typeface="Symbol" panose="05050102010706020507" pitchFamily="18" charset="2"/>
                          </a:rPr>
                          <m:t>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𝐿𝑛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(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𝑘𝑚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70F9EEA6-864A-4F3E-B2B8-830FA4136850}"/>
                </a:ext>
              </a:extLst>
            </xdr:cNvPr>
            <xdr:cNvSpPr txBox="1"/>
          </xdr:nvSpPr>
          <xdr:spPr>
            <a:xfrm>
              <a:off x="13625877" y="570293"/>
              <a:ext cx="929787" cy="376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𝑆𝑛=</a:t>
              </a:r>
              <a:r>
                <a:rPr lang="pt-BR" sz="1100" i="0">
                  <a:latin typeface="Cambria Math" panose="02040503050406030204" pitchFamily="18" charset="0"/>
                  <a:sym typeface="Symbol" panose="05050102010706020507" pitchFamily="18" charset="2"/>
                </a:rPr>
                <a:t>(</a:t>
              </a:r>
              <a:r>
                <a:rPr lang="pt-BR" sz="1100" b="0" i="0">
                  <a:latin typeface="Cambria Math" panose="02040503050406030204" pitchFamily="18" charset="0"/>
                  <a:sym typeface="Symbol" panose="05050102010706020507" pitchFamily="18" charset="2"/>
                </a:rPr>
                <a:t>𝐻𝑛 (𝑚))/(</a:t>
              </a:r>
              <a:r>
                <a:rPr lang="pt-B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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𝐿𝑛 (𝑘𝑚)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16</xdr:col>
      <xdr:colOff>353526</xdr:colOff>
      <xdr:row>22</xdr:row>
      <xdr:rowOff>53482</xdr:rowOff>
    </xdr:from>
    <xdr:ext cx="4108939" cy="1703484"/>
    <xdr:pic>
      <xdr:nvPicPr>
        <xdr:cNvPr id="4" name="Imagem 3">
          <a:extLst>
            <a:ext uri="{FF2B5EF4-FFF2-40B4-BE49-F238E27FC236}">
              <a16:creationId xmlns:a16="http://schemas.microsoft.com/office/drawing/2014/main" id="{7556DBC5-58C4-455B-A0CF-A00CB4DF6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69076" y="4492132"/>
          <a:ext cx="4108939" cy="1703484"/>
        </a:xfrm>
        <a:prstGeom prst="rect">
          <a:avLst/>
        </a:prstGeom>
      </xdr:spPr>
    </xdr:pic>
    <xdr:clientData/>
  </xdr:oneCellAnchor>
  <xdr:twoCellAnchor>
    <xdr:from>
      <xdr:col>9</xdr:col>
      <xdr:colOff>127000</xdr:colOff>
      <xdr:row>11</xdr:row>
      <xdr:rowOff>174625</xdr:rowOff>
    </xdr:from>
    <xdr:to>
      <xdr:col>12</xdr:col>
      <xdr:colOff>593165</xdr:colOff>
      <xdr:row>13</xdr:row>
      <xdr:rowOff>1494</xdr:rowOff>
    </xdr:to>
    <xdr:sp macro="[3]!GerarFormulaECalcular" textlink="">
      <xdr:nvSpPr>
        <xdr:cNvPr id="5" name="Retângulo 4">
          <a:extLst>
            <a:ext uri="{FF2B5EF4-FFF2-40B4-BE49-F238E27FC236}">
              <a16:creationId xmlns:a16="http://schemas.microsoft.com/office/drawing/2014/main" id="{94E8F54D-2252-4D44-8A89-355BE8DC58C6}"/>
            </a:ext>
          </a:extLst>
        </xdr:cNvPr>
        <xdr:cNvSpPr/>
      </xdr:nvSpPr>
      <xdr:spPr>
        <a:xfrm>
          <a:off x="5765800" y="2689225"/>
          <a:ext cx="2418790" cy="217394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ysClr val="windowText" lastClr="000000"/>
              </a:solidFill>
            </a:rPr>
            <a:t>Calcular declividade efetiva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228599</xdr:colOff>
      <xdr:row>156</xdr:row>
      <xdr:rowOff>63500</xdr:rowOff>
    </xdr:from>
    <xdr:to>
      <xdr:col>7</xdr:col>
      <xdr:colOff>390224</xdr:colOff>
      <xdr:row>169</xdr:row>
      <xdr:rowOff>114300</xdr:rowOff>
    </xdr:to>
    <xdr:graphicFrame macro="">
      <xdr:nvGraphicFramePr>
        <xdr:cNvPr id="2" name="Gráfico 11">
          <a:extLst>
            <a:ext uri="{FF2B5EF4-FFF2-40B4-BE49-F238E27FC236}">
              <a16:creationId xmlns:a16="http://schemas.microsoft.com/office/drawing/2014/main" id="{86CF6AF2-7B2C-442A-BE54-983C3BC462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355599</xdr:colOff>
      <xdr:row>156</xdr:row>
      <xdr:rowOff>73025</xdr:rowOff>
    </xdr:from>
    <xdr:to>
      <xdr:col>15</xdr:col>
      <xdr:colOff>193374</xdr:colOff>
      <xdr:row>169</xdr:row>
      <xdr:rowOff>123825</xdr:rowOff>
    </xdr:to>
    <xdr:graphicFrame macro="">
      <xdr:nvGraphicFramePr>
        <xdr:cNvPr id="3" name="Gráfico 6">
          <a:extLst>
            <a:ext uri="{FF2B5EF4-FFF2-40B4-BE49-F238E27FC236}">
              <a16:creationId xmlns:a16="http://schemas.microsoft.com/office/drawing/2014/main" id="{A99BAB8D-0760-4E16-8AF2-328AF4033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28575</xdr:colOff>
      <xdr:row>8</xdr:row>
      <xdr:rowOff>38100</xdr:rowOff>
    </xdr:from>
    <xdr:to>
      <xdr:col>22</xdr:col>
      <xdr:colOff>262326</xdr:colOff>
      <xdr:row>16</xdr:row>
      <xdr:rowOff>66675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1A22F0E-1D23-4AEE-A488-F8672B914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20425" y="1676400"/>
          <a:ext cx="2643576" cy="1609725"/>
        </a:xfrm>
        <a:prstGeom prst="rect">
          <a:avLst/>
        </a:prstGeom>
      </xdr:spPr>
    </xdr:pic>
    <xdr:clientData/>
  </xdr:twoCellAnchor>
  <xdr:twoCellAnchor editAs="oneCell">
    <xdr:from>
      <xdr:col>19</xdr:col>
      <xdr:colOff>38100</xdr:colOff>
      <xdr:row>18</xdr:row>
      <xdr:rowOff>0</xdr:rowOff>
    </xdr:from>
    <xdr:to>
      <xdr:col>22</xdr:col>
      <xdr:colOff>562384</xdr:colOff>
      <xdr:row>22</xdr:row>
      <xdr:rowOff>104896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01E4784-BA50-4342-94D5-C221C86F7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29950" y="3762375"/>
          <a:ext cx="2934109" cy="866896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</xdr:colOff>
      <xdr:row>23</xdr:row>
      <xdr:rowOff>104775</xdr:rowOff>
    </xdr:from>
    <xdr:to>
      <xdr:col>21</xdr:col>
      <xdr:colOff>695625</xdr:colOff>
      <xdr:row>28</xdr:row>
      <xdr:rowOff>133500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2A27DC4-381B-481D-84C3-7A6BAB84E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0900" y="4819650"/>
          <a:ext cx="2152950" cy="1076475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</xdr:colOff>
      <xdr:row>29</xdr:row>
      <xdr:rowOff>0</xdr:rowOff>
    </xdr:from>
    <xdr:to>
      <xdr:col>21</xdr:col>
      <xdr:colOff>647994</xdr:colOff>
      <xdr:row>30</xdr:row>
      <xdr:rowOff>47658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C739D39-F7CA-46F5-978E-61324C40B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10900" y="5953125"/>
          <a:ext cx="2105319" cy="23815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566457</xdr:colOff>
      <xdr:row>1</xdr:row>
      <xdr:rowOff>25214</xdr:rowOff>
    </xdr:from>
    <xdr:to>
      <xdr:col>24</xdr:col>
      <xdr:colOff>523314</xdr:colOff>
      <xdr:row>24</xdr:row>
      <xdr:rowOff>52740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41DB9D-6E2F-42B7-98EB-F7A491CEF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81327</xdr:colOff>
      <xdr:row>1</xdr:row>
      <xdr:rowOff>99646</xdr:rowOff>
    </xdr:from>
    <xdr:ext cx="929787" cy="376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88FA55D1-3256-4202-AD3E-6294252F5FAF}"/>
                </a:ext>
              </a:extLst>
            </xdr:cNvPr>
            <xdr:cNvSpPr txBox="1"/>
          </xdr:nvSpPr>
          <xdr:spPr>
            <a:xfrm>
              <a:off x="5148627" y="290146"/>
              <a:ext cx="929787" cy="376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pt-BR" sz="1100" b="0" i="1">
                        <a:latin typeface="Cambria Math" panose="02040503050406030204" pitchFamily="18" charset="0"/>
                      </a:rPr>
                      <m:t>𝑆𝑛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</m:ctrlPr>
                      </m:fPr>
                      <m:num>
                        <m:r>
                          <a:rPr lang="pt-BR" sz="11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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𝐻𝑛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 (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𝑚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)</m:t>
                        </m:r>
                      </m:num>
                      <m:den>
                        <m:r>
                          <a:rPr lang="pt-B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  <a:sym typeface="Symbol" panose="05050102010706020507" pitchFamily="18" charset="2"/>
                          </a:rPr>
                          <m:t>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𝐿𝑛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(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𝑘𝑚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88FA55D1-3256-4202-AD3E-6294252F5FAF}"/>
                </a:ext>
              </a:extLst>
            </xdr:cNvPr>
            <xdr:cNvSpPr txBox="1"/>
          </xdr:nvSpPr>
          <xdr:spPr>
            <a:xfrm>
              <a:off x="5148627" y="290146"/>
              <a:ext cx="929787" cy="376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𝑆𝑛=</a:t>
              </a:r>
              <a:r>
                <a:rPr lang="pt-BR" sz="1100" i="0">
                  <a:latin typeface="Cambria Math" panose="02040503050406030204" pitchFamily="18" charset="0"/>
                  <a:sym typeface="Symbol" panose="05050102010706020507" pitchFamily="18" charset="2"/>
                </a:rPr>
                <a:t>(</a:t>
              </a:r>
              <a:r>
                <a:rPr lang="pt-BR" sz="1100" b="0" i="0">
                  <a:latin typeface="Cambria Math" panose="02040503050406030204" pitchFamily="18" charset="0"/>
                  <a:sym typeface="Symbol" panose="05050102010706020507" pitchFamily="18" charset="2"/>
                </a:rPr>
                <a:t>𝐻𝑛 (𝑚))/(</a:t>
              </a:r>
              <a:r>
                <a:rPr lang="pt-B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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𝐿𝑛 (𝑘𝑚)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163025</xdr:colOff>
      <xdr:row>25</xdr:row>
      <xdr:rowOff>75893</xdr:rowOff>
    </xdr:from>
    <xdr:ext cx="4108939" cy="1703484"/>
    <xdr:pic>
      <xdr:nvPicPr>
        <xdr:cNvPr id="4" name="Imagem 3">
          <a:extLst>
            <a:ext uri="{FF2B5EF4-FFF2-40B4-BE49-F238E27FC236}">
              <a16:creationId xmlns:a16="http://schemas.microsoft.com/office/drawing/2014/main" id="{3E1295CB-F820-4C13-824B-FF20A6709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2625" y="5257493"/>
          <a:ext cx="4108939" cy="1703484"/>
        </a:xfrm>
        <a:prstGeom prst="rect">
          <a:avLst/>
        </a:prstGeom>
      </xdr:spPr>
    </xdr:pic>
    <xdr:clientData/>
  </xdr:oneCellAnchor>
  <xdr:twoCellAnchor>
    <xdr:from>
      <xdr:col>8</xdr:col>
      <xdr:colOff>542925</xdr:colOff>
      <xdr:row>6</xdr:row>
      <xdr:rowOff>85725</xdr:rowOff>
    </xdr:from>
    <xdr:to>
      <xdr:col>12</xdr:col>
      <xdr:colOff>561415</xdr:colOff>
      <xdr:row>7</xdr:row>
      <xdr:rowOff>112619</xdr:rowOff>
    </xdr:to>
    <xdr:sp macro="[3]!GerarFormulaECalcular" textlink="">
      <xdr:nvSpPr>
        <xdr:cNvPr id="5" name="Retângulo 4">
          <a:extLst>
            <a:ext uri="{FF2B5EF4-FFF2-40B4-BE49-F238E27FC236}">
              <a16:creationId xmlns:a16="http://schemas.microsoft.com/office/drawing/2014/main" id="{288C39D2-77DC-44B9-B638-1D507825113E}"/>
            </a:ext>
          </a:extLst>
        </xdr:cNvPr>
        <xdr:cNvSpPr/>
      </xdr:nvSpPr>
      <xdr:spPr>
        <a:xfrm>
          <a:off x="5610225" y="1647825"/>
          <a:ext cx="2418790" cy="217394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ysClr val="windowText" lastClr="000000"/>
              </a:solidFill>
            </a:rPr>
            <a:t>Calcular declividade efetiva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285823</xdr:colOff>
      <xdr:row>2</xdr:row>
      <xdr:rowOff>77346</xdr:rowOff>
    </xdr:from>
    <xdr:to>
      <xdr:col>9</xdr:col>
      <xdr:colOff>388216</xdr:colOff>
      <xdr:row>8</xdr:row>
      <xdr:rowOff>106089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25F4603-48DE-4CC0-BC37-3CF863240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1933" y1="67154" x2="11933" y2="67154"/>
                      <a14:foregroundMark x1="19411" y1="66479" x2="19411" y2="66479"/>
                      <a14:foregroundMark x1="22355" y1="66479" x2="22355" y2="66479"/>
                      <a14:foregroundMark x1="28083" y1="66142" x2="28083" y2="66142"/>
                      <a14:foregroundMark x1="33333" y1="67154" x2="33333" y2="67154"/>
                      <a14:foregroundMark x1="37550" y1="64679" x2="37550" y2="64679"/>
                      <a14:foregroundMark x1="46460" y1="63667" x2="46460" y2="63667"/>
                      <a14:foregroundMark x1="56165" y1="66817" x2="56165" y2="66817"/>
                      <a14:foregroundMark x1="59666" y1="65354" x2="59666" y2="65354"/>
                      <a14:foregroundMark x1="66348" y1="65354" x2="66348" y2="65354"/>
                      <a14:foregroundMark x1="72076" y1="66479" x2="72076" y2="66479"/>
                      <a14:foregroundMark x1="78043" y1="67492" x2="78043" y2="67492"/>
                      <a14:foregroundMark x1="81305" y1="67829" x2="81305" y2="67829"/>
                      <a14:foregroundMark x1="87749" y1="68166" x2="87749" y2="68166"/>
                      <a14:foregroundMark x1="73349" y1="81890" x2="73349" y2="81890"/>
                      <a14:foregroundMark x1="68656" y1="82565" x2="68656" y2="82565"/>
                      <a14:foregroundMark x1="64360" y1="81890" x2="64360" y2="81890"/>
                      <a14:foregroundMark x1="58711" y1="81552" x2="58711" y2="81552"/>
                      <a14:foregroundMark x1="51949" y1="81215" x2="51949" y2="81215"/>
                      <a14:foregroundMark x1="48449" y1="81552" x2="48449" y2="81552"/>
                      <a14:foregroundMark x1="42482" y1="81552" x2="42482" y2="81552"/>
                      <a14:foregroundMark x1="37550" y1="82565" x2="37550" y2="82565"/>
                      <a14:foregroundMark x1="36834" y1="81890" x2="36834" y2="81890"/>
                      <a14:foregroundMark x1="38504" y1="82227" x2="38504" y2="82227"/>
                      <a14:foregroundMark x1="33095" y1="82227" x2="33095" y2="82227"/>
                      <a14:foregroundMark x1="26571" y1="81552" x2="26571" y2="8155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148" y="401196"/>
          <a:ext cx="1293018" cy="1057443"/>
        </a:xfrm>
        <a:prstGeom prst="rect">
          <a:avLst/>
        </a:prstGeom>
      </xdr:spPr>
    </xdr:pic>
    <xdr:clientData/>
  </xdr:twoCellAnchor>
  <xdr:twoCellAnchor editAs="oneCell">
    <xdr:from>
      <xdr:col>15</xdr:col>
      <xdr:colOff>358587</xdr:colOff>
      <xdr:row>34</xdr:row>
      <xdr:rowOff>44824</xdr:rowOff>
    </xdr:from>
    <xdr:to>
      <xdr:col>22</xdr:col>
      <xdr:colOff>86346</xdr:colOff>
      <xdr:row>51</xdr:row>
      <xdr:rowOff>96199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8B7E6C2-96A5-4042-BFCD-4518BD7FB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26437" y="6531349"/>
          <a:ext cx="5290359" cy="2680275"/>
        </a:xfrm>
        <a:prstGeom prst="rect">
          <a:avLst/>
        </a:prstGeom>
      </xdr:spPr>
    </xdr:pic>
    <xdr:clientData/>
  </xdr:twoCellAnchor>
  <xdr:oneCellAnchor>
    <xdr:from>
      <xdr:col>16</xdr:col>
      <xdr:colOff>476250</xdr:colOff>
      <xdr:row>50</xdr:row>
      <xdr:rowOff>47625</xdr:rowOff>
    </xdr:from>
    <xdr:ext cx="6325483" cy="2791215"/>
    <xdr:pic>
      <xdr:nvPicPr>
        <xdr:cNvPr id="4" name="Imagem 3">
          <a:extLst>
            <a:ext uri="{FF2B5EF4-FFF2-40B4-BE49-F238E27FC236}">
              <a16:creationId xmlns:a16="http://schemas.microsoft.com/office/drawing/2014/main" id="{42065E57-AB80-42BE-8516-9942FDA67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25125" y="9020175"/>
          <a:ext cx="6325483" cy="2791215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19</xdr:row>
      <xdr:rowOff>11208</xdr:rowOff>
    </xdr:from>
    <xdr:to>
      <xdr:col>8</xdr:col>
      <xdr:colOff>47625</xdr:colOff>
      <xdr:row>31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69184B-4C7F-402C-9611-B498D2123B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21</xdr:col>
      <xdr:colOff>462327</xdr:colOff>
      <xdr:row>1</xdr:row>
      <xdr:rowOff>379793</xdr:rowOff>
    </xdr:from>
    <xdr:ext cx="929787" cy="376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DEBCE34E-969C-4FB0-BEB2-1C973E42AB41}"/>
                </a:ext>
              </a:extLst>
            </xdr:cNvPr>
            <xdr:cNvSpPr txBox="1"/>
          </xdr:nvSpPr>
          <xdr:spPr>
            <a:xfrm>
              <a:off x="13625877" y="570293"/>
              <a:ext cx="929787" cy="376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pt-BR" sz="1100" b="0" i="1">
                        <a:latin typeface="Cambria Math" panose="02040503050406030204" pitchFamily="18" charset="0"/>
                      </a:rPr>
                      <m:t>𝑆𝑛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</m:ctrlPr>
                      </m:fPr>
                      <m:num>
                        <m:r>
                          <a:rPr lang="pt-BR" sz="11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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𝐻𝑛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 (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𝑚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)</m:t>
                        </m:r>
                      </m:num>
                      <m:den>
                        <m:r>
                          <a:rPr lang="pt-B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  <a:sym typeface="Symbol" panose="05050102010706020507" pitchFamily="18" charset="2"/>
                          </a:rPr>
                          <m:t>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𝐿𝑛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(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𝑘𝑚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DEBCE34E-969C-4FB0-BEB2-1C973E42AB41}"/>
                </a:ext>
              </a:extLst>
            </xdr:cNvPr>
            <xdr:cNvSpPr txBox="1"/>
          </xdr:nvSpPr>
          <xdr:spPr>
            <a:xfrm>
              <a:off x="13625877" y="570293"/>
              <a:ext cx="929787" cy="376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𝑆𝑛=</a:t>
              </a:r>
              <a:r>
                <a:rPr lang="pt-BR" sz="1100" i="0">
                  <a:latin typeface="Cambria Math" panose="02040503050406030204" pitchFamily="18" charset="0"/>
                  <a:sym typeface="Symbol" panose="05050102010706020507" pitchFamily="18" charset="2"/>
                </a:rPr>
                <a:t>(</a:t>
              </a:r>
              <a:r>
                <a:rPr lang="pt-BR" sz="1100" b="0" i="0">
                  <a:latin typeface="Cambria Math" panose="02040503050406030204" pitchFamily="18" charset="0"/>
                  <a:sym typeface="Symbol" panose="05050102010706020507" pitchFamily="18" charset="2"/>
                </a:rPr>
                <a:t>𝐻𝑛 (𝑚))/(</a:t>
              </a:r>
              <a:r>
                <a:rPr lang="pt-B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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𝐿𝑛 (𝑘𝑚)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16</xdr:col>
      <xdr:colOff>353526</xdr:colOff>
      <xdr:row>24</xdr:row>
      <xdr:rowOff>53482</xdr:rowOff>
    </xdr:from>
    <xdr:ext cx="4108939" cy="1703484"/>
    <xdr:pic>
      <xdr:nvPicPr>
        <xdr:cNvPr id="4" name="Imagem 3">
          <a:extLst>
            <a:ext uri="{FF2B5EF4-FFF2-40B4-BE49-F238E27FC236}">
              <a16:creationId xmlns:a16="http://schemas.microsoft.com/office/drawing/2014/main" id="{78DA3E10-E523-4F83-B8A7-C291F56B8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69076" y="4492132"/>
          <a:ext cx="4108939" cy="1703484"/>
        </a:xfrm>
        <a:prstGeom prst="rect">
          <a:avLst/>
        </a:prstGeom>
      </xdr:spPr>
    </xdr:pic>
    <xdr:clientData/>
  </xdr:oneCellAnchor>
  <xdr:twoCellAnchor>
    <xdr:from>
      <xdr:col>9</xdr:col>
      <xdr:colOff>127000</xdr:colOff>
      <xdr:row>13</xdr:row>
      <xdr:rowOff>174625</xdr:rowOff>
    </xdr:from>
    <xdr:to>
      <xdr:col>12</xdr:col>
      <xdr:colOff>593165</xdr:colOff>
      <xdr:row>15</xdr:row>
      <xdr:rowOff>1494</xdr:rowOff>
    </xdr:to>
    <xdr:sp macro="[3]!GerarFormulaECalcular" textlink="">
      <xdr:nvSpPr>
        <xdr:cNvPr id="5" name="Retângulo 4">
          <a:extLst>
            <a:ext uri="{FF2B5EF4-FFF2-40B4-BE49-F238E27FC236}">
              <a16:creationId xmlns:a16="http://schemas.microsoft.com/office/drawing/2014/main" id="{A2508FF3-45DA-45CE-908D-94EE0A474E25}"/>
            </a:ext>
          </a:extLst>
        </xdr:cNvPr>
        <xdr:cNvSpPr/>
      </xdr:nvSpPr>
      <xdr:spPr>
        <a:xfrm>
          <a:off x="5765800" y="2689225"/>
          <a:ext cx="2418790" cy="217394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ysClr val="windowText" lastClr="000000"/>
              </a:solidFill>
            </a:rPr>
            <a:t>Calcular declividade efetiva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285823</xdr:colOff>
      <xdr:row>2</xdr:row>
      <xdr:rowOff>77346</xdr:rowOff>
    </xdr:from>
    <xdr:to>
      <xdr:col>9</xdr:col>
      <xdr:colOff>388216</xdr:colOff>
      <xdr:row>8</xdr:row>
      <xdr:rowOff>125139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E0EFF40-6467-4008-B7AD-E7EF68AE2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1933" y1="67154" x2="11933" y2="67154"/>
                      <a14:foregroundMark x1="19411" y1="66479" x2="19411" y2="66479"/>
                      <a14:foregroundMark x1="22355" y1="66479" x2="22355" y2="66479"/>
                      <a14:foregroundMark x1="28083" y1="66142" x2="28083" y2="66142"/>
                      <a14:foregroundMark x1="33333" y1="67154" x2="33333" y2="67154"/>
                      <a14:foregroundMark x1="37550" y1="64679" x2="37550" y2="64679"/>
                      <a14:foregroundMark x1="46460" y1="63667" x2="46460" y2="63667"/>
                      <a14:foregroundMark x1="56165" y1="66817" x2="56165" y2="66817"/>
                      <a14:foregroundMark x1="59666" y1="65354" x2="59666" y2="65354"/>
                      <a14:foregroundMark x1="66348" y1="65354" x2="66348" y2="65354"/>
                      <a14:foregroundMark x1="72076" y1="66479" x2="72076" y2="66479"/>
                      <a14:foregroundMark x1="78043" y1="67492" x2="78043" y2="67492"/>
                      <a14:foregroundMark x1="81305" y1="67829" x2="81305" y2="67829"/>
                      <a14:foregroundMark x1="87749" y1="68166" x2="87749" y2="68166"/>
                      <a14:foregroundMark x1="73349" y1="81890" x2="73349" y2="81890"/>
                      <a14:foregroundMark x1="68656" y1="82565" x2="68656" y2="82565"/>
                      <a14:foregroundMark x1="64360" y1="81890" x2="64360" y2="81890"/>
                      <a14:foregroundMark x1="58711" y1="81552" x2="58711" y2="81552"/>
                      <a14:foregroundMark x1="51949" y1="81215" x2="51949" y2="81215"/>
                      <a14:foregroundMark x1="48449" y1="81552" x2="48449" y2="81552"/>
                      <a14:foregroundMark x1="42482" y1="81552" x2="42482" y2="81552"/>
                      <a14:foregroundMark x1="37550" y1="82565" x2="37550" y2="82565"/>
                      <a14:foregroundMark x1="36834" y1="81890" x2="36834" y2="81890"/>
                      <a14:foregroundMark x1="38504" y1="82227" x2="38504" y2="82227"/>
                      <a14:foregroundMark x1="33095" y1="82227" x2="33095" y2="82227"/>
                      <a14:foregroundMark x1="26571" y1="81552" x2="26571" y2="8155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148" y="401196"/>
          <a:ext cx="1293018" cy="1057443"/>
        </a:xfrm>
        <a:prstGeom prst="rect">
          <a:avLst/>
        </a:prstGeom>
      </xdr:spPr>
    </xdr:pic>
    <xdr:clientData/>
  </xdr:twoCellAnchor>
  <xdr:twoCellAnchor editAs="oneCell">
    <xdr:from>
      <xdr:col>15</xdr:col>
      <xdr:colOff>358587</xdr:colOff>
      <xdr:row>34</xdr:row>
      <xdr:rowOff>44824</xdr:rowOff>
    </xdr:from>
    <xdr:to>
      <xdr:col>22</xdr:col>
      <xdr:colOff>86346</xdr:colOff>
      <xdr:row>51</xdr:row>
      <xdr:rowOff>96199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78DF776-143C-4562-91BE-597B33DBB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26437" y="6531349"/>
          <a:ext cx="5290359" cy="2680275"/>
        </a:xfrm>
        <a:prstGeom prst="rect">
          <a:avLst/>
        </a:prstGeom>
      </xdr:spPr>
    </xdr:pic>
    <xdr:clientData/>
  </xdr:twoCellAnchor>
  <xdr:oneCellAnchor>
    <xdr:from>
      <xdr:col>16</xdr:col>
      <xdr:colOff>476250</xdr:colOff>
      <xdr:row>50</xdr:row>
      <xdr:rowOff>47625</xdr:rowOff>
    </xdr:from>
    <xdr:ext cx="6325483" cy="2791215"/>
    <xdr:pic>
      <xdr:nvPicPr>
        <xdr:cNvPr id="4" name="Imagem 3">
          <a:extLst>
            <a:ext uri="{FF2B5EF4-FFF2-40B4-BE49-F238E27FC236}">
              <a16:creationId xmlns:a16="http://schemas.microsoft.com/office/drawing/2014/main" id="{203159F2-BDD9-4835-B41F-BCA035371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25125" y="9020175"/>
          <a:ext cx="6325483" cy="2791215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18</xdr:row>
      <xdr:rowOff>11208</xdr:rowOff>
    </xdr:from>
    <xdr:to>
      <xdr:col>8</xdr:col>
      <xdr:colOff>47625</xdr:colOff>
      <xdr:row>30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154064-6453-4250-BC9B-298D0CFF8F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21</xdr:col>
      <xdr:colOff>462327</xdr:colOff>
      <xdr:row>1</xdr:row>
      <xdr:rowOff>379793</xdr:rowOff>
    </xdr:from>
    <xdr:ext cx="929787" cy="376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551909AE-E5AC-4628-B07E-526E757C6023}"/>
                </a:ext>
              </a:extLst>
            </xdr:cNvPr>
            <xdr:cNvSpPr txBox="1"/>
          </xdr:nvSpPr>
          <xdr:spPr>
            <a:xfrm>
              <a:off x="13625877" y="570293"/>
              <a:ext cx="929787" cy="376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pt-BR" sz="1100" b="0" i="1">
                        <a:latin typeface="Cambria Math" panose="02040503050406030204" pitchFamily="18" charset="0"/>
                      </a:rPr>
                      <m:t>𝑆𝑛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</m:ctrlPr>
                      </m:fPr>
                      <m:num>
                        <m:r>
                          <a:rPr lang="pt-BR" sz="11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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𝐻𝑛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 (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𝑚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)</m:t>
                        </m:r>
                      </m:num>
                      <m:den>
                        <m:r>
                          <a:rPr lang="pt-B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  <a:sym typeface="Symbol" panose="05050102010706020507" pitchFamily="18" charset="2"/>
                          </a:rPr>
                          <m:t>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𝐿𝑛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(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𝑘𝑚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551909AE-E5AC-4628-B07E-526E757C6023}"/>
                </a:ext>
              </a:extLst>
            </xdr:cNvPr>
            <xdr:cNvSpPr txBox="1"/>
          </xdr:nvSpPr>
          <xdr:spPr>
            <a:xfrm>
              <a:off x="13625877" y="570293"/>
              <a:ext cx="929787" cy="376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𝑆𝑛=</a:t>
              </a:r>
              <a:r>
                <a:rPr lang="pt-BR" sz="1100" i="0">
                  <a:latin typeface="Cambria Math" panose="02040503050406030204" pitchFamily="18" charset="0"/>
                  <a:sym typeface="Symbol" panose="05050102010706020507" pitchFamily="18" charset="2"/>
                </a:rPr>
                <a:t>(</a:t>
              </a:r>
              <a:r>
                <a:rPr lang="pt-BR" sz="1100" b="0" i="0">
                  <a:latin typeface="Cambria Math" panose="02040503050406030204" pitchFamily="18" charset="0"/>
                  <a:sym typeface="Symbol" panose="05050102010706020507" pitchFamily="18" charset="2"/>
                </a:rPr>
                <a:t>𝐻𝑛 (𝑚))/(</a:t>
              </a:r>
              <a:r>
                <a:rPr lang="pt-B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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𝐿𝑛 (𝑘𝑚)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16</xdr:col>
      <xdr:colOff>353526</xdr:colOff>
      <xdr:row>23</xdr:row>
      <xdr:rowOff>53482</xdr:rowOff>
    </xdr:from>
    <xdr:ext cx="4108939" cy="1703484"/>
    <xdr:pic>
      <xdr:nvPicPr>
        <xdr:cNvPr id="4" name="Imagem 3">
          <a:extLst>
            <a:ext uri="{FF2B5EF4-FFF2-40B4-BE49-F238E27FC236}">
              <a16:creationId xmlns:a16="http://schemas.microsoft.com/office/drawing/2014/main" id="{FABC2157-EDCD-48D8-BC5E-225503D5F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69076" y="4873132"/>
          <a:ext cx="4108939" cy="1703484"/>
        </a:xfrm>
        <a:prstGeom prst="rect">
          <a:avLst/>
        </a:prstGeom>
      </xdr:spPr>
    </xdr:pic>
    <xdr:clientData/>
  </xdr:oneCellAnchor>
  <xdr:twoCellAnchor>
    <xdr:from>
      <xdr:col>9</xdr:col>
      <xdr:colOff>127000</xdr:colOff>
      <xdr:row>12</xdr:row>
      <xdr:rowOff>174625</xdr:rowOff>
    </xdr:from>
    <xdr:to>
      <xdr:col>12</xdr:col>
      <xdr:colOff>593165</xdr:colOff>
      <xdr:row>14</xdr:row>
      <xdr:rowOff>1494</xdr:rowOff>
    </xdr:to>
    <xdr:sp macro="[3]!GerarFormulaECalcular" textlink="">
      <xdr:nvSpPr>
        <xdr:cNvPr id="5" name="Retângulo 4">
          <a:extLst>
            <a:ext uri="{FF2B5EF4-FFF2-40B4-BE49-F238E27FC236}">
              <a16:creationId xmlns:a16="http://schemas.microsoft.com/office/drawing/2014/main" id="{A74B31E1-9BB8-4FBE-A868-421BED9EDA43}"/>
            </a:ext>
          </a:extLst>
        </xdr:cNvPr>
        <xdr:cNvSpPr/>
      </xdr:nvSpPr>
      <xdr:spPr>
        <a:xfrm>
          <a:off x="5765800" y="3070225"/>
          <a:ext cx="2418790" cy="217394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ysClr val="windowText" lastClr="000000"/>
              </a:solidFill>
            </a:rPr>
            <a:t>Calcular declividade efetiva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228599</xdr:colOff>
      <xdr:row>156</xdr:row>
      <xdr:rowOff>63500</xdr:rowOff>
    </xdr:from>
    <xdr:to>
      <xdr:col>7</xdr:col>
      <xdr:colOff>390224</xdr:colOff>
      <xdr:row>169</xdr:row>
      <xdr:rowOff>114300</xdr:rowOff>
    </xdr:to>
    <xdr:graphicFrame macro="">
      <xdr:nvGraphicFramePr>
        <xdr:cNvPr id="2" name="Gráfico 11">
          <a:extLst>
            <a:ext uri="{FF2B5EF4-FFF2-40B4-BE49-F238E27FC236}">
              <a16:creationId xmlns:a16="http://schemas.microsoft.com/office/drawing/2014/main" id="{85BCA149-CAAE-43E0-9326-6294C3034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355599</xdr:colOff>
      <xdr:row>156</xdr:row>
      <xdr:rowOff>73025</xdr:rowOff>
    </xdr:from>
    <xdr:to>
      <xdr:col>15</xdr:col>
      <xdr:colOff>193374</xdr:colOff>
      <xdr:row>169</xdr:row>
      <xdr:rowOff>123825</xdr:rowOff>
    </xdr:to>
    <xdr:graphicFrame macro="">
      <xdr:nvGraphicFramePr>
        <xdr:cNvPr id="3" name="Gráfico 6">
          <a:extLst>
            <a:ext uri="{FF2B5EF4-FFF2-40B4-BE49-F238E27FC236}">
              <a16:creationId xmlns:a16="http://schemas.microsoft.com/office/drawing/2014/main" id="{4E642B3C-25D4-40FB-8256-4B0358E080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28575</xdr:colOff>
      <xdr:row>8</xdr:row>
      <xdr:rowOff>38100</xdr:rowOff>
    </xdr:from>
    <xdr:to>
      <xdr:col>22</xdr:col>
      <xdr:colOff>262326</xdr:colOff>
      <xdr:row>16</xdr:row>
      <xdr:rowOff>66675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4120BD0-CBD7-4D23-9328-0D884F211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49100" y="1676400"/>
          <a:ext cx="2643576" cy="1609725"/>
        </a:xfrm>
        <a:prstGeom prst="rect">
          <a:avLst/>
        </a:prstGeom>
      </xdr:spPr>
    </xdr:pic>
    <xdr:clientData/>
  </xdr:twoCellAnchor>
  <xdr:twoCellAnchor editAs="oneCell">
    <xdr:from>
      <xdr:col>19</xdr:col>
      <xdr:colOff>38100</xdr:colOff>
      <xdr:row>18</xdr:row>
      <xdr:rowOff>0</xdr:rowOff>
    </xdr:from>
    <xdr:to>
      <xdr:col>22</xdr:col>
      <xdr:colOff>562384</xdr:colOff>
      <xdr:row>22</xdr:row>
      <xdr:rowOff>104896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758C584-718C-4528-B50B-FF32A22F7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58625" y="3762375"/>
          <a:ext cx="2934109" cy="866896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</xdr:colOff>
      <xdr:row>23</xdr:row>
      <xdr:rowOff>104775</xdr:rowOff>
    </xdr:from>
    <xdr:to>
      <xdr:col>21</xdr:col>
      <xdr:colOff>695625</xdr:colOff>
      <xdr:row>28</xdr:row>
      <xdr:rowOff>133500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FA92D0D-54A7-4F50-8D16-843DAAE64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39575" y="4819650"/>
          <a:ext cx="2152950" cy="1076475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</xdr:colOff>
      <xdr:row>29</xdr:row>
      <xdr:rowOff>0</xdr:rowOff>
    </xdr:from>
    <xdr:to>
      <xdr:col>21</xdr:col>
      <xdr:colOff>647994</xdr:colOff>
      <xdr:row>30</xdr:row>
      <xdr:rowOff>47658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77C1C31-C4D4-4347-8F20-03CC9AE40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39575" y="5953125"/>
          <a:ext cx="2105319" cy="23815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566457</xdr:colOff>
      <xdr:row>1</xdr:row>
      <xdr:rowOff>25214</xdr:rowOff>
    </xdr:from>
    <xdr:to>
      <xdr:col>24</xdr:col>
      <xdr:colOff>523314</xdr:colOff>
      <xdr:row>23</xdr:row>
      <xdr:rowOff>52740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C0C5EB-7C66-4BDF-8D20-FE4C8391B8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81327</xdr:colOff>
      <xdr:row>1</xdr:row>
      <xdr:rowOff>99646</xdr:rowOff>
    </xdr:from>
    <xdr:ext cx="929787" cy="376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9FD7CEC9-5660-4173-BBBF-6CF4E93F3F5B}"/>
                </a:ext>
              </a:extLst>
            </xdr:cNvPr>
            <xdr:cNvSpPr txBox="1"/>
          </xdr:nvSpPr>
          <xdr:spPr>
            <a:xfrm>
              <a:off x="5148627" y="290146"/>
              <a:ext cx="929787" cy="376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pt-BR" sz="1100" b="0" i="1">
                        <a:latin typeface="Cambria Math" panose="02040503050406030204" pitchFamily="18" charset="0"/>
                      </a:rPr>
                      <m:t>𝑆𝑛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</m:ctrlPr>
                      </m:fPr>
                      <m:num>
                        <m:r>
                          <a:rPr lang="pt-BR" sz="11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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𝐻𝑛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 (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𝑚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)</m:t>
                        </m:r>
                      </m:num>
                      <m:den>
                        <m:r>
                          <a:rPr lang="pt-B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  <a:sym typeface="Symbol" panose="05050102010706020507" pitchFamily="18" charset="2"/>
                          </a:rPr>
                          <m:t>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𝐿𝑛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(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𝑘𝑚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9FD7CEC9-5660-4173-BBBF-6CF4E93F3F5B}"/>
                </a:ext>
              </a:extLst>
            </xdr:cNvPr>
            <xdr:cNvSpPr txBox="1"/>
          </xdr:nvSpPr>
          <xdr:spPr>
            <a:xfrm>
              <a:off x="5148627" y="290146"/>
              <a:ext cx="929787" cy="376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𝑆𝑛=</a:t>
              </a:r>
              <a:r>
                <a:rPr lang="pt-BR" sz="1100" i="0">
                  <a:latin typeface="Cambria Math" panose="02040503050406030204" pitchFamily="18" charset="0"/>
                  <a:sym typeface="Symbol" panose="05050102010706020507" pitchFamily="18" charset="2"/>
                </a:rPr>
                <a:t>(</a:t>
              </a:r>
              <a:r>
                <a:rPr lang="pt-BR" sz="1100" b="0" i="0">
                  <a:latin typeface="Cambria Math" panose="02040503050406030204" pitchFamily="18" charset="0"/>
                  <a:sym typeface="Symbol" panose="05050102010706020507" pitchFamily="18" charset="2"/>
                </a:rPr>
                <a:t>𝐻𝑛 (𝑚))/(</a:t>
              </a:r>
              <a:r>
                <a:rPr lang="pt-B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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𝐿𝑛 (𝑘𝑚)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</xdr:col>
      <xdr:colOff>163025</xdr:colOff>
      <xdr:row>24</xdr:row>
      <xdr:rowOff>75893</xdr:rowOff>
    </xdr:from>
    <xdr:ext cx="4108939" cy="1703484"/>
    <xdr:pic>
      <xdr:nvPicPr>
        <xdr:cNvPr id="4" name="Imagem 3">
          <a:extLst>
            <a:ext uri="{FF2B5EF4-FFF2-40B4-BE49-F238E27FC236}">
              <a16:creationId xmlns:a16="http://schemas.microsoft.com/office/drawing/2014/main" id="{E1A42A6E-FEAC-4D4C-B362-E73DCE4BE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2625" y="5295593"/>
          <a:ext cx="4108939" cy="1703484"/>
        </a:xfrm>
        <a:prstGeom prst="rect">
          <a:avLst/>
        </a:prstGeom>
      </xdr:spPr>
    </xdr:pic>
    <xdr:clientData/>
  </xdr:oneCellAnchor>
  <xdr:twoCellAnchor>
    <xdr:from>
      <xdr:col>8</xdr:col>
      <xdr:colOff>542925</xdr:colOff>
      <xdr:row>6</xdr:row>
      <xdr:rowOff>85725</xdr:rowOff>
    </xdr:from>
    <xdr:to>
      <xdr:col>12</xdr:col>
      <xdr:colOff>561415</xdr:colOff>
      <xdr:row>7</xdr:row>
      <xdr:rowOff>112619</xdr:rowOff>
    </xdr:to>
    <xdr:sp macro="[3]!GerarFormulaECalcular" textlink="">
      <xdr:nvSpPr>
        <xdr:cNvPr id="5" name="Retângulo 4">
          <a:extLst>
            <a:ext uri="{FF2B5EF4-FFF2-40B4-BE49-F238E27FC236}">
              <a16:creationId xmlns:a16="http://schemas.microsoft.com/office/drawing/2014/main" id="{21B7365D-3085-4819-9C4B-1FB7C1B5D682}"/>
            </a:ext>
          </a:extLst>
        </xdr:cNvPr>
        <xdr:cNvSpPr/>
      </xdr:nvSpPr>
      <xdr:spPr>
        <a:xfrm>
          <a:off x="5610225" y="1647825"/>
          <a:ext cx="2571190" cy="217394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ysClr val="windowText" lastClr="000000"/>
              </a:solidFill>
            </a:rPr>
            <a:t>Calcular declividade efetiva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166139</xdr:colOff>
      <xdr:row>2</xdr:row>
      <xdr:rowOff>162243</xdr:rowOff>
    </xdr:from>
    <xdr:to>
      <xdr:col>9</xdr:col>
      <xdr:colOff>365438</xdr:colOff>
      <xdr:row>9</xdr:row>
      <xdr:rowOff>7526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D786FFF-E9EB-4ED4-BDBA-8BDEACAF8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1933" y1="67154" x2="11933" y2="67154"/>
                      <a14:foregroundMark x1="19411" y1="66479" x2="19411" y2="66479"/>
                      <a14:foregroundMark x1="22355" y1="66479" x2="22355" y2="66479"/>
                      <a14:foregroundMark x1="28083" y1="66142" x2="28083" y2="66142"/>
                      <a14:foregroundMark x1="33333" y1="67154" x2="33333" y2="67154"/>
                      <a14:foregroundMark x1="37550" y1="64679" x2="37550" y2="64679"/>
                      <a14:foregroundMark x1="46460" y1="63667" x2="46460" y2="63667"/>
                      <a14:foregroundMark x1="56165" y1="66817" x2="56165" y2="66817"/>
                      <a14:foregroundMark x1="59666" y1="65354" x2="59666" y2="65354"/>
                      <a14:foregroundMark x1="66348" y1="65354" x2="66348" y2="65354"/>
                      <a14:foregroundMark x1="72076" y1="66479" x2="72076" y2="66479"/>
                      <a14:foregroundMark x1="78043" y1="67492" x2="78043" y2="67492"/>
                      <a14:foregroundMark x1="81305" y1="67829" x2="81305" y2="67829"/>
                      <a14:foregroundMark x1="87749" y1="68166" x2="87749" y2="68166"/>
                      <a14:foregroundMark x1="73349" y1="81890" x2="73349" y2="81890"/>
                      <a14:foregroundMark x1="68656" y1="82565" x2="68656" y2="82565"/>
                      <a14:foregroundMark x1="64360" y1="81890" x2="64360" y2="81890"/>
                      <a14:foregroundMark x1="58711" y1="81552" x2="58711" y2="81552"/>
                      <a14:foregroundMark x1="51949" y1="81215" x2="51949" y2="81215"/>
                      <a14:foregroundMark x1="48449" y1="81552" x2="48449" y2="81552"/>
                      <a14:foregroundMark x1="42482" y1="81552" x2="42482" y2="81552"/>
                      <a14:foregroundMark x1="37550" y1="82565" x2="37550" y2="82565"/>
                      <a14:foregroundMark x1="36834" y1="81890" x2="36834" y2="81890"/>
                      <a14:foregroundMark x1="38504" y1="82227" x2="38504" y2="82227"/>
                      <a14:foregroundMark x1="33095" y1="82227" x2="33095" y2="82227"/>
                      <a14:foregroundMark x1="26571" y1="81552" x2="26571" y2="8155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3389" y="486093"/>
          <a:ext cx="1294674" cy="1016858"/>
        </a:xfrm>
        <a:prstGeom prst="rect">
          <a:avLst/>
        </a:prstGeom>
      </xdr:spPr>
    </xdr:pic>
    <xdr:clientData/>
  </xdr:twoCellAnchor>
  <xdr:twoCellAnchor editAs="oneCell">
    <xdr:from>
      <xdr:col>15</xdr:col>
      <xdr:colOff>358587</xdr:colOff>
      <xdr:row>35</xdr:row>
      <xdr:rowOff>44824</xdr:rowOff>
    </xdr:from>
    <xdr:to>
      <xdr:col>22</xdr:col>
      <xdr:colOff>493851</xdr:colOff>
      <xdr:row>50</xdr:row>
      <xdr:rowOff>53544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A73D641-7124-4E51-889A-087A232DB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93112" y="6016999"/>
          <a:ext cx="5316864" cy="2589995"/>
        </a:xfrm>
        <a:prstGeom prst="rect">
          <a:avLst/>
        </a:prstGeom>
      </xdr:spPr>
    </xdr:pic>
    <xdr:clientData/>
  </xdr:twoCellAnchor>
  <xdr:twoCellAnchor editAs="oneCell">
    <xdr:from>
      <xdr:col>16</xdr:col>
      <xdr:colOff>33618</xdr:colOff>
      <xdr:row>25</xdr:row>
      <xdr:rowOff>0</xdr:rowOff>
    </xdr:from>
    <xdr:to>
      <xdr:col>28</xdr:col>
      <xdr:colOff>505267</xdr:colOff>
      <xdr:row>35</xdr:row>
      <xdr:rowOff>28628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7E2ADFC-190B-4B56-9202-27641DAEA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77768" y="4381500"/>
          <a:ext cx="8215474" cy="164787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16</xdr:row>
      <xdr:rowOff>11208</xdr:rowOff>
    </xdr:from>
    <xdr:to>
      <xdr:col>8</xdr:col>
      <xdr:colOff>9525</xdr:colOff>
      <xdr:row>27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C13A47-4341-4839-B7D8-ED253CF310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21</xdr:col>
      <xdr:colOff>462327</xdr:colOff>
      <xdr:row>1</xdr:row>
      <xdr:rowOff>379793</xdr:rowOff>
    </xdr:from>
    <xdr:ext cx="929787" cy="376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DDF22B33-1702-4074-A6E2-E4AF79C43AD4}"/>
                </a:ext>
              </a:extLst>
            </xdr:cNvPr>
            <xdr:cNvSpPr txBox="1"/>
          </xdr:nvSpPr>
          <xdr:spPr>
            <a:xfrm>
              <a:off x="13502052" y="570293"/>
              <a:ext cx="929787" cy="376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pt-BR" sz="1100" b="0" i="1">
                        <a:latin typeface="Cambria Math" panose="02040503050406030204" pitchFamily="18" charset="0"/>
                      </a:rPr>
                      <m:t>𝑆𝑛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</m:ctrlPr>
                      </m:fPr>
                      <m:num>
                        <m:r>
                          <a:rPr lang="pt-BR" sz="11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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𝐻𝑛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 (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𝑚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)</m:t>
                        </m:r>
                      </m:num>
                      <m:den>
                        <m:r>
                          <a:rPr lang="pt-B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  <a:sym typeface="Symbol" panose="05050102010706020507" pitchFamily="18" charset="2"/>
                          </a:rPr>
                          <m:t>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𝐿𝑛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(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𝑘𝑚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DDF22B33-1702-4074-A6E2-E4AF79C43AD4}"/>
                </a:ext>
              </a:extLst>
            </xdr:cNvPr>
            <xdr:cNvSpPr txBox="1"/>
          </xdr:nvSpPr>
          <xdr:spPr>
            <a:xfrm>
              <a:off x="13502052" y="570293"/>
              <a:ext cx="929787" cy="376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𝑆𝑛=</a:t>
              </a:r>
              <a:r>
                <a:rPr lang="pt-BR" sz="1100" i="0">
                  <a:latin typeface="Cambria Math" panose="02040503050406030204" pitchFamily="18" charset="0"/>
                </a:rPr>
                <a:t>(</a:t>
              </a:r>
              <a:r>
                <a:rPr lang="pt-BR" sz="1100" i="0">
                  <a:latin typeface="Cambria Math" panose="02040503050406030204" pitchFamily="18" charset="0"/>
                  <a:sym typeface="Symbol" panose="05050102010706020507" pitchFamily="18" charset="2"/>
                </a:rPr>
                <a:t></a:t>
              </a:r>
              <a:r>
                <a:rPr lang="pt-BR" sz="1100" b="0" i="0">
                  <a:latin typeface="Cambria Math" panose="02040503050406030204" pitchFamily="18" charset="0"/>
                  <a:sym typeface="Symbol" panose="05050102010706020507" pitchFamily="18" charset="2"/>
                </a:rPr>
                <a:t>𝐻𝑛 (𝑚))/(</a:t>
              </a:r>
              <a:r>
                <a:rPr lang="pt-B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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𝐿𝑛 (𝑘𝑚))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16</xdr:col>
      <xdr:colOff>353526</xdr:colOff>
      <xdr:row>21</xdr:row>
      <xdr:rowOff>53482</xdr:rowOff>
    </xdr:from>
    <xdr:ext cx="4108939" cy="1703484"/>
    <xdr:pic>
      <xdr:nvPicPr>
        <xdr:cNvPr id="4" name="Imagem 3">
          <a:extLst>
            <a:ext uri="{FF2B5EF4-FFF2-40B4-BE49-F238E27FC236}">
              <a16:creationId xmlns:a16="http://schemas.microsoft.com/office/drawing/2014/main" id="{B8754DA1-69A9-48F2-961D-6BAC37063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45251" y="3120532"/>
          <a:ext cx="4108939" cy="1703484"/>
        </a:xfrm>
        <a:prstGeom prst="rect">
          <a:avLst/>
        </a:prstGeom>
      </xdr:spPr>
    </xdr:pic>
    <xdr:clientData/>
  </xdr:oneCellAnchor>
  <xdr:twoCellAnchor>
    <xdr:from>
      <xdr:col>8</xdr:col>
      <xdr:colOff>85725</xdr:colOff>
      <xdr:row>13</xdr:row>
      <xdr:rowOff>180975</xdr:rowOff>
    </xdr:from>
    <xdr:to>
      <xdr:col>11</xdr:col>
      <xdr:colOff>209550</xdr:colOff>
      <xdr:row>15</xdr:row>
      <xdr:rowOff>0</xdr:rowOff>
    </xdr:to>
    <xdr:sp macro="[0]!GerarFormulaECalcular" textlink="">
      <xdr:nvSpPr>
        <xdr:cNvPr id="5" name="Retângulo 4">
          <a:extLst>
            <a:ext uri="{FF2B5EF4-FFF2-40B4-BE49-F238E27FC236}">
              <a16:creationId xmlns:a16="http://schemas.microsoft.com/office/drawing/2014/main" id="{37BD3977-39AA-47C0-A063-A7BE9971B7D1}"/>
            </a:ext>
          </a:extLst>
        </xdr:cNvPr>
        <xdr:cNvSpPr/>
      </xdr:nvSpPr>
      <xdr:spPr>
        <a:xfrm>
          <a:off x="5153025" y="3095625"/>
          <a:ext cx="2038350" cy="21907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ysClr val="windowText" lastClr="000000"/>
              </a:solidFill>
            </a:rPr>
            <a:t>Calcular declividade efetiva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166139</xdr:colOff>
      <xdr:row>2</xdr:row>
      <xdr:rowOff>162243</xdr:rowOff>
    </xdr:from>
    <xdr:to>
      <xdr:col>9</xdr:col>
      <xdr:colOff>365438</xdr:colOff>
      <xdr:row>8</xdr:row>
      <xdr:rowOff>150401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CD71E6C-305D-46D8-8A2F-44489CA9D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1933" y1="67154" x2="11933" y2="67154"/>
                      <a14:foregroundMark x1="19411" y1="66479" x2="19411" y2="66479"/>
                      <a14:foregroundMark x1="22355" y1="66479" x2="22355" y2="66479"/>
                      <a14:foregroundMark x1="28083" y1="66142" x2="28083" y2="66142"/>
                      <a14:foregroundMark x1="33333" y1="67154" x2="33333" y2="67154"/>
                      <a14:foregroundMark x1="37550" y1="64679" x2="37550" y2="64679"/>
                      <a14:foregroundMark x1="46460" y1="63667" x2="46460" y2="63667"/>
                      <a14:foregroundMark x1="56165" y1="66817" x2="56165" y2="66817"/>
                      <a14:foregroundMark x1="59666" y1="65354" x2="59666" y2="65354"/>
                      <a14:foregroundMark x1="66348" y1="65354" x2="66348" y2="65354"/>
                      <a14:foregroundMark x1="72076" y1="66479" x2="72076" y2="66479"/>
                      <a14:foregroundMark x1="78043" y1="67492" x2="78043" y2="67492"/>
                      <a14:foregroundMark x1="81305" y1="67829" x2="81305" y2="67829"/>
                      <a14:foregroundMark x1="87749" y1="68166" x2="87749" y2="68166"/>
                      <a14:foregroundMark x1="73349" y1="81890" x2="73349" y2="81890"/>
                      <a14:foregroundMark x1="68656" y1="82565" x2="68656" y2="82565"/>
                      <a14:foregroundMark x1="64360" y1="81890" x2="64360" y2="81890"/>
                      <a14:foregroundMark x1="58711" y1="81552" x2="58711" y2="81552"/>
                      <a14:foregroundMark x1="51949" y1="81215" x2="51949" y2="81215"/>
                      <a14:foregroundMark x1="48449" y1="81552" x2="48449" y2="81552"/>
                      <a14:foregroundMark x1="42482" y1="81552" x2="42482" y2="81552"/>
                      <a14:foregroundMark x1="37550" y1="82565" x2="37550" y2="82565"/>
                      <a14:foregroundMark x1="36834" y1="81890" x2="36834" y2="81890"/>
                      <a14:foregroundMark x1="38504" y1="82227" x2="38504" y2="82227"/>
                      <a14:foregroundMark x1="33095" y1="82227" x2="33095" y2="82227"/>
                      <a14:foregroundMark x1="26571" y1="81552" x2="26571" y2="8155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3389" y="486093"/>
          <a:ext cx="1294674" cy="1016858"/>
        </a:xfrm>
        <a:prstGeom prst="rect">
          <a:avLst/>
        </a:prstGeom>
      </xdr:spPr>
    </xdr:pic>
    <xdr:clientData/>
  </xdr:twoCellAnchor>
  <xdr:twoCellAnchor editAs="oneCell">
    <xdr:from>
      <xdr:col>15</xdr:col>
      <xdr:colOff>358587</xdr:colOff>
      <xdr:row>35</xdr:row>
      <xdr:rowOff>44824</xdr:rowOff>
    </xdr:from>
    <xdr:to>
      <xdr:col>22</xdr:col>
      <xdr:colOff>493851</xdr:colOff>
      <xdr:row>50</xdr:row>
      <xdr:rowOff>24969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DA90858-1495-4BE8-9A81-DC509953F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93112" y="6016999"/>
          <a:ext cx="5316864" cy="2589995"/>
        </a:xfrm>
        <a:prstGeom prst="rect">
          <a:avLst/>
        </a:prstGeom>
      </xdr:spPr>
    </xdr:pic>
    <xdr:clientData/>
  </xdr:twoCellAnchor>
  <xdr:twoCellAnchor editAs="oneCell">
    <xdr:from>
      <xdr:col>16</xdr:col>
      <xdr:colOff>33618</xdr:colOff>
      <xdr:row>25</xdr:row>
      <xdr:rowOff>0</xdr:rowOff>
    </xdr:from>
    <xdr:to>
      <xdr:col>28</xdr:col>
      <xdr:colOff>505267</xdr:colOff>
      <xdr:row>35</xdr:row>
      <xdr:rowOff>28628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79179D4-F2F6-487E-82C8-364F94EC5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49168" y="4352925"/>
          <a:ext cx="8215474" cy="1647878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571499</xdr:colOff>
      <xdr:row>22</xdr:row>
      <xdr:rowOff>11208</xdr:rowOff>
    </xdr:from>
    <xdr:to>
      <xdr:col>8</xdr:col>
      <xdr:colOff>390525</xdr:colOff>
      <xdr:row>36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54ECDAE-0198-4370-B4A8-6582A5D018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21</xdr:col>
      <xdr:colOff>462327</xdr:colOff>
      <xdr:row>1</xdr:row>
      <xdr:rowOff>379793</xdr:rowOff>
    </xdr:from>
    <xdr:ext cx="929787" cy="376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D827D94E-33FA-4DF7-ABF4-6EA297253BC4}"/>
                </a:ext>
              </a:extLst>
            </xdr:cNvPr>
            <xdr:cNvSpPr txBox="1"/>
          </xdr:nvSpPr>
          <xdr:spPr>
            <a:xfrm>
              <a:off x="13502052" y="570293"/>
              <a:ext cx="929787" cy="376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pt-BR" sz="1100" b="0" i="1">
                        <a:latin typeface="Cambria Math" panose="02040503050406030204" pitchFamily="18" charset="0"/>
                      </a:rPr>
                      <m:t>𝑆𝑛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</m:ctrlPr>
                      </m:fPr>
                      <m:num>
                        <m:r>
                          <a:rPr lang="pt-BR" sz="11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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𝐻𝑛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 (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𝑚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)</m:t>
                        </m:r>
                      </m:num>
                      <m:den>
                        <m:r>
                          <a:rPr lang="pt-B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  <a:sym typeface="Symbol" panose="05050102010706020507" pitchFamily="18" charset="2"/>
                          </a:rPr>
                          <m:t>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𝐿𝑛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(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𝑘𝑚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D827D94E-33FA-4DF7-ABF4-6EA297253BC4}"/>
                </a:ext>
              </a:extLst>
            </xdr:cNvPr>
            <xdr:cNvSpPr txBox="1"/>
          </xdr:nvSpPr>
          <xdr:spPr>
            <a:xfrm>
              <a:off x="13502052" y="570293"/>
              <a:ext cx="929787" cy="376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𝑆𝑛=</a:t>
              </a:r>
              <a:r>
                <a:rPr lang="pt-BR" sz="1100" i="0">
                  <a:latin typeface="Cambria Math" panose="02040503050406030204" pitchFamily="18" charset="0"/>
                </a:rPr>
                <a:t>(</a:t>
              </a:r>
              <a:r>
                <a:rPr lang="pt-BR" sz="1100" i="0">
                  <a:latin typeface="Cambria Math" panose="02040503050406030204" pitchFamily="18" charset="0"/>
                  <a:sym typeface="Symbol" panose="05050102010706020507" pitchFamily="18" charset="2"/>
                </a:rPr>
                <a:t></a:t>
              </a:r>
              <a:r>
                <a:rPr lang="pt-BR" sz="1100" b="0" i="0">
                  <a:latin typeface="Cambria Math" panose="02040503050406030204" pitchFamily="18" charset="0"/>
                  <a:sym typeface="Symbol" panose="05050102010706020507" pitchFamily="18" charset="2"/>
                </a:rPr>
                <a:t>𝐻𝑛 (𝑚))/(</a:t>
              </a:r>
              <a:r>
                <a:rPr lang="pt-B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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𝐿𝑛 (𝑘𝑚))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16</xdr:col>
      <xdr:colOff>353526</xdr:colOff>
      <xdr:row>27</xdr:row>
      <xdr:rowOff>53482</xdr:rowOff>
    </xdr:from>
    <xdr:ext cx="4108939" cy="1703484"/>
    <xdr:pic>
      <xdr:nvPicPr>
        <xdr:cNvPr id="4" name="Imagem 3">
          <a:extLst>
            <a:ext uri="{FF2B5EF4-FFF2-40B4-BE49-F238E27FC236}">
              <a16:creationId xmlns:a16="http://schemas.microsoft.com/office/drawing/2014/main" id="{8AF0485B-9687-40B0-B943-48CD352D0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45251" y="3120532"/>
          <a:ext cx="4108939" cy="1703484"/>
        </a:xfrm>
        <a:prstGeom prst="rect">
          <a:avLst/>
        </a:prstGeom>
      </xdr:spPr>
    </xdr:pic>
    <xdr:clientData/>
  </xdr:oneCellAnchor>
  <xdr:twoCellAnchor>
    <xdr:from>
      <xdr:col>8</xdr:col>
      <xdr:colOff>171450</xdr:colOff>
      <xdr:row>20</xdr:row>
      <xdr:rowOff>9525</xdr:rowOff>
    </xdr:from>
    <xdr:to>
      <xdr:col>11</xdr:col>
      <xdr:colOff>295275</xdr:colOff>
      <xdr:row>21</xdr:row>
      <xdr:rowOff>28575</xdr:rowOff>
    </xdr:to>
    <xdr:sp macro="[0]!GerarFormulaECalcular" textlink="">
      <xdr:nvSpPr>
        <xdr:cNvPr id="5" name="Retângulo 4">
          <a:extLst>
            <a:ext uri="{FF2B5EF4-FFF2-40B4-BE49-F238E27FC236}">
              <a16:creationId xmlns:a16="http://schemas.microsoft.com/office/drawing/2014/main" id="{A4AB93F1-1D4C-4009-911A-6521A90BB9FC}"/>
            </a:ext>
          </a:extLst>
        </xdr:cNvPr>
        <xdr:cNvSpPr/>
      </xdr:nvSpPr>
      <xdr:spPr>
        <a:xfrm>
          <a:off x="5238750" y="3124200"/>
          <a:ext cx="1914525" cy="21907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ysClr val="windowText" lastClr="000000"/>
              </a:solidFill>
            </a:rPr>
            <a:t>Calcular declividade efetiva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166139</xdr:colOff>
      <xdr:row>2</xdr:row>
      <xdr:rowOff>162243</xdr:rowOff>
    </xdr:from>
    <xdr:to>
      <xdr:col>9</xdr:col>
      <xdr:colOff>365438</xdr:colOff>
      <xdr:row>8</xdr:row>
      <xdr:rowOff>150401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11DF993-50F0-4146-8695-83293E3B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1933" y1="67154" x2="11933" y2="67154"/>
                      <a14:foregroundMark x1="19411" y1="66479" x2="19411" y2="66479"/>
                      <a14:foregroundMark x1="22355" y1="66479" x2="22355" y2="66479"/>
                      <a14:foregroundMark x1="28083" y1="66142" x2="28083" y2="66142"/>
                      <a14:foregroundMark x1="33333" y1="67154" x2="33333" y2="67154"/>
                      <a14:foregroundMark x1="37550" y1="64679" x2="37550" y2="64679"/>
                      <a14:foregroundMark x1="46460" y1="63667" x2="46460" y2="63667"/>
                      <a14:foregroundMark x1="56165" y1="66817" x2="56165" y2="66817"/>
                      <a14:foregroundMark x1="59666" y1="65354" x2="59666" y2="65354"/>
                      <a14:foregroundMark x1="66348" y1="65354" x2="66348" y2="65354"/>
                      <a14:foregroundMark x1="72076" y1="66479" x2="72076" y2="66479"/>
                      <a14:foregroundMark x1="78043" y1="67492" x2="78043" y2="67492"/>
                      <a14:foregroundMark x1="81305" y1="67829" x2="81305" y2="67829"/>
                      <a14:foregroundMark x1="87749" y1="68166" x2="87749" y2="68166"/>
                      <a14:foregroundMark x1="73349" y1="81890" x2="73349" y2="81890"/>
                      <a14:foregroundMark x1="68656" y1="82565" x2="68656" y2="82565"/>
                      <a14:foregroundMark x1="64360" y1="81890" x2="64360" y2="81890"/>
                      <a14:foregroundMark x1="58711" y1="81552" x2="58711" y2="81552"/>
                      <a14:foregroundMark x1="51949" y1="81215" x2="51949" y2="81215"/>
                      <a14:foregroundMark x1="48449" y1="81552" x2="48449" y2="81552"/>
                      <a14:foregroundMark x1="42482" y1="81552" x2="42482" y2="81552"/>
                      <a14:foregroundMark x1="37550" y1="82565" x2="37550" y2="82565"/>
                      <a14:foregroundMark x1="36834" y1="81890" x2="36834" y2="81890"/>
                      <a14:foregroundMark x1="38504" y1="82227" x2="38504" y2="82227"/>
                      <a14:foregroundMark x1="33095" y1="82227" x2="33095" y2="82227"/>
                      <a14:foregroundMark x1="26571" y1="81552" x2="26571" y2="8155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3389" y="486093"/>
          <a:ext cx="1294674" cy="1016858"/>
        </a:xfrm>
        <a:prstGeom prst="rect">
          <a:avLst/>
        </a:prstGeom>
      </xdr:spPr>
    </xdr:pic>
    <xdr:clientData/>
  </xdr:twoCellAnchor>
  <xdr:twoCellAnchor editAs="oneCell">
    <xdr:from>
      <xdr:col>15</xdr:col>
      <xdr:colOff>358587</xdr:colOff>
      <xdr:row>35</xdr:row>
      <xdr:rowOff>44824</xdr:rowOff>
    </xdr:from>
    <xdr:to>
      <xdr:col>22</xdr:col>
      <xdr:colOff>493851</xdr:colOff>
      <xdr:row>49</xdr:row>
      <xdr:rowOff>186894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2CD0EBF-279A-4EC4-A3F4-E6CBBAD44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93112" y="6016999"/>
          <a:ext cx="5316864" cy="2589995"/>
        </a:xfrm>
        <a:prstGeom prst="rect">
          <a:avLst/>
        </a:prstGeom>
      </xdr:spPr>
    </xdr:pic>
    <xdr:clientData/>
  </xdr:twoCellAnchor>
  <xdr:twoCellAnchor editAs="oneCell">
    <xdr:from>
      <xdr:col>16</xdr:col>
      <xdr:colOff>33618</xdr:colOff>
      <xdr:row>25</xdr:row>
      <xdr:rowOff>0</xdr:rowOff>
    </xdr:from>
    <xdr:to>
      <xdr:col>28</xdr:col>
      <xdr:colOff>505267</xdr:colOff>
      <xdr:row>35</xdr:row>
      <xdr:rowOff>28628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A4BF416-3FD8-4DD6-8313-DC0E133D7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49168" y="4352925"/>
          <a:ext cx="8215474" cy="1647878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14</xdr:row>
      <xdr:rowOff>11208</xdr:rowOff>
    </xdr:from>
    <xdr:to>
      <xdr:col>7</xdr:col>
      <xdr:colOff>561975</xdr:colOff>
      <xdr:row>25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E2715E-8715-4649-BA17-9C8753FC40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21</xdr:col>
      <xdr:colOff>462327</xdr:colOff>
      <xdr:row>1</xdr:row>
      <xdr:rowOff>379793</xdr:rowOff>
    </xdr:from>
    <xdr:ext cx="929787" cy="3766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5C47047E-137B-49C0-A454-BF032CA1F43D}"/>
                </a:ext>
              </a:extLst>
            </xdr:cNvPr>
            <xdr:cNvSpPr txBox="1"/>
          </xdr:nvSpPr>
          <xdr:spPr>
            <a:xfrm>
              <a:off x="13502052" y="570293"/>
              <a:ext cx="929787" cy="376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pt-BR" sz="1100" b="0" i="1">
                        <a:latin typeface="Cambria Math" panose="02040503050406030204" pitchFamily="18" charset="0"/>
                      </a:rPr>
                      <m:t>𝑆𝑛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</m:ctrlPr>
                      </m:fPr>
                      <m:num>
                        <m:r>
                          <a:rPr lang="pt-BR" sz="110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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𝐻𝑛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 (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𝑚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)</m:t>
                        </m:r>
                      </m:num>
                      <m:den>
                        <m:r>
                          <a:rPr lang="pt-B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  <a:sym typeface="Symbol" panose="05050102010706020507" pitchFamily="18" charset="2"/>
                          </a:rPr>
                          <m:t>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𝐿𝑛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(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𝑘𝑚</m:t>
                        </m:r>
                        <m:r>
                          <a:rPr lang="pt-B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5C47047E-137B-49C0-A454-BF032CA1F43D}"/>
                </a:ext>
              </a:extLst>
            </xdr:cNvPr>
            <xdr:cNvSpPr txBox="1"/>
          </xdr:nvSpPr>
          <xdr:spPr>
            <a:xfrm>
              <a:off x="13502052" y="570293"/>
              <a:ext cx="929787" cy="3766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𝑆𝑛=</a:t>
              </a:r>
              <a:r>
                <a:rPr lang="pt-BR" sz="1100" i="0">
                  <a:latin typeface="Cambria Math" panose="02040503050406030204" pitchFamily="18" charset="0"/>
                </a:rPr>
                <a:t>(</a:t>
              </a:r>
              <a:r>
                <a:rPr lang="pt-BR" sz="1100" i="0">
                  <a:latin typeface="Cambria Math" panose="02040503050406030204" pitchFamily="18" charset="0"/>
                  <a:sym typeface="Symbol" panose="05050102010706020507" pitchFamily="18" charset="2"/>
                </a:rPr>
                <a:t></a:t>
              </a:r>
              <a:r>
                <a:rPr lang="pt-BR" sz="1100" b="0" i="0">
                  <a:latin typeface="Cambria Math" panose="02040503050406030204" pitchFamily="18" charset="0"/>
                  <a:sym typeface="Symbol" panose="05050102010706020507" pitchFamily="18" charset="2"/>
                </a:rPr>
                <a:t>𝐻𝑛 (𝑚))/(</a:t>
              </a:r>
              <a:r>
                <a:rPr lang="pt-B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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𝐿𝑛 (𝑘𝑚))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16</xdr:col>
      <xdr:colOff>353526</xdr:colOff>
      <xdr:row>19</xdr:row>
      <xdr:rowOff>53482</xdr:rowOff>
    </xdr:from>
    <xdr:ext cx="4108939" cy="1703484"/>
    <xdr:pic>
      <xdr:nvPicPr>
        <xdr:cNvPr id="4" name="Imagem 3">
          <a:extLst>
            <a:ext uri="{FF2B5EF4-FFF2-40B4-BE49-F238E27FC236}">
              <a16:creationId xmlns:a16="http://schemas.microsoft.com/office/drawing/2014/main" id="{B227B051-CD7C-471B-B56E-7FFD96E6E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45251" y="3120532"/>
          <a:ext cx="4108939" cy="1703484"/>
        </a:xfrm>
        <a:prstGeom prst="rect">
          <a:avLst/>
        </a:prstGeom>
      </xdr:spPr>
    </xdr:pic>
    <xdr:clientData/>
  </xdr:oneCellAnchor>
  <xdr:twoCellAnchor>
    <xdr:from>
      <xdr:col>8</xdr:col>
      <xdr:colOff>133350</xdr:colOff>
      <xdr:row>11</xdr:row>
      <xdr:rowOff>180975</xdr:rowOff>
    </xdr:from>
    <xdr:to>
      <xdr:col>11</xdr:col>
      <xdr:colOff>257175</xdr:colOff>
      <xdr:row>13</xdr:row>
      <xdr:rowOff>0</xdr:rowOff>
    </xdr:to>
    <xdr:sp macro="[0]!GerarFormulaECalcular" textlink="">
      <xdr:nvSpPr>
        <xdr:cNvPr id="5" name="Retângulo 4">
          <a:extLst>
            <a:ext uri="{FF2B5EF4-FFF2-40B4-BE49-F238E27FC236}">
              <a16:creationId xmlns:a16="http://schemas.microsoft.com/office/drawing/2014/main" id="{DB784BDC-D0FF-45B9-ADD2-D8D48313347F}"/>
            </a:ext>
          </a:extLst>
        </xdr:cNvPr>
        <xdr:cNvSpPr/>
      </xdr:nvSpPr>
      <xdr:spPr>
        <a:xfrm>
          <a:off x="5200650" y="4238625"/>
          <a:ext cx="2038350" cy="21907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ysClr val="windowText" lastClr="000000"/>
              </a:solidFill>
            </a:rPr>
            <a:t>Calcular declividade efetiva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432089</xdr:colOff>
      <xdr:row>37</xdr:row>
      <xdr:rowOff>222250</xdr:rowOff>
    </xdr:from>
    <xdr:to>
      <xdr:col>58</xdr:col>
      <xdr:colOff>260525</xdr:colOff>
      <xdr:row>60</xdr:row>
      <xdr:rowOff>167625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EC72F3F-C9A4-45B1-A133-716FA7C6A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73339" y="18176875"/>
          <a:ext cx="5702186" cy="5787376"/>
        </a:xfrm>
        <a:prstGeom prst="rect">
          <a:avLst/>
        </a:prstGeom>
      </xdr:spPr>
    </xdr:pic>
    <xdr:clientData/>
  </xdr:twoCellAnchor>
  <xdr:twoCellAnchor editAs="oneCell">
    <xdr:from>
      <xdr:col>42</xdr:col>
      <xdr:colOff>402647</xdr:colOff>
      <xdr:row>37</xdr:row>
      <xdr:rowOff>238125</xdr:rowOff>
    </xdr:from>
    <xdr:to>
      <xdr:col>50</xdr:col>
      <xdr:colOff>185588</xdr:colOff>
      <xdr:row>60</xdr:row>
      <xdr:rowOff>180046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398BA93-FF5E-4095-801C-E636FB93A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104897" y="30575250"/>
          <a:ext cx="5565977" cy="5952197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935181</xdr:colOff>
      <xdr:row>18</xdr:row>
      <xdr:rowOff>86591</xdr:rowOff>
    </xdr:from>
    <xdr:to>
      <xdr:col>12</xdr:col>
      <xdr:colOff>294409</xdr:colOff>
      <xdr:row>21</xdr:row>
      <xdr:rowOff>265478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B80E0FF-7682-CAAB-7E62-D5342EB73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93136" y="20400818"/>
          <a:ext cx="3290455" cy="14777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QA-213_2025%20(Abadi&#226;nia-GOs)\4.3.E.HIDRO\NS\Dados%20de%20chuva_An&#225;polis-Bras&#237;lia_v-a_R00.xlsx" TargetMode="External"/><Relationship Id="rId1" Type="http://schemas.openxmlformats.org/officeDocument/2006/relationships/externalLinkPath" Target="file:///Q:\QA-213_2025%20(Abadi&#226;nia-GOs)\4.3.E.HIDRO\NS\Dados%20de%20chuva_An&#225;polis-Bras&#237;lia_v-a_R0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QA-219_2026%20(GO-116_Formosa)\4.3.E.HIDRO\NS\Dados%20de%20chuva_Faz._Santa_S&#233;_v-b_R00.xlsx" TargetMode="External"/><Relationship Id="rId1" Type="http://schemas.openxmlformats.org/officeDocument/2006/relationships/externalLinkPath" Target="file:///Q:\QA-219_2026%20(GO-116_Formosa)\4.3.E.HIDRO\NS\Dados%20de%20chuva_Faz._Santa_S&#233;_v-b_R0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QA-210_2025%20(GO-188_AP%20Registro)\4.2.E.HID\NS\Vaz&#245;es_QA-210_EHID_v-c_R04_(CADASTRO).xlsm" TargetMode="External"/><Relationship Id="rId1" Type="http://schemas.openxmlformats.org/officeDocument/2006/relationships/externalLinkPath" Target="file:///Q:\QA-210_2025%20(GO-188_AP%20Registro)\4.2.E.HID\NS\Vaz&#245;es_QA-210_EHID_v-c_R04_(CADASTRO)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QA-215_2026%20(GO-241_Aclara)\4.4.E.HIDRO\NS\Vazoes_QA-215_EHID_v-b_R00_CADASTRO.xlsm" TargetMode="External"/><Relationship Id="rId1" Type="http://schemas.openxmlformats.org/officeDocument/2006/relationships/externalLinkPath" Target="file:///Z:\QA-215_2026%20(GO-241_Aclara)\4.4.E.HIDRO\NS\Vazoes_QA-215_EHID_v-b_R00_CADASTRO.xlsm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Documents/Codex/2026-05-08/codex-eu-as-vaz-es-que/outputs/bueiros/busca_bueiros_vazao_usuais.xlsx" TargetMode="External"/><Relationship Id="rId2" Type="http://schemas.openxmlformats.org/officeDocument/2006/relationships/externalLinkPath" Target="file:///C:\Users\Usuario\Documents\Codex\2026-05-08\codex-eu-as-vaz-es-que\outputs\bueiros\busca_bueiros_vazao_usuais.xlsx" TargetMode="External"/><Relationship Id="rId1" Type="http://schemas.openxmlformats.org/officeDocument/2006/relationships/externalLinkPath" Target="/Users/Usuario/Documents/Codex/2026-05-08/codex-eu-as-vaz-es-que/outputs/bueiros/busca_bueiros_vazao_usua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uvasANA"/>
      <sheetName val="Data"/>
      <sheetName val="Dados de Precipitação OUT-SET"/>
      <sheetName val="Resumo"/>
      <sheetName val="dados"/>
      <sheetName val="Estudo Estatístico"/>
      <sheetName val="Valores de k"/>
      <sheetName val="Ven Te Chow"/>
      <sheetName val="Tabela de Isozonas"/>
      <sheetName val="Precip"/>
      <sheetName val="P_Tc_Tr"/>
      <sheetName val="I_Tc_Tr_R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A5" t="str">
            <v>ax</v>
          </cell>
          <cell r="AC5" t="str">
            <v>b</v>
          </cell>
          <cell r="AE5" t="str">
            <v>ax (1-24h)</v>
          </cell>
        </row>
        <row r="14">
          <cell r="AE14">
            <v>24.188985755464877</v>
          </cell>
        </row>
        <row r="16">
          <cell r="AE16">
            <v>26.572791210671088</v>
          </cell>
        </row>
        <row r="17">
          <cell r="AE17">
            <v>29.77992314240781</v>
          </cell>
        </row>
        <row r="18">
          <cell r="AE18">
            <v>33.004344811583479</v>
          </cell>
        </row>
      </sheetData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uvasANA"/>
      <sheetName val="Data"/>
      <sheetName val="Dados de Precipitação OUT-SET"/>
      <sheetName val="Resumo"/>
      <sheetName val="dados"/>
      <sheetName val="Estudo Estatístico"/>
      <sheetName val="Valores de k"/>
      <sheetName val="Ven Te Chow"/>
      <sheetName val="Tabela de Isozonas"/>
      <sheetName val="Precip"/>
      <sheetName val="P_Tc_Tr"/>
      <sheetName val="I_Tc_Tr_R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">
          <cell r="B8">
            <v>152.33473308669187</v>
          </cell>
          <cell r="C8">
            <v>183.82674159646521</v>
          </cell>
          <cell r="D8">
            <v>201.40040705950835</v>
          </cell>
          <cell r="E8">
            <v>214.0534461928994</v>
          </cell>
          <cell r="F8">
            <v>223.66038331269633</v>
          </cell>
          <cell r="G8">
            <v>253.18414129060884</v>
          </cell>
          <cell r="H8">
            <v>282.52044683691554</v>
          </cell>
        </row>
        <row r="9">
          <cell r="B9">
            <v>63.980587896410583</v>
          </cell>
          <cell r="C9">
            <v>76.471924504129532</v>
          </cell>
          <cell r="D9">
            <v>83.379768522636454</v>
          </cell>
          <cell r="E9">
            <v>88.190019831474558</v>
          </cell>
          <cell r="F9">
            <v>91.924417541518196</v>
          </cell>
          <cell r="G9">
            <v>103.0459455052778</v>
          </cell>
          <cell r="H9">
            <v>113.85574007527696</v>
          </cell>
        </row>
        <row r="10">
          <cell r="B10">
            <v>17.061490105709488</v>
          </cell>
          <cell r="C10">
            <v>20.588595058804103</v>
          </cell>
          <cell r="D10">
            <v>22.556845590664935</v>
          </cell>
          <cell r="E10">
            <v>23.97398597360473</v>
          </cell>
          <cell r="F10">
            <v>25.049962931021987</v>
          </cell>
          <cell r="G10">
            <v>28.356623824548187</v>
          </cell>
          <cell r="H10">
            <v>28.252044683691555</v>
          </cell>
        </row>
      </sheetData>
      <sheetData sheetId="8"/>
      <sheetData sheetId="9">
        <row r="12">
          <cell r="Z12">
            <v>5</v>
          </cell>
          <cell r="AA12">
            <v>20.376705266380544</v>
          </cell>
          <cell r="AC12">
            <v>63.980587896410583</v>
          </cell>
          <cell r="AE12">
            <v>27.801336889440901</v>
          </cell>
        </row>
        <row r="13">
          <cell r="Z13">
            <v>10</v>
          </cell>
          <cell r="AA13">
            <v>24.269821608486346</v>
          </cell>
          <cell r="AC13">
            <v>76.471924504129532</v>
          </cell>
          <cell r="AE13">
            <v>33.780049937222763</v>
          </cell>
        </row>
        <row r="14">
          <cell r="Z14">
            <v>15</v>
          </cell>
          <cell r="AA14">
            <v>26.41505980258199</v>
          </cell>
          <cell r="AC14">
            <v>83.379768522636454</v>
          </cell>
          <cell r="AE14">
            <v>37.136135772738164</v>
          </cell>
        </row>
        <row r="15">
          <cell r="Z15">
            <v>20</v>
          </cell>
          <cell r="AA15">
            <v>27.888669154185262</v>
          </cell>
          <cell r="AC15">
            <v>88.190019831474558</v>
          </cell>
          <cell r="AE15">
            <v>39.603931550663766</v>
          </cell>
        </row>
        <row r="16">
          <cell r="Z16">
            <v>25</v>
          </cell>
          <cell r="AA16">
            <v>29.043206617627984</v>
          </cell>
          <cell r="AC16">
            <v>91.924417541518196</v>
          </cell>
          <cell r="AE16">
            <v>41.451772941415264</v>
          </cell>
        </row>
        <row r="17">
          <cell r="Z17">
            <v>50</v>
          </cell>
          <cell r="AA17">
            <v>32.437160263037789</v>
          </cell>
          <cell r="AC17">
            <v>103.0459455052778</v>
          </cell>
          <cell r="AE17">
            <v>47.242181473336885</v>
          </cell>
        </row>
        <row r="18">
          <cell r="Z18">
            <v>100</v>
          </cell>
          <cell r="AA18">
            <v>37.177212539092373</v>
          </cell>
          <cell r="AC18">
            <v>113.85574007527696</v>
          </cell>
          <cell r="AE18">
            <v>53.071696001817728</v>
          </cell>
        </row>
      </sheetData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C01 (RAC)"/>
      <sheetName val="C_CN_IP03"/>
      <sheetName val="PERFIL BC01"/>
      <sheetName val="BC02 (RAC)"/>
      <sheetName val="PERFIL BC02"/>
      <sheetName val="BC03 (RAC)"/>
      <sheetName val="PERFIL BC03"/>
      <sheetName val="BC04 (RAC)"/>
      <sheetName val="PERFIL BC04"/>
      <sheetName val="BC05 (RAC)"/>
      <sheetName val="PERFIL BC05"/>
      <sheetName val="BC06 (RAC)"/>
      <sheetName val="PERFIL BC06"/>
      <sheetName val="BC07 (RAC-MOD)"/>
      <sheetName val="PERFIL BC07"/>
      <sheetName val="BC08 (RAC)_"/>
      <sheetName val="PERFIL BC08"/>
      <sheetName val="BC09 (RAC)"/>
      <sheetName val="PERFIL BC09"/>
      <sheetName val="BC10 (RAC)"/>
      <sheetName val="PERFIL BC10"/>
      <sheetName val="Apresentação  - Est. Hid."/>
      <sheetName val="Cadastro das Obras"/>
      <sheetName val="RESUMO"/>
      <sheetName val="Bacias_Area_Talvegue"/>
      <sheetName val="Base_Bueiros"/>
      <sheetName val="Tabela_DEB"/>
      <sheetName val="Vazões_QA-210_EHID_v-c_R04_(CAD"/>
    </sheetNames>
    <definedNames>
      <definedName name="GerarFormulaECalcula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">
          <cell r="C2" t="str">
            <v>BSTC</v>
          </cell>
          <cell r="D2" t="str">
            <v>1,00</v>
          </cell>
          <cell r="F2">
            <v>1.53</v>
          </cell>
        </row>
        <row r="3">
          <cell r="C3" t="str">
            <v>BSTC</v>
          </cell>
          <cell r="D3" t="str">
            <v>1,20</v>
          </cell>
          <cell r="F3">
            <v>2.42</v>
          </cell>
        </row>
        <row r="4">
          <cell r="C4" t="str">
            <v>BSTC</v>
          </cell>
          <cell r="D4" t="str">
            <v>1,50</v>
          </cell>
          <cell r="F4">
            <v>4.22</v>
          </cell>
        </row>
        <row r="5">
          <cell r="C5" t="str">
            <v>BDTC</v>
          </cell>
          <cell r="D5" t="str">
            <v>1,00</v>
          </cell>
          <cell r="F5">
            <v>3.07</v>
          </cell>
        </row>
        <row r="6">
          <cell r="C6" t="str">
            <v>BDTC</v>
          </cell>
          <cell r="D6" t="str">
            <v>1,20</v>
          </cell>
          <cell r="F6">
            <v>4.84</v>
          </cell>
        </row>
        <row r="7">
          <cell r="C7" t="str">
            <v>BDTC</v>
          </cell>
          <cell r="D7" t="str">
            <v>1,50</v>
          </cell>
          <cell r="F7">
            <v>8.4499999999999993</v>
          </cell>
        </row>
        <row r="8">
          <cell r="C8" t="str">
            <v>BTTC</v>
          </cell>
          <cell r="D8" t="str">
            <v>1,00</v>
          </cell>
          <cell r="F8">
            <v>4.5999999999999996</v>
          </cell>
        </row>
        <row r="9">
          <cell r="C9" t="str">
            <v>BTTC</v>
          </cell>
          <cell r="D9" t="str">
            <v>1,20</v>
          </cell>
          <cell r="F9">
            <v>7.26</v>
          </cell>
        </row>
        <row r="10">
          <cell r="C10" t="str">
            <v>BTTC</v>
          </cell>
          <cell r="D10" t="str">
            <v>1,50</v>
          </cell>
          <cell r="F10">
            <v>12.67</v>
          </cell>
        </row>
        <row r="20">
          <cell r="C20" t="str">
            <v>BSTC</v>
          </cell>
          <cell r="D20" t="str">
            <v>1,00</v>
          </cell>
          <cell r="F20">
            <v>2.4</v>
          </cell>
        </row>
        <row r="21">
          <cell r="C21" t="str">
            <v>BSTC</v>
          </cell>
          <cell r="D21" t="str">
            <v>1,20</v>
          </cell>
          <cell r="F21">
            <v>3.79</v>
          </cell>
        </row>
        <row r="22">
          <cell r="C22" t="str">
            <v>BSTC</v>
          </cell>
          <cell r="D22" t="str">
            <v>1,50</v>
          </cell>
          <cell r="F22">
            <v>6.62</v>
          </cell>
        </row>
        <row r="23">
          <cell r="C23" t="str">
            <v xml:space="preserve">BDTC </v>
          </cell>
          <cell r="D23" t="str">
            <v>1,00</v>
          </cell>
          <cell r="F23">
            <v>4.8</v>
          </cell>
        </row>
        <row r="24">
          <cell r="C24" t="str">
            <v>BDTC</v>
          </cell>
          <cell r="D24" t="str">
            <v>1,20</v>
          </cell>
          <cell r="F24">
            <v>7.58</v>
          </cell>
        </row>
        <row r="25">
          <cell r="C25" t="str">
            <v>BDTC</v>
          </cell>
          <cell r="D25" t="str">
            <v>1,50</v>
          </cell>
          <cell r="F25">
            <v>13.23</v>
          </cell>
        </row>
        <row r="26">
          <cell r="C26" t="str">
            <v>BTTC</v>
          </cell>
          <cell r="D26" t="str">
            <v>1,00</v>
          </cell>
          <cell r="F26">
            <v>7.2</v>
          </cell>
        </row>
        <row r="27">
          <cell r="C27" t="str">
            <v>BTTC</v>
          </cell>
          <cell r="D27" t="str">
            <v>1,20</v>
          </cell>
          <cell r="F27">
            <v>11.36</v>
          </cell>
        </row>
        <row r="28">
          <cell r="C28" t="str">
            <v>BTTC</v>
          </cell>
          <cell r="D28" t="str">
            <v>1,50</v>
          </cell>
          <cell r="F28">
            <v>19.850000000000001</v>
          </cell>
        </row>
      </sheetData>
      <sheetData sheetId="26"/>
      <sheetData sheetId="2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C01 (RAC)"/>
      <sheetName val="PERFIL BC01"/>
      <sheetName val="BC02 (RAC)"/>
      <sheetName val="PERFIL BC02"/>
      <sheetName val="BC03 (RAC)"/>
      <sheetName val="PERFIL BC03"/>
      <sheetName val="BC04 (RAC)"/>
      <sheetName val="PERFIL BC04"/>
      <sheetName val="BC05 (RAC-MOD)"/>
      <sheetName val="PERFIL BC05"/>
      <sheetName val="BC06 (RAC)"/>
      <sheetName val="PERFIL BC06"/>
      <sheetName val="BC07 (RAC)"/>
      <sheetName val="PERFIL BC07"/>
      <sheetName val="BC08 (RAC)"/>
      <sheetName val="PERFIL BC08"/>
      <sheetName val="BC09 (RAC)"/>
      <sheetName val="PERFIL BC09"/>
      <sheetName val="BC10 (RAC)"/>
      <sheetName val="PERFIL BC10"/>
      <sheetName val="BC11 (RAC-MOD)"/>
      <sheetName val="PERFIL BC11"/>
      <sheetName val="BC12 (RAC)"/>
      <sheetName val="PERFIL BC12"/>
      <sheetName val="BC13 (RAC)"/>
      <sheetName val="PERFIL BC13"/>
      <sheetName val="BC14 (RAC)"/>
      <sheetName val="PERFIL BC14"/>
      <sheetName val="BC15 (RAC)"/>
      <sheetName val="PERFIL BC15"/>
      <sheetName val="BC16 (RAC)"/>
      <sheetName val="PERFIL BC16"/>
      <sheetName val="BC17 (HUT)"/>
      <sheetName val="PERFIL BC17 (HUT)"/>
      <sheetName val="BC18 (RAC-MOD)"/>
      <sheetName val="PERFIL BC18"/>
      <sheetName val="Cadastro das Obras"/>
      <sheetName val="Base_Bueiros"/>
      <sheetName val="Tabela_DEB"/>
      <sheetName val="Apresentação  - Est. Hid."/>
      <sheetName val="C_CN_IP03"/>
      <sheetName val="C_JABÔ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2">
          <cell r="C2" t="str">
            <v>BSTC</v>
          </cell>
          <cell r="D2" t="str">
            <v>1,00</v>
          </cell>
          <cell r="F2">
            <v>1.53</v>
          </cell>
        </row>
        <row r="3">
          <cell r="C3" t="str">
            <v>BSTC</v>
          </cell>
          <cell r="D3" t="str">
            <v>1,20</v>
          </cell>
          <cell r="F3">
            <v>2.42</v>
          </cell>
        </row>
        <row r="4">
          <cell r="C4" t="str">
            <v>BSTC</v>
          </cell>
          <cell r="D4" t="str">
            <v>1,50</v>
          </cell>
          <cell r="F4">
            <v>4.22</v>
          </cell>
        </row>
        <row r="5">
          <cell r="C5" t="str">
            <v>BDTC</v>
          </cell>
          <cell r="D5" t="str">
            <v>1,00</v>
          </cell>
          <cell r="F5">
            <v>3.07</v>
          </cell>
        </row>
        <row r="6">
          <cell r="C6" t="str">
            <v>BDTC</v>
          </cell>
          <cell r="D6" t="str">
            <v>1,20</v>
          </cell>
          <cell r="F6">
            <v>4.84</v>
          </cell>
        </row>
        <row r="7">
          <cell r="C7" t="str">
            <v>BDTC</v>
          </cell>
          <cell r="D7" t="str">
            <v>1,50</v>
          </cell>
          <cell r="F7">
            <v>8.4499999999999993</v>
          </cell>
        </row>
        <row r="8">
          <cell r="C8" t="str">
            <v>BTTC</v>
          </cell>
          <cell r="D8" t="str">
            <v>1,00</v>
          </cell>
          <cell r="F8">
            <v>4.5999999999999996</v>
          </cell>
        </row>
        <row r="9">
          <cell r="C9" t="str">
            <v>BTTC</v>
          </cell>
          <cell r="D9" t="str">
            <v>1,20</v>
          </cell>
          <cell r="F9">
            <v>7.26</v>
          </cell>
        </row>
        <row r="10">
          <cell r="C10" t="str">
            <v>BTTC</v>
          </cell>
          <cell r="D10" t="str">
            <v>1,50</v>
          </cell>
          <cell r="F10">
            <v>12.67</v>
          </cell>
        </row>
        <row r="20">
          <cell r="C20" t="str">
            <v>BSTC</v>
          </cell>
          <cell r="D20" t="str">
            <v>1,00</v>
          </cell>
          <cell r="F20">
            <v>2.4</v>
          </cell>
        </row>
        <row r="21">
          <cell r="C21" t="str">
            <v>BSTC</v>
          </cell>
          <cell r="D21" t="str">
            <v>1,20</v>
          </cell>
          <cell r="F21">
            <v>3.79</v>
          </cell>
        </row>
        <row r="22">
          <cell r="C22" t="str">
            <v>BSTC</v>
          </cell>
          <cell r="D22" t="str">
            <v>1,50</v>
          </cell>
          <cell r="F22">
            <v>6.62</v>
          </cell>
        </row>
        <row r="23">
          <cell r="C23" t="str">
            <v xml:space="preserve">BDTC </v>
          </cell>
          <cell r="D23" t="str">
            <v>1,00</v>
          </cell>
          <cell r="F23">
            <v>4.8</v>
          </cell>
        </row>
        <row r="24">
          <cell r="C24" t="str">
            <v>BDTC</v>
          </cell>
          <cell r="D24" t="str">
            <v>1,20</v>
          </cell>
          <cell r="F24">
            <v>7.58</v>
          </cell>
        </row>
        <row r="25">
          <cell r="C25" t="str">
            <v>BDTC</v>
          </cell>
          <cell r="D25" t="str">
            <v>1,50</v>
          </cell>
          <cell r="F25">
            <v>13.23</v>
          </cell>
        </row>
        <row r="26">
          <cell r="C26" t="str">
            <v>BTTC</v>
          </cell>
          <cell r="D26" t="str">
            <v>1,00</v>
          </cell>
          <cell r="F26">
            <v>7.2</v>
          </cell>
        </row>
        <row r="27">
          <cell r="C27" t="str">
            <v>BTTC</v>
          </cell>
          <cell r="D27" t="str">
            <v>1,20</v>
          </cell>
          <cell r="F27">
            <v>11.36</v>
          </cell>
        </row>
        <row r="28">
          <cell r="C28" t="str">
            <v>BTTC</v>
          </cell>
          <cell r="D28" t="str">
            <v>1,50</v>
          </cell>
          <cell r="F28">
            <v>19.850000000000001</v>
          </cell>
        </row>
      </sheetData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ulta"/>
      <sheetName val="Base_Bueiros"/>
    </sheetNames>
    <sheetDataSet>
      <sheetData sheetId="0">
        <row r="4">
          <cell r="B4">
            <v>2.5</v>
          </cell>
        </row>
        <row r="5">
          <cell r="B5">
            <v>0</v>
          </cell>
        </row>
        <row r="6">
          <cell r="B6" t="str">
            <v>Canal</v>
          </cell>
        </row>
        <row r="7">
          <cell r="B7">
            <v>15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93C99F-8E2D-48B6-92BC-F67CAB717C9A}" name="TabelaBueiros" displayName="TabelaBueiros" ref="A1:M37">
  <tableColumns count="13">
    <tableColumn id="1" xr3:uid="{3D69A610-7E8A-474E-8D32-F6FB38931A55}" name="Dimensionamento"/>
    <tableColumn id="2" xr3:uid="{61C13D6C-C9F0-410A-BC59-D62EE447CCAC}" name="TR (anos)"/>
    <tableColumn id="3" xr3:uid="{8ECE7799-FB6C-4B84-AF41-D4CA92A2E7B4}" name="Tipo"/>
    <tableColumn id="4" xr3:uid="{DA1906B8-840D-4CBD-B389-37982BA73CC8}" name="Diametro / Base x Altura"/>
    <tableColumn id="5" xr3:uid="{49C12217-5BB7-4CDA-9A28-7201D4B552AB}" name="Area molhada critica (m2)"/>
    <tableColumn id="6" xr3:uid="{D7B14DEE-7B3E-4B2F-8E3B-03EE9DC795A2}" name="Vazao critica (m3/s)"/>
    <tableColumn id="7" xr3:uid="{A23BA531-42C8-4FBF-B562-F52B2B38E7D2}" name="Velocidade critica (m/s)"/>
    <tableColumn id="8" xr3:uid="{3FEBF3D3-6427-43A9-AB30-357B7C48F1D6}" name="Declividade critica (%)"/>
    <tableColumn id="9" xr3:uid="{01C79945-7137-45F3-B6AB-9BF39C0D59FF}" name="Fonte"/>
    <tableColumn id="10" xr3:uid="{FDDF3C82-3191-49E3-9800-70B31587CB29}" name="Observacao"/>
    <tableColumn id="11" xr3:uid="{7626981C-7076-404A-99A0-76B35FADCD89}" name="Atende consulta" dataDxfId="2">
      <calculatedColumnFormula>IF(AND($A2=[5]Consulta!$B$6,$B2=[5]Consulta!$B$7,$F2&gt;=[5]Consulta!$B$4*(1+[5]Consulta!$B$5)),"Sim","Nao")</calculatedColumnFormula>
    </tableColumn>
    <tableColumn id="12" xr3:uid="{4CBC9B49-9A08-4A9A-AC47-5A3598A2E664}" name="Vazao elegivel">
      <calculatedColumnFormula>IF($K2="Sim",$F2,1E+99)</calculatedColumnFormula>
    </tableColumn>
    <tableColumn id="13" xr3:uid="{329DD0E9-C505-491F-8530-EF29397B12E8}" name="Folga (m3/s)" dataDxfId="1">
      <calculatedColumnFormula>IF($K2="Sim",$F2-[5]Consulta!$B$4*(1+[5]Consulta!$B$5),"")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867C16-42BB-40F0-B767-2A62012179FB}" name="TabelaDEB" displayName="TabelaDEB" ref="A1:E12">
  <tableColumns count="5">
    <tableColumn id="1" xr3:uid="{C2876FA1-5E77-4990-BF33-785E95B0A6F4}" name="Dispositivo"/>
    <tableColumn id="2" xr3:uid="{B68F0BE6-B1E0-47DD-AA41-D93D2B63BA27}" name="Adaptavel em"/>
    <tableColumn id="3" xr3:uid="{DCD85E00-1E09-4889-BE89-19165C6198B9}" name="Tipo"/>
    <tableColumn id="4" xr3:uid="{3F54C189-1ACA-453B-BFA5-B004A15CEE08}" name="Diametro_m"/>
    <tableColumn id="5" xr3:uid="{81FE3067-9236-469C-8351-5C0400A73BD7}" name="Cha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FFDC-EF61-467F-ADDA-7CD516E317F5}">
  <sheetPr codeName="Planilha4">
    <tabColor rgb="FF92D050"/>
  </sheetPr>
  <dimension ref="A1:AD49"/>
  <sheetViews>
    <sheetView showGridLines="0" zoomScaleNormal="100" zoomScaleSheetLayoutView="90" workbookViewId="0">
      <selection activeCell="B3" sqref="B3"/>
    </sheetView>
  </sheetViews>
  <sheetFormatPr defaultRowHeight="12.75"/>
  <cols>
    <col min="1" max="1" width="3.7109375" style="45" customWidth="1"/>
    <col min="2" max="2" width="12.7109375" style="45" customWidth="1"/>
    <col min="3" max="3" width="19.5703125" style="45" customWidth="1"/>
    <col min="4" max="4" width="13.42578125" style="45" customWidth="1"/>
    <col min="5" max="5" width="8.85546875" style="45" customWidth="1"/>
    <col min="6" max="6" width="6.7109375" style="45" customWidth="1"/>
    <col min="7" max="7" width="8.28515625" style="45" bestFit="1" customWidth="1"/>
    <col min="8" max="8" width="8.28515625" style="45" customWidth="1"/>
    <col min="9" max="9" width="8.140625" style="45" customWidth="1"/>
    <col min="10" max="10" width="9.7109375" style="45" customWidth="1"/>
    <col min="11" max="11" width="15.7109375" style="45" customWidth="1"/>
    <col min="12" max="12" width="8.7109375" style="45" customWidth="1"/>
    <col min="13" max="13" width="6.28515625" style="45" bestFit="1" customWidth="1"/>
    <col min="14" max="14" width="10.42578125" style="45" customWidth="1"/>
    <col min="15" max="15" width="5.7109375" style="45" bestFit="1" customWidth="1"/>
    <col min="16" max="16" width="8.7109375" style="45" customWidth="1"/>
    <col min="17" max="17" width="15" style="45" bestFit="1" customWidth="1"/>
    <col min="18" max="18" width="8.42578125" style="45" customWidth="1"/>
    <col min="19" max="19" width="12.5703125" style="45" bestFit="1" customWidth="1"/>
    <col min="20" max="20" width="12.28515625" style="45" bestFit="1" customWidth="1"/>
    <col min="21" max="21" width="12" style="45" bestFit="1" customWidth="1"/>
    <col min="22" max="22" width="15.42578125" style="45" bestFit="1" customWidth="1"/>
    <col min="23" max="23" width="10.42578125" style="45" bestFit="1" customWidth="1"/>
    <col min="24" max="24" width="9.140625" style="45"/>
    <col min="25" max="25" width="5.140625" style="45" customWidth="1"/>
    <col min="26" max="26" width="9.140625" style="45"/>
    <col min="27" max="27" width="4.140625" style="45" customWidth="1"/>
    <col min="28" max="257" width="9.140625" style="45"/>
    <col min="258" max="258" width="8.7109375" style="45" customWidth="1"/>
    <col min="259" max="259" width="17" style="45" customWidth="1"/>
    <col min="260" max="260" width="14.42578125" style="45" customWidth="1"/>
    <col min="261" max="261" width="10.28515625" style="45" customWidth="1"/>
    <col min="262" max="272" width="8.7109375" style="45" customWidth="1"/>
    <col min="273" max="273" width="9.7109375" style="45" customWidth="1"/>
    <col min="274" max="274" width="8.42578125" style="45" customWidth="1"/>
    <col min="275" max="275" width="9.140625" style="45"/>
    <col min="276" max="276" width="10.7109375" style="45" customWidth="1"/>
    <col min="277" max="277" width="5.28515625" style="45" customWidth="1"/>
    <col min="278" max="278" width="15.42578125" style="45" bestFit="1" customWidth="1"/>
    <col min="279" max="279" width="10.42578125" style="45" bestFit="1" customWidth="1"/>
    <col min="280" max="513" width="9.140625" style="45"/>
    <col min="514" max="514" width="8.7109375" style="45" customWidth="1"/>
    <col min="515" max="515" width="17" style="45" customWidth="1"/>
    <col min="516" max="516" width="14.42578125" style="45" customWidth="1"/>
    <col min="517" max="517" width="10.28515625" style="45" customWidth="1"/>
    <col min="518" max="528" width="8.7109375" style="45" customWidth="1"/>
    <col min="529" max="529" width="9.7109375" style="45" customWidth="1"/>
    <col min="530" max="530" width="8.42578125" style="45" customWidth="1"/>
    <col min="531" max="531" width="9.140625" style="45"/>
    <col min="532" max="532" width="10.7109375" style="45" customWidth="1"/>
    <col min="533" max="533" width="5.28515625" style="45" customWidth="1"/>
    <col min="534" max="534" width="15.42578125" style="45" bestFit="1" customWidth="1"/>
    <col min="535" max="535" width="10.42578125" style="45" bestFit="1" customWidth="1"/>
    <col min="536" max="769" width="9.140625" style="45"/>
    <col min="770" max="770" width="8.7109375" style="45" customWidth="1"/>
    <col min="771" max="771" width="17" style="45" customWidth="1"/>
    <col min="772" max="772" width="14.42578125" style="45" customWidth="1"/>
    <col min="773" max="773" width="10.28515625" style="45" customWidth="1"/>
    <col min="774" max="784" width="8.7109375" style="45" customWidth="1"/>
    <col min="785" max="785" width="9.7109375" style="45" customWidth="1"/>
    <col min="786" max="786" width="8.42578125" style="45" customWidth="1"/>
    <col min="787" max="787" width="9.140625" style="45"/>
    <col min="788" max="788" width="10.7109375" style="45" customWidth="1"/>
    <col min="789" max="789" width="5.28515625" style="45" customWidth="1"/>
    <col min="790" max="790" width="15.42578125" style="45" bestFit="1" customWidth="1"/>
    <col min="791" max="791" width="10.42578125" style="45" bestFit="1" customWidth="1"/>
    <col min="792" max="1025" width="9.140625" style="45"/>
    <col min="1026" max="1026" width="8.7109375" style="45" customWidth="1"/>
    <col min="1027" max="1027" width="17" style="45" customWidth="1"/>
    <col min="1028" max="1028" width="14.42578125" style="45" customWidth="1"/>
    <col min="1029" max="1029" width="10.28515625" style="45" customWidth="1"/>
    <col min="1030" max="1040" width="8.7109375" style="45" customWidth="1"/>
    <col min="1041" max="1041" width="9.7109375" style="45" customWidth="1"/>
    <col min="1042" max="1042" width="8.42578125" style="45" customWidth="1"/>
    <col min="1043" max="1043" width="9.140625" style="45"/>
    <col min="1044" max="1044" width="10.7109375" style="45" customWidth="1"/>
    <col min="1045" max="1045" width="5.28515625" style="45" customWidth="1"/>
    <col min="1046" max="1046" width="15.42578125" style="45" bestFit="1" customWidth="1"/>
    <col min="1047" max="1047" width="10.42578125" style="45" bestFit="1" customWidth="1"/>
    <col min="1048" max="1281" width="9.140625" style="45"/>
    <col min="1282" max="1282" width="8.7109375" style="45" customWidth="1"/>
    <col min="1283" max="1283" width="17" style="45" customWidth="1"/>
    <col min="1284" max="1284" width="14.42578125" style="45" customWidth="1"/>
    <col min="1285" max="1285" width="10.28515625" style="45" customWidth="1"/>
    <col min="1286" max="1296" width="8.7109375" style="45" customWidth="1"/>
    <col min="1297" max="1297" width="9.7109375" style="45" customWidth="1"/>
    <col min="1298" max="1298" width="8.42578125" style="45" customWidth="1"/>
    <col min="1299" max="1299" width="9.140625" style="45"/>
    <col min="1300" max="1300" width="10.7109375" style="45" customWidth="1"/>
    <col min="1301" max="1301" width="5.28515625" style="45" customWidth="1"/>
    <col min="1302" max="1302" width="15.42578125" style="45" bestFit="1" customWidth="1"/>
    <col min="1303" max="1303" width="10.42578125" style="45" bestFit="1" customWidth="1"/>
    <col min="1304" max="1537" width="9.140625" style="45"/>
    <col min="1538" max="1538" width="8.7109375" style="45" customWidth="1"/>
    <col min="1539" max="1539" width="17" style="45" customWidth="1"/>
    <col min="1540" max="1540" width="14.42578125" style="45" customWidth="1"/>
    <col min="1541" max="1541" width="10.28515625" style="45" customWidth="1"/>
    <col min="1542" max="1552" width="8.7109375" style="45" customWidth="1"/>
    <col min="1553" max="1553" width="9.7109375" style="45" customWidth="1"/>
    <col min="1554" max="1554" width="8.42578125" style="45" customWidth="1"/>
    <col min="1555" max="1555" width="9.140625" style="45"/>
    <col min="1556" max="1556" width="10.7109375" style="45" customWidth="1"/>
    <col min="1557" max="1557" width="5.28515625" style="45" customWidth="1"/>
    <col min="1558" max="1558" width="15.42578125" style="45" bestFit="1" customWidth="1"/>
    <col min="1559" max="1559" width="10.42578125" style="45" bestFit="1" customWidth="1"/>
    <col min="1560" max="1793" width="9.140625" style="45"/>
    <col min="1794" max="1794" width="8.7109375" style="45" customWidth="1"/>
    <col min="1795" max="1795" width="17" style="45" customWidth="1"/>
    <col min="1796" max="1796" width="14.42578125" style="45" customWidth="1"/>
    <col min="1797" max="1797" width="10.28515625" style="45" customWidth="1"/>
    <col min="1798" max="1808" width="8.7109375" style="45" customWidth="1"/>
    <col min="1809" max="1809" width="9.7109375" style="45" customWidth="1"/>
    <col min="1810" max="1810" width="8.42578125" style="45" customWidth="1"/>
    <col min="1811" max="1811" width="9.140625" style="45"/>
    <col min="1812" max="1812" width="10.7109375" style="45" customWidth="1"/>
    <col min="1813" max="1813" width="5.28515625" style="45" customWidth="1"/>
    <col min="1814" max="1814" width="15.42578125" style="45" bestFit="1" customWidth="1"/>
    <col min="1815" max="1815" width="10.42578125" style="45" bestFit="1" customWidth="1"/>
    <col min="1816" max="2049" width="9.140625" style="45"/>
    <col min="2050" max="2050" width="8.7109375" style="45" customWidth="1"/>
    <col min="2051" max="2051" width="17" style="45" customWidth="1"/>
    <col min="2052" max="2052" width="14.42578125" style="45" customWidth="1"/>
    <col min="2053" max="2053" width="10.28515625" style="45" customWidth="1"/>
    <col min="2054" max="2064" width="8.7109375" style="45" customWidth="1"/>
    <col min="2065" max="2065" width="9.7109375" style="45" customWidth="1"/>
    <col min="2066" max="2066" width="8.42578125" style="45" customWidth="1"/>
    <col min="2067" max="2067" width="9.140625" style="45"/>
    <col min="2068" max="2068" width="10.7109375" style="45" customWidth="1"/>
    <col min="2069" max="2069" width="5.28515625" style="45" customWidth="1"/>
    <col min="2070" max="2070" width="15.42578125" style="45" bestFit="1" customWidth="1"/>
    <col min="2071" max="2071" width="10.42578125" style="45" bestFit="1" customWidth="1"/>
    <col min="2072" max="2305" width="9.140625" style="45"/>
    <col min="2306" max="2306" width="8.7109375" style="45" customWidth="1"/>
    <col min="2307" max="2307" width="17" style="45" customWidth="1"/>
    <col min="2308" max="2308" width="14.42578125" style="45" customWidth="1"/>
    <col min="2309" max="2309" width="10.28515625" style="45" customWidth="1"/>
    <col min="2310" max="2320" width="8.7109375" style="45" customWidth="1"/>
    <col min="2321" max="2321" width="9.7109375" style="45" customWidth="1"/>
    <col min="2322" max="2322" width="8.42578125" style="45" customWidth="1"/>
    <col min="2323" max="2323" width="9.140625" style="45"/>
    <col min="2324" max="2324" width="10.7109375" style="45" customWidth="1"/>
    <col min="2325" max="2325" width="5.28515625" style="45" customWidth="1"/>
    <col min="2326" max="2326" width="15.42578125" style="45" bestFit="1" customWidth="1"/>
    <col min="2327" max="2327" width="10.42578125" style="45" bestFit="1" customWidth="1"/>
    <col min="2328" max="2561" width="9.140625" style="45"/>
    <col min="2562" max="2562" width="8.7109375" style="45" customWidth="1"/>
    <col min="2563" max="2563" width="17" style="45" customWidth="1"/>
    <col min="2564" max="2564" width="14.42578125" style="45" customWidth="1"/>
    <col min="2565" max="2565" width="10.28515625" style="45" customWidth="1"/>
    <col min="2566" max="2576" width="8.7109375" style="45" customWidth="1"/>
    <col min="2577" max="2577" width="9.7109375" style="45" customWidth="1"/>
    <col min="2578" max="2578" width="8.42578125" style="45" customWidth="1"/>
    <col min="2579" max="2579" width="9.140625" style="45"/>
    <col min="2580" max="2580" width="10.7109375" style="45" customWidth="1"/>
    <col min="2581" max="2581" width="5.28515625" style="45" customWidth="1"/>
    <col min="2582" max="2582" width="15.42578125" style="45" bestFit="1" customWidth="1"/>
    <col min="2583" max="2583" width="10.42578125" style="45" bestFit="1" customWidth="1"/>
    <col min="2584" max="2817" width="9.140625" style="45"/>
    <col min="2818" max="2818" width="8.7109375" style="45" customWidth="1"/>
    <col min="2819" max="2819" width="17" style="45" customWidth="1"/>
    <col min="2820" max="2820" width="14.42578125" style="45" customWidth="1"/>
    <col min="2821" max="2821" width="10.28515625" style="45" customWidth="1"/>
    <col min="2822" max="2832" width="8.7109375" style="45" customWidth="1"/>
    <col min="2833" max="2833" width="9.7109375" style="45" customWidth="1"/>
    <col min="2834" max="2834" width="8.42578125" style="45" customWidth="1"/>
    <col min="2835" max="2835" width="9.140625" style="45"/>
    <col min="2836" max="2836" width="10.7109375" style="45" customWidth="1"/>
    <col min="2837" max="2837" width="5.28515625" style="45" customWidth="1"/>
    <col min="2838" max="2838" width="15.42578125" style="45" bestFit="1" customWidth="1"/>
    <col min="2839" max="2839" width="10.42578125" style="45" bestFit="1" customWidth="1"/>
    <col min="2840" max="3073" width="9.140625" style="45"/>
    <col min="3074" max="3074" width="8.7109375" style="45" customWidth="1"/>
    <col min="3075" max="3075" width="17" style="45" customWidth="1"/>
    <col min="3076" max="3076" width="14.42578125" style="45" customWidth="1"/>
    <col min="3077" max="3077" width="10.28515625" style="45" customWidth="1"/>
    <col min="3078" max="3088" width="8.7109375" style="45" customWidth="1"/>
    <col min="3089" max="3089" width="9.7109375" style="45" customWidth="1"/>
    <col min="3090" max="3090" width="8.42578125" style="45" customWidth="1"/>
    <col min="3091" max="3091" width="9.140625" style="45"/>
    <col min="3092" max="3092" width="10.7109375" style="45" customWidth="1"/>
    <col min="3093" max="3093" width="5.28515625" style="45" customWidth="1"/>
    <col min="3094" max="3094" width="15.42578125" style="45" bestFit="1" customWidth="1"/>
    <col min="3095" max="3095" width="10.42578125" style="45" bestFit="1" customWidth="1"/>
    <col min="3096" max="3329" width="9.140625" style="45"/>
    <col min="3330" max="3330" width="8.7109375" style="45" customWidth="1"/>
    <col min="3331" max="3331" width="17" style="45" customWidth="1"/>
    <col min="3332" max="3332" width="14.42578125" style="45" customWidth="1"/>
    <col min="3333" max="3333" width="10.28515625" style="45" customWidth="1"/>
    <col min="3334" max="3344" width="8.7109375" style="45" customWidth="1"/>
    <col min="3345" max="3345" width="9.7109375" style="45" customWidth="1"/>
    <col min="3346" max="3346" width="8.42578125" style="45" customWidth="1"/>
    <col min="3347" max="3347" width="9.140625" style="45"/>
    <col min="3348" max="3348" width="10.7109375" style="45" customWidth="1"/>
    <col min="3349" max="3349" width="5.28515625" style="45" customWidth="1"/>
    <col min="3350" max="3350" width="15.42578125" style="45" bestFit="1" customWidth="1"/>
    <col min="3351" max="3351" width="10.42578125" style="45" bestFit="1" customWidth="1"/>
    <col min="3352" max="3585" width="9.140625" style="45"/>
    <col min="3586" max="3586" width="8.7109375" style="45" customWidth="1"/>
    <col min="3587" max="3587" width="17" style="45" customWidth="1"/>
    <col min="3588" max="3588" width="14.42578125" style="45" customWidth="1"/>
    <col min="3589" max="3589" width="10.28515625" style="45" customWidth="1"/>
    <col min="3590" max="3600" width="8.7109375" style="45" customWidth="1"/>
    <col min="3601" max="3601" width="9.7109375" style="45" customWidth="1"/>
    <col min="3602" max="3602" width="8.42578125" style="45" customWidth="1"/>
    <col min="3603" max="3603" width="9.140625" style="45"/>
    <col min="3604" max="3604" width="10.7109375" style="45" customWidth="1"/>
    <col min="3605" max="3605" width="5.28515625" style="45" customWidth="1"/>
    <col min="3606" max="3606" width="15.42578125" style="45" bestFit="1" customWidth="1"/>
    <col min="3607" max="3607" width="10.42578125" style="45" bestFit="1" customWidth="1"/>
    <col min="3608" max="3841" width="9.140625" style="45"/>
    <col min="3842" max="3842" width="8.7109375" style="45" customWidth="1"/>
    <col min="3843" max="3843" width="17" style="45" customWidth="1"/>
    <col min="3844" max="3844" width="14.42578125" style="45" customWidth="1"/>
    <col min="3845" max="3845" width="10.28515625" style="45" customWidth="1"/>
    <col min="3846" max="3856" width="8.7109375" style="45" customWidth="1"/>
    <col min="3857" max="3857" width="9.7109375" style="45" customWidth="1"/>
    <col min="3858" max="3858" width="8.42578125" style="45" customWidth="1"/>
    <col min="3859" max="3859" width="9.140625" style="45"/>
    <col min="3860" max="3860" width="10.7109375" style="45" customWidth="1"/>
    <col min="3861" max="3861" width="5.28515625" style="45" customWidth="1"/>
    <col min="3862" max="3862" width="15.42578125" style="45" bestFit="1" customWidth="1"/>
    <col min="3863" max="3863" width="10.42578125" style="45" bestFit="1" customWidth="1"/>
    <col min="3864" max="4097" width="9.140625" style="45"/>
    <col min="4098" max="4098" width="8.7109375" style="45" customWidth="1"/>
    <col min="4099" max="4099" width="17" style="45" customWidth="1"/>
    <col min="4100" max="4100" width="14.42578125" style="45" customWidth="1"/>
    <col min="4101" max="4101" width="10.28515625" style="45" customWidth="1"/>
    <col min="4102" max="4112" width="8.7109375" style="45" customWidth="1"/>
    <col min="4113" max="4113" width="9.7109375" style="45" customWidth="1"/>
    <col min="4114" max="4114" width="8.42578125" style="45" customWidth="1"/>
    <col min="4115" max="4115" width="9.140625" style="45"/>
    <col min="4116" max="4116" width="10.7109375" style="45" customWidth="1"/>
    <col min="4117" max="4117" width="5.28515625" style="45" customWidth="1"/>
    <col min="4118" max="4118" width="15.42578125" style="45" bestFit="1" customWidth="1"/>
    <col min="4119" max="4119" width="10.42578125" style="45" bestFit="1" customWidth="1"/>
    <col min="4120" max="4353" width="9.140625" style="45"/>
    <col min="4354" max="4354" width="8.7109375" style="45" customWidth="1"/>
    <col min="4355" max="4355" width="17" style="45" customWidth="1"/>
    <col min="4356" max="4356" width="14.42578125" style="45" customWidth="1"/>
    <col min="4357" max="4357" width="10.28515625" style="45" customWidth="1"/>
    <col min="4358" max="4368" width="8.7109375" style="45" customWidth="1"/>
    <col min="4369" max="4369" width="9.7109375" style="45" customWidth="1"/>
    <col min="4370" max="4370" width="8.42578125" style="45" customWidth="1"/>
    <col min="4371" max="4371" width="9.140625" style="45"/>
    <col min="4372" max="4372" width="10.7109375" style="45" customWidth="1"/>
    <col min="4373" max="4373" width="5.28515625" style="45" customWidth="1"/>
    <col min="4374" max="4374" width="15.42578125" style="45" bestFit="1" customWidth="1"/>
    <col min="4375" max="4375" width="10.42578125" style="45" bestFit="1" customWidth="1"/>
    <col min="4376" max="4609" width="9.140625" style="45"/>
    <col min="4610" max="4610" width="8.7109375" style="45" customWidth="1"/>
    <col min="4611" max="4611" width="17" style="45" customWidth="1"/>
    <col min="4612" max="4612" width="14.42578125" style="45" customWidth="1"/>
    <col min="4613" max="4613" width="10.28515625" style="45" customWidth="1"/>
    <col min="4614" max="4624" width="8.7109375" style="45" customWidth="1"/>
    <col min="4625" max="4625" width="9.7109375" style="45" customWidth="1"/>
    <col min="4626" max="4626" width="8.42578125" style="45" customWidth="1"/>
    <col min="4627" max="4627" width="9.140625" style="45"/>
    <col min="4628" max="4628" width="10.7109375" style="45" customWidth="1"/>
    <col min="4629" max="4629" width="5.28515625" style="45" customWidth="1"/>
    <col min="4630" max="4630" width="15.42578125" style="45" bestFit="1" customWidth="1"/>
    <col min="4631" max="4631" width="10.42578125" style="45" bestFit="1" customWidth="1"/>
    <col min="4632" max="4865" width="9.140625" style="45"/>
    <col min="4866" max="4866" width="8.7109375" style="45" customWidth="1"/>
    <col min="4867" max="4867" width="17" style="45" customWidth="1"/>
    <col min="4868" max="4868" width="14.42578125" style="45" customWidth="1"/>
    <col min="4869" max="4869" width="10.28515625" style="45" customWidth="1"/>
    <col min="4870" max="4880" width="8.7109375" style="45" customWidth="1"/>
    <col min="4881" max="4881" width="9.7109375" style="45" customWidth="1"/>
    <col min="4882" max="4882" width="8.42578125" style="45" customWidth="1"/>
    <col min="4883" max="4883" width="9.140625" style="45"/>
    <col min="4884" max="4884" width="10.7109375" style="45" customWidth="1"/>
    <col min="4885" max="4885" width="5.28515625" style="45" customWidth="1"/>
    <col min="4886" max="4886" width="15.42578125" style="45" bestFit="1" customWidth="1"/>
    <col min="4887" max="4887" width="10.42578125" style="45" bestFit="1" customWidth="1"/>
    <col min="4888" max="5121" width="9.140625" style="45"/>
    <col min="5122" max="5122" width="8.7109375" style="45" customWidth="1"/>
    <col min="5123" max="5123" width="17" style="45" customWidth="1"/>
    <col min="5124" max="5124" width="14.42578125" style="45" customWidth="1"/>
    <col min="5125" max="5125" width="10.28515625" style="45" customWidth="1"/>
    <col min="5126" max="5136" width="8.7109375" style="45" customWidth="1"/>
    <col min="5137" max="5137" width="9.7109375" style="45" customWidth="1"/>
    <col min="5138" max="5138" width="8.42578125" style="45" customWidth="1"/>
    <col min="5139" max="5139" width="9.140625" style="45"/>
    <col min="5140" max="5140" width="10.7109375" style="45" customWidth="1"/>
    <col min="5141" max="5141" width="5.28515625" style="45" customWidth="1"/>
    <col min="5142" max="5142" width="15.42578125" style="45" bestFit="1" customWidth="1"/>
    <col min="5143" max="5143" width="10.42578125" style="45" bestFit="1" customWidth="1"/>
    <col min="5144" max="5377" width="9.140625" style="45"/>
    <col min="5378" max="5378" width="8.7109375" style="45" customWidth="1"/>
    <col min="5379" max="5379" width="17" style="45" customWidth="1"/>
    <col min="5380" max="5380" width="14.42578125" style="45" customWidth="1"/>
    <col min="5381" max="5381" width="10.28515625" style="45" customWidth="1"/>
    <col min="5382" max="5392" width="8.7109375" style="45" customWidth="1"/>
    <col min="5393" max="5393" width="9.7109375" style="45" customWidth="1"/>
    <col min="5394" max="5394" width="8.42578125" style="45" customWidth="1"/>
    <col min="5395" max="5395" width="9.140625" style="45"/>
    <col min="5396" max="5396" width="10.7109375" style="45" customWidth="1"/>
    <col min="5397" max="5397" width="5.28515625" style="45" customWidth="1"/>
    <col min="5398" max="5398" width="15.42578125" style="45" bestFit="1" customWidth="1"/>
    <col min="5399" max="5399" width="10.42578125" style="45" bestFit="1" customWidth="1"/>
    <col min="5400" max="5633" width="9.140625" style="45"/>
    <col min="5634" max="5634" width="8.7109375" style="45" customWidth="1"/>
    <col min="5635" max="5635" width="17" style="45" customWidth="1"/>
    <col min="5636" max="5636" width="14.42578125" style="45" customWidth="1"/>
    <col min="5637" max="5637" width="10.28515625" style="45" customWidth="1"/>
    <col min="5638" max="5648" width="8.7109375" style="45" customWidth="1"/>
    <col min="5649" max="5649" width="9.7109375" style="45" customWidth="1"/>
    <col min="5650" max="5650" width="8.42578125" style="45" customWidth="1"/>
    <col min="5651" max="5651" width="9.140625" style="45"/>
    <col min="5652" max="5652" width="10.7109375" style="45" customWidth="1"/>
    <col min="5653" max="5653" width="5.28515625" style="45" customWidth="1"/>
    <col min="5654" max="5654" width="15.42578125" style="45" bestFit="1" customWidth="1"/>
    <col min="5655" max="5655" width="10.42578125" style="45" bestFit="1" customWidth="1"/>
    <col min="5656" max="5889" width="9.140625" style="45"/>
    <col min="5890" max="5890" width="8.7109375" style="45" customWidth="1"/>
    <col min="5891" max="5891" width="17" style="45" customWidth="1"/>
    <col min="5892" max="5892" width="14.42578125" style="45" customWidth="1"/>
    <col min="5893" max="5893" width="10.28515625" style="45" customWidth="1"/>
    <col min="5894" max="5904" width="8.7109375" style="45" customWidth="1"/>
    <col min="5905" max="5905" width="9.7109375" style="45" customWidth="1"/>
    <col min="5906" max="5906" width="8.42578125" style="45" customWidth="1"/>
    <col min="5907" max="5907" width="9.140625" style="45"/>
    <col min="5908" max="5908" width="10.7109375" style="45" customWidth="1"/>
    <col min="5909" max="5909" width="5.28515625" style="45" customWidth="1"/>
    <col min="5910" max="5910" width="15.42578125" style="45" bestFit="1" customWidth="1"/>
    <col min="5911" max="5911" width="10.42578125" style="45" bestFit="1" customWidth="1"/>
    <col min="5912" max="6145" width="9.140625" style="45"/>
    <col min="6146" max="6146" width="8.7109375" style="45" customWidth="1"/>
    <col min="6147" max="6147" width="17" style="45" customWidth="1"/>
    <col min="6148" max="6148" width="14.42578125" style="45" customWidth="1"/>
    <col min="6149" max="6149" width="10.28515625" style="45" customWidth="1"/>
    <col min="6150" max="6160" width="8.7109375" style="45" customWidth="1"/>
    <col min="6161" max="6161" width="9.7109375" style="45" customWidth="1"/>
    <col min="6162" max="6162" width="8.42578125" style="45" customWidth="1"/>
    <col min="6163" max="6163" width="9.140625" style="45"/>
    <col min="6164" max="6164" width="10.7109375" style="45" customWidth="1"/>
    <col min="6165" max="6165" width="5.28515625" style="45" customWidth="1"/>
    <col min="6166" max="6166" width="15.42578125" style="45" bestFit="1" customWidth="1"/>
    <col min="6167" max="6167" width="10.42578125" style="45" bestFit="1" customWidth="1"/>
    <col min="6168" max="6401" width="9.140625" style="45"/>
    <col min="6402" max="6402" width="8.7109375" style="45" customWidth="1"/>
    <col min="6403" max="6403" width="17" style="45" customWidth="1"/>
    <col min="6404" max="6404" width="14.42578125" style="45" customWidth="1"/>
    <col min="6405" max="6405" width="10.28515625" style="45" customWidth="1"/>
    <col min="6406" max="6416" width="8.7109375" style="45" customWidth="1"/>
    <col min="6417" max="6417" width="9.7109375" style="45" customWidth="1"/>
    <col min="6418" max="6418" width="8.42578125" style="45" customWidth="1"/>
    <col min="6419" max="6419" width="9.140625" style="45"/>
    <col min="6420" max="6420" width="10.7109375" style="45" customWidth="1"/>
    <col min="6421" max="6421" width="5.28515625" style="45" customWidth="1"/>
    <col min="6422" max="6422" width="15.42578125" style="45" bestFit="1" customWidth="1"/>
    <col min="6423" max="6423" width="10.42578125" style="45" bestFit="1" customWidth="1"/>
    <col min="6424" max="6657" width="9.140625" style="45"/>
    <col min="6658" max="6658" width="8.7109375" style="45" customWidth="1"/>
    <col min="6659" max="6659" width="17" style="45" customWidth="1"/>
    <col min="6660" max="6660" width="14.42578125" style="45" customWidth="1"/>
    <col min="6661" max="6661" width="10.28515625" style="45" customWidth="1"/>
    <col min="6662" max="6672" width="8.7109375" style="45" customWidth="1"/>
    <col min="6673" max="6673" width="9.7109375" style="45" customWidth="1"/>
    <col min="6674" max="6674" width="8.42578125" style="45" customWidth="1"/>
    <col min="6675" max="6675" width="9.140625" style="45"/>
    <col min="6676" max="6676" width="10.7109375" style="45" customWidth="1"/>
    <col min="6677" max="6677" width="5.28515625" style="45" customWidth="1"/>
    <col min="6678" max="6678" width="15.42578125" style="45" bestFit="1" customWidth="1"/>
    <col min="6679" max="6679" width="10.42578125" style="45" bestFit="1" customWidth="1"/>
    <col min="6680" max="6913" width="9.140625" style="45"/>
    <col min="6914" max="6914" width="8.7109375" style="45" customWidth="1"/>
    <col min="6915" max="6915" width="17" style="45" customWidth="1"/>
    <col min="6916" max="6916" width="14.42578125" style="45" customWidth="1"/>
    <col min="6917" max="6917" width="10.28515625" style="45" customWidth="1"/>
    <col min="6918" max="6928" width="8.7109375" style="45" customWidth="1"/>
    <col min="6929" max="6929" width="9.7109375" style="45" customWidth="1"/>
    <col min="6930" max="6930" width="8.42578125" style="45" customWidth="1"/>
    <col min="6931" max="6931" width="9.140625" style="45"/>
    <col min="6932" max="6932" width="10.7109375" style="45" customWidth="1"/>
    <col min="6933" max="6933" width="5.28515625" style="45" customWidth="1"/>
    <col min="6934" max="6934" width="15.42578125" style="45" bestFit="1" customWidth="1"/>
    <col min="6935" max="6935" width="10.42578125" style="45" bestFit="1" customWidth="1"/>
    <col min="6936" max="7169" width="9.140625" style="45"/>
    <col min="7170" max="7170" width="8.7109375" style="45" customWidth="1"/>
    <col min="7171" max="7171" width="17" style="45" customWidth="1"/>
    <col min="7172" max="7172" width="14.42578125" style="45" customWidth="1"/>
    <col min="7173" max="7173" width="10.28515625" style="45" customWidth="1"/>
    <col min="7174" max="7184" width="8.7109375" style="45" customWidth="1"/>
    <col min="7185" max="7185" width="9.7109375" style="45" customWidth="1"/>
    <col min="7186" max="7186" width="8.42578125" style="45" customWidth="1"/>
    <col min="7187" max="7187" width="9.140625" style="45"/>
    <col min="7188" max="7188" width="10.7109375" style="45" customWidth="1"/>
    <col min="7189" max="7189" width="5.28515625" style="45" customWidth="1"/>
    <col min="7190" max="7190" width="15.42578125" style="45" bestFit="1" customWidth="1"/>
    <col min="7191" max="7191" width="10.42578125" style="45" bestFit="1" customWidth="1"/>
    <col min="7192" max="7425" width="9.140625" style="45"/>
    <col min="7426" max="7426" width="8.7109375" style="45" customWidth="1"/>
    <col min="7427" max="7427" width="17" style="45" customWidth="1"/>
    <col min="7428" max="7428" width="14.42578125" style="45" customWidth="1"/>
    <col min="7429" max="7429" width="10.28515625" style="45" customWidth="1"/>
    <col min="7430" max="7440" width="8.7109375" style="45" customWidth="1"/>
    <col min="7441" max="7441" width="9.7109375" style="45" customWidth="1"/>
    <col min="7442" max="7442" width="8.42578125" style="45" customWidth="1"/>
    <col min="7443" max="7443" width="9.140625" style="45"/>
    <col min="7444" max="7444" width="10.7109375" style="45" customWidth="1"/>
    <col min="7445" max="7445" width="5.28515625" style="45" customWidth="1"/>
    <col min="7446" max="7446" width="15.42578125" style="45" bestFit="1" customWidth="1"/>
    <col min="7447" max="7447" width="10.42578125" style="45" bestFit="1" customWidth="1"/>
    <col min="7448" max="7681" width="9.140625" style="45"/>
    <col min="7682" max="7682" width="8.7109375" style="45" customWidth="1"/>
    <col min="7683" max="7683" width="17" style="45" customWidth="1"/>
    <col min="7684" max="7684" width="14.42578125" style="45" customWidth="1"/>
    <col min="7685" max="7685" width="10.28515625" style="45" customWidth="1"/>
    <col min="7686" max="7696" width="8.7109375" style="45" customWidth="1"/>
    <col min="7697" max="7697" width="9.7109375" style="45" customWidth="1"/>
    <col min="7698" max="7698" width="8.42578125" style="45" customWidth="1"/>
    <col min="7699" max="7699" width="9.140625" style="45"/>
    <col min="7700" max="7700" width="10.7109375" style="45" customWidth="1"/>
    <col min="7701" max="7701" width="5.28515625" style="45" customWidth="1"/>
    <col min="7702" max="7702" width="15.42578125" style="45" bestFit="1" customWidth="1"/>
    <col min="7703" max="7703" width="10.42578125" style="45" bestFit="1" customWidth="1"/>
    <col min="7704" max="7937" width="9.140625" style="45"/>
    <col min="7938" max="7938" width="8.7109375" style="45" customWidth="1"/>
    <col min="7939" max="7939" width="17" style="45" customWidth="1"/>
    <col min="7940" max="7940" width="14.42578125" style="45" customWidth="1"/>
    <col min="7941" max="7941" width="10.28515625" style="45" customWidth="1"/>
    <col min="7942" max="7952" width="8.7109375" style="45" customWidth="1"/>
    <col min="7953" max="7953" width="9.7109375" style="45" customWidth="1"/>
    <col min="7954" max="7954" width="8.42578125" style="45" customWidth="1"/>
    <col min="7955" max="7955" width="9.140625" style="45"/>
    <col min="7956" max="7956" width="10.7109375" style="45" customWidth="1"/>
    <col min="7957" max="7957" width="5.28515625" style="45" customWidth="1"/>
    <col min="7958" max="7958" width="15.42578125" style="45" bestFit="1" customWidth="1"/>
    <col min="7959" max="7959" width="10.42578125" style="45" bestFit="1" customWidth="1"/>
    <col min="7960" max="8193" width="9.140625" style="45"/>
    <col min="8194" max="8194" width="8.7109375" style="45" customWidth="1"/>
    <col min="8195" max="8195" width="17" style="45" customWidth="1"/>
    <col min="8196" max="8196" width="14.42578125" style="45" customWidth="1"/>
    <col min="8197" max="8197" width="10.28515625" style="45" customWidth="1"/>
    <col min="8198" max="8208" width="8.7109375" style="45" customWidth="1"/>
    <col min="8209" max="8209" width="9.7109375" style="45" customWidth="1"/>
    <col min="8210" max="8210" width="8.42578125" style="45" customWidth="1"/>
    <col min="8211" max="8211" width="9.140625" style="45"/>
    <col min="8212" max="8212" width="10.7109375" style="45" customWidth="1"/>
    <col min="8213" max="8213" width="5.28515625" style="45" customWidth="1"/>
    <col min="8214" max="8214" width="15.42578125" style="45" bestFit="1" customWidth="1"/>
    <col min="8215" max="8215" width="10.42578125" style="45" bestFit="1" customWidth="1"/>
    <col min="8216" max="8449" width="9.140625" style="45"/>
    <col min="8450" max="8450" width="8.7109375" style="45" customWidth="1"/>
    <col min="8451" max="8451" width="17" style="45" customWidth="1"/>
    <col min="8452" max="8452" width="14.42578125" style="45" customWidth="1"/>
    <col min="8453" max="8453" width="10.28515625" style="45" customWidth="1"/>
    <col min="8454" max="8464" width="8.7109375" style="45" customWidth="1"/>
    <col min="8465" max="8465" width="9.7109375" style="45" customWidth="1"/>
    <col min="8466" max="8466" width="8.42578125" style="45" customWidth="1"/>
    <col min="8467" max="8467" width="9.140625" style="45"/>
    <col min="8468" max="8468" width="10.7109375" style="45" customWidth="1"/>
    <col min="8469" max="8469" width="5.28515625" style="45" customWidth="1"/>
    <col min="8470" max="8470" width="15.42578125" style="45" bestFit="1" customWidth="1"/>
    <col min="8471" max="8471" width="10.42578125" style="45" bestFit="1" customWidth="1"/>
    <col min="8472" max="8705" width="9.140625" style="45"/>
    <col min="8706" max="8706" width="8.7109375" style="45" customWidth="1"/>
    <col min="8707" max="8707" width="17" style="45" customWidth="1"/>
    <col min="8708" max="8708" width="14.42578125" style="45" customWidth="1"/>
    <col min="8709" max="8709" width="10.28515625" style="45" customWidth="1"/>
    <col min="8710" max="8720" width="8.7109375" style="45" customWidth="1"/>
    <col min="8721" max="8721" width="9.7109375" style="45" customWidth="1"/>
    <col min="8722" max="8722" width="8.42578125" style="45" customWidth="1"/>
    <col min="8723" max="8723" width="9.140625" style="45"/>
    <col min="8724" max="8724" width="10.7109375" style="45" customWidth="1"/>
    <col min="8725" max="8725" width="5.28515625" style="45" customWidth="1"/>
    <col min="8726" max="8726" width="15.42578125" style="45" bestFit="1" customWidth="1"/>
    <col min="8727" max="8727" width="10.42578125" style="45" bestFit="1" customWidth="1"/>
    <col min="8728" max="8961" width="9.140625" style="45"/>
    <col min="8962" max="8962" width="8.7109375" style="45" customWidth="1"/>
    <col min="8963" max="8963" width="17" style="45" customWidth="1"/>
    <col min="8964" max="8964" width="14.42578125" style="45" customWidth="1"/>
    <col min="8965" max="8965" width="10.28515625" style="45" customWidth="1"/>
    <col min="8966" max="8976" width="8.7109375" style="45" customWidth="1"/>
    <col min="8977" max="8977" width="9.7109375" style="45" customWidth="1"/>
    <col min="8978" max="8978" width="8.42578125" style="45" customWidth="1"/>
    <col min="8979" max="8979" width="9.140625" style="45"/>
    <col min="8980" max="8980" width="10.7109375" style="45" customWidth="1"/>
    <col min="8981" max="8981" width="5.28515625" style="45" customWidth="1"/>
    <col min="8982" max="8982" width="15.42578125" style="45" bestFit="1" customWidth="1"/>
    <col min="8983" max="8983" width="10.42578125" style="45" bestFit="1" customWidth="1"/>
    <col min="8984" max="9217" width="9.140625" style="45"/>
    <col min="9218" max="9218" width="8.7109375" style="45" customWidth="1"/>
    <col min="9219" max="9219" width="17" style="45" customWidth="1"/>
    <col min="9220" max="9220" width="14.42578125" style="45" customWidth="1"/>
    <col min="9221" max="9221" width="10.28515625" style="45" customWidth="1"/>
    <col min="9222" max="9232" width="8.7109375" style="45" customWidth="1"/>
    <col min="9233" max="9233" width="9.7109375" style="45" customWidth="1"/>
    <col min="9234" max="9234" width="8.42578125" style="45" customWidth="1"/>
    <col min="9235" max="9235" width="9.140625" style="45"/>
    <col min="9236" max="9236" width="10.7109375" style="45" customWidth="1"/>
    <col min="9237" max="9237" width="5.28515625" style="45" customWidth="1"/>
    <col min="9238" max="9238" width="15.42578125" style="45" bestFit="1" customWidth="1"/>
    <col min="9239" max="9239" width="10.42578125" style="45" bestFit="1" customWidth="1"/>
    <col min="9240" max="9473" width="9.140625" style="45"/>
    <col min="9474" max="9474" width="8.7109375" style="45" customWidth="1"/>
    <col min="9475" max="9475" width="17" style="45" customWidth="1"/>
    <col min="9476" max="9476" width="14.42578125" style="45" customWidth="1"/>
    <col min="9477" max="9477" width="10.28515625" style="45" customWidth="1"/>
    <col min="9478" max="9488" width="8.7109375" style="45" customWidth="1"/>
    <col min="9489" max="9489" width="9.7109375" style="45" customWidth="1"/>
    <col min="9490" max="9490" width="8.42578125" style="45" customWidth="1"/>
    <col min="9491" max="9491" width="9.140625" style="45"/>
    <col min="9492" max="9492" width="10.7109375" style="45" customWidth="1"/>
    <col min="9493" max="9493" width="5.28515625" style="45" customWidth="1"/>
    <col min="9494" max="9494" width="15.42578125" style="45" bestFit="1" customWidth="1"/>
    <col min="9495" max="9495" width="10.42578125" style="45" bestFit="1" customWidth="1"/>
    <col min="9496" max="9729" width="9.140625" style="45"/>
    <col min="9730" max="9730" width="8.7109375" style="45" customWidth="1"/>
    <col min="9731" max="9731" width="17" style="45" customWidth="1"/>
    <col min="9732" max="9732" width="14.42578125" style="45" customWidth="1"/>
    <col min="9733" max="9733" width="10.28515625" style="45" customWidth="1"/>
    <col min="9734" max="9744" width="8.7109375" style="45" customWidth="1"/>
    <col min="9745" max="9745" width="9.7109375" style="45" customWidth="1"/>
    <col min="9746" max="9746" width="8.42578125" style="45" customWidth="1"/>
    <col min="9747" max="9747" width="9.140625" style="45"/>
    <col min="9748" max="9748" width="10.7109375" style="45" customWidth="1"/>
    <col min="9749" max="9749" width="5.28515625" style="45" customWidth="1"/>
    <col min="9750" max="9750" width="15.42578125" style="45" bestFit="1" customWidth="1"/>
    <col min="9751" max="9751" width="10.42578125" style="45" bestFit="1" customWidth="1"/>
    <col min="9752" max="9985" width="9.140625" style="45"/>
    <col min="9986" max="9986" width="8.7109375" style="45" customWidth="1"/>
    <col min="9987" max="9987" width="17" style="45" customWidth="1"/>
    <col min="9988" max="9988" width="14.42578125" style="45" customWidth="1"/>
    <col min="9989" max="9989" width="10.28515625" style="45" customWidth="1"/>
    <col min="9990" max="10000" width="8.7109375" style="45" customWidth="1"/>
    <col min="10001" max="10001" width="9.7109375" style="45" customWidth="1"/>
    <col min="10002" max="10002" width="8.42578125" style="45" customWidth="1"/>
    <col min="10003" max="10003" width="9.140625" style="45"/>
    <col min="10004" max="10004" width="10.7109375" style="45" customWidth="1"/>
    <col min="10005" max="10005" width="5.28515625" style="45" customWidth="1"/>
    <col min="10006" max="10006" width="15.42578125" style="45" bestFit="1" customWidth="1"/>
    <col min="10007" max="10007" width="10.42578125" style="45" bestFit="1" customWidth="1"/>
    <col min="10008" max="10241" width="9.140625" style="45"/>
    <col min="10242" max="10242" width="8.7109375" style="45" customWidth="1"/>
    <col min="10243" max="10243" width="17" style="45" customWidth="1"/>
    <col min="10244" max="10244" width="14.42578125" style="45" customWidth="1"/>
    <col min="10245" max="10245" width="10.28515625" style="45" customWidth="1"/>
    <col min="10246" max="10256" width="8.7109375" style="45" customWidth="1"/>
    <col min="10257" max="10257" width="9.7109375" style="45" customWidth="1"/>
    <col min="10258" max="10258" width="8.42578125" style="45" customWidth="1"/>
    <col min="10259" max="10259" width="9.140625" style="45"/>
    <col min="10260" max="10260" width="10.7109375" style="45" customWidth="1"/>
    <col min="10261" max="10261" width="5.28515625" style="45" customWidth="1"/>
    <col min="10262" max="10262" width="15.42578125" style="45" bestFit="1" customWidth="1"/>
    <col min="10263" max="10263" width="10.42578125" style="45" bestFit="1" customWidth="1"/>
    <col min="10264" max="10497" width="9.140625" style="45"/>
    <col min="10498" max="10498" width="8.7109375" style="45" customWidth="1"/>
    <col min="10499" max="10499" width="17" style="45" customWidth="1"/>
    <col min="10500" max="10500" width="14.42578125" style="45" customWidth="1"/>
    <col min="10501" max="10501" width="10.28515625" style="45" customWidth="1"/>
    <col min="10502" max="10512" width="8.7109375" style="45" customWidth="1"/>
    <col min="10513" max="10513" width="9.7109375" style="45" customWidth="1"/>
    <col min="10514" max="10514" width="8.42578125" style="45" customWidth="1"/>
    <col min="10515" max="10515" width="9.140625" style="45"/>
    <col min="10516" max="10516" width="10.7109375" style="45" customWidth="1"/>
    <col min="10517" max="10517" width="5.28515625" style="45" customWidth="1"/>
    <col min="10518" max="10518" width="15.42578125" style="45" bestFit="1" customWidth="1"/>
    <col min="10519" max="10519" width="10.42578125" style="45" bestFit="1" customWidth="1"/>
    <col min="10520" max="10753" width="9.140625" style="45"/>
    <col min="10754" max="10754" width="8.7109375" style="45" customWidth="1"/>
    <col min="10755" max="10755" width="17" style="45" customWidth="1"/>
    <col min="10756" max="10756" width="14.42578125" style="45" customWidth="1"/>
    <col min="10757" max="10757" width="10.28515625" style="45" customWidth="1"/>
    <col min="10758" max="10768" width="8.7109375" style="45" customWidth="1"/>
    <col min="10769" max="10769" width="9.7109375" style="45" customWidth="1"/>
    <col min="10770" max="10770" width="8.42578125" style="45" customWidth="1"/>
    <col min="10771" max="10771" width="9.140625" style="45"/>
    <col min="10772" max="10772" width="10.7109375" style="45" customWidth="1"/>
    <col min="10773" max="10773" width="5.28515625" style="45" customWidth="1"/>
    <col min="10774" max="10774" width="15.42578125" style="45" bestFit="1" customWidth="1"/>
    <col min="10775" max="10775" width="10.42578125" style="45" bestFit="1" customWidth="1"/>
    <col min="10776" max="11009" width="9.140625" style="45"/>
    <col min="11010" max="11010" width="8.7109375" style="45" customWidth="1"/>
    <col min="11011" max="11011" width="17" style="45" customWidth="1"/>
    <col min="11012" max="11012" width="14.42578125" style="45" customWidth="1"/>
    <col min="11013" max="11013" width="10.28515625" style="45" customWidth="1"/>
    <col min="11014" max="11024" width="8.7109375" style="45" customWidth="1"/>
    <col min="11025" max="11025" width="9.7109375" style="45" customWidth="1"/>
    <col min="11026" max="11026" width="8.42578125" style="45" customWidth="1"/>
    <col min="11027" max="11027" width="9.140625" style="45"/>
    <col min="11028" max="11028" width="10.7109375" style="45" customWidth="1"/>
    <col min="11029" max="11029" width="5.28515625" style="45" customWidth="1"/>
    <col min="11030" max="11030" width="15.42578125" style="45" bestFit="1" customWidth="1"/>
    <col min="11031" max="11031" width="10.42578125" style="45" bestFit="1" customWidth="1"/>
    <col min="11032" max="11265" width="9.140625" style="45"/>
    <col min="11266" max="11266" width="8.7109375" style="45" customWidth="1"/>
    <col min="11267" max="11267" width="17" style="45" customWidth="1"/>
    <col min="11268" max="11268" width="14.42578125" style="45" customWidth="1"/>
    <col min="11269" max="11269" width="10.28515625" style="45" customWidth="1"/>
    <col min="11270" max="11280" width="8.7109375" style="45" customWidth="1"/>
    <col min="11281" max="11281" width="9.7109375" style="45" customWidth="1"/>
    <col min="11282" max="11282" width="8.42578125" style="45" customWidth="1"/>
    <col min="11283" max="11283" width="9.140625" style="45"/>
    <col min="11284" max="11284" width="10.7109375" style="45" customWidth="1"/>
    <col min="11285" max="11285" width="5.28515625" style="45" customWidth="1"/>
    <col min="11286" max="11286" width="15.42578125" style="45" bestFit="1" customWidth="1"/>
    <col min="11287" max="11287" width="10.42578125" style="45" bestFit="1" customWidth="1"/>
    <col min="11288" max="11521" width="9.140625" style="45"/>
    <col min="11522" max="11522" width="8.7109375" style="45" customWidth="1"/>
    <col min="11523" max="11523" width="17" style="45" customWidth="1"/>
    <col min="11524" max="11524" width="14.42578125" style="45" customWidth="1"/>
    <col min="11525" max="11525" width="10.28515625" style="45" customWidth="1"/>
    <col min="11526" max="11536" width="8.7109375" style="45" customWidth="1"/>
    <col min="11537" max="11537" width="9.7109375" style="45" customWidth="1"/>
    <col min="11538" max="11538" width="8.42578125" style="45" customWidth="1"/>
    <col min="11539" max="11539" width="9.140625" style="45"/>
    <col min="11540" max="11540" width="10.7109375" style="45" customWidth="1"/>
    <col min="11541" max="11541" width="5.28515625" style="45" customWidth="1"/>
    <col min="11542" max="11542" width="15.42578125" style="45" bestFit="1" customWidth="1"/>
    <col min="11543" max="11543" width="10.42578125" style="45" bestFit="1" customWidth="1"/>
    <col min="11544" max="11777" width="9.140625" style="45"/>
    <col min="11778" max="11778" width="8.7109375" style="45" customWidth="1"/>
    <col min="11779" max="11779" width="17" style="45" customWidth="1"/>
    <col min="11780" max="11780" width="14.42578125" style="45" customWidth="1"/>
    <col min="11781" max="11781" width="10.28515625" style="45" customWidth="1"/>
    <col min="11782" max="11792" width="8.7109375" style="45" customWidth="1"/>
    <col min="11793" max="11793" width="9.7109375" style="45" customWidth="1"/>
    <col min="11794" max="11794" width="8.42578125" style="45" customWidth="1"/>
    <col min="11795" max="11795" width="9.140625" style="45"/>
    <col min="11796" max="11796" width="10.7109375" style="45" customWidth="1"/>
    <col min="11797" max="11797" width="5.28515625" style="45" customWidth="1"/>
    <col min="11798" max="11798" width="15.42578125" style="45" bestFit="1" customWidth="1"/>
    <col min="11799" max="11799" width="10.42578125" style="45" bestFit="1" customWidth="1"/>
    <col min="11800" max="12033" width="9.140625" style="45"/>
    <col min="12034" max="12034" width="8.7109375" style="45" customWidth="1"/>
    <col min="12035" max="12035" width="17" style="45" customWidth="1"/>
    <col min="12036" max="12036" width="14.42578125" style="45" customWidth="1"/>
    <col min="12037" max="12037" width="10.28515625" style="45" customWidth="1"/>
    <col min="12038" max="12048" width="8.7109375" style="45" customWidth="1"/>
    <col min="12049" max="12049" width="9.7109375" style="45" customWidth="1"/>
    <col min="12050" max="12050" width="8.42578125" style="45" customWidth="1"/>
    <col min="12051" max="12051" width="9.140625" style="45"/>
    <col min="12052" max="12052" width="10.7109375" style="45" customWidth="1"/>
    <col min="12053" max="12053" width="5.28515625" style="45" customWidth="1"/>
    <col min="12054" max="12054" width="15.42578125" style="45" bestFit="1" customWidth="1"/>
    <col min="12055" max="12055" width="10.42578125" style="45" bestFit="1" customWidth="1"/>
    <col min="12056" max="12289" width="9.140625" style="45"/>
    <col min="12290" max="12290" width="8.7109375" style="45" customWidth="1"/>
    <col min="12291" max="12291" width="17" style="45" customWidth="1"/>
    <col min="12292" max="12292" width="14.42578125" style="45" customWidth="1"/>
    <col min="12293" max="12293" width="10.28515625" style="45" customWidth="1"/>
    <col min="12294" max="12304" width="8.7109375" style="45" customWidth="1"/>
    <col min="12305" max="12305" width="9.7109375" style="45" customWidth="1"/>
    <col min="12306" max="12306" width="8.42578125" style="45" customWidth="1"/>
    <col min="12307" max="12307" width="9.140625" style="45"/>
    <col min="12308" max="12308" width="10.7109375" style="45" customWidth="1"/>
    <col min="12309" max="12309" width="5.28515625" style="45" customWidth="1"/>
    <col min="12310" max="12310" width="15.42578125" style="45" bestFit="1" customWidth="1"/>
    <col min="12311" max="12311" width="10.42578125" style="45" bestFit="1" customWidth="1"/>
    <col min="12312" max="12545" width="9.140625" style="45"/>
    <col min="12546" max="12546" width="8.7109375" style="45" customWidth="1"/>
    <col min="12547" max="12547" width="17" style="45" customWidth="1"/>
    <col min="12548" max="12548" width="14.42578125" style="45" customWidth="1"/>
    <col min="12549" max="12549" width="10.28515625" style="45" customWidth="1"/>
    <col min="12550" max="12560" width="8.7109375" style="45" customWidth="1"/>
    <col min="12561" max="12561" width="9.7109375" style="45" customWidth="1"/>
    <col min="12562" max="12562" width="8.42578125" style="45" customWidth="1"/>
    <col min="12563" max="12563" width="9.140625" style="45"/>
    <col min="12564" max="12564" width="10.7109375" style="45" customWidth="1"/>
    <col min="12565" max="12565" width="5.28515625" style="45" customWidth="1"/>
    <col min="12566" max="12566" width="15.42578125" style="45" bestFit="1" customWidth="1"/>
    <col min="12567" max="12567" width="10.42578125" style="45" bestFit="1" customWidth="1"/>
    <col min="12568" max="12801" width="9.140625" style="45"/>
    <col min="12802" max="12802" width="8.7109375" style="45" customWidth="1"/>
    <col min="12803" max="12803" width="17" style="45" customWidth="1"/>
    <col min="12804" max="12804" width="14.42578125" style="45" customWidth="1"/>
    <col min="12805" max="12805" width="10.28515625" style="45" customWidth="1"/>
    <col min="12806" max="12816" width="8.7109375" style="45" customWidth="1"/>
    <col min="12817" max="12817" width="9.7109375" style="45" customWidth="1"/>
    <col min="12818" max="12818" width="8.42578125" style="45" customWidth="1"/>
    <col min="12819" max="12819" width="9.140625" style="45"/>
    <col min="12820" max="12820" width="10.7109375" style="45" customWidth="1"/>
    <col min="12821" max="12821" width="5.28515625" style="45" customWidth="1"/>
    <col min="12822" max="12822" width="15.42578125" style="45" bestFit="1" customWidth="1"/>
    <col min="12823" max="12823" width="10.42578125" style="45" bestFit="1" customWidth="1"/>
    <col min="12824" max="13057" width="9.140625" style="45"/>
    <col min="13058" max="13058" width="8.7109375" style="45" customWidth="1"/>
    <col min="13059" max="13059" width="17" style="45" customWidth="1"/>
    <col min="13060" max="13060" width="14.42578125" style="45" customWidth="1"/>
    <col min="13061" max="13061" width="10.28515625" style="45" customWidth="1"/>
    <col min="13062" max="13072" width="8.7109375" style="45" customWidth="1"/>
    <col min="13073" max="13073" width="9.7109375" style="45" customWidth="1"/>
    <col min="13074" max="13074" width="8.42578125" style="45" customWidth="1"/>
    <col min="13075" max="13075" width="9.140625" style="45"/>
    <col min="13076" max="13076" width="10.7109375" style="45" customWidth="1"/>
    <col min="13077" max="13077" width="5.28515625" style="45" customWidth="1"/>
    <col min="13078" max="13078" width="15.42578125" style="45" bestFit="1" customWidth="1"/>
    <col min="13079" max="13079" width="10.42578125" style="45" bestFit="1" customWidth="1"/>
    <col min="13080" max="13313" width="9.140625" style="45"/>
    <col min="13314" max="13314" width="8.7109375" style="45" customWidth="1"/>
    <col min="13315" max="13315" width="17" style="45" customWidth="1"/>
    <col min="13316" max="13316" width="14.42578125" style="45" customWidth="1"/>
    <col min="13317" max="13317" width="10.28515625" style="45" customWidth="1"/>
    <col min="13318" max="13328" width="8.7109375" style="45" customWidth="1"/>
    <col min="13329" max="13329" width="9.7109375" style="45" customWidth="1"/>
    <col min="13330" max="13330" width="8.42578125" style="45" customWidth="1"/>
    <col min="13331" max="13331" width="9.140625" style="45"/>
    <col min="13332" max="13332" width="10.7109375" style="45" customWidth="1"/>
    <col min="13333" max="13333" width="5.28515625" style="45" customWidth="1"/>
    <col min="13334" max="13334" width="15.42578125" style="45" bestFit="1" customWidth="1"/>
    <col min="13335" max="13335" width="10.42578125" style="45" bestFit="1" customWidth="1"/>
    <col min="13336" max="13569" width="9.140625" style="45"/>
    <col min="13570" max="13570" width="8.7109375" style="45" customWidth="1"/>
    <col min="13571" max="13571" width="17" style="45" customWidth="1"/>
    <col min="13572" max="13572" width="14.42578125" style="45" customWidth="1"/>
    <col min="13573" max="13573" width="10.28515625" style="45" customWidth="1"/>
    <col min="13574" max="13584" width="8.7109375" style="45" customWidth="1"/>
    <col min="13585" max="13585" width="9.7109375" style="45" customWidth="1"/>
    <col min="13586" max="13586" width="8.42578125" style="45" customWidth="1"/>
    <col min="13587" max="13587" width="9.140625" style="45"/>
    <col min="13588" max="13588" width="10.7109375" style="45" customWidth="1"/>
    <col min="13589" max="13589" width="5.28515625" style="45" customWidth="1"/>
    <col min="13590" max="13590" width="15.42578125" style="45" bestFit="1" customWidth="1"/>
    <col min="13591" max="13591" width="10.42578125" style="45" bestFit="1" customWidth="1"/>
    <col min="13592" max="13825" width="9.140625" style="45"/>
    <col min="13826" max="13826" width="8.7109375" style="45" customWidth="1"/>
    <col min="13827" max="13827" width="17" style="45" customWidth="1"/>
    <col min="13828" max="13828" width="14.42578125" style="45" customWidth="1"/>
    <col min="13829" max="13829" width="10.28515625" style="45" customWidth="1"/>
    <col min="13830" max="13840" width="8.7109375" style="45" customWidth="1"/>
    <col min="13841" max="13841" width="9.7109375" style="45" customWidth="1"/>
    <col min="13842" max="13842" width="8.42578125" style="45" customWidth="1"/>
    <col min="13843" max="13843" width="9.140625" style="45"/>
    <col min="13844" max="13844" width="10.7109375" style="45" customWidth="1"/>
    <col min="13845" max="13845" width="5.28515625" style="45" customWidth="1"/>
    <col min="13846" max="13846" width="15.42578125" style="45" bestFit="1" customWidth="1"/>
    <col min="13847" max="13847" width="10.42578125" style="45" bestFit="1" customWidth="1"/>
    <col min="13848" max="14081" width="9.140625" style="45"/>
    <col min="14082" max="14082" width="8.7109375" style="45" customWidth="1"/>
    <col min="14083" max="14083" width="17" style="45" customWidth="1"/>
    <col min="14084" max="14084" width="14.42578125" style="45" customWidth="1"/>
    <col min="14085" max="14085" width="10.28515625" style="45" customWidth="1"/>
    <col min="14086" max="14096" width="8.7109375" style="45" customWidth="1"/>
    <col min="14097" max="14097" width="9.7109375" style="45" customWidth="1"/>
    <col min="14098" max="14098" width="8.42578125" style="45" customWidth="1"/>
    <col min="14099" max="14099" width="9.140625" style="45"/>
    <col min="14100" max="14100" width="10.7109375" style="45" customWidth="1"/>
    <col min="14101" max="14101" width="5.28515625" style="45" customWidth="1"/>
    <col min="14102" max="14102" width="15.42578125" style="45" bestFit="1" customWidth="1"/>
    <col min="14103" max="14103" width="10.42578125" style="45" bestFit="1" customWidth="1"/>
    <col min="14104" max="14337" width="9.140625" style="45"/>
    <col min="14338" max="14338" width="8.7109375" style="45" customWidth="1"/>
    <col min="14339" max="14339" width="17" style="45" customWidth="1"/>
    <col min="14340" max="14340" width="14.42578125" style="45" customWidth="1"/>
    <col min="14341" max="14341" width="10.28515625" style="45" customWidth="1"/>
    <col min="14342" max="14352" width="8.7109375" style="45" customWidth="1"/>
    <col min="14353" max="14353" width="9.7109375" style="45" customWidth="1"/>
    <col min="14354" max="14354" width="8.42578125" style="45" customWidth="1"/>
    <col min="14355" max="14355" width="9.140625" style="45"/>
    <col min="14356" max="14356" width="10.7109375" style="45" customWidth="1"/>
    <col min="14357" max="14357" width="5.28515625" style="45" customWidth="1"/>
    <col min="14358" max="14358" width="15.42578125" style="45" bestFit="1" customWidth="1"/>
    <col min="14359" max="14359" width="10.42578125" style="45" bestFit="1" customWidth="1"/>
    <col min="14360" max="14593" width="9.140625" style="45"/>
    <col min="14594" max="14594" width="8.7109375" style="45" customWidth="1"/>
    <col min="14595" max="14595" width="17" style="45" customWidth="1"/>
    <col min="14596" max="14596" width="14.42578125" style="45" customWidth="1"/>
    <col min="14597" max="14597" width="10.28515625" style="45" customWidth="1"/>
    <col min="14598" max="14608" width="8.7109375" style="45" customWidth="1"/>
    <col min="14609" max="14609" width="9.7109375" style="45" customWidth="1"/>
    <col min="14610" max="14610" width="8.42578125" style="45" customWidth="1"/>
    <col min="14611" max="14611" width="9.140625" style="45"/>
    <col min="14612" max="14612" width="10.7109375" style="45" customWidth="1"/>
    <col min="14613" max="14613" width="5.28515625" style="45" customWidth="1"/>
    <col min="14614" max="14614" width="15.42578125" style="45" bestFit="1" customWidth="1"/>
    <col min="14615" max="14615" width="10.42578125" style="45" bestFit="1" customWidth="1"/>
    <col min="14616" max="14849" width="9.140625" style="45"/>
    <col min="14850" max="14850" width="8.7109375" style="45" customWidth="1"/>
    <col min="14851" max="14851" width="17" style="45" customWidth="1"/>
    <col min="14852" max="14852" width="14.42578125" style="45" customWidth="1"/>
    <col min="14853" max="14853" width="10.28515625" style="45" customWidth="1"/>
    <col min="14854" max="14864" width="8.7109375" style="45" customWidth="1"/>
    <col min="14865" max="14865" width="9.7109375" style="45" customWidth="1"/>
    <col min="14866" max="14866" width="8.42578125" style="45" customWidth="1"/>
    <col min="14867" max="14867" width="9.140625" style="45"/>
    <col min="14868" max="14868" width="10.7109375" style="45" customWidth="1"/>
    <col min="14869" max="14869" width="5.28515625" style="45" customWidth="1"/>
    <col min="14870" max="14870" width="15.42578125" style="45" bestFit="1" customWidth="1"/>
    <col min="14871" max="14871" width="10.42578125" style="45" bestFit="1" customWidth="1"/>
    <col min="14872" max="15105" width="9.140625" style="45"/>
    <col min="15106" max="15106" width="8.7109375" style="45" customWidth="1"/>
    <col min="15107" max="15107" width="17" style="45" customWidth="1"/>
    <col min="15108" max="15108" width="14.42578125" style="45" customWidth="1"/>
    <col min="15109" max="15109" width="10.28515625" style="45" customWidth="1"/>
    <col min="15110" max="15120" width="8.7109375" style="45" customWidth="1"/>
    <col min="15121" max="15121" width="9.7109375" style="45" customWidth="1"/>
    <col min="15122" max="15122" width="8.42578125" style="45" customWidth="1"/>
    <col min="15123" max="15123" width="9.140625" style="45"/>
    <col min="15124" max="15124" width="10.7109375" style="45" customWidth="1"/>
    <col min="15125" max="15125" width="5.28515625" style="45" customWidth="1"/>
    <col min="15126" max="15126" width="15.42578125" style="45" bestFit="1" customWidth="1"/>
    <col min="15127" max="15127" width="10.42578125" style="45" bestFit="1" customWidth="1"/>
    <col min="15128" max="15361" width="9.140625" style="45"/>
    <col min="15362" max="15362" width="8.7109375" style="45" customWidth="1"/>
    <col min="15363" max="15363" width="17" style="45" customWidth="1"/>
    <col min="15364" max="15364" width="14.42578125" style="45" customWidth="1"/>
    <col min="15365" max="15365" width="10.28515625" style="45" customWidth="1"/>
    <col min="15366" max="15376" width="8.7109375" style="45" customWidth="1"/>
    <col min="15377" max="15377" width="9.7109375" style="45" customWidth="1"/>
    <col min="15378" max="15378" width="8.42578125" style="45" customWidth="1"/>
    <col min="15379" max="15379" width="9.140625" style="45"/>
    <col min="15380" max="15380" width="10.7109375" style="45" customWidth="1"/>
    <col min="15381" max="15381" width="5.28515625" style="45" customWidth="1"/>
    <col min="15382" max="15382" width="15.42578125" style="45" bestFit="1" customWidth="1"/>
    <col min="15383" max="15383" width="10.42578125" style="45" bestFit="1" customWidth="1"/>
    <col min="15384" max="15617" width="9.140625" style="45"/>
    <col min="15618" max="15618" width="8.7109375" style="45" customWidth="1"/>
    <col min="15619" max="15619" width="17" style="45" customWidth="1"/>
    <col min="15620" max="15620" width="14.42578125" style="45" customWidth="1"/>
    <col min="15621" max="15621" width="10.28515625" style="45" customWidth="1"/>
    <col min="15622" max="15632" width="8.7109375" style="45" customWidth="1"/>
    <col min="15633" max="15633" width="9.7109375" style="45" customWidth="1"/>
    <col min="15634" max="15634" width="8.42578125" style="45" customWidth="1"/>
    <col min="15635" max="15635" width="9.140625" style="45"/>
    <col min="15636" max="15636" width="10.7109375" style="45" customWidth="1"/>
    <col min="15637" max="15637" width="5.28515625" style="45" customWidth="1"/>
    <col min="15638" max="15638" width="15.42578125" style="45" bestFit="1" customWidth="1"/>
    <col min="15639" max="15639" width="10.42578125" style="45" bestFit="1" customWidth="1"/>
    <col min="15640" max="15873" width="9.140625" style="45"/>
    <col min="15874" max="15874" width="8.7109375" style="45" customWidth="1"/>
    <col min="15875" max="15875" width="17" style="45" customWidth="1"/>
    <col min="15876" max="15876" width="14.42578125" style="45" customWidth="1"/>
    <col min="15877" max="15877" width="10.28515625" style="45" customWidth="1"/>
    <col min="15878" max="15888" width="8.7109375" style="45" customWidth="1"/>
    <col min="15889" max="15889" width="9.7109375" style="45" customWidth="1"/>
    <col min="15890" max="15890" width="8.42578125" style="45" customWidth="1"/>
    <col min="15891" max="15891" width="9.140625" style="45"/>
    <col min="15892" max="15892" width="10.7109375" style="45" customWidth="1"/>
    <col min="15893" max="15893" width="5.28515625" style="45" customWidth="1"/>
    <col min="15894" max="15894" width="15.42578125" style="45" bestFit="1" customWidth="1"/>
    <col min="15895" max="15895" width="10.42578125" style="45" bestFit="1" customWidth="1"/>
    <col min="15896" max="16129" width="9.140625" style="45"/>
    <col min="16130" max="16130" width="8.7109375" style="45" customWidth="1"/>
    <col min="16131" max="16131" width="17" style="45" customWidth="1"/>
    <col min="16132" max="16132" width="14.42578125" style="45" customWidth="1"/>
    <col min="16133" max="16133" width="10.28515625" style="45" customWidth="1"/>
    <col min="16134" max="16144" width="8.7109375" style="45" customWidth="1"/>
    <col min="16145" max="16145" width="9.7109375" style="45" customWidth="1"/>
    <col min="16146" max="16146" width="8.42578125" style="45" customWidth="1"/>
    <col min="16147" max="16147" width="9.140625" style="45"/>
    <col min="16148" max="16148" width="10.7109375" style="45" customWidth="1"/>
    <col min="16149" max="16149" width="5.28515625" style="45" customWidth="1"/>
    <col min="16150" max="16150" width="15.42578125" style="45" bestFit="1" customWidth="1"/>
    <col min="16151" max="16151" width="10.42578125" style="45" bestFit="1" customWidth="1"/>
    <col min="16152" max="16384" width="9.140625" style="45"/>
  </cols>
  <sheetData>
    <row r="1" spans="1:30">
      <c r="A1" s="428" t="s">
        <v>0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430"/>
    </row>
    <row r="2" spans="1:30">
      <c r="A2" s="431" t="s">
        <v>52</v>
      </c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3"/>
      <c r="Q2" s="138" t="s">
        <v>95</v>
      </c>
      <c r="R2" s="138"/>
      <c r="S2" s="139"/>
      <c r="T2" s="139"/>
      <c r="U2" s="44"/>
    </row>
    <row r="3" spans="1:30" ht="13.5" thickBot="1">
      <c r="A3" s="38"/>
      <c r="B3" s="39" t="s">
        <v>53</v>
      </c>
      <c r="C3" s="39"/>
      <c r="D3" s="40"/>
      <c r="E3" s="177" t="s">
        <v>256</v>
      </c>
      <c r="F3" s="178" t="s">
        <v>1</v>
      </c>
      <c r="G3" s="179">
        <v>0.46</v>
      </c>
      <c r="H3" s="44"/>
      <c r="J3" s="46"/>
      <c r="O3" s="47"/>
      <c r="Q3" s="44"/>
      <c r="R3" s="97"/>
      <c r="S3" s="98"/>
      <c r="T3" s="99" t="s">
        <v>217</v>
      </c>
      <c r="U3" s="100">
        <f ca="1">'PERFIL BC01'!C17</f>
        <v>1.9055799614941207</v>
      </c>
      <c r="V3" s="44"/>
      <c r="W3" s="434"/>
      <c r="X3" s="434"/>
      <c r="Y3" s="434"/>
      <c r="Z3" s="44"/>
      <c r="AA3" s="44"/>
      <c r="AB3" s="44"/>
      <c r="AC3" s="44"/>
    </row>
    <row r="4" spans="1:30" ht="14.25" thickTop="1" thickBot="1">
      <c r="A4" s="48"/>
      <c r="B4" s="49" t="s">
        <v>54</v>
      </c>
      <c r="C4" s="50"/>
      <c r="D4" s="49"/>
      <c r="E4" s="51" t="s">
        <v>257</v>
      </c>
      <c r="F4" s="52" t="s">
        <v>173</v>
      </c>
      <c r="G4" s="88"/>
      <c r="H4" s="89"/>
      <c r="I4" s="49"/>
      <c r="J4" s="49"/>
      <c r="K4" s="160" t="s">
        <v>2</v>
      </c>
      <c r="L4" s="161"/>
      <c r="M4" s="161"/>
      <c r="N4" s="161">
        <v>15</v>
      </c>
      <c r="O4" s="162" t="s">
        <v>3</v>
      </c>
      <c r="Q4" s="96"/>
      <c r="R4" s="97"/>
      <c r="S4" s="98"/>
      <c r="T4" s="99" t="s">
        <v>218</v>
      </c>
      <c r="U4" s="100">
        <f ca="1">100*(E8/(E7*1000))</f>
        <v>2.2520069259760822</v>
      </c>
      <c r="V4" s="44"/>
      <c r="W4" s="435"/>
      <c r="X4" s="94"/>
      <c r="Y4" s="44"/>
      <c r="Z4" s="435"/>
      <c r="AA4" s="94"/>
      <c r="AB4" s="44"/>
      <c r="AC4" s="44"/>
    </row>
    <row r="5" spans="1:30" ht="14.25" thickTop="1" thickBot="1">
      <c r="A5" s="48"/>
      <c r="B5" s="39" t="s">
        <v>4</v>
      </c>
      <c r="C5" s="39"/>
      <c r="D5" s="49"/>
      <c r="E5" s="51" t="s">
        <v>123</v>
      </c>
      <c r="F5" s="52"/>
      <c r="G5" s="52"/>
      <c r="H5" s="52"/>
      <c r="I5" s="49"/>
      <c r="J5" s="49"/>
      <c r="K5" s="163" t="s">
        <v>2</v>
      </c>
      <c r="L5" s="164"/>
      <c r="M5" s="164"/>
      <c r="N5" s="164">
        <v>25</v>
      </c>
      <c r="O5" s="165" t="s">
        <v>3</v>
      </c>
      <c r="Q5" s="96"/>
      <c r="R5" s="97"/>
      <c r="S5" s="98"/>
      <c r="T5" s="99"/>
      <c r="U5" s="44"/>
      <c r="V5" s="44"/>
      <c r="W5" s="435"/>
      <c r="X5" s="94"/>
      <c r="Y5" s="44"/>
      <c r="Z5" s="435"/>
      <c r="AA5" s="94"/>
      <c r="AB5" s="44"/>
      <c r="AC5" s="44"/>
    </row>
    <row r="6" spans="1:30" ht="13.5" thickTop="1">
      <c r="A6" s="48"/>
      <c r="B6" s="39" t="s">
        <v>55</v>
      </c>
      <c r="C6" s="39"/>
      <c r="D6" s="49"/>
      <c r="E6" s="43">
        <f ca="1">VLOOKUP(F10,'AUX BACIAS'!$A$2:$D$10,3,0)</f>
        <v>1.0943531583670316</v>
      </c>
      <c r="F6" s="52"/>
      <c r="G6" s="52"/>
      <c r="H6" s="52"/>
      <c r="I6" s="49"/>
      <c r="J6" s="49"/>
      <c r="K6" s="393" t="s">
        <v>2</v>
      </c>
      <c r="L6" s="393"/>
      <c r="M6" s="393"/>
      <c r="N6" s="393">
        <v>50</v>
      </c>
      <c r="O6" s="166" t="s">
        <v>3</v>
      </c>
      <c r="Q6" s="96"/>
      <c r="R6" s="97"/>
      <c r="S6" s="98"/>
      <c r="T6" s="99"/>
      <c r="U6" s="44"/>
      <c r="V6" s="44"/>
      <c r="W6" s="44"/>
      <c r="X6" s="44"/>
      <c r="Y6" s="44"/>
      <c r="Z6" s="44"/>
      <c r="AA6" s="44"/>
      <c r="AB6" s="44"/>
      <c r="AC6" s="44"/>
    </row>
    <row r="7" spans="1:30">
      <c r="A7" s="48"/>
      <c r="B7" s="39" t="s">
        <v>6</v>
      </c>
      <c r="C7" s="39"/>
      <c r="D7" s="49"/>
      <c r="E7" s="43">
        <f ca="1">(VLOOKUP(F10,'AUX BACIAS'!$A$2:$D$10,4,0)/1000)</f>
        <v>2.3534563499190098</v>
      </c>
      <c r="F7" s="52"/>
      <c r="G7" s="52"/>
      <c r="H7" s="52"/>
      <c r="I7" s="49"/>
      <c r="J7" s="49"/>
      <c r="K7" s="393" t="s">
        <v>2</v>
      </c>
      <c r="L7" s="393"/>
      <c r="M7" s="393"/>
      <c r="N7" s="393">
        <v>100</v>
      </c>
      <c r="O7" s="166" t="s">
        <v>3</v>
      </c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30">
      <c r="A8" s="48"/>
      <c r="B8" s="39" t="s">
        <v>7</v>
      </c>
      <c r="C8" s="39"/>
      <c r="D8" s="49"/>
      <c r="E8" s="179">
        <f>'PERFIL BC01'!C3-'PERFIL BC01'!C13</f>
        <v>53</v>
      </c>
      <c r="F8" s="52"/>
      <c r="G8" s="52"/>
      <c r="H8" s="52"/>
      <c r="I8" s="49"/>
      <c r="J8" s="49"/>
      <c r="K8" s="49" t="s">
        <v>56</v>
      </c>
      <c r="L8" s="49"/>
      <c r="M8" s="49"/>
      <c r="N8" s="50"/>
      <c r="O8" s="53">
        <f ca="1">H26</f>
        <v>0.24434</v>
      </c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</row>
    <row r="9" spans="1:30">
      <c r="A9" s="48"/>
      <c r="B9" s="39" t="s">
        <v>94</v>
      </c>
      <c r="C9" s="39"/>
      <c r="D9" s="49"/>
      <c r="E9" s="125">
        <f ca="1">IF(U3&gt;U4,U4,U3)</f>
        <v>1.9055799614941207</v>
      </c>
      <c r="F9" s="52"/>
      <c r="G9" s="52"/>
      <c r="H9" s="52"/>
      <c r="I9" s="49"/>
      <c r="J9" s="49"/>
      <c r="K9" s="55" t="s">
        <v>5</v>
      </c>
      <c r="L9" s="49"/>
      <c r="M9" s="55"/>
      <c r="N9" s="56"/>
      <c r="O9" s="53">
        <f ca="1">IF(E6&lt;=0.8,0.39*(E7^2/E9)^0.385,0.59*(E7^2/E9)^0.385)</f>
        <v>0.88972395186537945</v>
      </c>
      <c r="Q9" s="100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</row>
    <row r="10" spans="1:30">
      <c r="A10" s="38"/>
      <c r="B10" s="57"/>
      <c r="C10" s="57"/>
      <c r="D10" s="57"/>
      <c r="E10" s="88" t="s">
        <v>98</v>
      </c>
      <c r="F10" s="89" t="str" cm="1">
        <f t="array" aca="1" ref="F10" ca="1">MID(RIGHT(CELL("nome.arquivo",A1),LEN(CELL("nome.arquivo",A1)) - SEARCH("]",CELL("nome.arquivo",A1))),1,4)</f>
        <v>BC01</v>
      </c>
      <c r="G10" s="59"/>
      <c r="H10" s="60"/>
      <c r="I10" s="61"/>
      <c r="K10" s="62"/>
      <c r="M10" s="62"/>
      <c r="N10" s="63"/>
      <c r="O10" s="6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</row>
    <row r="11" spans="1:30">
      <c r="A11" s="38"/>
      <c r="B11" s="39" t="s">
        <v>215</v>
      </c>
      <c r="C11" s="61" t="str">
        <f ca="1">IF(E9&lt;=2,"Plano",IF(AND(E9&gt;2,E9&lt;=5),"Levemente ondulado",IF(AND(E9&gt;5,E9&lt;=10),"Ondulado",IF(AND(E9&gt;10,E9&lt;=20),"Muito ondulado",IF(AND(E9&gt;20,E9&lt;=50),"Montanhoso",IF(AND(E9&gt;50,E9&lt;=100),"Muito montanhoso","Escarpado"))))))</f>
        <v>Plano</v>
      </c>
      <c r="D11" s="57"/>
      <c r="E11" s="101"/>
      <c r="F11" s="58"/>
      <c r="G11" s="59"/>
      <c r="H11" s="60"/>
      <c r="I11" s="61"/>
      <c r="O11" s="47"/>
      <c r="Q11" s="44"/>
      <c r="R11" s="44"/>
      <c r="S11" s="44"/>
      <c r="T11" s="44"/>
      <c r="U11" s="44"/>
      <c r="V11" s="44"/>
      <c r="W11" s="94"/>
      <c r="X11" s="94"/>
      <c r="Y11" s="94"/>
      <c r="Z11" s="94"/>
      <c r="AA11" s="94"/>
      <c r="AB11" s="94"/>
      <c r="AC11" s="44"/>
    </row>
    <row r="12" spans="1:30" ht="24" customHeight="1">
      <c r="A12" s="38"/>
      <c r="B12" s="45" t="s">
        <v>205</v>
      </c>
      <c r="C12" s="136" t="s">
        <v>210</v>
      </c>
      <c r="E12" s="44"/>
      <c r="F12" s="44"/>
      <c r="G12" s="44"/>
      <c r="H12" s="44"/>
      <c r="J12" s="427" t="s">
        <v>57</v>
      </c>
      <c r="K12" s="427"/>
      <c r="L12" s="427"/>
      <c r="M12" s="427"/>
      <c r="N12" s="427"/>
      <c r="O12" s="65"/>
      <c r="Q12" s="112" t="s">
        <v>141</v>
      </c>
      <c r="R12" s="44"/>
      <c r="S12" s="44"/>
      <c r="T12" s="44"/>
      <c r="U12" s="44"/>
      <c r="V12" s="44"/>
      <c r="W12" s="94"/>
      <c r="X12" s="94"/>
      <c r="Y12" s="94"/>
      <c r="Z12" s="94"/>
      <c r="AA12" s="94"/>
      <c r="AB12" s="94"/>
      <c r="AC12" s="44"/>
    </row>
    <row r="13" spans="1:30" ht="15" customHeight="1" thickBot="1">
      <c r="A13" s="38"/>
      <c r="B13" s="45" t="s">
        <v>220</v>
      </c>
      <c r="J13" s="66" t="s">
        <v>58</v>
      </c>
      <c r="K13" s="66" t="s">
        <v>59</v>
      </c>
      <c r="L13" s="436" t="s">
        <v>60</v>
      </c>
      <c r="M13" s="437"/>
      <c r="N13" s="66" t="s">
        <v>61</v>
      </c>
      <c r="O13" s="67"/>
      <c r="Q13" s="112" t="str">
        <f ca="1">IF(M21&gt;MAX(Base_Bueiros!$F$2:$F$10),"Não atende em canal 15 anos. Dimensionar para 25 anos",IF(M21&lt;=MAX(Base_Bueiros!$F$2:$F$4),INDEX(Base_Bueiros!$C$2:$C$4,MATCH(_xlfn.MINIFS(Base_Bueiros!$F$2:$F$4,Base_Bueiros!$F$2:$F$4,"&gt;="&amp;M21),Base_Bueiros!$F$2:$F$4,0))&amp;" d="&amp;TEXT(INDEX(Base_Bueiros!$D$2:$D$4,MATCH(_xlfn.MINIFS(Base_Bueiros!$F$2:$F$4,Base_Bueiros!$F$2:$F$4,"&gt;="&amp;M21),Base_Bueiros!$F$2:$F$4,0)),"0,00")&amp;"m",IF(M21&lt;=MAX(Base_Bueiros!$F$5:$F$7),INDEX(Base_Bueiros!$C$5:$C$7,MATCH(_xlfn.MINIFS(Base_Bueiros!$F$5:$F$7,Base_Bueiros!$F$5:$F$7,"&gt;="&amp;M21),Base_Bueiros!$F$5:$F$7,0))&amp;" d="&amp;TEXT(INDEX(Base_Bueiros!$D$5:$D$7,MATCH(_xlfn.MINIFS(Base_Bueiros!$F$5:$F$7,Base_Bueiros!$F$5:$F$7,"&gt;="&amp;M21),Base_Bueiros!$F$5:$F$7,0)),"0,00")&amp;"m",INDEX(Base_Bueiros!$C$8:$C$10,MATCH(_xlfn.MINIFS(Base_Bueiros!$F$8:$F$10,Base_Bueiros!$F$8:$F$10,"&gt;="&amp;M21),Base_Bueiros!$F$8:$F$10,0))&amp;" d="&amp;TEXT(INDEX(Base_Bueiros!$D$8:$D$10,MATCH(_xlfn.MINIFS(Base_Bueiros!$F$8:$F$10,Base_Bueiros!$F$8:$F$10,"&gt;="&amp;M21),Base_Bueiros!$F$8:$F$10,0)),"0,00")&amp;"m")))</f>
        <v>BDTC d= d=1,50m</v>
      </c>
      <c r="R13" s="44"/>
      <c r="S13" s="44">
        <f ca="1">IF(Q13="Não atende em canal 15 anos. Dimensionar para 25 anos",25,15)</f>
        <v>15</v>
      </c>
      <c r="T13" s="44"/>
      <c r="U13" s="44"/>
      <c r="V13" s="44"/>
      <c r="W13" s="94"/>
      <c r="X13" s="94" t="str">
        <f>[1]Precip!$AA$5</f>
        <v>ax</v>
      </c>
      <c r="Y13" s="94"/>
      <c r="Z13" s="94" t="str">
        <f>[1]Precip!$AC$5</f>
        <v>b</v>
      </c>
      <c r="AB13" s="94" t="str">
        <f>[1]Precip!$AE$5</f>
        <v>ax (1-24h)</v>
      </c>
      <c r="AC13" s="425" t="s">
        <v>216</v>
      </c>
      <c r="AD13" s="425"/>
    </row>
    <row r="14" spans="1:30" ht="15.75" customHeight="1" thickTop="1" thickBot="1">
      <c r="A14" s="38"/>
      <c r="J14" s="152" t="s">
        <v>62</v>
      </c>
      <c r="K14" s="388">
        <f ca="1">$O$9*60</f>
        <v>53.383437111922767</v>
      </c>
      <c r="L14" s="438">
        <f ca="1">IF($O$9&lt;=1,(X14*LN((K14/60)))+Z14,(AB14*LN((K14/60)))+Z14)</f>
        <v>80.293326461191654</v>
      </c>
      <c r="M14" s="438"/>
      <c r="N14" s="153">
        <f ca="1">L14/K14</f>
        <v>1.5040868629880479</v>
      </c>
      <c r="O14" s="67"/>
      <c r="Q14" s="112" t="str">
        <f ca="1">IF(M22&gt;MAX(Base_Bueiros!$F$20:$F$28),"Não atende em orificio 25 anos. Dimensionar para 50 anos",TRIM(IFERROR(LEFT(INDEX(Base_Bueiros!$C$20:$C$28,MATCH(_xlfn.MINIFS(Base_Bueiros!$F$20:$F$28,Base_Bueiros!$F$20:$F$28,"&gt;="&amp;M22),Base_Bueiros!$F$20:$F$28,0)),FIND(" OU ",INDEX(Base_Bueiros!$C$20:$C$28,MATCH(_xlfn.MINIFS(Base_Bueiros!$F$20:$F$28,Base_Bueiros!$F$20:$F$28,"&gt;="&amp;M22),Base_Bueiros!$F$20:$F$28,0)))-1),INDEX(Base_Bueiros!$C$20:$C$28,MATCH(_xlfn.MINIFS(Base_Bueiros!$F$20:$F$28,Base_Bueiros!$F$20:$F$28,"&gt;="&amp;M22),Base_Bueiros!$F$20:$F$28,0))))&amp;" d="&amp;INDEX(Base_Bueiros!$D$20:$D$28,MATCH(_xlfn.MINIFS(Base_Bueiros!$F$20:$F$28,Base_Bueiros!$F$20:$F$28,"&gt;="&amp;M22),Base_Bueiros!$F$20:$F$28,0))&amp;"m")</f>
        <v>BDTC d= d=1,20m</v>
      </c>
      <c r="R14" s="44"/>
      <c r="S14" s="44">
        <f ca="1">IF(Q14="Não atende em orifício 25 anos. Dimensionar para 50 anos",50,25)</f>
        <v>25</v>
      </c>
      <c r="W14" s="94">
        <v>15</v>
      </c>
      <c r="X14" s="182">
        <f>VLOOKUP(W14,[2]Precip!$Z$12:$AE$18,2)</f>
        <v>26.41505980258199</v>
      </c>
      <c r="Y14" s="181"/>
      <c r="Z14" s="181">
        <f>VLOOKUP(W14,[2]Precip!$Z$12:$AE$18,4)</f>
        <v>83.379768522636454</v>
      </c>
      <c r="AA14" s="181"/>
      <c r="AB14" s="181">
        <f>[1]Precip!$AE$14</f>
        <v>24.188985755464877</v>
      </c>
      <c r="AC14" s="426" t="str">
        <f ca="1">IF(C11="Plano","Tabelado",IF(C11="Ondulado","Tabelado",IF(C11="Montanhoso","Tabelado","Ponderado")))</f>
        <v>Tabelado</v>
      </c>
      <c r="AD14" s="426"/>
    </row>
    <row r="15" spans="1:30" ht="15.75" customHeight="1" thickTop="1" thickBot="1">
      <c r="A15" s="38"/>
      <c r="J15" s="154" t="s">
        <v>63</v>
      </c>
      <c r="K15" s="389">
        <f ca="1">$O$9*60</f>
        <v>53.383437111922767</v>
      </c>
      <c r="L15" s="439">
        <f ca="1">IF($O$9&lt;=1,(X15*LN((K15/60)))+Z15,(AB15*LN((K15/60)))+Z15)</f>
        <v>88.53089221264058</v>
      </c>
      <c r="M15" s="439"/>
      <c r="N15" s="155">
        <f ca="1">L15/K15</f>
        <v>1.6583962555095184</v>
      </c>
      <c r="O15" s="67"/>
      <c r="R15" s="84"/>
      <c r="S15" s="44"/>
      <c r="W15" s="94">
        <v>25</v>
      </c>
      <c r="X15" s="182">
        <f>VLOOKUP(W15,[2]Precip!$Z$12:$AE$18,2)</f>
        <v>29.043206617627984</v>
      </c>
      <c r="Y15" s="181"/>
      <c r="Z15" s="181">
        <f>VLOOKUP(W15,[2]Precip!$Z$12:$AE$18,4)</f>
        <v>91.924417541518196</v>
      </c>
      <c r="AA15" s="181"/>
      <c r="AB15" s="181">
        <f>[1]Precip!$AE$16</f>
        <v>26.572791210671088</v>
      </c>
      <c r="AC15" s="426"/>
      <c r="AD15" s="426"/>
    </row>
    <row r="16" spans="1:30" ht="15.75" customHeight="1" thickTop="1">
      <c r="A16" s="38"/>
      <c r="J16" s="156" t="s">
        <v>64</v>
      </c>
      <c r="K16" s="390">
        <f ca="1">$O$9*60</f>
        <v>53.383437111922767</v>
      </c>
      <c r="L16" s="449">
        <f ca="1">IF($O$9&lt;=1,(X16*LN((K16/60)))+Z16,(AB16*LN((K16/60)))+Z16)</f>
        <v>99.255856952085139</v>
      </c>
      <c r="M16" s="449"/>
      <c r="N16" s="157">
        <f ca="1">L16/K16</f>
        <v>1.8593006056164401</v>
      </c>
      <c r="O16" s="67"/>
      <c r="R16" s="85"/>
      <c r="S16" s="44"/>
      <c r="W16" s="94">
        <v>50</v>
      </c>
      <c r="X16" s="182">
        <f>VLOOKUP(W16,[2]Precip!$Z$12:$AE$18,2)</f>
        <v>32.437160263037789</v>
      </c>
      <c r="Y16" s="181"/>
      <c r="Z16" s="181">
        <f>VLOOKUP(W16,[2]Precip!$Z$12:$AE$18,4)</f>
        <v>103.0459455052778</v>
      </c>
      <c r="AA16" s="181"/>
      <c r="AB16" s="181">
        <f>[1]Precip!$AE$17</f>
        <v>29.77992314240781</v>
      </c>
      <c r="AC16" s="44"/>
    </row>
    <row r="17" spans="1:29">
      <c r="A17" s="38"/>
      <c r="I17" s="68"/>
      <c r="J17" s="158" t="s">
        <v>65</v>
      </c>
      <c r="K17" s="391">
        <f ca="1">$O$9*60</f>
        <v>53.383437111922767</v>
      </c>
      <c r="L17" s="450">
        <f ca="1">IF($O$9&lt;=1,(X17*LN((K17/60)))+Z17,(AB17*LN((K17/60)))+Z17)</f>
        <v>109.51180470789566</v>
      </c>
      <c r="M17" s="450"/>
      <c r="N17" s="159">
        <f ca="1">L17/K17</f>
        <v>2.0514191410773188</v>
      </c>
      <c r="O17" s="67"/>
      <c r="R17" s="85"/>
      <c r="S17" s="44"/>
      <c r="W17" s="94">
        <v>100</v>
      </c>
      <c r="X17" s="182">
        <f>VLOOKUP(W17,[2]Precip!$Z$12:$AE$18,2)</f>
        <v>37.177212539092373</v>
      </c>
      <c r="Y17" s="181"/>
      <c r="Z17" s="181">
        <f>VLOOKUP(W17,[2]Precip!$Z$12:$AE$18,4)</f>
        <v>113.85574007527696</v>
      </c>
      <c r="AA17" s="181"/>
      <c r="AB17" s="181">
        <f>[1]Precip!$AE$18</f>
        <v>33.004344811583479</v>
      </c>
      <c r="AC17" s="44"/>
    </row>
    <row r="18" spans="1:29">
      <c r="A18" s="38"/>
      <c r="O18" s="67"/>
      <c r="Q18" s="44"/>
      <c r="R18" s="85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</row>
    <row r="19" spans="1:29">
      <c r="A19" s="38"/>
      <c r="O19" s="47"/>
      <c r="Q19" s="44"/>
      <c r="R19" s="85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</row>
    <row r="20" spans="1:29" ht="13.5" thickBot="1">
      <c r="A20" s="38"/>
      <c r="B20" s="427" t="s">
        <v>66</v>
      </c>
      <c r="C20" s="427"/>
      <c r="D20" s="427"/>
      <c r="E20" s="427"/>
      <c r="F20" s="427"/>
      <c r="G20" s="427"/>
      <c r="H20" s="427"/>
      <c r="J20" s="440" t="s">
        <v>9</v>
      </c>
      <c r="K20" s="442" t="s">
        <v>10</v>
      </c>
      <c r="L20" s="442"/>
      <c r="M20" s="442" t="s">
        <v>11</v>
      </c>
      <c r="N20" s="442"/>
      <c r="O20" s="47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</row>
    <row r="21" spans="1:29" ht="14.25" thickTop="1" thickBot="1">
      <c r="A21" s="38"/>
      <c r="B21" s="443"/>
      <c r="C21" s="443"/>
      <c r="D21" s="69" t="s">
        <v>67</v>
      </c>
      <c r="E21" s="69" t="s">
        <v>68</v>
      </c>
      <c r="F21" s="69" t="s">
        <v>44</v>
      </c>
      <c r="G21" s="69" t="s">
        <v>51</v>
      </c>
      <c r="H21" s="69"/>
      <c r="J21" s="441"/>
      <c r="K21" s="444" t="s">
        <v>12</v>
      </c>
      <c r="L21" s="445"/>
      <c r="M21" s="388">
        <f ca="1">0.278*$O$8*(N14*60)*$E$6</f>
        <v>6.7084321180559678</v>
      </c>
      <c r="N21" s="167" t="s">
        <v>13</v>
      </c>
      <c r="O21" s="47"/>
      <c r="Q21" s="44" t="s">
        <v>361</v>
      </c>
      <c r="R21" s="44">
        <f>(1/0.015)</f>
        <v>66.666666666666671</v>
      </c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</row>
    <row r="22" spans="1:29" ht="14.25" thickTop="1" thickBot="1">
      <c r="A22" s="38"/>
      <c r="B22" s="446" t="s">
        <v>69</v>
      </c>
      <c r="C22" s="446"/>
      <c r="D22" s="71">
        <f ca="1">E22*10^6</f>
        <v>1094353.1583670317</v>
      </c>
      <c r="E22" s="70">
        <f ca="1">E6</f>
        <v>1.0943531583670316</v>
      </c>
      <c r="F22" s="70" t="s">
        <v>25</v>
      </c>
      <c r="G22" s="70" t="s">
        <v>25</v>
      </c>
      <c r="H22" s="70" t="s">
        <v>25</v>
      </c>
      <c r="J22" s="441"/>
      <c r="K22" s="447" t="s">
        <v>14</v>
      </c>
      <c r="L22" s="448"/>
      <c r="M22" s="389">
        <f ca="1">0.278*$O$8*(N15*60)*$E$6</f>
        <v>7.3966730105083087</v>
      </c>
      <c r="N22" s="168" t="s">
        <v>13</v>
      </c>
      <c r="O22" s="47"/>
      <c r="Q22" s="44" t="s">
        <v>362</v>
      </c>
    </row>
    <row r="23" spans="1:29" ht="13.5" thickTop="1">
      <c r="A23" s="38"/>
      <c r="B23" s="446" t="s">
        <v>70</v>
      </c>
      <c r="C23" s="446"/>
      <c r="D23" s="71">
        <f ca="1">$D$22*G23</f>
        <v>123880.77752714799</v>
      </c>
      <c r="E23" s="70">
        <f ca="1">D23/10^6</f>
        <v>0.12388077752714799</v>
      </c>
      <c r="F23" s="70" cm="1">
        <f t="array" aca="1" ref="F23" ca="1">_xlfn.LET(
_xlpm.superficie,B23,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_xlpm.col,MATCH(_xlpm.terreno,C_CN_IP03!$D$2:$I$2,0),
INDEX(C_CN_IP03!$D$4:$I$19,_xlpm.lin,_xlpm.col)
),
IF(
_xlpm.metodo="Ponderado",
IF(
_xlpm.terreno="Levemente ondulado",
AVERAGE(
INDEX(C_CN_IP03!$D$4:$I$19,_xlpm.lin,1),
INDEX(C_CN_IP03!$D$4:$I$19,_xlpm.lin,3)
),
IF(
_xlpm.terreno="Muito ondulado",
AVERAGE(
INDEX(C_CN_IP03!$D$4:$I$19,_xlpm.lin,3),
INDEX(C_CN_IP03!$D$4:$I$19,_xlpm.lin,5)
),
"Condição de terreno não reconhecida"
)
),
"Método não reconhecido"
)
)
)</f>
        <v>0.2</v>
      </c>
      <c r="G23" s="141">
        <v>0.1132</v>
      </c>
      <c r="H23" s="70">
        <f ca="1">(G23*(F23))</f>
        <v>2.264E-2</v>
      </c>
      <c r="I23" s="72"/>
      <c r="J23" s="441"/>
      <c r="K23" s="451" t="s">
        <v>75</v>
      </c>
      <c r="L23" s="451"/>
      <c r="M23" s="390">
        <f ca="1">0.278*$O$8*(N16*60)*$E$6</f>
        <v>8.2927337554555542</v>
      </c>
      <c r="N23" s="169" t="s">
        <v>13</v>
      </c>
      <c r="O23" s="47"/>
    </row>
    <row r="24" spans="1:29">
      <c r="A24" s="38"/>
      <c r="B24" s="446" t="s">
        <v>71</v>
      </c>
      <c r="C24" s="446"/>
      <c r="D24" s="71">
        <f ca="1">$D$22*G24</f>
        <v>970472.38083988382</v>
      </c>
      <c r="E24" s="70">
        <f ca="1">D24/10^6</f>
        <v>0.97047238083988385</v>
      </c>
      <c r="F24" s="70" cm="1">
        <f t="array" aca="1" ref="F24" ca="1">_xlfn.LET(
_xlpm.superficie,B24,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_xlpm.col,MATCH(_xlpm.terreno,C_CN_IP03!$D$2:$I$2,0),
INDEX(C_CN_IP03!$D$4:$I$19,_xlpm.lin,_xlpm.col)
),
IF(
_xlpm.metodo="Ponderado",
IF(
_xlpm.terreno="Levemente ondulado",
AVERAGE(
INDEX(C_CN_IP03!$D$4:$I$19,_xlpm.lin,1),
INDEX(C_CN_IP03!$D$4:$I$19,_xlpm.lin,3)
),
IF(
_xlpm.terreno="Muito ondulado",
AVERAGE(
INDEX(C_CN_IP03!$D$4:$I$19,_xlpm.lin,3),
INDEX(C_CN_IP03!$D$4:$I$19,_xlpm.lin,5)
),
"Condição de terreno não reconhecida"
)
),
"Método não reconhecido"
)
)
)</f>
        <v>0.25</v>
      </c>
      <c r="G24" s="141">
        <v>0.88680000000000003</v>
      </c>
      <c r="H24" s="70">
        <f ca="1">(G24*(F24))</f>
        <v>0.22170000000000001</v>
      </c>
      <c r="I24" s="72"/>
      <c r="J24" s="441"/>
      <c r="K24" s="463" t="s">
        <v>15</v>
      </c>
      <c r="L24" s="463"/>
      <c r="M24" s="391">
        <f ca="1">0.278*$O$8*(N17*60)*$E$6</f>
        <v>9.1496085713150901</v>
      </c>
      <c r="N24" s="170" t="s">
        <v>13</v>
      </c>
      <c r="O24" s="47"/>
    </row>
    <row r="25" spans="1:29">
      <c r="A25" s="38"/>
      <c r="B25" s="446" t="s">
        <v>219</v>
      </c>
      <c r="C25" s="446"/>
      <c r="D25" s="71" t="s">
        <v>25</v>
      </c>
      <c r="E25" s="70" t="s">
        <v>25</v>
      </c>
      <c r="F25" s="70" t="s">
        <v>25</v>
      </c>
      <c r="G25" s="141" t="s">
        <v>25</v>
      </c>
      <c r="H25" s="70" t="s">
        <v>25</v>
      </c>
      <c r="I25" s="72"/>
      <c r="O25" s="47"/>
    </row>
    <row r="26" spans="1:29">
      <c r="A26" s="38"/>
      <c r="B26" s="457" t="s">
        <v>72</v>
      </c>
      <c r="C26" s="457"/>
      <c r="D26" s="457"/>
      <c r="E26" s="457"/>
      <c r="F26" s="457"/>
      <c r="G26" s="457"/>
      <c r="H26" s="73">
        <f ca="1">SUM(H22:H25)</f>
        <v>0.24434</v>
      </c>
      <c r="I26" s="72"/>
      <c r="J26" s="458" t="s">
        <v>74</v>
      </c>
      <c r="K26" s="459"/>
      <c r="L26" s="459"/>
      <c r="M26" s="459"/>
      <c r="N26" s="459"/>
      <c r="O26" s="47"/>
    </row>
    <row r="27" spans="1:29">
      <c r="A27" s="38"/>
      <c r="B27" s="74" t="s">
        <v>73</v>
      </c>
      <c r="C27" s="75"/>
      <c r="D27" s="140"/>
      <c r="E27" s="140"/>
      <c r="F27" s="140"/>
      <c r="G27" s="140"/>
      <c r="H27" s="140"/>
      <c r="I27" s="76"/>
      <c r="J27" s="460" t="str" cm="1">
        <f t="array" aca="1" ref="J27" ca="1">IFERROR(_xlfn.LET(
_xlpm.Func,"Orif",
_xlpm.Funcs,Base_Bueiros!$A$2:$A$37,
_xlpm.Tipos,Base_Bueiros!$C$2:$C$37,
_xlpm.Dims,Base_Bueiros!$D$2:$D$37,
_xlpm.Vazoes,Base_Bueiros!$F$2:$F$37,
_xlpm.DimNum,IFERROR(VALUE(TRIM(LEFT(_xlpm.Dims,FIND("x",_xlpm.Dims)-1))),VALUE(_xlpm.Dims)),
_xlpm.Linhas,IF(MID(_xlpm.Tipos,2,1)="T",3,IF(MID(_xlpm.Tipos,2,1)="D",2,1)),
_xlpm.EhTubular,MID(_xlpm.Tipos,3,1)="T",
_xlpm.QNec,IF(ISNUMBER(FIND("Orif",_xlpm.Func)),IF(_xlpm.EhTubular,M22,M23),IF(_xlpm.EhTubular,M21,M22)),
_xlpm.FiltroBase,(ISNUMBER(FIND(_xlpm.Func,_xlpm.Funcs)))*(_xlpm.Vazoes&gt;=_xlpm.QNec),
_xlpm.TemTubular,SUM(_xlpm.FiltroBase*_xlpm.EhTubular)&gt;0,
_xlpm.Filtro,_xlpm.FiltroBase*IF(_xlpm.TemTubular,_xlpm.EhTubular,NOT(_xlpm.EhTubular)),
_xlpm.Prior1,IF(_xlpm.EhTubular,_xlpm.DimNum,_xlpm.Linhas),
_xlpm.Prior2,IF(_xlpm.EhTubular,_xlpm.Linhas,_xlpm.DimNum),
_xlpm.MenorPrior1,_xlfn.AGGREGATE(15,6,_xlpm.Prior1/_xlpm.Filtro,1),
_xlpm.MenorPrior2,_xlfn.AGGREGATE(15,6,_xlpm.Prior2/(_xlpm.Filtro*(_xlpm.Prior1=_xlpm.MenorPrior1)),1),
_xlpm.MenorVazao,_xlfn.AGGREGATE(15,6,_xlpm.Vazoes/(_xlpm.Filtro*(_xlpm.Prior1=_xlpm.MenorPrior1)*(_xlpm.Prior2=_xlpm.MenorPrior2)),1),
_xlpm.Linha,MATCH(1,(_xlpm.Vazoes=_xlpm.MenorVazao)*(_xlpm.Filtro&gt;0),0),
_xlpm.Tipo,INDEX(_xlpm.Tipos,_xlpm.Linha),
_xlpm.Dim,INDEX(_xlpm.Dims,_xlpm.Linha),
_xlpm.EhTubularEscolhido,MID(_xlpm.Tipo,3,1)="T",
_xlpm.Tipo&amp;" "&amp;IF(_xlpm.EhTubularEscolhido,_xlpm.Dim&amp;"m",SUBSTITUTE(_xlpm.Dim,"0,00","")&amp;"m")
),"Ponte")</f>
        <v>BDTC d= 1,20m</v>
      </c>
      <c r="K27" s="461"/>
      <c r="L27" s="461"/>
      <c r="M27" s="461"/>
      <c r="N27" s="461"/>
      <c r="O27" s="47"/>
    </row>
    <row r="28" spans="1:29">
      <c r="A28" s="38"/>
      <c r="D28" s="142"/>
      <c r="E28" s="142"/>
      <c r="F28" s="142"/>
      <c r="G28" s="142"/>
      <c r="H28" s="142"/>
      <c r="I28" s="76"/>
      <c r="J28" s="142" t="s">
        <v>86</v>
      </c>
      <c r="K28" s="77"/>
      <c r="L28" s="77"/>
      <c r="M28" s="77"/>
      <c r="N28" s="77"/>
      <c r="O28" s="47"/>
    </row>
    <row r="29" spans="1:29">
      <c r="A29" s="38"/>
      <c r="I29" s="76"/>
      <c r="J29" s="45" t="s">
        <v>87</v>
      </c>
      <c r="K29" s="77"/>
      <c r="L29" s="77"/>
      <c r="M29" s="77"/>
      <c r="N29" s="77"/>
      <c r="O29" s="47"/>
    </row>
    <row r="30" spans="1:29">
      <c r="A30" s="38"/>
      <c r="C30" s="78"/>
      <c r="D30" s="78"/>
      <c r="E30" s="78"/>
      <c r="F30" s="78"/>
      <c r="I30" s="76"/>
      <c r="K30" s="77"/>
      <c r="L30" s="77"/>
      <c r="M30" s="77"/>
      <c r="N30" s="77"/>
      <c r="O30" s="47"/>
    </row>
    <row r="31" spans="1:29">
      <c r="A31" s="38"/>
      <c r="I31" s="76"/>
      <c r="J31" s="459" t="s">
        <v>74</v>
      </c>
      <c r="K31" s="459"/>
      <c r="L31" s="459"/>
      <c r="M31" s="459"/>
      <c r="N31" s="459"/>
      <c r="O31" s="47"/>
    </row>
    <row r="32" spans="1:29">
      <c r="A32" s="38"/>
      <c r="I32" s="76"/>
      <c r="J32" s="462" t="str" cm="1">
        <f t="array" aca="1" ref="J32" ca="1">IFERROR(_xlfn.LET(
_xlpm.Func,"Canal",
_xlpm.Funcs,Base_Bueiros!$A$2:$A$37,
_xlpm.Tipos,Base_Bueiros!$C$2:$C$37,
_xlpm.Dims,Base_Bueiros!$D$2:$D$37,
_xlpm.Vazoes,Base_Bueiros!$F$2:$F$37,
_xlpm.DimNum,IFERROR(VALUE(TRIM(LEFT(_xlpm.Dims,FIND("x",_xlpm.Dims)-1))),VALUE(_xlpm.Dims)),
_xlpm.Linhas,IF(MID(_xlpm.Tipos,2,1)="T",3,IF(MID(_xlpm.Tipos,2,1)="D",2,1)),
_xlpm.EhTubular,MID(_xlpm.Tipos,3,1)="T",
_xlpm.QNec,IF(ISNUMBER(FIND("Orif",_xlpm.Func)),IF(_xlpm.EhTubular,M22,M23),IF(_xlpm.EhTubular,M21,M22)),
_xlpm.FiltroBase,(ISNUMBER(FIND(_xlpm.Func,_xlpm.Funcs)))*(_xlpm.Vazoes&gt;=_xlpm.QNec),
_xlpm.TemTubular,SUM(_xlpm.FiltroBase*_xlpm.EhTubular)&gt;0,
_xlpm.Filtro,_xlpm.FiltroBase*IF(_xlpm.TemTubular,_xlpm.EhTubular,NOT(_xlpm.EhTubular)),
_xlpm.Prior1,IF(_xlpm.EhTubular,_xlpm.DimNum,_xlpm.Linhas),
_xlpm.Prior2,IF(_xlpm.EhTubular,_xlpm.Linhas,_xlpm.DimNum),
_xlpm.MenorPrior1,_xlfn.AGGREGATE(15,6,_xlpm.Prior1/_xlpm.Filtro,1),
_xlpm.MenorPrior2,_xlfn.AGGREGATE(15,6,_xlpm.Prior2/(_xlpm.Filtro*(_xlpm.Prior1=_xlpm.MenorPrior1)),1),
_xlpm.MenorVazao,_xlfn.AGGREGATE(15,6,_xlpm.Vazoes/(_xlpm.Filtro*(_xlpm.Prior1=_xlpm.MenorPrior1)*(_xlpm.Prior2=_xlpm.MenorPrior2)),1),
_xlpm.Linha,MATCH(1,(_xlpm.Vazoes=_xlpm.MenorVazao)*(_xlpm.Filtro&gt;0),0),
_xlpm.Tipo,INDEX(_xlpm.Tipos,_xlpm.Linha),
_xlpm.Dim,INDEX(_xlpm.Dims,_xlpm.Linha),
_xlpm.EhTubularEscolhido,MID(_xlpm.Tipo,3,1)="T",
_xlpm.Tipo&amp;" "&amp;IF(_xlpm.EhTubularEscolhido,_xlpm.Dim&amp;"m",SUBSTITUTE(_xlpm.Dim,"0,00","")&amp;"m")
),"Ponte")</f>
        <v>BTTC d= 1,20m</v>
      </c>
      <c r="K32" s="462"/>
      <c r="L32" s="462"/>
      <c r="M32" s="462"/>
      <c r="N32" s="462"/>
      <c r="O32" s="47"/>
    </row>
    <row r="33" spans="1:15">
      <c r="A33" s="38"/>
      <c r="I33" s="76"/>
      <c r="J33" s="45" t="s">
        <v>88</v>
      </c>
      <c r="K33" s="77"/>
      <c r="L33" s="77"/>
      <c r="M33" s="77"/>
      <c r="N33" s="77"/>
      <c r="O33" s="47"/>
    </row>
    <row r="34" spans="1:15">
      <c r="A34" s="38"/>
      <c r="I34" s="76"/>
      <c r="J34" s="77"/>
      <c r="K34" s="77"/>
      <c r="L34" s="77"/>
      <c r="M34" s="77"/>
      <c r="N34" s="77"/>
      <c r="O34" s="47"/>
    </row>
    <row r="35" spans="1:15">
      <c r="A35" s="38"/>
      <c r="I35" s="76"/>
      <c r="J35" s="459" t="s">
        <v>408</v>
      </c>
      <c r="K35" s="459"/>
      <c r="L35" s="459"/>
      <c r="M35" s="459"/>
      <c r="N35" s="459"/>
      <c r="O35" s="47"/>
    </row>
    <row r="36" spans="1:15">
      <c r="A36" s="38"/>
      <c r="I36" s="76"/>
      <c r="J36" s="452" t="str">
        <f>'Apresentação  - Est. Hid.'!AK19</f>
        <v>-</v>
      </c>
      <c r="K36" s="453"/>
      <c r="L36" s="453"/>
      <c r="M36" s="453"/>
      <c r="N36" s="453"/>
      <c r="O36" s="47"/>
    </row>
    <row r="37" spans="1:15">
      <c r="A37" s="38"/>
      <c r="I37" s="76"/>
      <c r="J37" s="102"/>
      <c r="K37" s="77"/>
      <c r="L37" s="77"/>
      <c r="M37" s="77"/>
      <c r="N37" s="77"/>
      <c r="O37" s="47"/>
    </row>
    <row r="38" spans="1:15" ht="13.5" thickBot="1">
      <c r="A38" s="79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1"/>
    </row>
    <row r="41" spans="1:15">
      <c r="C41" s="44"/>
      <c r="D41" s="44"/>
      <c r="E41" s="44"/>
      <c r="F41" s="44"/>
      <c r="G41" s="44"/>
    </row>
    <row r="42" spans="1:15">
      <c r="C42" s="454"/>
      <c r="D42" s="454"/>
      <c r="E42" s="454"/>
      <c r="F42" s="455"/>
      <c r="G42" s="456"/>
      <c r="K42" s="103"/>
    </row>
    <row r="43" spans="1:15">
      <c r="C43" s="95"/>
      <c r="D43" s="86"/>
      <c r="E43" s="87"/>
      <c r="F43" s="86"/>
      <c r="G43" s="58"/>
    </row>
    <row r="44" spans="1:15">
      <c r="C44" s="95"/>
      <c r="D44" s="86"/>
      <c r="E44" s="87"/>
      <c r="F44" s="86"/>
      <c r="G44" s="58"/>
    </row>
    <row r="45" spans="1:15">
      <c r="C45" s="95"/>
      <c r="D45" s="86"/>
      <c r="E45" s="87"/>
      <c r="F45" s="86"/>
      <c r="G45" s="58"/>
    </row>
    <row r="46" spans="1:15">
      <c r="C46" s="95"/>
      <c r="D46" s="86"/>
      <c r="E46" s="87"/>
      <c r="F46" s="86"/>
      <c r="G46" s="58"/>
    </row>
    <row r="47" spans="1:15">
      <c r="C47" s="44"/>
      <c r="D47" s="44"/>
      <c r="E47" s="44"/>
      <c r="F47" s="44"/>
      <c r="G47" s="44"/>
    </row>
    <row r="48" spans="1:15">
      <c r="C48" s="44"/>
      <c r="D48" s="44"/>
      <c r="E48" s="44"/>
      <c r="F48" s="44"/>
      <c r="G48" s="44"/>
    </row>
    <row r="49" spans="3:7">
      <c r="C49" s="44"/>
      <c r="D49" s="44"/>
      <c r="E49" s="44"/>
      <c r="F49" s="44"/>
      <c r="G49" s="44"/>
    </row>
  </sheetData>
  <mergeCells count="35">
    <mergeCell ref="L16:M16"/>
    <mergeCell ref="L17:M17"/>
    <mergeCell ref="K23:L23"/>
    <mergeCell ref="J36:N36"/>
    <mergeCell ref="C42:E42"/>
    <mergeCell ref="F42:G42"/>
    <mergeCell ref="B26:G26"/>
    <mergeCell ref="J26:N26"/>
    <mergeCell ref="J27:N27"/>
    <mergeCell ref="J31:N31"/>
    <mergeCell ref="J32:N32"/>
    <mergeCell ref="J35:N35"/>
    <mergeCell ref="B25:C25"/>
    <mergeCell ref="B24:C24"/>
    <mergeCell ref="K24:L24"/>
    <mergeCell ref="B20:H20"/>
    <mergeCell ref="J20:J24"/>
    <mergeCell ref="K20:L20"/>
    <mergeCell ref="M20:N20"/>
    <mergeCell ref="B21:C21"/>
    <mergeCell ref="K21:L21"/>
    <mergeCell ref="B22:C22"/>
    <mergeCell ref="K22:L22"/>
    <mergeCell ref="B23:C23"/>
    <mergeCell ref="AC13:AD13"/>
    <mergeCell ref="AC14:AD15"/>
    <mergeCell ref="J12:N12"/>
    <mergeCell ref="A1:O1"/>
    <mergeCell ref="A2:O2"/>
    <mergeCell ref="W3:Y3"/>
    <mergeCell ref="W4:W5"/>
    <mergeCell ref="Z4:Z5"/>
    <mergeCell ref="L13:M13"/>
    <mergeCell ref="L14:M14"/>
    <mergeCell ref="L15:M15"/>
  </mergeCells>
  <conditionalFormatting sqref="K4:O4">
    <cfRule type="expression" dxfId="163" priority="1">
      <formula>AND($M$22&lt;=79.73,OR($S$13=15,$S$13=25),$N$4=$S$13)</formula>
    </cfRule>
  </conditionalFormatting>
  <conditionalFormatting sqref="K5:O5">
    <cfRule type="expression" dxfId="162" priority="2">
      <formula>AND($M$22&lt;=79.73,OR($S$13=15,$S$13=25),$N$5=$S$13)</formula>
    </cfRule>
    <cfRule type="expression" dxfId="161" priority="3">
      <formula>AND($M$22&lt;=79.73,OR($S$14=25,$S$14=50),$N$5=$S$14)</formula>
    </cfRule>
  </conditionalFormatting>
  <conditionalFormatting sqref="K6:O6">
    <cfRule type="expression" dxfId="160" priority="4">
      <formula>AND($M$22&lt;=79.73,OR($S$14=25,$S$14=50),$N$6=$S$14)</formula>
    </cfRule>
  </conditionalFormatting>
  <conditionalFormatting sqref="K7:O7">
    <cfRule type="expression" dxfId="159" priority="5">
      <formula>AND($M$22&gt;79.73,$N$7=100)</formula>
    </cfRule>
  </conditionalFormatting>
  <conditionalFormatting sqref="J14:N14">
    <cfRule type="expression" dxfId="158" priority="6">
      <formula>AND($M$22&lt;=79.73,OR($S$13=15,$S$13=25),$S$13=15)</formula>
    </cfRule>
  </conditionalFormatting>
  <conditionalFormatting sqref="J15:N15">
    <cfRule type="expression" dxfId="157" priority="7">
      <formula>AND($M$22&lt;=79.73,OR($S$13=15,$S$13=25),$S$13=25)</formula>
    </cfRule>
    <cfRule type="expression" dxfId="156" priority="8">
      <formula>AND($M$22&lt;=79.73,OR($S$14=25,$S$14=50),$S$14=25)</formula>
    </cfRule>
  </conditionalFormatting>
  <conditionalFormatting sqref="J16:N16">
    <cfRule type="expression" dxfId="155" priority="9">
      <formula>AND($M$22&lt;=79.73,OR($S$14=25,$S$14=50),$S$14=50)</formula>
    </cfRule>
  </conditionalFormatting>
  <conditionalFormatting sqref="J17:N17">
    <cfRule type="expression" dxfId="154" priority="10">
      <formula>$M$22&gt;79.73</formula>
    </cfRule>
  </conditionalFormatting>
  <conditionalFormatting sqref="K21:N21">
    <cfRule type="expression" dxfId="153" priority="11">
      <formula>AND($M$22&lt;=79.73,OR($S$13=15,$S$13=25),$S$13=15)</formula>
    </cfRule>
  </conditionalFormatting>
  <conditionalFormatting sqref="K22:N22">
    <cfRule type="expression" dxfId="152" priority="12">
      <formula>AND($M$22&lt;=79.73,OR($S$13=15,$S$13=25),$S$13=25)</formula>
    </cfRule>
    <cfRule type="expression" dxfId="151" priority="13">
      <formula>AND($M$22&lt;=79.73,OR($S$14=25,$S$14=50),$S$14=25)</formula>
    </cfRule>
  </conditionalFormatting>
  <conditionalFormatting sqref="K23:N23">
    <cfRule type="expression" dxfId="150" priority="14">
      <formula>AND($M$22&lt;=79.73,OR($S$14=25,$S$14=50),$S$14=50)</formula>
    </cfRule>
  </conditionalFormatting>
  <conditionalFormatting sqref="K24:N24">
    <cfRule type="expression" dxfId="149" priority="15">
      <formula>$M$22&gt;79.73</formula>
    </cfRule>
  </conditionalFormatting>
  <dataValidations disablePrompts="1" count="2">
    <dataValidation type="list" allowBlank="1" showInputMessage="1" showErrorMessage="1" sqref="V13" xr:uid="{1094053E-B241-4699-BC08-9ADA17ECBA10}">
      <formula1>"Grota,Greide"</formula1>
    </dataValidation>
    <dataValidation type="list" allowBlank="1" showInputMessage="1" showErrorMessage="1" sqref="AC14:AD15" xr:uid="{2180060E-8E76-4D76-9649-8EAC4C0ACCA5}">
      <formula1>"Tabelado,Ponderado"</formula1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95" orientation="landscape" r:id="rId1"/>
  <colBreaks count="1" manualBreakCount="1">
    <brk id="15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EE97DAC-78A8-4E0A-A8D7-56B0D2036D49}">
          <x14:formula1>
            <xm:f>C_CN_IP03!$K$3:$K$6</xm:f>
          </x14:formula1>
          <xm:sqref>C12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C96BD-BD61-4408-89A3-037565A38BA9}">
  <sheetPr codeName="Planilha5">
    <tabColor rgb="FF92D050"/>
  </sheetPr>
  <dimension ref="A2:U34"/>
  <sheetViews>
    <sheetView showGridLines="0" workbookViewId="0">
      <selection activeCell="N20" sqref="N19:N20"/>
    </sheetView>
  </sheetViews>
  <sheetFormatPr defaultRowHeight="15"/>
  <cols>
    <col min="3" max="3" width="8.5703125" bestFit="1" customWidth="1"/>
    <col min="4" max="4" width="12.5703125" bestFit="1" customWidth="1"/>
    <col min="5" max="5" width="10.85546875" bestFit="1" customWidth="1"/>
    <col min="6" max="9" width="8.5703125" customWidth="1"/>
    <col min="10" max="10" width="11" bestFit="1" customWidth="1"/>
    <col min="13" max="13" width="11" bestFit="1" customWidth="1"/>
    <col min="14" max="14" width="10.42578125" customWidth="1"/>
    <col min="21" max="21" width="9.5703125" bestFit="1" customWidth="1"/>
  </cols>
  <sheetData>
    <row r="2" spans="1:21" ht="45.75" thickBot="1">
      <c r="B2" s="1" t="s">
        <v>37</v>
      </c>
      <c r="C2" s="1" t="s">
        <v>38</v>
      </c>
      <c r="D2" s="1" t="s">
        <v>39</v>
      </c>
      <c r="E2" s="1" t="s">
        <v>40</v>
      </c>
      <c r="F2" s="2" t="s">
        <v>41</v>
      </c>
      <c r="G2" s="2" t="s">
        <v>42</v>
      </c>
      <c r="H2" s="1" t="s">
        <v>43</v>
      </c>
      <c r="I2" s="3"/>
      <c r="J2" s="3"/>
    </row>
    <row r="3" spans="1:21" ht="15.75" thickBot="1">
      <c r="B3" s="14" t="s">
        <v>44</v>
      </c>
      <c r="C3" s="37">
        <v>681</v>
      </c>
      <c r="D3" s="14">
        <v>0</v>
      </c>
      <c r="E3" s="12">
        <f t="shared" ref="E3:E12" si="0">D3/1000</f>
        <v>0</v>
      </c>
      <c r="F3" s="13">
        <v>0</v>
      </c>
      <c r="G3" s="12">
        <v>0</v>
      </c>
      <c r="H3" s="13">
        <v>0</v>
      </c>
      <c r="J3" s="464" t="s">
        <v>198</v>
      </c>
      <c r="K3" s="465"/>
      <c r="U3" s="36"/>
    </row>
    <row r="4" spans="1:21">
      <c r="B4" s="14">
        <v>1</v>
      </c>
      <c r="C4" s="37">
        <v>678</v>
      </c>
      <c r="D4" s="14">
        <v>250</v>
      </c>
      <c r="E4" s="12">
        <f t="shared" si="0"/>
        <v>0.25</v>
      </c>
      <c r="F4" s="13">
        <f>C3-C4</f>
        <v>3</v>
      </c>
      <c r="G4" s="12">
        <f>E4-E3</f>
        <v>0.25</v>
      </c>
      <c r="H4" s="12">
        <f t="shared" ref="H4:H12" si="1">F4/G4</f>
        <v>12</v>
      </c>
      <c r="J4" s="120" t="s">
        <v>199</v>
      </c>
      <c r="K4" s="124">
        <f ca="1">(((E13/((G4/SQRT(H4))+(G5/SQRT(H5))+(G6/SQRT(H6))+(G7/SQRT(H7))+(G8/SQRT(H8))+(G9/SQRT(H9))+(G10/SQRT(H10))+(G11/SQRT(H11))+(G12/SQRT(H12))+(G13/SQRT(H13))))^2)/1000)*1000</f>
        <v>19.055799614941208</v>
      </c>
      <c r="U4" s="36"/>
    </row>
    <row r="5" spans="1:21" ht="15.75" thickBot="1">
      <c r="B5" s="14">
        <v>2</v>
      </c>
      <c r="C5" s="37">
        <v>673</v>
      </c>
      <c r="D5" s="14">
        <f>D4+250</f>
        <v>500</v>
      </c>
      <c r="E5" s="12">
        <f t="shared" si="0"/>
        <v>0.5</v>
      </c>
      <c r="F5" s="13">
        <f t="shared" ref="F5:F13" si="2">C4-C5</f>
        <v>5</v>
      </c>
      <c r="G5" s="12">
        <f t="shared" ref="G5:G13" si="3">E5-E4</f>
        <v>0.25</v>
      </c>
      <c r="H5" s="12">
        <f t="shared" si="1"/>
        <v>20</v>
      </c>
      <c r="J5" s="121" t="s">
        <v>200</v>
      </c>
      <c r="K5" s="123">
        <f ca="1">((E13/((G4/SQRT(H4))+(G5/SQRT(H5))+(G6/SQRT(H6))+(G7/SQRT(H7))+(G8/SQRT(H8))+(G9/SQRT(H9))+(G10/SQRT(H10))+(G11/SQRT(H11))+(G12/SQRT(H12))+(G13/SQRT(H13))))^2)/1000</f>
        <v>1.9055799614941207E-2</v>
      </c>
    </row>
    <row r="6" spans="1:21" ht="15.75" thickBot="1">
      <c r="B6" s="14">
        <v>3</v>
      </c>
      <c r="C6" s="37">
        <v>665</v>
      </c>
      <c r="D6" s="14">
        <f t="shared" ref="D6:D12" si="4">D5+250</f>
        <v>750</v>
      </c>
      <c r="E6" s="12">
        <f t="shared" si="0"/>
        <v>0.75</v>
      </c>
      <c r="F6" s="13">
        <f t="shared" si="2"/>
        <v>8</v>
      </c>
      <c r="G6" s="12">
        <f t="shared" si="3"/>
        <v>0.25</v>
      </c>
      <c r="H6" s="12">
        <f t="shared" si="1"/>
        <v>32</v>
      </c>
      <c r="J6" s="119" t="s">
        <v>201</v>
      </c>
      <c r="K6" s="122">
        <f ca="1">(((E13/((G4/SQRT(H4))+(G5/SQRT(H5))+(G6/SQRT(H6))+(G7/SQRT(H7))+(G8/SQRT(H8))+(G9/SQRT(H9))+(G10/SQRT(H10))+(G11/SQRT(H11))+(G12/SQRT(H12))+(G13/SQRT(H13))))^2)/1000)*100</f>
        <v>1.9055799614941207</v>
      </c>
    </row>
    <row r="7" spans="1:21">
      <c r="B7" s="14">
        <v>4</v>
      </c>
      <c r="C7" s="37">
        <v>657</v>
      </c>
      <c r="D7" s="14">
        <f t="shared" si="4"/>
        <v>1000</v>
      </c>
      <c r="E7" s="12">
        <f t="shared" si="0"/>
        <v>1</v>
      </c>
      <c r="F7" s="13">
        <f t="shared" si="2"/>
        <v>8</v>
      </c>
      <c r="G7" s="12">
        <f t="shared" si="3"/>
        <v>0.25</v>
      </c>
      <c r="H7" s="12">
        <f t="shared" si="1"/>
        <v>32</v>
      </c>
    </row>
    <row r="8" spans="1:21">
      <c r="B8" s="14">
        <v>5</v>
      </c>
      <c r="C8" s="37">
        <v>650</v>
      </c>
      <c r="D8" s="14">
        <f t="shared" si="4"/>
        <v>1250</v>
      </c>
      <c r="E8" s="12">
        <f t="shared" si="0"/>
        <v>1.25</v>
      </c>
      <c r="F8" s="13">
        <f t="shared" si="2"/>
        <v>7</v>
      </c>
      <c r="G8" s="12">
        <f t="shared" si="3"/>
        <v>0.25</v>
      </c>
      <c r="H8" s="12">
        <f t="shared" si="1"/>
        <v>28</v>
      </c>
    </row>
    <row r="9" spans="1:21">
      <c r="B9" s="14">
        <v>6</v>
      </c>
      <c r="C9" s="37">
        <v>644</v>
      </c>
      <c r="D9" s="14">
        <f t="shared" si="4"/>
        <v>1500</v>
      </c>
      <c r="E9" s="12">
        <f t="shared" si="0"/>
        <v>1.5</v>
      </c>
      <c r="F9" s="13">
        <f t="shared" si="2"/>
        <v>6</v>
      </c>
      <c r="G9" s="12">
        <f t="shared" si="3"/>
        <v>0.25</v>
      </c>
      <c r="H9" s="12">
        <f t="shared" si="1"/>
        <v>24</v>
      </c>
    </row>
    <row r="10" spans="1:21">
      <c r="B10" s="14">
        <v>7</v>
      </c>
      <c r="C10" s="37">
        <v>638</v>
      </c>
      <c r="D10" s="14">
        <f t="shared" si="4"/>
        <v>1750</v>
      </c>
      <c r="E10" s="12">
        <f t="shared" si="0"/>
        <v>1.75</v>
      </c>
      <c r="F10" s="13">
        <f t="shared" si="2"/>
        <v>6</v>
      </c>
      <c r="G10" s="12">
        <f t="shared" si="3"/>
        <v>0.25</v>
      </c>
      <c r="H10" s="12">
        <f t="shared" si="1"/>
        <v>24</v>
      </c>
    </row>
    <row r="11" spans="1:21">
      <c r="B11" s="14">
        <v>8</v>
      </c>
      <c r="C11" s="37">
        <v>631</v>
      </c>
      <c r="D11" s="14">
        <f t="shared" si="4"/>
        <v>2000</v>
      </c>
      <c r="E11" s="12">
        <f t="shared" si="0"/>
        <v>2</v>
      </c>
      <c r="F11" s="13">
        <f t="shared" si="2"/>
        <v>7</v>
      </c>
      <c r="G11" s="12">
        <f t="shared" si="3"/>
        <v>0.25</v>
      </c>
      <c r="H11" s="12">
        <f t="shared" si="1"/>
        <v>28</v>
      </c>
    </row>
    <row r="12" spans="1:21">
      <c r="B12" s="14">
        <v>9</v>
      </c>
      <c r="C12" s="37">
        <v>628.5</v>
      </c>
      <c r="D12" s="14">
        <f t="shared" si="4"/>
        <v>2250</v>
      </c>
      <c r="E12" s="12">
        <f t="shared" si="0"/>
        <v>2.25</v>
      </c>
      <c r="F12" s="13">
        <f t="shared" si="2"/>
        <v>2.5</v>
      </c>
      <c r="G12" s="12">
        <f t="shared" si="3"/>
        <v>0.25</v>
      </c>
      <c r="H12" s="12">
        <f t="shared" si="1"/>
        <v>10</v>
      </c>
    </row>
    <row r="13" spans="1:21">
      <c r="A13" s="184"/>
      <c r="B13" s="14" t="s">
        <v>33</v>
      </c>
      <c r="C13" s="37">
        <v>628</v>
      </c>
      <c r="D13" s="13">
        <f ca="1">'BC01 (RAC)'!E7*1000</f>
        <v>2353.4563499190099</v>
      </c>
      <c r="E13" s="12">
        <f ca="1">D13/1000</f>
        <v>2.3534563499190098</v>
      </c>
      <c r="F13" s="13">
        <f t="shared" si="2"/>
        <v>0.5</v>
      </c>
      <c r="G13" s="12">
        <f t="shared" ca="1" si="3"/>
        <v>0.10345634991900976</v>
      </c>
      <c r="H13" s="12">
        <f ca="1">F13/G13</f>
        <v>4.8329561248915338</v>
      </c>
    </row>
    <row r="14" spans="1:21" ht="15.75" thickBot="1">
      <c r="B14" s="3"/>
      <c r="C14" s="93"/>
      <c r="D14" s="106"/>
      <c r="E14" s="107"/>
      <c r="F14" s="106"/>
      <c r="G14" s="107"/>
      <c r="H14" s="107"/>
    </row>
    <row r="15" spans="1:21" ht="15.75" thickBot="1">
      <c r="B15" s="4" t="s">
        <v>48</v>
      </c>
      <c r="C15" s="5">
        <f ca="1">(((E13/((G4/SQRT(H4))+(G5/SQRT(H5))+(G6/SQRT(H6))+(G7/SQRT(H7))+(G8/SQRT(H8))+(G9/SQRT(H9))+(G10/SQRT(H10))+(G11/SQRT(H11))+(G12/SQRT(H12))+(G13/SQRT(H13))))^2)/1000)*1000</f>
        <v>19.055799614941208</v>
      </c>
      <c r="D15" s="6" t="s">
        <v>45</v>
      </c>
      <c r="E15" s="6" t="s">
        <v>49</v>
      </c>
      <c r="F15" s="6"/>
      <c r="G15" s="6"/>
      <c r="H15" s="7"/>
    </row>
    <row r="16" spans="1:21" ht="15.75" thickBot="1">
      <c r="B16" s="4" t="s">
        <v>48</v>
      </c>
      <c r="C16" s="8">
        <f ca="1">C15/1000</f>
        <v>1.9055799614941207E-2</v>
      </c>
      <c r="D16" s="6" t="s">
        <v>46</v>
      </c>
      <c r="E16" s="6" t="s">
        <v>50</v>
      </c>
      <c r="F16" s="6"/>
      <c r="G16" s="6"/>
      <c r="H16" s="7"/>
    </row>
    <row r="17" spans="2:8" ht="15.75" thickBot="1">
      <c r="B17" s="9" t="s">
        <v>48</v>
      </c>
      <c r="C17" s="108">
        <f ca="1">C16*100</f>
        <v>1.9055799614941207</v>
      </c>
      <c r="D17" s="10" t="s">
        <v>47</v>
      </c>
      <c r="E17" s="10" t="s">
        <v>51</v>
      </c>
      <c r="F17" s="10"/>
      <c r="G17" s="10"/>
      <c r="H17" s="11"/>
    </row>
    <row r="22" spans="2:8" ht="13.5" customHeight="1"/>
    <row r="23" spans="2:8" hidden="1"/>
    <row r="34" spans="1:1">
      <c r="A34" t="str">
        <f>"Perfil Longitudinal - "&amp;'BC01 (RAC)'!E5</f>
        <v>Perfil Longitudinal - Sem talvegue permanente</v>
      </c>
    </row>
  </sheetData>
  <mergeCells count="1">
    <mergeCell ref="J3:K3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7714-E96A-43AA-9AE0-2CE7812BDC8E}">
  <sheetPr codeName="Planilha10">
    <tabColor rgb="FF92D050"/>
  </sheetPr>
  <dimension ref="A1:AD55"/>
  <sheetViews>
    <sheetView showGridLines="0" workbookViewId="0">
      <selection sqref="A1:O38"/>
    </sheetView>
  </sheetViews>
  <sheetFormatPr defaultRowHeight="12.75"/>
  <cols>
    <col min="1" max="1" width="3.7109375" style="45" customWidth="1"/>
    <col min="2" max="2" width="12.7109375" style="45" customWidth="1"/>
    <col min="3" max="3" width="20.140625" style="45" customWidth="1"/>
    <col min="4" max="4" width="13.42578125" style="45" customWidth="1"/>
    <col min="5" max="5" width="8.85546875" style="45" customWidth="1"/>
    <col min="6" max="6" width="6.7109375" style="45" customWidth="1"/>
    <col min="7" max="7" width="8.28515625" style="45" bestFit="1" customWidth="1"/>
    <col min="8" max="8" width="8.28515625" style="45" customWidth="1"/>
    <col min="9" max="9" width="8.140625" style="45" customWidth="1"/>
    <col min="10" max="10" width="9.7109375" style="45" customWidth="1"/>
    <col min="11" max="11" width="15.7109375" style="45" customWidth="1"/>
    <col min="12" max="12" width="8.7109375" style="45" customWidth="1"/>
    <col min="13" max="13" width="7.42578125" style="45" bestFit="1" customWidth="1"/>
    <col min="14" max="14" width="10.42578125" style="45" customWidth="1"/>
    <col min="15" max="15" width="5.7109375" style="45" bestFit="1" customWidth="1"/>
    <col min="16" max="16" width="8.7109375" style="45" customWidth="1"/>
    <col min="17" max="17" width="15" style="45" bestFit="1" customWidth="1"/>
    <col min="18" max="18" width="8.42578125" style="45" customWidth="1"/>
    <col min="19" max="19" width="12.5703125" style="45" bestFit="1" customWidth="1"/>
    <col min="20" max="20" width="12.28515625" style="45" bestFit="1" customWidth="1"/>
    <col min="21" max="21" width="5.28515625" style="45" customWidth="1"/>
    <col min="22" max="22" width="15.42578125" style="45" bestFit="1" customWidth="1"/>
    <col min="23" max="23" width="10.42578125" style="45" bestFit="1" customWidth="1"/>
    <col min="24" max="24" width="9.140625" style="45"/>
    <col min="25" max="25" width="5.140625" style="45" customWidth="1"/>
    <col min="26" max="26" width="9.140625" style="45"/>
    <col min="27" max="27" width="4.140625" style="45" customWidth="1"/>
    <col min="28" max="257" width="9.140625" style="45"/>
    <col min="258" max="258" width="8.7109375" style="45" customWidth="1"/>
    <col min="259" max="259" width="17" style="45" customWidth="1"/>
    <col min="260" max="260" width="14.42578125" style="45" customWidth="1"/>
    <col min="261" max="261" width="10.28515625" style="45" customWidth="1"/>
    <col min="262" max="272" width="8.7109375" style="45" customWidth="1"/>
    <col min="273" max="273" width="9.7109375" style="45" customWidth="1"/>
    <col min="274" max="274" width="8.42578125" style="45" customWidth="1"/>
    <col min="275" max="275" width="9.140625" style="45"/>
    <col min="276" max="276" width="10.7109375" style="45" customWidth="1"/>
    <col min="277" max="277" width="5.28515625" style="45" customWidth="1"/>
    <col min="278" max="278" width="15.42578125" style="45" bestFit="1" customWidth="1"/>
    <col min="279" max="279" width="10.42578125" style="45" bestFit="1" customWidth="1"/>
    <col min="280" max="513" width="9.140625" style="45"/>
    <col min="514" max="514" width="8.7109375" style="45" customWidth="1"/>
    <col min="515" max="515" width="17" style="45" customWidth="1"/>
    <col min="516" max="516" width="14.42578125" style="45" customWidth="1"/>
    <col min="517" max="517" width="10.28515625" style="45" customWidth="1"/>
    <col min="518" max="528" width="8.7109375" style="45" customWidth="1"/>
    <col min="529" max="529" width="9.7109375" style="45" customWidth="1"/>
    <col min="530" max="530" width="8.42578125" style="45" customWidth="1"/>
    <col min="531" max="531" width="9.140625" style="45"/>
    <col min="532" max="532" width="10.7109375" style="45" customWidth="1"/>
    <col min="533" max="533" width="5.28515625" style="45" customWidth="1"/>
    <col min="534" max="534" width="15.42578125" style="45" bestFit="1" customWidth="1"/>
    <col min="535" max="535" width="10.42578125" style="45" bestFit="1" customWidth="1"/>
    <col min="536" max="769" width="9.140625" style="45"/>
    <col min="770" max="770" width="8.7109375" style="45" customWidth="1"/>
    <col min="771" max="771" width="17" style="45" customWidth="1"/>
    <col min="772" max="772" width="14.42578125" style="45" customWidth="1"/>
    <col min="773" max="773" width="10.28515625" style="45" customWidth="1"/>
    <col min="774" max="784" width="8.7109375" style="45" customWidth="1"/>
    <col min="785" max="785" width="9.7109375" style="45" customWidth="1"/>
    <col min="786" max="786" width="8.42578125" style="45" customWidth="1"/>
    <col min="787" max="787" width="9.140625" style="45"/>
    <col min="788" max="788" width="10.7109375" style="45" customWidth="1"/>
    <col min="789" max="789" width="5.28515625" style="45" customWidth="1"/>
    <col min="790" max="790" width="15.42578125" style="45" bestFit="1" customWidth="1"/>
    <col min="791" max="791" width="10.42578125" style="45" bestFit="1" customWidth="1"/>
    <col min="792" max="1025" width="9.140625" style="45"/>
    <col min="1026" max="1026" width="8.7109375" style="45" customWidth="1"/>
    <col min="1027" max="1027" width="17" style="45" customWidth="1"/>
    <col min="1028" max="1028" width="14.42578125" style="45" customWidth="1"/>
    <col min="1029" max="1029" width="10.28515625" style="45" customWidth="1"/>
    <col min="1030" max="1040" width="8.7109375" style="45" customWidth="1"/>
    <col min="1041" max="1041" width="9.7109375" style="45" customWidth="1"/>
    <col min="1042" max="1042" width="8.42578125" style="45" customWidth="1"/>
    <col min="1043" max="1043" width="9.140625" style="45"/>
    <col min="1044" max="1044" width="10.7109375" style="45" customWidth="1"/>
    <col min="1045" max="1045" width="5.28515625" style="45" customWidth="1"/>
    <col min="1046" max="1046" width="15.42578125" style="45" bestFit="1" customWidth="1"/>
    <col min="1047" max="1047" width="10.42578125" style="45" bestFit="1" customWidth="1"/>
    <col min="1048" max="1281" width="9.140625" style="45"/>
    <col min="1282" max="1282" width="8.7109375" style="45" customWidth="1"/>
    <col min="1283" max="1283" width="17" style="45" customWidth="1"/>
    <col min="1284" max="1284" width="14.42578125" style="45" customWidth="1"/>
    <col min="1285" max="1285" width="10.28515625" style="45" customWidth="1"/>
    <col min="1286" max="1296" width="8.7109375" style="45" customWidth="1"/>
    <col min="1297" max="1297" width="9.7109375" style="45" customWidth="1"/>
    <col min="1298" max="1298" width="8.42578125" style="45" customWidth="1"/>
    <col min="1299" max="1299" width="9.140625" style="45"/>
    <col min="1300" max="1300" width="10.7109375" style="45" customWidth="1"/>
    <col min="1301" max="1301" width="5.28515625" style="45" customWidth="1"/>
    <col min="1302" max="1302" width="15.42578125" style="45" bestFit="1" customWidth="1"/>
    <col min="1303" max="1303" width="10.42578125" style="45" bestFit="1" customWidth="1"/>
    <col min="1304" max="1537" width="9.140625" style="45"/>
    <col min="1538" max="1538" width="8.7109375" style="45" customWidth="1"/>
    <col min="1539" max="1539" width="17" style="45" customWidth="1"/>
    <col min="1540" max="1540" width="14.42578125" style="45" customWidth="1"/>
    <col min="1541" max="1541" width="10.28515625" style="45" customWidth="1"/>
    <col min="1542" max="1552" width="8.7109375" style="45" customWidth="1"/>
    <col min="1553" max="1553" width="9.7109375" style="45" customWidth="1"/>
    <col min="1554" max="1554" width="8.42578125" style="45" customWidth="1"/>
    <col min="1555" max="1555" width="9.140625" style="45"/>
    <col min="1556" max="1556" width="10.7109375" style="45" customWidth="1"/>
    <col min="1557" max="1557" width="5.28515625" style="45" customWidth="1"/>
    <col min="1558" max="1558" width="15.42578125" style="45" bestFit="1" customWidth="1"/>
    <col min="1559" max="1559" width="10.42578125" style="45" bestFit="1" customWidth="1"/>
    <col min="1560" max="1793" width="9.140625" style="45"/>
    <col min="1794" max="1794" width="8.7109375" style="45" customWidth="1"/>
    <col min="1795" max="1795" width="17" style="45" customWidth="1"/>
    <col min="1796" max="1796" width="14.42578125" style="45" customWidth="1"/>
    <col min="1797" max="1797" width="10.28515625" style="45" customWidth="1"/>
    <col min="1798" max="1808" width="8.7109375" style="45" customWidth="1"/>
    <col min="1809" max="1809" width="9.7109375" style="45" customWidth="1"/>
    <col min="1810" max="1810" width="8.42578125" style="45" customWidth="1"/>
    <col min="1811" max="1811" width="9.140625" style="45"/>
    <col min="1812" max="1812" width="10.7109375" style="45" customWidth="1"/>
    <col min="1813" max="1813" width="5.28515625" style="45" customWidth="1"/>
    <col min="1814" max="1814" width="15.42578125" style="45" bestFit="1" customWidth="1"/>
    <col min="1815" max="1815" width="10.42578125" style="45" bestFit="1" customWidth="1"/>
    <col min="1816" max="2049" width="9.140625" style="45"/>
    <col min="2050" max="2050" width="8.7109375" style="45" customWidth="1"/>
    <col min="2051" max="2051" width="17" style="45" customWidth="1"/>
    <col min="2052" max="2052" width="14.42578125" style="45" customWidth="1"/>
    <col min="2053" max="2053" width="10.28515625" style="45" customWidth="1"/>
    <col min="2054" max="2064" width="8.7109375" style="45" customWidth="1"/>
    <col min="2065" max="2065" width="9.7109375" style="45" customWidth="1"/>
    <col min="2066" max="2066" width="8.42578125" style="45" customWidth="1"/>
    <col min="2067" max="2067" width="9.140625" style="45"/>
    <col min="2068" max="2068" width="10.7109375" style="45" customWidth="1"/>
    <col min="2069" max="2069" width="5.28515625" style="45" customWidth="1"/>
    <col min="2070" max="2070" width="15.42578125" style="45" bestFit="1" customWidth="1"/>
    <col min="2071" max="2071" width="10.42578125" style="45" bestFit="1" customWidth="1"/>
    <col min="2072" max="2305" width="9.140625" style="45"/>
    <col min="2306" max="2306" width="8.7109375" style="45" customWidth="1"/>
    <col min="2307" max="2307" width="17" style="45" customWidth="1"/>
    <col min="2308" max="2308" width="14.42578125" style="45" customWidth="1"/>
    <col min="2309" max="2309" width="10.28515625" style="45" customWidth="1"/>
    <col min="2310" max="2320" width="8.7109375" style="45" customWidth="1"/>
    <col min="2321" max="2321" width="9.7109375" style="45" customWidth="1"/>
    <col min="2322" max="2322" width="8.42578125" style="45" customWidth="1"/>
    <col min="2323" max="2323" width="9.140625" style="45"/>
    <col min="2324" max="2324" width="10.7109375" style="45" customWidth="1"/>
    <col min="2325" max="2325" width="5.28515625" style="45" customWidth="1"/>
    <col min="2326" max="2326" width="15.42578125" style="45" bestFit="1" customWidth="1"/>
    <col min="2327" max="2327" width="10.42578125" style="45" bestFit="1" customWidth="1"/>
    <col min="2328" max="2561" width="9.140625" style="45"/>
    <col min="2562" max="2562" width="8.7109375" style="45" customWidth="1"/>
    <col min="2563" max="2563" width="17" style="45" customWidth="1"/>
    <col min="2564" max="2564" width="14.42578125" style="45" customWidth="1"/>
    <col min="2565" max="2565" width="10.28515625" style="45" customWidth="1"/>
    <col min="2566" max="2576" width="8.7109375" style="45" customWidth="1"/>
    <col min="2577" max="2577" width="9.7109375" style="45" customWidth="1"/>
    <col min="2578" max="2578" width="8.42578125" style="45" customWidth="1"/>
    <col min="2579" max="2579" width="9.140625" style="45"/>
    <col min="2580" max="2580" width="10.7109375" style="45" customWidth="1"/>
    <col min="2581" max="2581" width="5.28515625" style="45" customWidth="1"/>
    <col min="2582" max="2582" width="15.42578125" style="45" bestFit="1" customWidth="1"/>
    <col min="2583" max="2583" width="10.42578125" style="45" bestFit="1" customWidth="1"/>
    <col min="2584" max="2817" width="9.140625" style="45"/>
    <col min="2818" max="2818" width="8.7109375" style="45" customWidth="1"/>
    <col min="2819" max="2819" width="17" style="45" customWidth="1"/>
    <col min="2820" max="2820" width="14.42578125" style="45" customWidth="1"/>
    <col min="2821" max="2821" width="10.28515625" style="45" customWidth="1"/>
    <col min="2822" max="2832" width="8.7109375" style="45" customWidth="1"/>
    <col min="2833" max="2833" width="9.7109375" style="45" customWidth="1"/>
    <col min="2834" max="2834" width="8.42578125" style="45" customWidth="1"/>
    <col min="2835" max="2835" width="9.140625" style="45"/>
    <col min="2836" max="2836" width="10.7109375" style="45" customWidth="1"/>
    <col min="2837" max="2837" width="5.28515625" style="45" customWidth="1"/>
    <col min="2838" max="2838" width="15.42578125" style="45" bestFit="1" customWidth="1"/>
    <col min="2839" max="2839" width="10.42578125" style="45" bestFit="1" customWidth="1"/>
    <col min="2840" max="3073" width="9.140625" style="45"/>
    <col min="3074" max="3074" width="8.7109375" style="45" customWidth="1"/>
    <col min="3075" max="3075" width="17" style="45" customWidth="1"/>
    <col min="3076" max="3076" width="14.42578125" style="45" customWidth="1"/>
    <col min="3077" max="3077" width="10.28515625" style="45" customWidth="1"/>
    <col min="3078" max="3088" width="8.7109375" style="45" customWidth="1"/>
    <col min="3089" max="3089" width="9.7109375" style="45" customWidth="1"/>
    <col min="3090" max="3090" width="8.42578125" style="45" customWidth="1"/>
    <col min="3091" max="3091" width="9.140625" style="45"/>
    <col min="3092" max="3092" width="10.7109375" style="45" customWidth="1"/>
    <col min="3093" max="3093" width="5.28515625" style="45" customWidth="1"/>
    <col min="3094" max="3094" width="15.42578125" style="45" bestFit="1" customWidth="1"/>
    <col min="3095" max="3095" width="10.42578125" style="45" bestFit="1" customWidth="1"/>
    <col min="3096" max="3329" width="9.140625" style="45"/>
    <col min="3330" max="3330" width="8.7109375" style="45" customWidth="1"/>
    <col min="3331" max="3331" width="17" style="45" customWidth="1"/>
    <col min="3332" max="3332" width="14.42578125" style="45" customWidth="1"/>
    <col min="3333" max="3333" width="10.28515625" style="45" customWidth="1"/>
    <col min="3334" max="3344" width="8.7109375" style="45" customWidth="1"/>
    <col min="3345" max="3345" width="9.7109375" style="45" customWidth="1"/>
    <col min="3346" max="3346" width="8.42578125" style="45" customWidth="1"/>
    <col min="3347" max="3347" width="9.140625" style="45"/>
    <col min="3348" max="3348" width="10.7109375" style="45" customWidth="1"/>
    <col min="3349" max="3349" width="5.28515625" style="45" customWidth="1"/>
    <col min="3350" max="3350" width="15.42578125" style="45" bestFit="1" customWidth="1"/>
    <col min="3351" max="3351" width="10.42578125" style="45" bestFit="1" customWidth="1"/>
    <col min="3352" max="3585" width="9.140625" style="45"/>
    <col min="3586" max="3586" width="8.7109375" style="45" customWidth="1"/>
    <col min="3587" max="3587" width="17" style="45" customWidth="1"/>
    <col min="3588" max="3588" width="14.42578125" style="45" customWidth="1"/>
    <col min="3589" max="3589" width="10.28515625" style="45" customWidth="1"/>
    <col min="3590" max="3600" width="8.7109375" style="45" customWidth="1"/>
    <col min="3601" max="3601" width="9.7109375" style="45" customWidth="1"/>
    <col min="3602" max="3602" width="8.42578125" style="45" customWidth="1"/>
    <col min="3603" max="3603" width="9.140625" style="45"/>
    <col min="3604" max="3604" width="10.7109375" style="45" customWidth="1"/>
    <col min="3605" max="3605" width="5.28515625" style="45" customWidth="1"/>
    <col min="3606" max="3606" width="15.42578125" style="45" bestFit="1" customWidth="1"/>
    <col min="3607" max="3607" width="10.42578125" style="45" bestFit="1" customWidth="1"/>
    <col min="3608" max="3841" width="9.140625" style="45"/>
    <col min="3842" max="3842" width="8.7109375" style="45" customWidth="1"/>
    <col min="3843" max="3843" width="17" style="45" customWidth="1"/>
    <col min="3844" max="3844" width="14.42578125" style="45" customWidth="1"/>
    <col min="3845" max="3845" width="10.28515625" style="45" customWidth="1"/>
    <col min="3846" max="3856" width="8.7109375" style="45" customWidth="1"/>
    <col min="3857" max="3857" width="9.7109375" style="45" customWidth="1"/>
    <col min="3858" max="3858" width="8.42578125" style="45" customWidth="1"/>
    <col min="3859" max="3859" width="9.140625" style="45"/>
    <col min="3860" max="3860" width="10.7109375" style="45" customWidth="1"/>
    <col min="3861" max="3861" width="5.28515625" style="45" customWidth="1"/>
    <col min="3862" max="3862" width="15.42578125" style="45" bestFit="1" customWidth="1"/>
    <col min="3863" max="3863" width="10.42578125" style="45" bestFit="1" customWidth="1"/>
    <col min="3864" max="4097" width="9.140625" style="45"/>
    <col min="4098" max="4098" width="8.7109375" style="45" customWidth="1"/>
    <col min="4099" max="4099" width="17" style="45" customWidth="1"/>
    <col min="4100" max="4100" width="14.42578125" style="45" customWidth="1"/>
    <col min="4101" max="4101" width="10.28515625" style="45" customWidth="1"/>
    <col min="4102" max="4112" width="8.7109375" style="45" customWidth="1"/>
    <col min="4113" max="4113" width="9.7109375" style="45" customWidth="1"/>
    <col min="4114" max="4114" width="8.42578125" style="45" customWidth="1"/>
    <col min="4115" max="4115" width="9.140625" style="45"/>
    <col min="4116" max="4116" width="10.7109375" style="45" customWidth="1"/>
    <col min="4117" max="4117" width="5.28515625" style="45" customWidth="1"/>
    <col min="4118" max="4118" width="15.42578125" style="45" bestFit="1" customWidth="1"/>
    <col min="4119" max="4119" width="10.42578125" style="45" bestFit="1" customWidth="1"/>
    <col min="4120" max="4353" width="9.140625" style="45"/>
    <col min="4354" max="4354" width="8.7109375" style="45" customWidth="1"/>
    <col min="4355" max="4355" width="17" style="45" customWidth="1"/>
    <col min="4356" max="4356" width="14.42578125" style="45" customWidth="1"/>
    <col min="4357" max="4357" width="10.28515625" style="45" customWidth="1"/>
    <col min="4358" max="4368" width="8.7109375" style="45" customWidth="1"/>
    <col min="4369" max="4369" width="9.7109375" style="45" customWidth="1"/>
    <col min="4370" max="4370" width="8.42578125" style="45" customWidth="1"/>
    <col min="4371" max="4371" width="9.140625" style="45"/>
    <col min="4372" max="4372" width="10.7109375" style="45" customWidth="1"/>
    <col min="4373" max="4373" width="5.28515625" style="45" customWidth="1"/>
    <col min="4374" max="4374" width="15.42578125" style="45" bestFit="1" customWidth="1"/>
    <col min="4375" max="4375" width="10.42578125" style="45" bestFit="1" customWidth="1"/>
    <col min="4376" max="4609" width="9.140625" style="45"/>
    <col min="4610" max="4610" width="8.7109375" style="45" customWidth="1"/>
    <col min="4611" max="4611" width="17" style="45" customWidth="1"/>
    <col min="4612" max="4612" width="14.42578125" style="45" customWidth="1"/>
    <col min="4613" max="4613" width="10.28515625" style="45" customWidth="1"/>
    <col min="4614" max="4624" width="8.7109375" style="45" customWidth="1"/>
    <col min="4625" max="4625" width="9.7109375" style="45" customWidth="1"/>
    <col min="4626" max="4626" width="8.42578125" style="45" customWidth="1"/>
    <col min="4627" max="4627" width="9.140625" style="45"/>
    <col min="4628" max="4628" width="10.7109375" style="45" customWidth="1"/>
    <col min="4629" max="4629" width="5.28515625" style="45" customWidth="1"/>
    <col min="4630" max="4630" width="15.42578125" style="45" bestFit="1" customWidth="1"/>
    <col min="4631" max="4631" width="10.42578125" style="45" bestFit="1" customWidth="1"/>
    <col min="4632" max="4865" width="9.140625" style="45"/>
    <col min="4866" max="4866" width="8.7109375" style="45" customWidth="1"/>
    <col min="4867" max="4867" width="17" style="45" customWidth="1"/>
    <col min="4868" max="4868" width="14.42578125" style="45" customWidth="1"/>
    <col min="4869" max="4869" width="10.28515625" style="45" customWidth="1"/>
    <col min="4870" max="4880" width="8.7109375" style="45" customWidth="1"/>
    <col min="4881" max="4881" width="9.7109375" style="45" customWidth="1"/>
    <col min="4882" max="4882" width="8.42578125" style="45" customWidth="1"/>
    <col min="4883" max="4883" width="9.140625" style="45"/>
    <col min="4884" max="4884" width="10.7109375" style="45" customWidth="1"/>
    <col min="4885" max="4885" width="5.28515625" style="45" customWidth="1"/>
    <col min="4886" max="4886" width="15.42578125" style="45" bestFit="1" customWidth="1"/>
    <col min="4887" max="4887" width="10.42578125" style="45" bestFit="1" customWidth="1"/>
    <col min="4888" max="5121" width="9.140625" style="45"/>
    <col min="5122" max="5122" width="8.7109375" style="45" customWidth="1"/>
    <col min="5123" max="5123" width="17" style="45" customWidth="1"/>
    <col min="5124" max="5124" width="14.42578125" style="45" customWidth="1"/>
    <col min="5125" max="5125" width="10.28515625" style="45" customWidth="1"/>
    <col min="5126" max="5136" width="8.7109375" style="45" customWidth="1"/>
    <col min="5137" max="5137" width="9.7109375" style="45" customWidth="1"/>
    <col min="5138" max="5138" width="8.42578125" style="45" customWidth="1"/>
    <col min="5139" max="5139" width="9.140625" style="45"/>
    <col min="5140" max="5140" width="10.7109375" style="45" customWidth="1"/>
    <col min="5141" max="5141" width="5.28515625" style="45" customWidth="1"/>
    <col min="5142" max="5142" width="15.42578125" style="45" bestFit="1" customWidth="1"/>
    <col min="5143" max="5143" width="10.42578125" style="45" bestFit="1" customWidth="1"/>
    <col min="5144" max="5377" width="9.140625" style="45"/>
    <col min="5378" max="5378" width="8.7109375" style="45" customWidth="1"/>
    <col min="5379" max="5379" width="17" style="45" customWidth="1"/>
    <col min="5380" max="5380" width="14.42578125" style="45" customWidth="1"/>
    <col min="5381" max="5381" width="10.28515625" style="45" customWidth="1"/>
    <col min="5382" max="5392" width="8.7109375" style="45" customWidth="1"/>
    <col min="5393" max="5393" width="9.7109375" style="45" customWidth="1"/>
    <col min="5394" max="5394" width="8.42578125" style="45" customWidth="1"/>
    <col min="5395" max="5395" width="9.140625" style="45"/>
    <col min="5396" max="5396" width="10.7109375" style="45" customWidth="1"/>
    <col min="5397" max="5397" width="5.28515625" style="45" customWidth="1"/>
    <col min="5398" max="5398" width="15.42578125" style="45" bestFit="1" customWidth="1"/>
    <col min="5399" max="5399" width="10.42578125" style="45" bestFit="1" customWidth="1"/>
    <col min="5400" max="5633" width="9.140625" style="45"/>
    <col min="5634" max="5634" width="8.7109375" style="45" customWidth="1"/>
    <col min="5635" max="5635" width="17" style="45" customWidth="1"/>
    <col min="5636" max="5636" width="14.42578125" style="45" customWidth="1"/>
    <col min="5637" max="5637" width="10.28515625" style="45" customWidth="1"/>
    <col min="5638" max="5648" width="8.7109375" style="45" customWidth="1"/>
    <col min="5649" max="5649" width="9.7109375" style="45" customWidth="1"/>
    <col min="5650" max="5650" width="8.42578125" style="45" customWidth="1"/>
    <col min="5651" max="5651" width="9.140625" style="45"/>
    <col min="5652" max="5652" width="10.7109375" style="45" customWidth="1"/>
    <col min="5653" max="5653" width="5.28515625" style="45" customWidth="1"/>
    <col min="5654" max="5654" width="15.42578125" style="45" bestFit="1" customWidth="1"/>
    <col min="5655" max="5655" width="10.42578125" style="45" bestFit="1" customWidth="1"/>
    <col min="5656" max="5889" width="9.140625" style="45"/>
    <col min="5890" max="5890" width="8.7109375" style="45" customWidth="1"/>
    <col min="5891" max="5891" width="17" style="45" customWidth="1"/>
    <col min="5892" max="5892" width="14.42578125" style="45" customWidth="1"/>
    <col min="5893" max="5893" width="10.28515625" style="45" customWidth="1"/>
    <col min="5894" max="5904" width="8.7109375" style="45" customWidth="1"/>
    <col min="5905" max="5905" width="9.7109375" style="45" customWidth="1"/>
    <col min="5906" max="5906" width="8.42578125" style="45" customWidth="1"/>
    <col min="5907" max="5907" width="9.140625" style="45"/>
    <col min="5908" max="5908" width="10.7109375" style="45" customWidth="1"/>
    <col min="5909" max="5909" width="5.28515625" style="45" customWidth="1"/>
    <col min="5910" max="5910" width="15.42578125" style="45" bestFit="1" customWidth="1"/>
    <col min="5911" max="5911" width="10.42578125" style="45" bestFit="1" customWidth="1"/>
    <col min="5912" max="6145" width="9.140625" style="45"/>
    <col min="6146" max="6146" width="8.7109375" style="45" customWidth="1"/>
    <col min="6147" max="6147" width="17" style="45" customWidth="1"/>
    <col min="6148" max="6148" width="14.42578125" style="45" customWidth="1"/>
    <col min="6149" max="6149" width="10.28515625" style="45" customWidth="1"/>
    <col min="6150" max="6160" width="8.7109375" style="45" customWidth="1"/>
    <col min="6161" max="6161" width="9.7109375" style="45" customWidth="1"/>
    <col min="6162" max="6162" width="8.42578125" style="45" customWidth="1"/>
    <col min="6163" max="6163" width="9.140625" style="45"/>
    <col min="6164" max="6164" width="10.7109375" style="45" customWidth="1"/>
    <col min="6165" max="6165" width="5.28515625" style="45" customWidth="1"/>
    <col min="6166" max="6166" width="15.42578125" style="45" bestFit="1" customWidth="1"/>
    <col min="6167" max="6167" width="10.42578125" style="45" bestFit="1" customWidth="1"/>
    <col min="6168" max="6401" width="9.140625" style="45"/>
    <col min="6402" max="6402" width="8.7109375" style="45" customWidth="1"/>
    <col min="6403" max="6403" width="17" style="45" customWidth="1"/>
    <col min="6404" max="6404" width="14.42578125" style="45" customWidth="1"/>
    <col min="6405" max="6405" width="10.28515625" style="45" customWidth="1"/>
    <col min="6406" max="6416" width="8.7109375" style="45" customWidth="1"/>
    <col min="6417" max="6417" width="9.7109375" style="45" customWidth="1"/>
    <col min="6418" max="6418" width="8.42578125" style="45" customWidth="1"/>
    <col min="6419" max="6419" width="9.140625" style="45"/>
    <col min="6420" max="6420" width="10.7109375" style="45" customWidth="1"/>
    <col min="6421" max="6421" width="5.28515625" style="45" customWidth="1"/>
    <col min="6422" max="6422" width="15.42578125" style="45" bestFit="1" customWidth="1"/>
    <col min="6423" max="6423" width="10.42578125" style="45" bestFit="1" customWidth="1"/>
    <col min="6424" max="6657" width="9.140625" style="45"/>
    <col min="6658" max="6658" width="8.7109375" style="45" customWidth="1"/>
    <col min="6659" max="6659" width="17" style="45" customWidth="1"/>
    <col min="6660" max="6660" width="14.42578125" style="45" customWidth="1"/>
    <col min="6661" max="6661" width="10.28515625" style="45" customWidth="1"/>
    <col min="6662" max="6672" width="8.7109375" style="45" customWidth="1"/>
    <col min="6673" max="6673" width="9.7109375" style="45" customWidth="1"/>
    <col min="6674" max="6674" width="8.42578125" style="45" customWidth="1"/>
    <col min="6675" max="6675" width="9.140625" style="45"/>
    <col min="6676" max="6676" width="10.7109375" style="45" customWidth="1"/>
    <col min="6677" max="6677" width="5.28515625" style="45" customWidth="1"/>
    <col min="6678" max="6678" width="15.42578125" style="45" bestFit="1" customWidth="1"/>
    <col min="6679" max="6679" width="10.42578125" style="45" bestFit="1" customWidth="1"/>
    <col min="6680" max="6913" width="9.140625" style="45"/>
    <col min="6914" max="6914" width="8.7109375" style="45" customWidth="1"/>
    <col min="6915" max="6915" width="17" style="45" customWidth="1"/>
    <col min="6916" max="6916" width="14.42578125" style="45" customWidth="1"/>
    <col min="6917" max="6917" width="10.28515625" style="45" customWidth="1"/>
    <col min="6918" max="6928" width="8.7109375" style="45" customWidth="1"/>
    <col min="6929" max="6929" width="9.7109375" style="45" customWidth="1"/>
    <col min="6930" max="6930" width="8.42578125" style="45" customWidth="1"/>
    <col min="6931" max="6931" width="9.140625" style="45"/>
    <col min="6932" max="6932" width="10.7109375" style="45" customWidth="1"/>
    <col min="6933" max="6933" width="5.28515625" style="45" customWidth="1"/>
    <col min="6934" max="6934" width="15.42578125" style="45" bestFit="1" customWidth="1"/>
    <col min="6935" max="6935" width="10.42578125" style="45" bestFit="1" customWidth="1"/>
    <col min="6936" max="7169" width="9.140625" style="45"/>
    <col min="7170" max="7170" width="8.7109375" style="45" customWidth="1"/>
    <col min="7171" max="7171" width="17" style="45" customWidth="1"/>
    <col min="7172" max="7172" width="14.42578125" style="45" customWidth="1"/>
    <col min="7173" max="7173" width="10.28515625" style="45" customWidth="1"/>
    <col min="7174" max="7184" width="8.7109375" style="45" customWidth="1"/>
    <col min="7185" max="7185" width="9.7109375" style="45" customWidth="1"/>
    <col min="7186" max="7186" width="8.42578125" style="45" customWidth="1"/>
    <col min="7187" max="7187" width="9.140625" style="45"/>
    <col min="7188" max="7188" width="10.7109375" style="45" customWidth="1"/>
    <col min="7189" max="7189" width="5.28515625" style="45" customWidth="1"/>
    <col min="7190" max="7190" width="15.42578125" style="45" bestFit="1" customWidth="1"/>
    <col min="7191" max="7191" width="10.42578125" style="45" bestFit="1" customWidth="1"/>
    <col min="7192" max="7425" width="9.140625" style="45"/>
    <col min="7426" max="7426" width="8.7109375" style="45" customWidth="1"/>
    <col min="7427" max="7427" width="17" style="45" customWidth="1"/>
    <col min="7428" max="7428" width="14.42578125" style="45" customWidth="1"/>
    <col min="7429" max="7429" width="10.28515625" style="45" customWidth="1"/>
    <col min="7430" max="7440" width="8.7109375" style="45" customWidth="1"/>
    <col min="7441" max="7441" width="9.7109375" style="45" customWidth="1"/>
    <col min="7442" max="7442" width="8.42578125" style="45" customWidth="1"/>
    <col min="7443" max="7443" width="9.140625" style="45"/>
    <col min="7444" max="7444" width="10.7109375" style="45" customWidth="1"/>
    <col min="7445" max="7445" width="5.28515625" style="45" customWidth="1"/>
    <col min="7446" max="7446" width="15.42578125" style="45" bestFit="1" customWidth="1"/>
    <col min="7447" max="7447" width="10.42578125" style="45" bestFit="1" customWidth="1"/>
    <col min="7448" max="7681" width="9.140625" style="45"/>
    <col min="7682" max="7682" width="8.7109375" style="45" customWidth="1"/>
    <col min="7683" max="7683" width="17" style="45" customWidth="1"/>
    <col min="7684" max="7684" width="14.42578125" style="45" customWidth="1"/>
    <col min="7685" max="7685" width="10.28515625" style="45" customWidth="1"/>
    <col min="7686" max="7696" width="8.7109375" style="45" customWidth="1"/>
    <col min="7697" max="7697" width="9.7109375" style="45" customWidth="1"/>
    <col min="7698" max="7698" width="8.42578125" style="45" customWidth="1"/>
    <col min="7699" max="7699" width="9.140625" style="45"/>
    <col min="7700" max="7700" width="10.7109375" style="45" customWidth="1"/>
    <col min="7701" max="7701" width="5.28515625" style="45" customWidth="1"/>
    <col min="7702" max="7702" width="15.42578125" style="45" bestFit="1" customWidth="1"/>
    <col min="7703" max="7703" width="10.42578125" style="45" bestFit="1" customWidth="1"/>
    <col min="7704" max="7937" width="9.140625" style="45"/>
    <col min="7938" max="7938" width="8.7109375" style="45" customWidth="1"/>
    <col min="7939" max="7939" width="17" style="45" customWidth="1"/>
    <col min="7940" max="7940" width="14.42578125" style="45" customWidth="1"/>
    <col min="7941" max="7941" width="10.28515625" style="45" customWidth="1"/>
    <col min="7942" max="7952" width="8.7109375" style="45" customWidth="1"/>
    <col min="7953" max="7953" width="9.7109375" style="45" customWidth="1"/>
    <col min="7954" max="7954" width="8.42578125" style="45" customWidth="1"/>
    <col min="7955" max="7955" width="9.140625" style="45"/>
    <col min="7956" max="7956" width="10.7109375" style="45" customWidth="1"/>
    <col min="7957" max="7957" width="5.28515625" style="45" customWidth="1"/>
    <col min="7958" max="7958" width="15.42578125" style="45" bestFit="1" customWidth="1"/>
    <col min="7959" max="7959" width="10.42578125" style="45" bestFit="1" customWidth="1"/>
    <col min="7960" max="8193" width="9.140625" style="45"/>
    <col min="8194" max="8194" width="8.7109375" style="45" customWidth="1"/>
    <col min="8195" max="8195" width="17" style="45" customWidth="1"/>
    <col min="8196" max="8196" width="14.42578125" style="45" customWidth="1"/>
    <col min="8197" max="8197" width="10.28515625" style="45" customWidth="1"/>
    <col min="8198" max="8208" width="8.7109375" style="45" customWidth="1"/>
    <col min="8209" max="8209" width="9.7109375" style="45" customWidth="1"/>
    <col min="8210" max="8210" width="8.42578125" style="45" customWidth="1"/>
    <col min="8211" max="8211" width="9.140625" style="45"/>
    <col min="8212" max="8212" width="10.7109375" style="45" customWidth="1"/>
    <col min="8213" max="8213" width="5.28515625" style="45" customWidth="1"/>
    <col min="8214" max="8214" width="15.42578125" style="45" bestFit="1" customWidth="1"/>
    <col min="8215" max="8215" width="10.42578125" style="45" bestFit="1" customWidth="1"/>
    <col min="8216" max="8449" width="9.140625" style="45"/>
    <col min="8450" max="8450" width="8.7109375" style="45" customWidth="1"/>
    <col min="8451" max="8451" width="17" style="45" customWidth="1"/>
    <col min="8452" max="8452" width="14.42578125" style="45" customWidth="1"/>
    <col min="8453" max="8453" width="10.28515625" style="45" customWidth="1"/>
    <col min="8454" max="8464" width="8.7109375" style="45" customWidth="1"/>
    <col min="8465" max="8465" width="9.7109375" style="45" customWidth="1"/>
    <col min="8466" max="8466" width="8.42578125" style="45" customWidth="1"/>
    <col min="8467" max="8467" width="9.140625" style="45"/>
    <col min="8468" max="8468" width="10.7109375" style="45" customWidth="1"/>
    <col min="8469" max="8469" width="5.28515625" style="45" customWidth="1"/>
    <col min="8470" max="8470" width="15.42578125" style="45" bestFit="1" customWidth="1"/>
    <col min="8471" max="8471" width="10.42578125" style="45" bestFit="1" customWidth="1"/>
    <col min="8472" max="8705" width="9.140625" style="45"/>
    <col min="8706" max="8706" width="8.7109375" style="45" customWidth="1"/>
    <col min="8707" max="8707" width="17" style="45" customWidth="1"/>
    <col min="8708" max="8708" width="14.42578125" style="45" customWidth="1"/>
    <col min="8709" max="8709" width="10.28515625" style="45" customWidth="1"/>
    <col min="8710" max="8720" width="8.7109375" style="45" customWidth="1"/>
    <col min="8721" max="8721" width="9.7109375" style="45" customWidth="1"/>
    <col min="8722" max="8722" width="8.42578125" style="45" customWidth="1"/>
    <col min="8723" max="8723" width="9.140625" style="45"/>
    <col min="8724" max="8724" width="10.7109375" style="45" customWidth="1"/>
    <col min="8725" max="8725" width="5.28515625" style="45" customWidth="1"/>
    <col min="8726" max="8726" width="15.42578125" style="45" bestFit="1" customWidth="1"/>
    <col min="8727" max="8727" width="10.42578125" style="45" bestFit="1" customWidth="1"/>
    <col min="8728" max="8961" width="9.140625" style="45"/>
    <col min="8962" max="8962" width="8.7109375" style="45" customWidth="1"/>
    <col min="8963" max="8963" width="17" style="45" customWidth="1"/>
    <col min="8964" max="8964" width="14.42578125" style="45" customWidth="1"/>
    <col min="8965" max="8965" width="10.28515625" style="45" customWidth="1"/>
    <col min="8966" max="8976" width="8.7109375" style="45" customWidth="1"/>
    <col min="8977" max="8977" width="9.7109375" style="45" customWidth="1"/>
    <col min="8978" max="8978" width="8.42578125" style="45" customWidth="1"/>
    <col min="8979" max="8979" width="9.140625" style="45"/>
    <col min="8980" max="8980" width="10.7109375" style="45" customWidth="1"/>
    <col min="8981" max="8981" width="5.28515625" style="45" customWidth="1"/>
    <col min="8982" max="8982" width="15.42578125" style="45" bestFit="1" customWidth="1"/>
    <col min="8983" max="8983" width="10.42578125" style="45" bestFit="1" customWidth="1"/>
    <col min="8984" max="9217" width="9.140625" style="45"/>
    <col min="9218" max="9218" width="8.7109375" style="45" customWidth="1"/>
    <col min="9219" max="9219" width="17" style="45" customWidth="1"/>
    <col min="9220" max="9220" width="14.42578125" style="45" customWidth="1"/>
    <col min="9221" max="9221" width="10.28515625" style="45" customWidth="1"/>
    <col min="9222" max="9232" width="8.7109375" style="45" customWidth="1"/>
    <col min="9233" max="9233" width="9.7109375" style="45" customWidth="1"/>
    <col min="9234" max="9234" width="8.42578125" style="45" customWidth="1"/>
    <col min="9235" max="9235" width="9.140625" style="45"/>
    <col min="9236" max="9236" width="10.7109375" style="45" customWidth="1"/>
    <col min="9237" max="9237" width="5.28515625" style="45" customWidth="1"/>
    <col min="9238" max="9238" width="15.42578125" style="45" bestFit="1" customWidth="1"/>
    <col min="9239" max="9239" width="10.42578125" style="45" bestFit="1" customWidth="1"/>
    <col min="9240" max="9473" width="9.140625" style="45"/>
    <col min="9474" max="9474" width="8.7109375" style="45" customWidth="1"/>
    <col min="9475" max="9475" width="17" style="45" customWidth="1"/>
    <col min="9476" max="9476" width="14.42578125" style="45" customWidth="1"/>
    <col min="9477" max="9477" width="10.28515625" style="45" customWidth="1"/>
    <col min="9478" max="9488" width="8.7109375" style="45" customWidth="1"/>
    <col min="9489" max="9489" width="9.7109375" style="45" customWidth="1"/>
    <col min="9490" max="9490" width="8.42578125" style="45" customWidth="1"/>
    <col min="9491" max="9491" width="9.140625" style="45"/>
    <col min="9492" max="9492" width="10.7109375" style="45" customWidth="1"/>
    <col min="9493" max="9493" width="5.28515625" style="45" customWidth="1"/>
    <col min="9494" max="9494" width="15.42578125" style="45" bestFit="1" customWidth="1"/>
    <col min="9495" max="9495" width="10.42578125" style="45" bestFit="1" customWidth="1"/>
    <col min="9496" max="9729" width="9.140625" style="45"/>
    <col min="9730" max="9730" width="8.7109375" style="45" customWidth="1"/>
    <col min="9731" max="9731" width="17" style="45" customWidth="1"/>
    <col min="9732" max="9732" width="14.42578125" style="45" customWidth="1"/>
    <col min="9733" max="9733" width="10.28515625" style="45" customWidth="1"/>
    <col min="9734" max="9744" width="8.7109375" style="45" customWidth="1"/>
    <col min="9745" max="9745" width="9.7109375" style="45" customWidth="1"/>
    <col min="9746" max="9746" width="8.42578125" style="45" customWidth="1"/>
    <col min="9747" max="9747" width="9.140625" style="45"/>
    <col min="9748" max="9748" width="10.7109375" style="45" customWidth="1"/>
    <col min="9749" max="9749" width="5.28515625" style="45" customWidth="1"/>
    <col min="9750" max="9750" width="15.42578125" style="45" bestFit="1" customWidth="1"/>
    <col min="9751" max="9751" width="10.42578125" style="45" bestFit="1" customWidth="1"/>
    <col min="9752" max="9985" width="9.140625" style="45"/>
    <col min="9986" max="9986" width="8.7109375" style="45" customWidth="1"/>
    <col min="9987" max="9987" width="17" style="45" customWidth="1"/>
    <col min="9988" max="9988" width="14.42578125" style="45" customWidth="1"/>
    <col min="9989" max="9989" width="10.28515625" style="45" customWidth="1"/>
    <col min="9990" max="10000" width="8.7109375" style="45" customWidth="1"/>
    <col min="10001" max="10001" width="9.7109375" style="45" customWidth="1"/>
    <col min="10002" max="10002" width="8.42578125" style="45" customWidth="1"/>
    <col min="10003" max="10003" width="9.140625" style="45"/>
    <col min="10004" max="10004" width="10.7109375" style="45" customWidth="1"/>
    <col min="10005" max="10005" width="5.28515625" style="45" customWidth="1"/>
    <col min="10006" max="10006" width="15.42578125" style="45" bestFit="1" customWidth="1"/>
    <col min="10007" max="10007" width="10.42578125" style="45" bestFit="1" customWidth="1"/>
    <col min="10008" max="10241" width="9.140625" style="45"/>
    <col min="10242" max="10242" width="8.7109375" style="45" customWidth="1"/>
    <col min="10243" max="10243" width="17" style="45" customWidth="1"/>
    <col min="10244" max="10244" width="14.42578125" style="45" customWidth="1"/>
    <col min="10245" max="10245" width="10.28515625" style="45" customWidth="1"/>
    <col min="10246" max="10256" width="8.7109375" style="45" customWidth="1"/>
    <col min="10257" max="10257" width="9.7109375" style="45" customWidth="1"/>
    <col min="10258" max="10258" width="8.42578125" style="45" customWidth="1"/>
    <col min="10259" max="10259" width="9.140625" style="45"/>
    <col min="10260" max="10260" width="10.7109375" style="45" customWidth="1"/>
    <col min="10261" max="10261" width="5.28515625" style="45" customWidth="1"/>
    <col min="10262" max="10262" width="15.42578125" style="45" bestFit="1" customWidth="1"/>
    <col min="10263" max="10263" width="10.42578125" style="45" bestFit="1" customWidth="1"/>
    <col min="10264" max="10497" width="9.140625" style="45"/>
    <col min="10498" max="10498" width="8.7109375" style="45" customWidth="1"/>
    <col min="10499" max="10499" width="17" style="45" customWidth="1"/>
    <col min="10500" max="10500" width="14.42578125" style="45" customWidth="1"/>
    <col min="10501" max="10501" width="10.28515625" style="45" customWidth="1"/>
    <col min="10502" max="10512" width="8.7109375" style="45" customWidth="1"/>
    <col min="10513" max="10513" width="9.7109375" style="45" customWidth="1"/>
    <col min="10514" max="10514" width="8.42578125" style="45" customWidth="1"/>
    <col min="10515" max="10515" width="9.140625" style="45"/>
    <col min="10516" max="10516" width="10.7109375" style="45" customWidth="1"/>
    <col min="10517" max="10517" width="5.28515625" style="45" customWidth="1"/>
    <col min="10518" max="10518" width="15.42578125" style="45" bestFit="1" customWidth="1"/>
    <col min="10519" max="10519" width="10.42578125" style="45" bestFit="1" customWidth="1"/>
    <col min="10520" max="10753" width="9.140625" style="45"/>
    <col min="10754" max="10754" width="8.7109375" style="45" customWidth="1"/>
    <col min="10755" max="10755" width="17" style="45" customWidth="1"/>
    <col min="10756" max="10756" width="14.42578125" style="45" customWidth="1"/>
    <col min="10757" max="10757" width="10.28515625" style="45" customWidth="1"/>
    <col min="10758" max="10768" width="8.7109375" style="45" customWidth="1"/>
    <col min="10769" max="10769" width="9.7109375" style="45" customWidth="1"/>
    <col min="10770" max="10770" width="8.42578125" style="45" customWidth="1"/>
    <col min="10771" max="10771" width="9.140625" style="45"/>
    <col min="10772" max="10772" width="10.7109375" style="45" customWidth="1"/>
    <col min="10773" max="10773" width="5.28515625" style="45" customWidth="1"/>
    <col min="10774" max="10774" width="15.42578125" style="45" bestFit="1" customWidth="1"/>
    <col min="10775" max="10775" width="10.42578125" style="45" bestFit="1" customWidth="1"/>
    <col min="10776" max="11009" width="9.140625" style="45"/>
    <col min="11010" max="11010" width="8.7109375" style="45" customWidth="1"/>
    <col min="11011" max="11011" width="17" style="45" customWidth="1"/>
    <col min="11012" max="11012" width="14.42578125" style="45" customWidth="1"/>
    <col min="11013" max="11013" width="10.28515625" style="45" customWidth="1"/>
    <col min="11014" max="11024" width="8.7109375" style="45" customWidth="1"/>
    <col min="11025" max="11025" width="9.7109375" style="45" customWidth="1"/>
    <col min="11026" max="11026" width="8.42578125" style="45" customWidth="1"/>
    <col min="11027" max="11027" width="9.140625" style="45"/>
    <col min="11028" max="11028" width="10.7109375" style="45" customWidth="1"/>
    <col min="11029" max="11029" width="5.28515625" style="45" customWidth="1"/>
    <col min="11030" max="11030" width="15.42578125" style="45" bestFit="1" customWidth="1"/>
    <col min="11031" max="11031" width="10.42578125" style="45" bestFit="1" customWidth="1"/>
    <col min="11032" max="11265" width="9.140625" style="45"/>
    <col min="11266" max="11266" width="8.7109375" style="45" customWidth="1"/>
    <col min="11267" max="11267" width="17" style="45" customWidth="1"/>
    <col min="11268" max="11268" width="14.42578125" style="45" customWidth="1"/>
    <col min="11269" max="11269" width="10.28515625" style="45" customWidth="1"/>
    <col min="11270" max="11280" width="8.7109375" style="45" customWidth="1"/>
    <col min="11281" max="11281" width="9.7109375" style="45" customWidth="1"/>
    <col min="11282" max="11282" width="8.42578125" style="45" customWidth="1"/>
    <col min="11283" max="11283" width="9.140625" style="45"/>
    <col min="11284" max="11284" width="10.7109375" style="45" customWidth="1"/>
    <col min="11285" max="11285" width="5.28515625" style="45" customWidth="1"/>
    <col min="11286" max="11286" width="15.42578125" style="45" bestFit="1" customWidth="1"/>
    <col min="11287" max="11287" width="10.42578125" style="45" bestFit="1" customWidth="1"/>
    <col min="11288" max="11521" width="9.140625" style="45"/>
    <col min="11522" max="11522" width="8.7109375" style="45" customWidth="1"/>
    <col min="11523" max="11523" width="17" style="45" customWidth="1"/>
    <col min="11524" max="11524" width="14.42578125" style="45" customWidth="1"/>
    <col min="11525" max="11525" width="10.28515625" style="45" customWidth="1"/>
    <col min="11526" max="11536" width="8.7109375" style="45" customWidth="1"/>
    <col min="11537" max="11537" width="9.7109375" style="45" customWidth="1"/>
    <col min="11538" max="11538" width="8.42578125" style="45" customWidth="1"/>
    <col min="11539" max="11539" width="9.140625" style="45"/>
    <col min="11540" max="11540" width="10.7109375" style="45" customWidth="1"/>
    <col min="11541" max="11541" width="5.28515625" style="45" customWidth="1"/>
    <col min="11542" max="11542" width="15.42578125" style="45" bestFit="1" customWidth="1"/>
    <col min="11543" max="11543" width="10.42578125" style="45" bestFit="1" customWidth="1"/>
    <col min="11544" max="11777" width="9.140625" style="45"/>
    <col min="11778" max="11778" width="8.7109375" style="45" customWidth="1"/>
    <col min="11779" max="11779" width="17" style="45" customWidth="1"/>
    <col min="11780" max="11780" width="14.42578125" style="45" customWidth="1"/>
    <col min="11781" max="11781" width="10.28515625" style="45" customWidth="1"/>
    <col min="11782" max="11792" width="8.7109375" style="45" customWidth="1"/>
    <col min="11793" max="11793" width="9.7109375" style="45" customWidth="1"/>
    <col min="11794" max="11794" width="8.42578125" style="45" customWidth="1"/>
    <col min="11795" max="11795" width="9.140625" style="45"/>
    <col min="11796" max="11796" width="10.7109375" style="45" customWidth="1"/>
    <col min="11797" max="11797" width="5.28515625" style="45" customWidth="1"/>
    <col min="11798" max="11798" width="15.42578125" style="45" bestFit="1" customWidth="1"/>
    <col min="11799" max="11799" width="10.42578125" style="45" bestFit="1" customWidth="1"/>
    <col min="11800" max="12033" width="9.140625" style="45"/>
    <col min="12034" max="12034" width="8.7109375" style="45" customWidth="1"/>
    <col min="12035" max="12035" width="17" style="45" customWidth="1"/>
    <col min="12036" max="12036" width="14.42578125" style="45" customWidth="1"/>
    <col min="12037" max="12037" width="10.28515625" style="45" customWidth="1"/>
    <col min="12038" max="12048" width="8.7109375" style="45" customWidth="1"/>
    <col min="12049" max="12049" width="9.7109375" style="45" customWidth="1"/>
    <col min="12050" max="12050" width="8.42578125" style="45" customWidth="1"/>
    <col min="12051" max="12051" width="9.140625" style="45"/>
    <col min="12052" max="12052" width="10.7109375" style="45" customWidth="1"/>
    <col min="12053" max="12053" width="5.28515625" style="45" customWidth="1"/>
    <col min="12054" max="12054" width="15.42578125" style="45" bestFit="1" customWidth="1"/>
    <col min="12055" max="12055" width="10.42578125" style="45" bestFit="1" customWidth="1"/>
    <col min="12056" max="12289" width="9.140625" style="45"/>
    <col min="12290" max="12290" width="8.7109375" style="45" customWidth="1"/>
    <col min="12291" max="12291" width="17" style="45" customWidth="1"/>
    <col min="12292" max="12292" width="14.42578125" style="45" customWidth="1"/>
    <col min="12293" max="12293" width="10.28515625" style="45" customWidth="1"/>
    <col min="12294" max="12304" width="8.7109375" style="45" customWidth="1"/>
    <col min="12305" max="12305" width="9.7109375" style="45" customWidth="1"/>
    <col min="12306" max="12306" width="8.42578125" style="45" customWidth="1"/>
    <col min="12307" max="12307" width="9.140625" style="45"/>
    <col min="12308" max="12308" width="10.7109375" style="45" customWidth="1"/>
    <col min="12309" max="12309" width="5.28515625" style="45" customWidth="1"/>
    <col min="12310" max="12310" width="15.42578125" style="45" bestFit="1" customWidth="1"/>
    <col min="12311" max="12311" width="10.42578125" style="45" bestFit="1" customWidth="1"/>
    <col min="12312" max="12545" width="9.140625" style="45"/>
    <col min="12546" max="12546" width="8.7109375" style="45" customWidth="1"/>
    <col min="12547" max="12547" width="17" style="45" customWidth="1"/>
    <col min="12548" max="12548" width="14.42578125" style="45" customWidth="1"/>
    <col min="12549" max="12549" width="10.28515625" style="45" customWidth="1"/>
    <col min="12550" max="12560" width="8.7109375" style="45" customWidth="1"/>
    <col min="12561" max="12561" width="9.7109375" style="45" customWidth="1"/>
    <col min="12562" max="12562" width="8.42578125" style="45" customWidth="1"/>
    <col min="12563" max="12563" width="9.140625" style="45"/>
    <col min="12564" max="12564" width="10.7109375" style="45" customWidth="1"/>
    <col min="12565" max="12565" width="5.28515625" style="45" customWidth="1"/>
    <col min="12566" max="12566" width="15.42578125" style="45" bestFit="1" customWidth="1"/>
    <col min="12567" max="12567" width="10.42578125" style="45" bestFit="1" customWidth="1"/>
    <col min="12568" max="12801" width="9.140625" style="45"/>
    <col min="12802" max="12802" width="8.7109375" style="45" customWidth="1"/>
    <col min="12803" max="12803" width="17" style="45" customWidth="1"/>
    <col min="12804" max="12804" width="14.42578125" style="45" customWidth="1"/>
    <col min="12805" max="12805" width="10.28515625" style="45" customWidth="1"/>
    <col min="12806" max="12816" width="8.7109375" style="45" customWidth="1"/>
    <col min="12817" max="12817" width="9.7109375" style="45" customWidth="1"/>
    <col min="12818" max="12818" width="8.42578125" style="45" customWidth="1"/>
    <col min="12819" max="12819" width="9.140625" style="45"/>
    <col min="12820" max="12820" width="10.7109375" style="45" customWidth="1"/>
    <col min="12821" max="12821" width="5.28515625" style="45" customWidth="1"/>
    <col min="12822" max="12822" width="15.42578125" style="45" bestFit="1" customWidth="1"/>
    <col min="12823" max="12823" width="10.42578125" style="45" bestFit="1" customWidth="1"/>
    <col min="12824" max="13057" width="9.140625" style="45"/>
    <col min="13058" max="13058" width="8.7109375" style="45" customWidth="1"/>
    <col min="13059" max="13059" width="17" style="45" customWidth="1"/>
    <col min="13060" max="13060" width="14.42578125" style="45" customWidth="1"/>
    <col min="13061" max="13061" width="10.28515625" style="45" customWidth="1"/>
    <col min="13062" max="13072" width="8.7109375" style="45" customWidth="1"/>
    <col min="13073" max="13073" width="9.7109375" style="45" customWidth="1"/>
    <col min="13074" max="13074" width="8.42578125" style="45" customWidth="1"/>
    <col min="13075" max="13075" width="9.140625" style="45"/>
    <col min="13076" max="13076" width="10.7109375" style="45" customWidth="1"/>
    <col min="13077" max="13077" width="5.28515625" style="45" customWidth="1"/>
    <col min="13078" max="13078" width="15.42578125" style="45" bestFit="1" customWidth="1"/>
    <col min="13079" max="13079" width="10.42578125" style="45" bestFit="1" customWidth="1"/>
    <col min="13080" max="13313" width="9.140625" style="45"/>
    <col min="13314" max="13314" width="8.7109375" style="45" customWidth="1"/>
    <col min="13315" max="13315" width="17" style="45" customWidth="1"/>
    <col min="13316" max="13316" width="14.42578125" style="45" customWidth="1"/>
    <col min="13317" max="13317" width="10.28515625" style="45" customWidth="1"/>
    <col min="13318" max="13328" width="8.7109375" style="45" customWidth="1"/>
    <col min="13329" max="13329" width="9.7109375" style="45" customWidth="1"/>
    <col min="13330" max="13330" width="8.42578125" style="45" customWidth="1"/>
    <col min="13331" max="13331" width="9.140625" style="45"/>
    <col min="13332" max="13332" width="10.7109375" style="45" customWidth="1"/>
    <col min="13333" max="13333" width="5.28515625" style="45" customWidth="1"/>
    <col min="13334" max="13334" width="15.42578125" style="45" bestFit="1" customWidth="1"/>
    <col min="13335" max="13335" width="10.42578125" style="45" bestFit="1" customWidth="1"/>
    <col min="13336" max="13569" width="9.140625" style="45"/>
    <col min="13570" max="13570" width="8.7109375" style="45" customWidth="1"/>
    <col min="13571" max="13571" width="17" style="45" customWidth="1"/>
    <col min="13572" max="13572" width="14.42578125" style="45" customWidth="1"/>
    <col min="13573" max="13573" width="10.28515625" style="45" customWidth="1"/>
    <col min="13574" max="13584" width="8.7109375" style="45" customWidth="1"/>
    <col min="13585" max="13585" width="9.7109375" style="45" customWidth="1"/>
    <col min="13586" max="13586" width="8.42578125" style="45" customWidth="1"/>
    <col min="13587" max="13587" width="9.140625" style="45"/>
    <col min="13588" max="13588" width="10.7109375" style="45" customWidth="1"/>
    <col min="13589" max="13589" width="5.28515625" style="45" customWidth="1"/>
    <col min="13590" max="13590" width="15.42578125" style="45" bestFit="1" customWidth="1"/>
    <col min="13591" max="13591" width="10.42578125" style="45" bestFit="1" customWidth="1"/>
    <col min="13592" max="13825" width="9.140625" style="45"/>
    <col min="13826" max="13826" width="8.7109375" style="45" customWidth="1"/>
    <col min="13827" max="13827" width="17" style="45" customWidth="1"/>
    <col min="13828" max="13828" width="14.42578125" style="45" customWidth="1"/>
    <col min="13829" max="13829" width="10.28515625" style="45" customWidth="1"/>
    <col min="13830" max="13840" width="8.7109375" style="45" customWidth="1"/>
    <col min="13841" max="13841" width="9.7109375" style="45" customWidth="1"/>
    <col min="13842" max="13842" width="8.42578125" style="45" customWidth="1"/>
    <col min="13843" max="13843" width="9.140625" style="45"/>
    <col min="13844" max="13844" width="10.7109375" style="45" customWidth="1"/>
    <col min="13845" max="13845" width="5.28515625" style="45" customWidth="1"/>
    <col min="13846" max="13846" width="15.42578125" style="45" bestFit="1" customWidth="1"/>
    <col min="13847" max="13847" width="10.42578125" style="45" bestFit="1" customWidth="1"/>
    <col min="13848" max="14081" width="9.140625" style="45"/>
    <col min="14082" max="14082" width="8.7109375" style="45" customWidth="1"/>
    <col min="14083" max="14083" width="17" style="45" customWidth="1"/>
    <col min="14084" max="14084" width="14.42578125" style="45" customWidth="1"/>
    <col min="14085" max="14085" width="10.28515625" style="45" customWidth="1"/>
    <col min="14086" max="14096" width="8.7109375" style="45" customWidth="1"/>
    <col min="14097" max="14097" width="9.7109375" style="45" customWidth="1"/>
    <col min="14098" max="14098" width="8.42578125" style="45" customWidth="1"/>
    <col min="14099" max="14099" width="9.140625" style="45"/>
    <col min="14100" max="14100" width="10.7109375" style="45" customWidth="1"/>
    <col min="14101" max="14101" width="5.28515625" style="45" customWidth="1"/>
    <col min="14102" max="14102" width="15.42578125" style="45" bestFit="1" customWidth="1"/>
    <col min="14103" max="14103" width="10.42578125" style="45" bestFit="1" customWidth="1"/>
    <col min="14104" max="14337" width="9.140625" style="45"/>
    <col min="14338" max="14338" width="8.7109375" style="45" customWidth="1"/>
    <col min="14339" max="14339" width="17" style="45" customWidth="1"/>
    <col min="14340" max="14340" width="14.42578125" style="45" customWidth="1"/>
    <col min="14341" max="14341" width="10.28515625" style="45" customWidth="1"/>
    <col min="14342" max="14352" width="8.7109375" style="45" customWidth="1"/>
    <col min="14353" max="14353" width="9.7109375" style="45" customWidth="1"/>
    <col min="14354" max="14354" width="8.42578125" style="45" customWidth="1"/>
    <col min="14355" max="14355" width="9.140625" style="45"/>
    <col min="14356" max="14356" width="10.7109375" style="45" customWidth="1"/>
    <col min="14357" max="14357" width="5.28515625" style="45" customWidth="1"/>
    <col min="14358" max="14358" width="15.42578125" style="45" bestFit="1" customWidth="1"/>
    <col min="14359" max="14359" width="10.42578125" style="45" bestFit="1" customWidth="1"/>
    <col min="14360" max="14593" width="9.140625" style="45"/>
    <col min="14594" max="14594" width="8.7109375" style="45" customWidth="1"/>
    <col min="14595" max="14595" width="17" style="45" customWidth="1"/>
    <col min="14596" max="14596" width="14.42578125" style="45" customWidth="1"/>
    <col min="14597" max="14597" width="10.28515625" style="45" customWidth="1"/>
    <col min="14598" max="14608" width="8.7109375" style="45" customWidth="1"/>
    <col min="14609" max="14609" width="9.7109375" style="45" customWidth="1"/>
    <col min="14610" max="14610" width="8.42578125" style="45" customWidth="1"/>
    <col min="14611" max="14611" width="9.140625" style="45"/>
    <col min="14612" max="14612" width="10.7109375" style="45" customWidth="1"/>
    <col min="14613" max="14613" width="5.28515625" style="45" customWidth="1"/>
    <col min="14614" max="14614" width="15.42578125" style="45" bestFit="1" customWidth="1"/>
    <col min="14615" max="14615" width="10.42578125" style="45" bestFit="1" customWidth="1"/>
    <col min="14616" max="14849" width="9.140625" style="45"/>
    <col min="14850" max="14850" width="8.7109375" style="45" customWidth="1"/>
    <col min="14851" max="14851" width="17" style="45" customWidth="1"/>
    <col min="14852" max="14852" width="14.42578125" style="45" customWidth="1"/>
    <col min="14853" max="14853" width="10.28515625" style="45" customWidth="1"/>
    <col min="14854" max="14864" width="8.7109375" style="45" customWidth="1"/>
    <col min="14865" max="14865" width="9.7109375" style="45" customWidth="1"/>
    <col min="14866" max="14866" width="8.42578125" style="45" customWidth="1"/>
    <col min="14867" max="14867" width="9.140625" style="45"/>
    <col min="14868" max="14868" width="10.7109375" style="45" customWidth="1"/>
    <col min="14869" max="14869" width="5.28515625" style="45" customWidth="1"/>
    <col min="14870" max="14870" width="15.42578125" style="45" bestFit="1" customWidth="1"/>
    <col min="14871" max="14871" width="10.42578125" style="45" bestFit="1" customWidth="1"/>
    <col min="14872" max="15105" width="9.140625" style="45"/>
    <col min="15106" max="15106" width="8.7109375" style="45" customWidth="1"/>
    <col min="15107" max="15107" width="17" style="45" customWidth="1"/>
    <col min="15108" max="15108" width="14.42578125" style="45" customWidth="1"/>
    <col min="15109" max="15109" width="10.28515625" style="45" customWidth="1"/>
    <col min="15110" max="15120" width="8.7109375" style="45" customWidth="1"/>
    <col min="15121" max="15121" width="9.7109375" style="45" customWidth="1"/>
    <col min="15122" max="15122" width="8.42578125" style="45" customWidth="1"/>
    <col min="15123" max="15123" width="9.140625" style="45"/>
    <col min="15124" max="15124" width="10.7109375" style="45" customWidth="1"/>
    <col min="15125" max="15125" width="5.28515625" style="45" customWidth="1"/>
    <col min="15126" max="15126" width="15.42578125" style="45" bestFit="1" customWidth="1"/>
    <col min="15127" max="15127" width="10.42578125" style="45" bestFit="1" customWidth="1"/>
    <col min="15128" max="15361" width="9.140625" style="45"/>
    <col min="15362" max="15362" width="8.7109375" style="45" customWidth="1"/>
    <col min="15363" max="15363" width="17" style="45" customWidth="1"/>
    <col min="15364" max="15364" width="14.42578125" style="45" customWidth="1"/>
    <col min="15365" max="15365" width="10.28515625" style="45" customWidth="1"/>
    <col min="15366" max="15376" width="8.7109375" style="45" customWidth="1"/>
    <col min="15377" max="15377" width="9.7109375" style="45" customWidth="1"/>
    <col min="15378" max="15378" width="8.42578125" style="45" customWidth="1"/>
    <col min="15379" max="15379" width="9.140625" style="45"/>
    <col min="15380" max="15380" width="10.7109375" style="45" customWidth="1"/>
    <col min="15381" max="15381" width="5.28515625" style="45" customWidth="1"/>
    <col min="15382" max="15382" width="15.42578125" style="45" bestFit="1" customWidth="1"/>
    <col min="15383" max="15383" width="10.42578125" style="45" bestFit="1" customWidth="1"/>
    <col min="15384" max="15617" width="9.140625" style="45"/>
    <col min="15618" max="15618" width="8.7109375" style="45" customWidth="1"/>
    <col min="15619" max="15619" width="17" style="45" customWidth="1"/>
    <col min="15620" max="15620" width="14.42578125" style="45" customWidth="1"/>
    <col min="15621" max="15621" width="10.28515625" style="45" customWidth="1"/>
    <col min="15622" max="15632" width="8.7109375" style="45" customWidth="1"/>
    <col min="15633" max="15633" width="9.7109375" style="45" customWidth="1"/>
    <col min="15634" max="15634" width="8.42578125" style="45" customWidth="1"/>
    <col min="15635" max="15635" width="9.140625" style="45"/>
    <col min="15636" max="15636" width="10.7109375" style="45" customWidth="1"/>
    <col min="15637" max="15637" width="5.28515625" style="45" customWidth="1"/>
    <col min="15638" max="15638" width="15.42578125" style="45" bestFit="1" customWidth="1"/>
    <col min="15639" max="15639" width="10.42578125" style="45" bestFit="1" customWidth="1"/>
    <col min="15640" max="15873" width="9.140625" style="45"/>
    <col min="15874" max="15874" width="8.7109375" style="45" customWidth="1"/>
    <col min="15875" max="15875" width="17" style="45" customWidth="1"/>
    <col min="15876" max="15876" width="14.42578125" style="45" customWidth="1"/>
    <col min="15877" max="15877" width="10.28515625" style="45" customWidth="1"/>
    <col min="15878" max="15888" width="8.7109375" style="45" customWidth="1"/>
    <col min="15889" max="15889" width="9.7109375" style="45" customWidth="1"/>
    <col min="15890" max="15890" width="8.42578125" style="45" customWidth="1"/>
    <col min="15891" max="15891" width="9.140625" style="45"/>
    <col min="15892" max="15892" width="10.7109375" style="45" customWidth="1"/>
    <col min="15893" max="15893" width="5.28515625" style="45" customWidth="1"/>
    <col min="15894" max="15894" width="15.42578125" style="45" bestFit="1" customWidth="1"/>
    <col min="15895" max="15895" width="10.42578125" style="45" bestFit="1" customWidth="1"/>
    <col min="15896" max="16129" width="9.140625" style="45"/>
    <col min="16130" max="16130" width="8.7109375" style="45" customWidth="1"/>
    <col min="16131" max="16131" width="17" style="45" customWidth="1"/>
    <col min="16132" max="16132" width="14.42578125" style="45" customWidth="1"/>
    <col min="16133" max="16133" width="10.28515625" style="45" customWidth="1"/>
    <col min="16134" max="16144" width="8.7109375" style="45" customWidth="1"/>
    <col min="16145" max="16145" width="9.7109375" style="45" customWidth="1"/>
    <col min="16146" max="16146" width="8.42578125" style="45" customWidth="1"/>
    <col min="16147" max="16147" width="9.140625" style="45"/>
    <col min="16148" max="16148" width="10.7109375" style="45" customWidth="1"/>
    <col min="16149" max="16149" width="5.28515625" style="45" customWidth="1"/>
    <col min="16150" max="16150" width="15.42578125" style="45" bestFit="1" customWidth="1"/>
    <col min="16151" max="16151" width="10.42578125" style="45" bestFit="1" customWidth="1"/>
    <col min="16152" max="16384" width="9.140625" style="45"/>
  </cols>
  <sheetData>
    <row r="1" spans="1:30">
      <c r="A1" s="428" t="s">
        <v>0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430"/>
    </row>
    <row r="2" spans="1:30">
      <c r="A2" s="431" t="s">
        <v>52</v>
      </c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3"/>
      <c r="Q2" s="138" t="s">
        <v>95</v>
      </c>
      <c r="R2" s="138"/>
      <c r="S2" s="139"/>
      <c r="T2" s="139"/>
      <c r="U2" s="44"/>
    </row>
    <row r="3" spans="1:30" ht="13.5" thickBot="1">
      <c r="A3" s="38"/>
      <c r="B3" s="39" t="s">
        <v>53</v>
      </c>
      <c r="C3" s="39"/>
      <c r="D3" s="40"/>
      <c r="E3" s="41" t="s">
        <v>265</v>
      </c>
      <c r="F3" s="42" t="s">
        <v>1</v>
      </c>
      <c r="G3" s="43">
        <v>18.59</v>
      </c>
      <c r="H3" s="44"/>
      <c r="J3" s="46"/>
      <c r="O3" s="47"/>
      <c r="Q3" s="44"/>
      <c r="R3" s="97"/>
      <c r="S3" s="98"/>
      <c r="T3" s="99" t="s">
        <v>217</v>
      </c>
      <c r="U3" s="100">
        <f ca="1">'PERFIL BC02'!C14</f>
        <v>2.0261343469266486</v>
      </c>
      <c r="V3" s="44"/>
      <c r="W3" s="434"/>
      <c r="X3" s="434"/>
      <c r="Y3" s="434"/>
      <c r="Z3" s="44"/>
      <c r="AA3" s="44"/>
      <c r="AB3" s="44"/>
      <c r="AC3" s="44"/>
    </row>
    <row r="4" spans="1:30" ht="14.25" thickTop="1" thickBot="1">
      <c r="A4" s="48"/>
      <c r="B4" s="49" t="s">
        <v>54</v>
      </c>
      <c r="C4" s="50"/>
      <c r="D4" s="49"/>
      <c r="E4" s="51" t="s">
        <v>257</v>
      </c>
      <c r="F4" s="52" t="s">
        <v>173</v>
      </c>
      <c r="G4" s="88"/>
      <c r="H4" s="89"/>
      <c r="I4" s="49"/>
      <c r="J4" s="49"/>
      <c r="K4" s="148" t="s">
        <v>2</v>
      </c>
      <c r="L4" s="149"/>
      <c r="M4" s="149"/>
      <c r="N4" s="149">
        <v>15</v>
      </c>
      <c r="O4" s="171" t="s">
        <v>3</v>
      </c>
      <c r="Q4" s="96"/>
      <c r="R4" s="97"/>
      <c r="S4" s="98"/>
      <c r="T4" s="99" t="s">
        <v>218</v>
      </c>
      <c r="U4" s="100">
        <f ca="1">100*(E8/(E7*1000))</f>
        <v>2.2267026798791485</v>
      </c>
      <c r="V4" s="44"/>
      <c r="W4" s="435"/>
      <c r="X4" s="94"/>
      <c r="Y4" s="44"/>
      <c r="Z4" s="435"/>
      <c r="AA4" s="94"/>
      <c r="AB4" s="44"/>
      <c r="AC4" s="44"/>
    </row>
    <row r="5" spans="1:30" ht="14.25" thickTop="1" thickBot="1">
      <c r="A5" s="48"/>
      <c r="B5" s="39" t="s">
        <v>4</v>
      </c>
      <c r="C5" s="39"/>
      <c r="D5" s="49"/>
      <c r="E5" s="51" t="s">
        <v>123</v>
      </c>
      <c r="F5" s="52"/>
      <c r="G5" s="52"/>
      <c r="H5" s="52"/>
      <c r="I5" s="49"/>
      <c r="J5" s="49"/>
      <c r="K5" s="150" t="s">
        <v>2</v>
      </c>
      <c r="L5" s="151"/>
      <c r="M5" s="151"/>
      <c r="N5" s="151">
        <v>25</v>
      </c>
      <c r="O5" s="172" t="s">
        <v>3</v>
      </c>
      <c r="Q5" s="96"/>
      <c r="R5" s="97"/>
      <c r="S5" s="98"/>
      <c r="T5" s="99"/>
      <c r="U5" s="44"/>
      <c r="V5" s="44"/>
      <c r="W5" s="435"/>
      <c r="X5" s="94"/>
      <c r="Y5" s="44"/>
      <c r="Z5" s="435"/>
      <c r="AA5" s="94"/>
      <c r="AB5" s="44"/>
      <c r="AC5" s="44"/>
    </row>
    <row r="6" spans="1:30" ht="13.5" thickTop="1">
      <c r="A6" s="48"/>
      <c r="B6" s="39" t="s">
        <v>55</v>
      </c>
      <c r="C6" s="39"/>
      <c r="D6" s="49"/>
      <c r="E6" s="43">
        <f ca="1">VLOOKUP(F10,'AUX BACIAS'!$A$2:$D$10,3,0)</f>
        <v>0.50750118631230401</v>
      </c>
      <c r="F6" s="52"/>
      <c r="G6" s="52"/>
      <c r="H6" s="52"/>
      <c r="I6" s="49"/>
      <c r="J6" s="49"/>
      <c r="K6" s="49" t="s">
        <v>2</v>
      </c>
      <c r="L6" s="49"/>
      <c r="M6" s="49"/>
      <c r="N6" s="49">
        <v>50</v>
      </c>
      <c r="O6" s="147" t="s">
        <v>3</v>
      </c>
      <c r="Q6" s="96"/>
      <c r="R6" s="97"/>
      <c r="S6" s="98"/>
      <c r="T6" s="99"/>
      <c r="U6" s="44"/>
      <c r="V6" s="44"/>
      <c r="W6" s="44"/>
      <c r="X6" s="44"/>
      <c r="Y6" s="44"/>
      <c r="Z6" s="44"/>
      <c r="AA6" s="44"/>
      <c r="AB6" s="44"/>
      <c r="AC6" s="44"/>
    </row>
    <row r="7" spans="1:30">
      <c r="A7" s="48"/>
      <c r="B7" s="39" t="s">
        <v>6</v>
      </c>
      <c r="C7" s="39"/>
      <c r="D7" s="49"/>
      <c r="E7" s="43">
        <f ca="1">(VLOOKUP(F10,'AUX BACIAS'!$A$2:$D$10,4,0)/1000)</f>
        <v>1.5718308652639508</v>
      </c>
      <c r="F7" s="52"/>
      <c r="G7" s="52"/>
      <c r="H7" s="52"/>
      <c r="I7" s="49"/>
      <c r="J7" s="49"/>
      <c r="K7" s="49" t="s">
        <v>2</v>
      </c>
      <c r="L7" s="49"/>
      <c r="M7" s="49"/>
      <c r="N7" s="49">
        <v>100</v>
      </c>
      <c r="O7" s="146" t="s">
        <v>3</v>
      </c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30">
      <c r="A8" s="48"/>
      <c r="B8" s="39" t="s">
        <v>7</v>
      </c>
      <c r="C8" s="39"/>
      <c r="D8" s="49"/>
      <c r="E8" s="179">
        <f>(INDEX('PERFIL BC02'!$C:$C,MATCH("C",'PERFIL BC02'!$B:$B,0))-INDEX('PERFIL BC02'!$C:$C,MATCH("E",'PERFIL BC02'!$B:$B,0)))</f>
        <v>35</v>
      </c>
      <c r="F8" s="52"/>
      <c r="G8" s="52"/>
      <c r="H8" s="52"/>
      <c r="I8" s="49"/>
      <c r="J8" s="49"/>
      <c r="K8" s="49" t="s">
        <v>56</v>
      </c>
      <c r="L8" s="49"/>
      <c r="M8" s="49"/>
      <c r="N8" s="50"/>
      <c r="O8" s="53">
        <f>H26</f>
        <v>0.24860499999999999</v>
      </c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</row>
    <row r="9" spans="1:30">
      <c r="A9" s="48"/>
      <c r="B9" s="39" t="s">
        <v>94</v>
      </c>
      <c r="C9" s="39"/>
      <c r="D9" s="49"/>
      <c r="E9" s="54">
        <f ca="1">IF(U3&gt;U4,U4,U3)</f>
        <v>2.0261343469266486</v>
      </c>
      <c r="F9" s="52"/>
      <c r="G9" s="52"/>
      <c r="H9" s="52"/>
      <c r="I9" s="49"/>
      <c r="J9" s="49"/>
      <c r="K9" s="55" t="s">
        <v>5</v>
      </c>
      <c r="L9" s="49"/>
      <c r="M9" s="55"/>
      <c r="N9" s="56"/>
      <c r="O9" s="53">
        <f ca="1">IF(E6&lt;=0.8,0.39*(E7^2/E9)^0.385,0.59*(E7^2/E9)^0.385)</f>
        <v>0.42094931851698286</v>
      </c>
      <c r="Q9" s="100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</row>
    <row r="10" spans="1:30">
      <c r="A10" s="38"/>
      <c r="B10" s="57"/>
      <c r="C10" s="57"/>
      <c r="D10" s="57"/>
      <c r="E10" s="88" t="s">
        <v>98</v>
      </c>
      <c r="F10" s="89" t="str" cm="1">
        <f t="array" aca="1" ref="F10" ca="1">MID(RIGHT(CELL("nome.arquivo",A1),LEN(CELL("nome.arquivo",A1)) - SEARCH("]",CELL("nome.arquivo",A1))),1,4)</f>
        <v>BC02</v>
      </c>
      <c r="G10" s="59"/>
      <c r="H10" s="60"/>
      <c r="I10" s="61"/>
      <c r="K10" s="62"/>
      <c r="M10" s="62"/>
      <c r="N10" s="63"/>
      <c r="O10" s="6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</row>
    <row r="11" spans="1:30">
      <c r="A11" s="38"/>
      <c r="B11" s="39" t="s">
        <v>215</v>
      </c>
      <c r="C11" s="61" t="s">
        <v>206</v>
      </c>
      <c r="D11" s="57"/>
      <c r="E11" s="101"/>
      <c r="F11" s="58"/>
      <c r="G11" s="59"/>
      <c r="H11" s="60"/>
      <c r="I11" s="61"/>
      <c r="O11" s="47"/>
      <c r="Q11" s="44"/>
      <c r="R11" s="44"/>
      <c r="S11" s="44"/>
      <c r="T11" s="44"/>
      <c r="U11" s="44"/>
      <c r="V11" s="44"/>
      <c r="W11" s="94"/>
      <c r="X11" s="94"/>
      <c r="Y11" s="94"/>
      <c r="Z11" s="94"/>
      <c r="AA11" s="94"/>
      <c r="AB11" s="94"/>
      <c r="AC11" s="44"/>
    </row>
    <row r="12" spans="1:30" ht="24" customHeight="1">
      <c r="A12" s="38"/>
      <c r="B12" s="45" t="s">
        <v>205</v>
      </c>
      <c r="C12" s="136" t="s">
        <v>210</v>
      </c>
      <c r="E12" s="44"/>
      <c r="F12" s="44"/>
      <c r="G12" s="44"/>
      <c r="H12" s="44"/>
      <c r="J12" s="427" t="s">
        <v>57</v>
      </c>
      <c r="K12" s="427"/>
      <c r="L12" s="427"/>
      <c r="M12" s="427"/>
      <c r="N12" s="427"/>
      <c r="O12" s="65"/>
      <c r="Q12" s="112" t="s">
        <v>141</v>
      </c>
      <c r="R12" s="44"/>
      <c r="S12" s="44"/>
      <c r="T12" s="44"/>
      <c r="U12" s="44"/>
      <c r="V12" s="44"/>
      <c r="W12" s="94"/>
      <c r="X12" s="94"/>
      <c r="Y12" s="94"/>
      <c r="Z12" s="94"/>
      <c r="AA12" s="94"/>
      <c r="AB12" s="94"/>
      <c r="AC12" s="44"/>
    </row>
    <row r="13" spans="1:30" ht="15" customHeight="1" thickBot="1">
      <c r="A13" s="38"/>
      <c r="B13" s="45" t="s">
        <v>220</v>
      </c>
      <c r="J13" s="66" t="s">
        <v>58</v>
      </c>
      <c r="K13" s="66" t="s">
        <v>59</v>
      </c>
      <c r="L13" s="436" t="s">
        <v>60</v>
      </c>
      <c r="M13" s="437"/>
      <c r="N13" s="66" t="s">
        <v>61</v>
      </c>
      <c r="O13" s="67"/>
      <c r="Q13" s="112" t="str">
        <f ca="1">IF(M21&gt;MAX(Base_Bueiros!$F$2:$F$10),"Não atende em canal 15 anos. Dimensionar para 25 anos",IF(M21&lt;=MAX(Base_Bueiros!$F$2:$F$4),INDEX(Base_Bueiros!$C$2:$C$4,MATCH(_xlfn.MINIFS(Base_Bueiros!$F$2:$F$4,Base_Bueiros!$F$2:$F$4,"&gt;="&amp;M21),Base_Bueiros!$F$2:$F$4,0))&amp;" d="&amp;TEXT(INDEX(Base_Bueiros!$D$2:$D$4,MATCH(_xlfn.MINIFS(Base_Bueiros!$F$2:$F$4,Base_Bueiros!$F$2:$F$4,"&gt;="&amp;M21),Base_Bueiros!$F$2:$F$4,0)),"0,00")&amp;"m",IF(M21&lt;=MAX(Base_Bueiros!$F$5:$F$7),INDEX(Base_Bueiros!$C$5:$C$7,MATCH(_xlfn.MINIFS(Base_Bueiros!$F$5:$F$7,Base_Bueiros!$F$5:$F$7,"&gt;="&amp;M21),Base_Bueiros!$F$5:$F$7,0))&amp;" d="&amp;TEXT(INDEX(Base_Bueiros!$D$5:$D$7,MATCH(_xlfn.MINIFS(Base_Bueiros!$F$5:$F$7,Base_Bueiros!$F$5:$F$7,"&gt;="&amp;M21),Base_Bueiros!$F$5:$F$7,0)),"0,00")&amp;"m",INDEX(Base_Bueiros!$C$8:$C$10,MATCH(_xlfn.MINIFS(Base_Bueiros!$F$8:$F$10,Base_Bueiros!$F$8:$F$10,"&gt;="&amp;M21),Base_Bueiros!$F$8:$F$10,0))&amp;" d="&amp;TEXT(INDEX(Base_Bueiros!$D$8:$D$10,MATCH(_xlfn.MINIFS(Base_Bueiros!$F$8:$F$10,Base_Bueiros!$F$8:$F$10,"&gt;="&amp;M21),Base_Bueiros!$F$8:$F$10,0)),"0,00")&amp;"m")))</f>
        <v>BDTC d= d=1,50m</v>
      </c>
      <c r="R13" s="44"/>
      <c r="S13" s="44">
        <f ca="1">IF(Q13="Não atende em canal 15 anos. Dimensionar para 25 anos",25,15)</f>
        <v>15</v>
      </c>
      <c r="T13" s="44"/>
      <c r="U13" s="44"/>
      <c r="V13" s="44"/>
      <c r="W13" s="94"/>
      <c r="X13" s="94" t="str">
        <f>'BC01 (RAC)'!X13</f>
        <v>ax</v>
      </c>
      <c r="Y13" s="94"/>
      <c r="Z13" s="94" t="str">
        <f>'BC01 (RAC)'!Z13</f>
        <v>b</v>
      </c>
      <c r="AA13" s="94"/>
      <c r="AB13" s="94" t="str">
        <f>'BC01 (RAC)'!AB13</f>
        <v>ax (1-24h)</v>
      </c>
      <c r="AC13" s="425" t="s">
        <v>216</v>
      </c>
      <c r="AD13" s="425"/>
    </row>
    <row r="14" spans="1:30" ht="15.75" customHeight="1" thickTop="1" thickBot="1">
      <c r="A14" s="38"/>
      <c r="J14" s="152" t="s">
        <v>62</v>
      </c>
      <c r="K14" s="388">
        <f ca="1">$O$9*60</f>
        <v>25.256959111018972</v>
      </c>
      <c r="L14" s="438">
        <f ca="1">IF($O$9&lt;=1,(X14*LN((K14/60)))+Z14,(AB14*LN((K14/60)))+Z14)</f>
        <v>60.524327262862101</v>
      </c>
      <c r="M14" s="438"/>
      <c r="N14" s="153">
        <f ca="1">L14/K14</f>
        <v>2.3963426078659196</v>
      </c>
      <c r="O14" s="67"/>
      <c r="Q14" s="112" t="str">
        <f ca="1">IF(M22&gt;MAX(Base_Bueiros!$F$20:$F$28),"Não atende em orificio 25 anos. Dimensionar para 50 anos",TRIM(IFERROR(LEFT(INDEX(Base_Bueiros!$C$20:$C$28,MATCH(_xlfn.MINIFS(Base_Bueiros!$F$20:$F$28,Base_Bueiros!$F$20:$F$28,"&gt;="&amp;M22),Base_Bueiros!$F$20:$F$28,0)),FIND(" OU ",INDEX(Base_Bueiros!$C$20:$C$28,MATCH(_xlfn.MINIFS(Base_Bueiros!$F$20:$F$28,Base_Bueiros!$F$20:$F$28,"&gt;="&amp;M22),Base_Bueiros!$F$20:$F$28,0)))-1),INDEX(Base_Bueiros!$C$20:$C$28,MATCH(_xlfn.MINIFS(Base_Bueiros!$F$20:$F$28,Base_Bueiros!$F$20:$F$28,"&gt;="&amp;M22),Base_Bueiros!$F$20:$F$28,0))))&amp;" d="&amp;INDEX(Base_Bueiros!$D$20:$D$28,MATCH(_xlfn.MINIFS(Base_Bueiros!$F$20:$F$28,Base_Bueiros!$F$20:$F$28,"&gt;="&amp;M22),Base_Bueiros!$F$20:$F$28,0))&amp;"m")</f>
        <v>BSTC d= d=1,50m</v>
      </c>
      <c r="R14" s="44"/>
      <c r="S14" s="44">
        <f ca="1">IF(Q14="Não atende em orifício 25 anos. Dimensionar para 50 anos",50,25)</f>
        <v>25</v>
      </c>
      <c r="U14" s="44"/>
      <c r="W14" s="94">
        <v>15</v>
      </c>
      <c r="X14" s="94">
        <f>'BC01 (RAC)'!X14</f>
        <v>26.41505980258199</v>
      </c>
      <c r="Y14" s="94"/>
      <c r="Z14" s="94">
        <f>'BC01 (RAC)'!Z14</f>
        <v>83.379768522636454</v>
      </c>
      <c r="AA14" s="94"/>
      <c r="AB14" s="94">
        <f>'BC01 (RAC)'!AB14</f>
        <v>24.188985755464877</v>
      </c>
      <c r="AC14" s="426" t="str">
        <f>IF(C11="Plano","Tabelado",IF(C11="Ondulado","Tabelado",IF(C11="Montanhoso","Tabelado","Ponderado")))</f>
        <v>Tabelado</v>
      </c>
      <c r="AD14" s="426"/>
    </row>
    <row r="15" spans="1:30" ht="15.75" customHeight="1" thickTop="1" thickBot="1">
      <c r="A15" s="38"/>
      <c r="J15" s="154" t="s">
        <v>63</v>
      </c>
      <c r="K15" s="389">
        <f ca="1">$O$9*60</f>
        <v>25.256959111018972</v>
      </c>
      <c r="L15" s="439">
        <f ca="1">IF($O$9&lt;=1,(X15*LN((K15/60)))+Z15,(AB15*LN((K15/60)))+Z15)</f>
        <v>66.794991077762774</v>
      </c>
      <c r="M15" s="439"/>
      <c r="N15" s="155">
        <f ca="1">L15/K15</f>
        <v>2.6446173026673589</v>
      </c>
      <c r="O15" s="67"/>
      <c r="R15" s="84"/>
      <c r="S15" s="44"/>
      <c r="U15" s="44"/>
      <c r="W15" s="94">
        <v>25</v>
      </c>
      <c r="X15" s="94">
        <f>'BC01 (RAC)'!X15</f>
        <v>29.043206617627984</v>
      </c>
      <c r="Y15" s="94"/>
      <c r="Z15" s="94">
        <f>'BC01 (RAC)'!Z15</f>
        <v>91.924417541518196</v>
      </c>
      <c r="AA15" s="94"/>
      <c r="AB15" s="94">
        <f>'BC01 (RAC)'!AB15</f>
        <v>26.572791210671088</v>
      </c>
      <c r="AC15" s="426"/>
      <c r="AD15" s="426"/>
    </row>
    <row r="16" spans="1:30" ht="13.5" thickTop="1">
      <c r="A16" s="38"/>
      <c r="J16" s="156" t="s">
        <v>64</v>
      </c>
      <c r="K16" s="390">
        <f ca="1">$O$9*60</f>
        <v>25.256959111018972</v>
      </c>
      <c r="L16" s="449">
        <f ca="1">IF($O$9&lt;=1,(X16*LN((K16/60)))+Z16,(AB16*LN((K16/60)))+Z16)</f>
        <v>74.979924963719895</v>
      </c>
      <c r="M16" s="449"/>
      <c r="N16" s="157">
        <f ca="1">L16/K16</f>
        <v>2.9686837847002749</v>
      </c>
      <c r="O16" s="67"/>
      <c r="R16" s="85"/>
      <c r="S16" s="44"/>
      <c r="U16" s="44"/>
      <c r="W16" s="94">
        <v>50</v>
      </c>
      <c r="X16" s="94">
        <f>'BC01 (RAC)'!X16</f>
        <v>32.437160263037789</v>
      </c>
      <c r="Y16" s="94"/>
      <c r="Z16" s="94">
        <f>'BC01 (RAC)'!Z16</f>
        <v>103.0459455052778</v>
      </c>
      <c r="AA16" s="94"/>
      <c r="AB16" s="94">
        <f>'BC01 (RAC)'!AB16</f>
        <v>29.77992314240781</v>
      </c>
      <c r="AC16" s="44"/>
    </row>
    <row r="17" spans="1:29">
      <c r="A17" s="38"/>
      <c r="I17" s="68"/>
      <c r="J17" s="158" t="s">
        <v>65</v>
      </c>
      <c r="K17" s="391">
        <f ca="1">$O$9*60</f>
        <v>25.256959111018972</v>
      </c>
      <c r="L17" s="450">
        <f ca="1">IF($O$9&lt;=1,(X17*LN((K17/60)))+Z17,(AB17*LN((K17/60)))+Z17)</f>
        <v>81.688423259044868</v>
      </c>
      <c r="M17" s="450"/>
      <c r="N17" s="159">
        <f ca="1">L17/K17</f>
        <v>3.2342936811979981</v>
      </c>
      <c r="O17" s="67"/>
      <c r="R17" s="85"/>
      <c r="S17" s="44"/>
      <c r="U17" s="44"/>
      <c r="W17" s="94">
        <v>100</v>
      </c>
      <c r="X17" s="94">
        <f>'BC01 (RAC)'!X17</f>
        <v>37.177212539092373</v>
      </c>
      <c r="Y17" s="94"/>
      <c r="Z17" s="94">
        <f>'BC01 (RAC)'!Z17</f>
        <v>113.85574007527696</v>
      </c>
      <c r="AA17" s="94"/>
      <c r="AB17" s="94">
        <f>'BC01 (RAC)'!AB17</f>
        <v>33.004344811583479</v>
      </c>
      <c r="AC17" s="44"/>
    </row>
    <row r="18" spans="1:29">
      <c r="A18" s="38"/>
      <c r="O18" s="67"/>
      <c r="Q18" s="44"/>
      <c r="R18" s="85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</row>
    <row r="19" spans="1:29">
      <c r="A19" s="38"/>
      <c r="O19" s="47"/>
      <c r="Q19" s="44"/>
      <c r="R19" s="85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</row>
    <row r="20" spans="1:29" ht="13.5" thickBot="1">
      <c r="A20" s="38"/>
      <c r="B20" s="427" t="s">
        <v>66</v>
      </c>
      <c r="C20" s="427"/>
      <c r="D20" s="427"/>
      <c r="E20" s="427"/>
      <c r="F20" s="427"/>
      <c r="G20" s="427"/>
      <c r="H20" s="427"/>
      <c r="J20" s="440" t="s">
        <v>9</v>
      </c>
      <c r="K20" s="442" t="s">
        <v>10</v>
      </c>
      <c r="L20" s="442"/>
      <c r="M20" s="442" t="s">
        <v>11</v>
      </c>
      <c r="N20" s="442"/>
      <c r="O20" s="47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</row>
    <row r="21" spans="1:29" ht="14.25" thickTop="1" thickBot="1">
      <c r="A21" s="38"/>
      <c r="B21" s="443"/>
      <c r="C21" s="443"/>
      <c r="D21" s="69" t="s">
        <v>67</v>
      </c>
      <c r="E21" s="69" t="s">
        <v>68</v>
      </c>
      <c r="F21" s="69" t="s">
        <v>44</v>
      </c>
      <c r="G21" s="69" t="s">
        <v>51</v>
      </c>
      <c r="H21" s="69"/>
      <c r="J21" s="441"/>
      <c r="K21" s="466" t="s">
        <v>12</v>
      </c>
      <c r="L21" s="467"/>
      <c r="M21" s="400">
        <f ca="1">0.278*$O$8*(N14*60)*$E$6</f>
        <v>5.0430337754991923</v>
      </c>
      <c r="N21" s="401" t="s">
        <v>13</v>
      </c>
      <c r="O21" s="47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</row>
    <row r="22" spans="1:29" ht="14.25" thickTop="1" thickBot="1">
      <c r="A22" s="38"/>
      <c r="B22" s="446" t="s">
        <v>69</v>
      </c>
      <c r="C22" s="446"/>
      <c r="D22" s="71">
        <f ca="1">E22*10^6</f>
        <v>507501.18631230399</v>
      </c>
      <c r="E22" s="70">
        <f ca="1">E6</f>
        <v>0.50750118631230401</v>
      </c>
      <c r="F22" s="70" t="s">
        <v>25</v>
      </c>
      <c r="G22" s="70" t="s">
        <v>25</v>
      </c>
      <c r="H22" s="70" t="s">
        <v>25</v>
      </c>
      <c r="J22" s="441"/>
      <c r="K22" s="468" t="s">
        <v>14</v>
      </c>
      <c r="L22" s="469"/>
      <c r="M22" s="398">
        <f ca="1">0.278*$O$8*(N15*60)*$E$6</f>
        <v>5.5655206967664492</v>
      </c>
      <c r="N22" s="399" t="s">
        <v>13</v>
      </c>
      <c r="O22" s="47"/>
    </row>
    <row r="23" spans="1:29" ht="13.5" thickTop="1">
      <c r="A23" s="38"/>
      <c r="B23" s="446" t="s">
        <v>70</v>
      </c>
      <c r="C23" s="446"/>
      <c r="D23" s="71">
        <f ca="1">$D$22*G23</f>
        <v>14159.283098113283</v>
      </c>
      <c r="E23" s="70">
        <f ca="1">D23/10^6</f>
        <v>1.4159283098113283E-2</v>
      </c>
      <c r="F23" s="70" cm="1">
        <f t="array" ref="F23">_xlfn.LET(
_xlpm.superficie,B23,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_xlpm.col,MATCH(_xlpm.terreno,C_CN_IP03!$D$2:$I$2,0),
INDEX(C_CN_IP03!$D$4:$I$19,_xlpm.lin,_xlpm.col)
),
IF(
_xlpm.metodo="Ponderado",
IF(
_xlpm.terreno="Levemente ondulado",
AVERAGE(
INDEX(C_CN_IP03!$D$4:$I$19,_xlpm.lin,1),
INDEX(C_CN_IP03!$D$4:$I$19,_xlpm.lin,3)
),
IF(
_xlpm.terreno="Muito ondulado",
AVERAGE(
INDEX(C_CN_IP03!$D$4:$I$19,_xlpm.lin,3),
INDEX(C_CN_IP03!$D$4:$I$19,_xlpm.lin,5)
),
"Condição de terreno não reconhecida"
)
),
"Método não reconhecido"
)
)
)</f>
        <v>0.2</v>
      </c>
      <c r="G23" s="141">
        <v>2.7900000000000001E-2</v>
      </c>
      <c r="H23" s="70">
        <f>(G23*(F23))</f>
        <v>5.5800000000000008E-3</v>
      </c>
      <c r="I23" s="72"/>
      <c r="J23" s="441"/>
      <c r="K23" s="470" t="s">
        <v>75</v>
      </c>
      <c r="L23" s="470"/>
      <c r="M23" s="396">
        <f ca="1">0.278*$O$8*(N16*60)*$E$6</f>
        <v>6.2475092442448981</v>
      </c>
      <c r="N23" s="397" t="s">
        <v>13</v>
      </c>
      <c r="O23" s="47"/>
    </row>
    <row r="24" spans="1:29">
      <c r="A24" s="38"/>
      <c r="B24" s="446" t="s">
        <v>71</v>
      </c>
      <c r="C24" s="446"/>
      <c r="D24" s="71">
        <f ca="1">$D$22*G24</f>
        <v>493341.90321419068</v>
      </c>
      <c r="E24" s="70">
        <f ca="1">D24/10^6</f>
        <v>0.49334190321419069</v>
      </c>
      <c r="F24" s="70" cm="1">
        <f t="array" ref="F24">_xlfn.LET(
_xlpm.superficie,B24,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_xlpm.col,MATCH(_xlpm.terreno,C_CN_IP03!$D$2:$I$2,0),
INDEX(C_CN_IP03!$D$4:$I$19,_xlpm.lin,_xlpm.col)
),
IF(
_xlpm.metodo="Ponderado",
IF(
_xlpm.terreno="Levemente ondulado",
AVERAGE(
INDEX(C_CN_IP03!$D$4:$I$19,_xlpm.lin,1),
INDEX(C_CN_IP03!$D$4:$I$19,_xlpm.lin,3)
),
IF(
_xlpm.terreno="Muito ondulado",
AVERAGE(
INDEX(C_CN_IP03!$D$4:$I$19,_xlpm.lin,3),
INDEX(C_CN_IP03!$D$4:$I$19,_xlpm.lin,5)
),
"Condição de terreno não reconhecida"
)
),
"Método não reconhecido"
)
)
)</f>
        <v>0.25</v>
      </c>
      <c r="G24" s="141">
        <v>0.97209999999999996</v>
      </c>
      <c r="H24" s="70">
        <f>(G24*(F24))</f>
        <v>0.24302499999999999</v>
      </c>
      <c r="I24" s="72"/>
      <c r="J24" s="441"/>
      <c r="K24" s="471" t="s">
        <v>15</v>
      </c>
      <c r="L24" s="471"/>
      <c r="M24" s="394">
        <f ca="1">0.278*$O$8*(N17*60)*$E$6</f>
        <v>6.8064775965781843</v>
      </c>
      <c r="N24" s="395" t="s">
        <v>13</v>
      </c>
      <c r="O24" s="47"/>
    </row>
    <row r="25" spans="1:29" ht="12.75" customHeight="1">
      <c r="A25" s="38"/>
      <c r="B25" s="446" t="s">
        <v>219</v>
      </c>
      <c r="C25" s="446"/>
      <c r="D25" s="71" t="s">
        <v>25</v>
      </c>
      <c r="E25" s="70" t="s">
        <v>25</v>
      </c>
      <c r="F25" s="70" t="s">
        <v>25</v>
      </c>
      <c r="G25" s="141" t="s">
        <v>25</v>
      </c>
      <c r="H25" s="70" t="s">
        <v>25</v>
      </c>
      <c r="I25" s="72"/>
      <c r="O25" s="47"/>
    </row>
    <row r="26" spans="1:29">
      <c r="A26" s="38"/>
      <c r="B26" s="457" t="s">
        <v>72</v>
      </c>
      <c r="C26" s="457"/>
      <c r="D26" s="457"/>
      <c r="E26" s="457"/>
      <c r="F26" s="457"/>
      <c r="G26" s="457"/>
      <c r="H26" s="73">
        <f>(SUM(H23:H25))</f>
        <v>0.24860499999999999</v>
      </c>
      <c r="I26" s="72"/>
      <c r="J26" s="458" t="s">
        <v>74</v>
      </c>
      <c r="K26" s="459"/>
      <c r="L26" s="459"/>
      <c r="M26" s="459"/>
      <c r="N26" s="459"/>
      <c r="O26" s="47"/>
    </row>
    <row r="27" spans="1:29">
      <c r="A27" s="38"/>
      <c r="B27" s="74" t="s">
        <v>73</v>
      </c>
      <c r="C27" s="75"/>
      <c r="D27" s="140"/>
      <c r="E27" s="140"/>
      <c r="F27" s="140"/>
      <c r="G27" s="140"/>
      <c r="H27" s="140"/>
      <c r="I27" s="76"/>
      <c r="J27" s="460" t="str" cm="1">
        <f t="array" aca="1" ref="J27" ca="1">IFERROR(_xlfn.LET(
_xlpm.Func,"Orif",
_xlpm.Funcs,Base_Bueiros!$A$2:$A$37,
_xlpm.Tipos,Base_Bueiros!$C$2:$C$37,
_xlpm.Dims,Base_Bueiros!$D$2:$D$37,
_xlpm.Vazoes,Base_Bueiros!$F$2:$F$37,
_xlpm.DimNum,IFERROR(VALUE(TRIM(LEFT(_xlpm.Dims,FIND("x",_xlpm.Dims)-1))),VALUE(_xlpm.Dims)),
_xlpm.Linhas,IF(MID(_xlpm.Tipos,2,1)="T",3,IF(MID(_xlpm.Tipos,2,1)="D",2,1)),
_xlpm.EhTubular,MID(_xlpm.Tipos,3,1)="T",
_xlpm.QNec,IF(ISNUMBER(FIND("Orif",_xlpm.Func)),IF(_xlpm.EhTubular,M22,M23),IF(_xlpm.EhTubular,M21,M22)),
_xlpm.FiltroBase,(ISNUMBER(FIND(_xlpm.Func,_xlpm.Funcs)))*(_xlpm.Vazoes&gt;=_xlpm.QNec),
_xlpm.TemTubular,SUM(_xlpm.FiltroBase*_xlpm.EhTubular)&gt;0,
_xlpm.Filtro,_xlpm.FiltroBase*IF(_xlpm.TemTubular,_xlpm.EhTubular,NOT(_xlpm.EhTubular)),
_xlpm.Prior1,IF(_xlpm.EhTubular,_xlpm.DimNum,_xlpm.Linhas),
_xlpm.Prior2,IF(_xlpm.EhTubular,_xlpm.Linhas,_xlpm.DimNum),
_xlpm.MenorPrior1,_xlfn.AGGREGATE(15,6,_xlpm.Prior1/_xlpm.Filtro,1),
_xlpm.MenorPrior2,_xlfn.AGGREGATE(15,6,_xlpm.Prior2/(_xlpm.Filtro*(_xlpm.Prior1=_xlpm.MenorPrior1)),1),
_xlpm.MenorVazao,_xlfn.AGGREGATE(15,6,_xlpm.Vazoes/(_xlpm.Filtro*(_xlpm.Prior1=_xlpm.MenorPrior1)*(_xlpm.Prior2=_xlpm.MenorPrior2)),1),
_xlpm.Linha,MATCH(1,(_xlpm.Vazoes=_xlpm.MenorVazao)*(_xlpm.Filtro&gt;0),0),
_xlpm.Tipo,INDEX(_xlpm.Tipos,_xlpm.Linha),
_xlpm.Dim,INDEX(_xlpm.Dims,_xlpm.Linha),
_xlpm.EhTubularEscolhido,MID(_xlpm.Tipo,3,1)="T",
_xlpm.Tipo&amp;" "&amp;IF(_xlpm.EhTubularEscolhido,_xlpm.Dim&amp;"m",SUBSTITUTE(_xlpm.Dim,"0,00","")&amp;"m")
),"Ponte")</f>
        <v>BTTC d= 1,00m</v>
      </c>
      <c r="K27" s="461"/>
      <c r="L27" s="461"/>
      <c r="M27" s="461"/>
      <c r="N27" s="461"/>
      <c r="O27" s="47"/>
    </row>
    <row r="28" spans="1:29">
      <c r="A28" s="38"/>
      <c r="D28" s="142"/>
      <c r="E28" s="142"/>
      <c r="F28" s="142"/>
      <c r="G28" s="142"/>
      <c r="H28" s="142"/>
      <c r="I28" s="76"/>
      <c r="J28" s="142" t="s">
        <v>86</v>
      </c>
      <c r="K28" s="77"/>
      <c r="L28" s="77"/>
      <c r="M28" s="77"/>
      <c r="N28" s="77"/>
      <c r="O28" s="47"/>
    </row>
    <row r="29" spans="1:29">
      <c r="A29" s="38"/>
      <c r="H29" s="142"/>
      <c r="I29" s="76"/>
      <c r="J29" s="45" t="s">
        <v>87</v>
      </c>
      <c r="K29" s="77"/>
      <c r="L29" s="77"/>
      <c r="M29" s="77"/>
      <c r="N29" s="77"/>
      <c r="O29" s="47"/>
    </row>
    <row r="30" spans="1:29">
      <c r="A30" s="38"/>
      <c r="C30" s="78"/>
      <c r="D30" s="78"/>
      <c r="E30" s="78"/>
      <c r="F30" s="78"/>
      <c r="I30" s="76"/>
      <c r="K30" s="77"/>
      <c r="L30" s="77"/>
      <c r="M30" s="77"/>
      <c r="N30" s="77"/>
      <c r="O30" s="47"/>
    </row>
    <row r="31" spans="1:29">
      <c r="A31" s="38"/>
      <c r="I31" s="76"/>
      <c r="J31" s="459" t="s">
        <v>74</v>
      </c>
      <c r="K31" s="459"/>
      <c r="L31" s="459"/>
      <c r="M31" s="459"/>
      <c r="N31" s="459"/>
      <c r="O31" s="47"/>
    </row>
    <row r="32" spans="1:29">
      <c r="A32" s="38"/>
      <c r="I32" s="76"/>
      <c r="J32" s="462" t="str" cm="1">
        <f t="array" aca="1" ref="J32" ca="1">IFERROR(_xlfn.LET(
_xlpm.Func,"Canal",
_xlpm.Funcs,Base_Bueiros!$A$2:$A$37,
_xlpm.Tipos,Base_Bueiros!$C$2:$C$37,
_xlpm.Dims,Base_Bueiros!$D$2:$D$37,
_xlpm.Vazoes,Base_Bueiros!$F$2:$F$37,
_xlpm.DimNum,IFERROR(VALUE(TRIM(LEFT(_xlpm.Dims,FIND("x",_xlpm.Dims)-1))),VALUE(_xlpm.Dims)),
_xlpm.Linhas,IF(MID(_xlpm.Tipos,2,1)="T",3,IF(MID(_xlpm.Tipos,2,1)="D",2,1)),
_xlpm.EhTubular,MID(_xlpm.Tipos,3,1)="T",
_xlpm.QNec,IF(ISNUMBER(FIND("Orif",_xlpm.Func)),IF(_xlpm.EhTubular,M22,M23),IF(_xlpm.EhTubular,M21,M22)),
_xlpm.FiltroBase,(ISNUMBER(FIND(_xlpm.Func,_xlpm.Funcs)))*(_xlpm.Vazoes&gt;=_xlpm.QNec),
_xlpm.TemTubular,SUM(_xlpm.FiltroBase*_xlpm.EhTubular)&gt;0,
_xlpm.Filtro,_xlpm.FiltroBase*IF(_xlpm.TemTubular,_xlpm.EhTubular,NOT(_xlpm.EhTubular)),
_xlpm.Prior1,IF(_xlpm.EhTubular,_xlpm.DimNum,_xlpm.Linhas),
_xlpm.Prior2,IF(_xlpm.EhTubular,_xlpm.Linhas,_xlpm.DimNum),
_xlpm.MenorPrior1,_xlfn.AGGREGATE(15,6,_xlpm.Prior1/_xlpm.Filtro,1),
_xlpm.MenorPrior2,_xlfn.AGGREGATE(15,6,_xlpm.Prior2/(_xlpm.Filtro*(_xlpm.Prior1=_xlpm.MenorPrior1)),1),
_xlpm.MenorVazao,_xlfn.AGGREGATE(15,6,_xlpm.Vazoes/(_xlpm.Filtro*(_xlpm.Prior1=_xlpm.MenorPrior1)*(_xlpm.Prior2=_xlpm.MenorPrior2)),1),
_xlpm.Linha,MATCH(1,(_xlpm.Vazoes=_xlpm.MenorVazao)*(_xlpm.Filtro&gt;0),0),
_xlpm.Tipo,INDEX(_xlpm.Tipos,_xlpm.Linha),
_xlpm.Dim,INDEX(_xlpm.Dims,_xlpm.Linha),
_xlpm.EhTubularEscolhido,MID(_xlpm.Tipo,3,1)="T",
_xlpm.Tipo&amp;" "&amp;IF(_xlpm.EhTubularEscolhido,_xlpm.Dim&amp;"m",SUBSTITUTE(_xlpm.Dim,"0,00","")&amp;"m")
),"Ponte")</f>
        <v>BTTC d= 1,20m</v>
      </c>
      <c r="K32" s="462"/>
      <c r="L32" s="462"/>
      <c r="M32" s="462"/>
      <c r="N32" s="462"/>
      <c r="O32" s="47"/>
    </row>
    <row r="33" spans="1:15">
      <c r="A33" s="38"/>
      <c r="I33" s="76"/>
      <c r="J33" s="45" t="s">
        <v>88</v>
      </c>
      <c r="K33" s="77"/>
      <c r="L33" s="77"/>
      <c r="M33" s="77"/>
      <c r="N33" s="77"/>
      <c r="O33" s="47"/>
    </row>
    <row r="34" spans="1:15">
      <c r="A34" s="38"/>
      <c r="I34" s="76"/>
      <c r="J34" s="77"/>
      <c r="K34" s="77"/>
      <c r="L34" s="77"/>
      <c r="M34" s="77"/>
      <c r="N34" s="77"/>
      <c r="O34" s="47"/>
    </row>
    <row r="35" spans="1:15">
      <c r="A35" s="38"/>
      <c r="I35" s="76"/>
      <c r="J35" s="459" t="s">
        <v>408</v>
      </c>
      <c r="K35" s="459"/>
      <c r="L35" s="459"/>
      <c r="M35" s="459"/>
      <c r="N35" s="459"/>
      <c r="O35" s="47"/>
    </row>
    <row r="36" spans="1:15">
      <c r="A36" s="38"/>
      <c r="I36" s="76"/>
      <c r="J36" s="452" t="str">
        <f>'Apresentação  - Est. Hid.'!AK20</f>
        <v>-</v>
      </c>
      <c r="K36" s="453"/>
      <c r="L36" s="453"/>
      <c r="M36" s="453"/>
      <c r="N36" s="453"/>
      <c r="O36" s="47"/>
    </row>
    <row r="37" spans="1:15">
      <c r="A37" s="38"/>
      <c r="I37" s="76"/>
      <c r="J37" s="116"/>
      <c r="K37" s="77"/>
      <c r="L37" s="77"/>
      <c r="M37" s="77"/>
      <c r="N37" s="77"/>
      <c r="O37" s="47"/>
    </row>
    <row r="38" spans="1:15" ht="13.5" thickBot="1">
      <c r="A38" s="79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1"/>
    </row>
    <row r="41" spans="1:15">
      <c r="C41" s="44"/>
      <c r="D41" s="44"/>
      <c r="E41" s="44"/>
      <c r="F41" s="44"/>
      <c r="G41" s="44"/>
    </row>
    <row r="42" spans="1:15">
      <c r="C42" s="454"/>
      <c r="D42" s="454"/>
      <c r="E42" s="454"/>
      <c r="F42" s="455"/>
      <c r="G42" s="456"/>
      <c r="K42" s="103"/>
    </row>
    <row r="43" spans="1:15">
      <c r="C43" s="95"/>
      <c r="D43" s="86"/>
      <c r="E43" s="87"/>
      <c r="F43" s="86"/>
      <c r="G43" s="58"/>
    </row>
    <row r="44" spans="1:15" ht="15">
      <c r="C44" s="95"/>
      <c r="D44" s="86"/>
      <c r="E44" s="87"/>
      <c r="F44" s="86"/>
      <c r="G44" s="58"/>
      <c r="K44"/>
      <c r="L44"/>
      <c r="M44"/>
      <c r="N44"/>
      <c r="O44"/>
    </row>
    <row r="45" spans="1:15" ht="15">
      <c r="C45" s="95"/>
      <c r="D45" s="86"/>
      <c r="E45" s="87"/>
      <c r="F45" s="86"/>
      <c r="G45" s="58"/>
      <c r="K45"/>
      <c r="L45"/>
      <c r="M45"/>
      <c r="N45"/>
      <c r="O45"/>
    </row>
    <row r="46" spans="1:15" ht="15">
      <c r="C46" s="95"/>
      <c r="D46" s="86"/>
      <c r="E46" s="87"/>
      <c r="F46" s="86"/>
      <c r="G46" s="58"/>
      <c r="K46"/>
      <c r="L46"/>
      <c r="M46"/>
      <c r="N46"/>
      <c r="O46"/>
    </row>
    <row r="47" spans="1:15" ht="15">
      <c r="C47" s="44"/>
      <c r="D47" s="44"/>
      <c r="E47" s="44"/>
      <c r="F47" s="44"/>
      <c r="G47" s="44"/>
      <c r="K47"/>
      <c r="L47"/>
      <c r="M47"/>
      <c r="N47"/>
      <c r="O47"/>
    </row>
    <row r="48" spans="1:15" ht="15">
      <c r="C48" s="44"/>
      <c r="D48" s="44"/>
      <c r="E48" s="44"/>
      <c r="F48" s="44"/>
      <c r="G48" s="44"/>
      <c r="K48"/>
      <c r="L48"/>
      <c r="M48"/>
      <c r="N48"/>
      <c r="O48"/>
    </row>
    <row r="49" spans="3:15" ht="15">
      <c r="C49" s="44"/>
      <c r="D49" s="44"/>
      <c r="E49" s="44"/>
      <c r="F49" s="44"/>
      <c r="G49" s="44"/>
      <c r="K49"/>
      <c r="L49"/>
      <c r="M49"/>
      <c r="N49"/>
      <c r="O49"/>
    </row>
    <row r="50" spans="3:15" ht="15">
      <c r="K50"/>
      <c r="L50"/>
      <c r="M50"/>
      <c r="N50"/>
      <c r="O50"/>
    </row>
    <row r="51" spans="3:15" ht="15">
      <c r="K51"/>
      <c r="L51"/>
      <c r="M51"/>
      <c r="N51"/>
      <c r="O51"/>
    </row>
    <row r="52" spans="3:15" ht="15">
      <c r="K52"/>
      <c r="L52"/>
      <c r="M52"/>
      <c r="N52"/>
      <c r="O52"/>
    </row>
    <row r="53" spans="3:15" ht="15">
      <c r="K53"/>
      <c r="L53"/>
      <c r="M53"/>
      <c r="N53"/>
      <c r="O53"/>
    </row>
    <row r="54" spans="3:15" ht="15">
      <c r="K54"/>
      <c r="L54"/>
      <c r="M54"/>
      <c r="N54"/>
      <c r="O54"/>
    </row>
    <row r="55" spans="3:15" ht="15">
      <c r="K55"/>
      <c r="L55"/>
      <c r="M55"/>
      <c r="N55"/>
      <c r="O55"/>
    </row>
  </sheetData>
  <mergeCells count="35">
    <mergeCell ref="L16:M16"/>
    <mergeCell ref="L17:M17"/>
    <mergeCell ref="K23:L23"/>
    <mergeCell ref="J36:N36"/>
    <mergeCell ref="C42:E42"/>
    <mergeCell ref="F42:G42"/>
    <mergeCell ref="B26:G26"/>
    <mergeCell ref="J26:N26"/>
    <mergeCell ref="J27:N27"/>
    <mergeCell ref="J31:N31"/>
    <mergeCell ref="J32:N32"/>
    <mergeCell ref="J35:N35"/>
    <mergeCell ref="B25:C25"/>
    <mergeCell ref="B24:C24"/>
    <mergeCell ref="K24:L24"/>
    <mergeCell ref="B20:H20"/>
    <mergeCell ref="J20:J24"/>
    <mergeCell ref="K20:L20"/>
    <mergeCell ref="M20:N20"/>
    <mergeCell ref="B21:C21"/>
    <mergeCell ref="K21:L21"/>
    <mergeCell ref="B22:C22"/>
    <mergeCell ref="K22:L22"/>
    <mergeCell ref="B23:C23"/>
    <mergeCell ref="AC13:AD13"/>
    <mergeCell ref="AC14:AD15"/>
    <mergeCell ref="J12:N12"/>
    <mergeCell ref="A1:O1"/>
    <mergeCell ref="A2:O2"/>
    <mergeCell ref="W3:Y3"/>
    <mergeCell ref="W4:W5"/>
    <mergeCell ref="Z4:Z5"/>
    <mergeCell ref="L13:M13"/>
    <mergeCell ref="L14:M14"/>
    <mergeCell ref="L15:M15"/>
  </mergeCells>
  <conditionalFormatting sqref="K4:O4">
    <cfRule type="expression" dxfId="148" priority="1">
      <formula>AND($M$22&lt;=79.73,OR($S$13=15,$S$13=25),$N$4=$S$13)</formula>
    </cfRule>
  </conditionalFormatting>
  <conditionalFormatting sqref="K5:O5">
    <cfRule type="expression" dxfId="147" priority="2">
      <formula>AND($M$22&lt;=79.73,OR($S$13=15,$S$13=25),$N$5=$S$13)</formula>
    </cfRule>
    <cfRule type="expression" dxfId="146" priority="3">
      <formula>AND($M$22&lt;=79.73,OR($S$14=25,$S$14=50),$N$5=$S$14)</formula>
    </cfRule>
  </conditionalFormatting>
  <conditionalFormatting sqref="K6:O6">
    <cfRule type="expression" dxfId="145" priority="4">
      <formula>AND($M$22&lt;=79.73,OR($S$14=25,$S$14=50),$N$6=$S$14)</formula>
    </cfRule>
  </conditionalFormatting>
  <conditionalFormatting sqref="K7:O7">
    <cfRule type="expression" dxfId="144" priority="5">
      <formula>AND($M$22&gt;79.73,$N$7=100)</formula>
    </cfRule>
  </conditionalFormatting>
  <conditionalFormatting sqref="J14:N14">
    <cfRule type="expression" dxfId="143" priority="6">
      <formula>AND($M$22&lt;=79.73,OR($S$13=15,$S$13=25),$S$13=15)</formula>
    </cfRule>
  </conditionalFormatting>
  <conditionalFormatting sqref="J15:N15">
    <cfRule type="expression" dxfId="142" priority="7">
      <formula>AND($M$22&lt;=79.73,OR($S$13=15,$S$13=25),$S$13=25)</formula>
    </cfRule>
    <cfRule type="expression" dxfId="141" priority="8">
      <formula>AND($M$22&lt;=79.73,OR($S$14=25,$S$14=50),$S$14=25)</formula>
    </cfRule>
  </conditionalFormatting>
  <conditionalFormatting sqref="J16:N16">
    <cfRule type="expression" dxfId="140" priority="9">
      <formula>AND($M$22&lt;=79.73,OR($S$14=25,$S$14=50),$S$14=50)</formula>
    </cfRule>
  </conditionalFormatting>
  <conditionalFormatting sqref="J17:N17">
    <cfRule type="expression" dxfId="139" priority="10">
      <formula>$M$22&gt;79.73</formula>
    </cfRule>
  </conditionalFormatting>
  <conditionalFormatting sqref="K21:N21">
    <cfRule type="expression" dxfId="138" priority="11">
      <formula>AND($M$22&lt;=79.73,OR($S$13=15,$S$13=25),$S$13=15)</formula>
    </cfRule>
  </conditionalFormatting>
  <conditionalFormatting sqref="K22:N22">
    <cfRule type="expression" dxfId="137" priority="12">
      <formula>AND($M$22&lt;=79.73,OR($S$13=15,$S$13=25),$S$13=25)</formula>
    </cfRule>
    <cfRule type="expression" dxfId="136" priority="13">
      <formula>AND($M$22&lt;=79.73,OR($S$14=25,$S$14=50),$S$14=25)</formula>
    </cfRule>
  </conditionalFormatting>
  <conditionalFormatting sqref="K23:N23">
    <cfRule type="expression" dxfId="135" priority="14">
      <formula>AND($M$22&lt;=79.73,OR($S$14=25,$S$14=50),$S$14=50)</formula>
    </cfRule>
  </conditionalFormatting>
  <conditionalFormatting sqref="K24:N24">
    <cfRule type="expression" dxfId="134" priority="15">
      <formula>$M$22&gt;79.73</formula>
    </cfRule>
  </conditionalFormatting>
  <dataValidations disablePrompts="1" count="2">
    <dataValidation type="list" allowBlank="1" showInputMessage="1" showErrorMessage="1" sqref="V13" xr:uid="{2E6537DC-A624-4370-8AF1-EA342D1A014F}">
      <formula1>"Grota,Greide"</formula1>
    </dataValidation>
    <dataValidation type="list" allowBlank="1" showInputMessage="1" showErrorMessage="1" sqref="AC14:AD15" xr:uid="{3CFA6D43-9633-496F-813C-5DDB875267AB}">
      <formula1>"Tabelado,Ponderado"</formula1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97" orientation="landscape" r:id="rId1"/>
  <colBreaks count="1" manualBreakCount="1">
    <brk id="15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447AEDB-FF49-4B3B-A79D-365B0B91E898}">
          <x14:formula1>
            <xm:f>C_CN_IP03!$K$3:$K$6</xm:f>
          </x14:formula1>
          <xm:sqref>C12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6C4FE-DAA8-4A1D-A0EE-4957581E3347}">
  <sheetPr codeName="Planilha11">
    <tabColor rgb="FF92D050"/>
  </sheetPr>
  <dimension ref="A2:U34"/>
  <sheetViews>
    <sheetView showGridLines="0" workbookViewId="0">
      <selection activeCell="B2" sqref="B2:H27"/>
    </sheetView>
  </sheetViews>
  <sheetFormatPr defaultRowHeight="15"/>
  <cols>
    <col min="3" max="3" width="8.5703125" bestFit="1" customWidth="1"/>
    <col min="4" max="4" width="12.5703125" bestFit="1" customWidth="1"/>
    <col min="5" max="5" width="10.85546875" bestFit="1" customWidth="1"/>
    <col min="6" max="9" width="8.5703125" customWidth="1"/>
    <col min="10" max="10" width="11" bestFit="1" customWidth="1"/>
    <col min="14" max="14" width="10.42578125" customWidth="1"/>
    <col min="21" max="21" width="9.5703125" bestFit="1" customWidth="1"/>
  </cols>
  <sheetData>
    <row r="2" spans="1:21" ht="45.75" thickBot="1">
      <c r="B2" s="1" t="s">
        <v>37</v>
      </c>
      <c r="C2" s="1" t="s">
        <v>38</v>
      </c>
      <c r="D2" s="1" t="s">
        <v>39</v>
      </c>
      <c r="E2" s="1" t="s">
        <v>40</v>
      </c>
      <c r="F2" s="2" t="s">
        <v>41</v>
      </c>
      <c r="G2" s="2" t="s">
        <v>42</v>
      </c>
      <c r="H2" s="1" t="s">
        <v>43</v>
      </c>
      <c r="I2" s="3"/>
      <c r="J2" s="3"/>
    </row>
    <row r="3" spans="1:21" ht="15.75" thickBot="1">
      <c r="B3" s="14" t="s">
        <v>44</v>
      </c>
      <c r="C3" s="37">
        <v>668</v>
      </c>
      <c r="D3" s="14">
        <v>0</v>
      </c>
      <c r="E3" s="13">
        <f t="shared" ref="E3:E9" si="0">D3/1000</f>
        <v>0</v>
      </c>
      <c r="F3" s="13">
        <v>0</v>
      </c>
      <c r="G3" s="13">
        <v>0</v>
      </c>
      <c r="H3" s="13">
        <v>0</v>
      </c>
      <c r="J3" s="464" t="s">
        <v>198</v>
      </c>
      <c r="K3" s="465"/>
      <c r="U3" s="36"/>
    </row>
    <row r="4" spans="1:21">
      <c r="B4" s="14">
        <v>1</v>
      </c>
      <c r="C4" s="37">
        <v>667</v>
      </c>
      <c r="D4" s="14">
        <v>70</v>
      </c>
      <c r="E4" s="12">
        <f t="shared" si="0"/>
        <v>7.0000000000000007E-2</v>
      </c>
      <c r="F4" s="13">
        <f>C3-C4</f>
        <v>1</v>
      </c>
      <c r="G4" s="12">
        <f>E4-E3</f>
        <v>7.0000000000000007E-2</v>
      </c>
      <c r="H4" s="12">
        <f t="shared" ref="H4:H9" si="1">F4/G4</f>
        <v>14.285714285714285</v>
      </c>
      <c r="J4" s="120" t="s">
        <v>199</v>
      </c>
      <c r="K4" s="124">
        <f ca="1">(((E10/((G4/SQRT(H4))+(G5/SQRT(H5))+(G6/SQRT(H6))+(G7/SQRT(H7))+(G8/SQRT(H8))+(G9/SQRT(H9))+(G10/SQRT(H10))))^2)/1000)*1000</f>
        <v>20.261343469266489</v>
      </c>
      <c r="U4" s="36"/>
    </row>
    <row r="5" spans="1:21" ht="15.75" thickBot="1">
      <c r="B5" s="14">
        <v>2</v>
      </c>
      <c r="C5" s="37">
        <v>659</v>
      </c>
      <c r="D5" s="14">
        <f>D4+250</f>
        <v>320</v>
      </c>
      <c r="E5" s="12">
        <f t="shared" si="0"/>
        <v>0.32</v>
      </c>
      <c r="F5" s="13">
        <f t="shared" ref="F5:F10" si="2">C4-C5</f>
        <v>8</v>
      </c>
      <c r="G5" s="12">
        <f t="shared" ref="G5:G10" si="3">E5-E4</f>
        <v>0.25</v>
      </c>
      <c r="H5" s="12">
        <f t="shared" si="1"/>
        <v>32</v>
      </c>
      <c r="J5" s="121" t="s">
        <v>200</v>
      </c>
      <c r="K5" s="123">
        <f ca="1">((E10/((G4/SQRT(H4))+(G5/SQRT(H5))+(G6/SQRT(H6))+(G7/SQRT(H7))+(G8/SQRT(H8))+(G9/SQRT(H9))+(G10/SQRT(H10))))^2)/1000</f>
        <v>2.0261343469266488E-2</v>
      </c>
    </row>
    <row r="6" spans="1:21" ht="15.75" thickBot="1">
      <c r="B6" s="14">
        <v>3</v>
      </c>
      <c r="C6" s="37">
        <v>651</v>
      </c>
      <c r="D6" s="14">
        <f>D5+250</f>
        <v>570</v>
      </c>
      <c r="E6" s="12">
        <f t="shared" si="0"/>
        <v>0.56999999999999995</v>
      </c>
      <c r="F6" s="13">
        <f t="shared" si="2"/>
        <v>8</v>
      </c>
      <c r="G6" s="12">
        <f t="shared" si="3"/>
        <v>0.24999999999999994</v>
      </c>
      <c r="H6" s="12">
        <f t="shared" si="1"/>
        <v>32.000000000000007</v>
      </c>
      <c r="J6" s="119" t="s">
        <v>201</v>
      </c>
      <c r="K6" s="122">
        <f ca="1">(((E10/((G4/SQRT(H4))+(G5/SQRT(H5))+(G6/SQRT(H6))+(G7/SQRT(H7))+(G8/SQRT(H8))+(G9/SQRT(H9))+(G10/SQRT(H10))))^2)/1000)*100</f>
        <v>2.0261343469266486</v>
      </c>
    </row>
    <row r="7" spans="1:21">
      <c r="B7" s="14">
        <v>4</v>
      </c>
      <c r="C7" s="37">
        <v>645</v>
      </c>
      <c r="D7" s="14">
        <f>D6+250</f>
        <v>820</v>
      </c>
      <c r="E7" s="12">
        <f t="shared" si="0"/>
        <v>0.82</v>
      </c>
      <c r="F7" s="13">
        <f t="shared" si="2"/>
        <v>6</v>
      </c>
      <c r="G7" s="12">
        <f t="shared" si="3"/>
        <v>0.25</v>
      </c>
      <c r="H7" s="12">
        <f t="shared" si="1"/>
        <v>24</v>
      </c>
    </row>
    <row r="8" spans="1:21">
      <c r="B8" s="14">
        <v>5</v>
      </c>
      <c r="C8" s="37">
        <v>640</v>
      </c>
      <c r="D8" s="14">
        <f>D7+250</f>
        <v>1070</v>
      </c>
      <c r="E8" s="12">
        <f t="shared" si="0"/>
        <v>1.07</v>
      </c>
      <c r="F8" s="13">
        <f t="shared" si="2"/>
        <v>5</v>
      </c>
      <c r="G8" s="12">
        <f t="shared" si="3"/>
        <v>0.25000000000000011</v>
      </c>
      <c r="H8" s="12">
        <f t="shared" si="1"/>
        <v>19.999999999999993</v>
      </c>
    </row>
    <row r="9" spans="1:21">
      <c r="B9" s="14">
        <v>6</v>
      </c>
      <c r="C9" s="37">
        <v>637</v>
      </c>
      <c r="D9" s="14">
        <f>D8+250</f>
        <v>1320</v>
      </c>
      <c r="E9" s="12">
        <f t="shared" si="0"/>
        <v>1.32</v>
      </c>
      <c r="F9" s="13">
        <f t="shared" si="2"/>
        <v>3</v>
      </c>
      <c r="G9" s="12">
        <f t="shared" si="3"/>
        <v>0.25</v>
      </c>
      <c r="H9" s="12">
        <f t="shared" si="1"/>
        <v>12</v>
      </c>
    </row>
    <row r="10" spans="1:21">
      <c r="B10" s="14" t="s">
        <v>33</v>
      </c>
      <c r="C10" s="37">
        <v>633</v>
      </c>
      <c r="D10" s="37">
        <f ca="1">'BC02 (RAC)'!E7*1000</f>
        <v>1571.8308652639507</v>
      </c>
      <c r="E10" s="12">
        <f ca="1">D10/1000</f>
        <v>1.5718308652639508</v>
      </c>
      <c r="F10" s="13">
        <f t="shared" si="2"/>
        <v>4</v>
      </c>
      <c r="G10" s="12">
        <f t="shared" ca="1" si="3"/>
        <v>0.25183086526395071</v>
      </c>
      <c r="H10" s="12">
        <f ca="1">F10/G10</f>
        <v>15.883676513629464</v>
      </c>
    </row>
    <row r="11" spans="1:21" ht="15.75" thickBot="1">
      <c r="A11" s="184"/>
      <c r="B11" s="3"/>
      <c r="C11" s="93"/>
      <c r="D11" s="106"/>
      <c r="E11" s="107"/>
      <c r="F11" s="106"/>
      <c r="G11" s="107"/>
      <c r="H11" s="107"/>
    </row>
    <row r="12" spans="1:21" ht="15.75" thickBot="1">
      <c r="B12" s="4" t="s">
        <v>48</v>
      </c>
      <c r="C12" s="5">
        <f ca="1">(((E10/((G4/SQRT(H4))+(G5/SQRT(H5))+(G6/SQRT(H6))+(G7/SQRT(H7))+(G8/SQRT(H8))+(G9/SQRT(H9))+(G10/SQRT(H10))))^2)/1000)*1000</f>
        <v>20.261343469266489</v>
      </c>
      <c r="D12" s="6" t="s">
        <v>45</v>
      </c>
      <c r="E12" s="6" t="s">
        <v>49</v>
      </c>
      <c r="F12" s="6"/>
      <c r="G12" s="6"/>
      <c r="H12" s="7"/>
    </row>
    <row r="13" spans="1:21" ht="15.75" thickBot="1">
      <c r="B13" s="4" t="s">
        <v>48</v>
      </c>
      <c r="C13" s="8">
        <f ca="1">C12/1000</f>
        <v>2.0261343469266488E-2</v>
      </c>
      <c r="D13" s="6" t="s">
        <v>46</v>
      </c>
      <c r="E13" s="6" t="s">
        <v>50</v>
      </c>
      <c r="F13" s="6"/>
      <c r="G13" s="6"/>
      <c r="H13" s="7"/>
    </row>
    <row r="14" spans="1:21" ht="15.75" thickBot="1">
      <c r="B14" s="9" t="s">
        <v>48</v>
      </c>
      <c r="C14" s="108">
        <f ca="1">C13*100</f>
        <v>2.0261343469266486</v>
      </c>
      <c r="D14" s="10" t="s">
        <v>47</v>
      </c>
      <c r="E14" s="10" t="s">
        <v>51</v>
      </c>
      <c r="F14" s="10"/>
      <c r="G14" s="10"/>
      <c r="H14" s="11"/>
    </row>
    <row r="19" ht="13.5" customHeight="1"/>
    <row r="20" hidden="1"/>
    <row r="34" spans="1:1">
      <c r="A34" t="str">
        <f>"Perfil Longitudinal - "&amp;'BC02 (RAC)'!E5</f>
        <v>Perfil Longitudinal - Sem talvegue permanente</v>
      </c>
    </row>
  </sheetData>
  <mergeCells count="1">
    <mergeCell ref="J3:K3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E7C05-4740-4D7C-9103-B0611A58D7F2}">
  <sheetPr codeName="Planilha28">
    <tabColor rgb="FF0070C0"/>
  </sheetPr>
  <dimension ref="A1:AD48"/>
  <sheetViews>
    <sheetView showGridLines="0" zoomScaleNormal="100" zoomScaleSheetLayoutView="100" workbookViewId="0">
      <selection activeCell="Q25" sqref="Q24:Q25"/>
    </sheetView>
  </sheetViews>
  <sheetFormatPr defaultRowHeight="11.25"/>
  <cols>
    <col min="1" max="1" width="3.7109375" style="187" customWidth="1"/>
    <col min="2" max="2" width="12.7109375" style="187" customWidth="1"/>
    <col min="3" max="3" width="15.85546875" style="187" customWidth="1"/>
    <col min="4" max="4" width="13.42578125" style="187" customWidth="1"/>
    <col min="5" max="5" width="7.85546875" style="187" customWidth="1"/>
    <col min="6" max="6" width="5.7109375" style="187" customWidth="1"/>
    <col min="7" max="7" width="8.28515625" style="187" bestFit="1" customWidth="1"/>
    <col min="8" max="8" width="8.28515625" style="187" customWidth="1"/>
    <col min="9" max="9" width="9.5703125" style="187" customWidth="1"/>
    <col min="10" max="10" width="9.7109375" style="187" customWidth="1"/>
    <col min="11" max="11" width="15.7109375" style="187" customWidth="1"/>
    <col min="12" max="12" width="8.7109375" style="187" customWidth="1"/>
    <col min="13" max="13" width="6.28515625" style="187" bestFit="1" customWidth="1"/>
    <col min="14" max="14" width="10.42578125" style="187" customWidth="1"/>
    <col min="15" max="15" width="5.7109375" style="187" bestFit="1" customWidth="1"/>
    <col min="16" max="16" width="8.7109375" style="187" customWidth="1"/>
    <col min="17" max="17" width="20.7109375" style="187" customWidth="1"/>
    <col min="18" max="18" width="8.42578125" style="187" customWidth="1"/>
    <col min="19" max="19" width="12.5703125" style="187" bestFit="1" customWidth="1"/>
    <col min="20" max="20" width="12.28515625" style="187" bestFit="1" customWidth="1"/>
    <col min="21" max="21" width="5.28515625" style="187" customWidth="1"/>
    <col min="22" max="22" width="15.42578125" style="187" bestFit="1" customWidth="1"/>
    <col min="23" max="23" width="10.42578125" style="187" bestFit="1" customWidth="1"/>
    <col min="24" max="257" width="9.140625" style="187"/>
    <col min="258" max="258" width="8.7109375" style="187" customWidth="1"/>
    <col min="259" max="259" width="17" style="187" customWidth="1"/>
    <col min="260" max="260" width="14.42578125" style="187" customWidth="1"/>
    <col min="261" max="261" width="10.28515625" style="187" customWidth="1"/>
    <col min="262" max="272" width="8.7109375" style="187" customWidth="1"/>
    <col min="273" max="273" width="9.7109375" style="187" customWidth="1"/>
    <col min="274" max="274" width="8.42578125" style="187" customWidth="1"/>
    <col min="275" max="275" width="9.140625" style="187"/>
    <col min="276" max="276" width="10.7109375" style="187" customWidth="1"/>
    <col min="277" max="277" width="5.28515625" style="187" customWidth="1"/>
    <col min="278" max="278" width="15.42578125" style="187" bestFit="1" customWidth="1"/>
    <col min="279" max="279" width="10.42578125" style="187" bestFit="1" customWidth="1"/>
    <col min="280" max="513" width="9.140625" style="187"/>
    <col min="514" max="514" width="8.7109375" style="187" customWidth="1"/>
    <col min="515" max="515" width="17" style="187" customWidth="1"/>
    <col min="516" max="516" width="14.42578125" style="187" customWidth="1"/>
    <col min="517" max="517" width="10.28515625" style="187" customWidth="1"/>
    <col min="518" max="528" width="8.7109375" style="187" customWidth="1"/>
    <col min="529" max="529" width="9.7109375" style="187" customWidth="1"/>
    <col min="530" max="530" width="8.42578125" style="187" customWidth="1"/>
    <col min="531" max="531" width="9.140625" style="187"/>
    <col min="532" max="532" width="10.7109375" style="187" customWidth="1"/>
    <col min="533" max="533" width="5.28515625" style="187" customWidth="1"/>
    <col min="534" max="534" width="15.42578125" style="187" bestFit="1" customWidth="1"/>
    <col min="535" max="535" width="10.42578125" style="187" bestFit="1" customWidth="1"/>
    <col min="536" max="769" width="9.140625" style="187"/>
    <col min="770" max="770" width="8.7109375" style="187" customWidth="1"/>
    <col min="771" max="771" width="17" style="187" customWidth="1"/>
    <col min="772" max="772" width="14.42578125" style="187" customWidth="1"/>
    <col min="773" max="773" width="10.28515625" style="187" customWidth="1"/>
    <col min="774" max="784" width="8.7109375" style="187" customWidth="1"/>
    <col min="785" max="785" width="9.7109375" style="187" customWidth="1"/>
    <col min="786" max="786" width="8.42578125" style="187" customWidth="1"/>
    <col min="787" max="787" width="9.140625" style="187"/>
    <col min="788" max="788" width="10.7109375" style="187" customWidth="1"/>
    <col min="789" max="789" width="5.28515625" style="187" customWidth="1"/>
    <col min="790" max="790" width="15.42578125" style="187" bestFit="1" customWidth="1"/>
    <col min="791" max="791" width="10.42578125" style="187" bestFit="1" customWidth="1"/>
    <col min="792" max="1025" width="9.140625" style="187"/>
    <col min="1026" max="1026" width="8.7109375" style="187" customWidth="1"/>
    <col min="1027" max="1027" width="17" style="187" customWidth="1"/>
    <col min="1028" max="1028" width="14.42578125" style="187" customWidth="1"/>
    <col min="1029" max="1029" width="10.28515625" style="187" customWidth="1"/>
    <col min="1030" max="1040" width="8.7109375" style="187" customWidth="1"/>
    <col min="1041" max="1041" width="9.7109375" style="187" customWidth="1"/>
    <col min="1042" max="1042" width="8.42578125" style="187" customWidth="1"/>
    <col min="1043" max="1043" width="9.140625" style="187"/>
    <col min="1044" max="1044" width="10.7109375" style="187" customWidth="1"/>
    <col min="1045" max="1045" width="5.28515625" style="187" customWidth="1"/>
    <col min="1046" max="1046" width="15.42578125" style="187" bestFit="1" customWidth="1"/>
    <col min="1047" max="1047" width="10.42578125" style="187" bestFit="1" customWidth="1"/>
    <col min="1048" max="1281" width="9.140625" style="187"/>
    <col min="1282" max="1282" width="8.7109375" style="187" customWidth="1"/>
    <col min="1283" max="1283" width="17" style="187" customWidth="1"/>
    <col min="1284" max="1284" width="14.42578125" style="187" customWidth="1"/>
    <col min="1285" max="1285" width="10.28515625" style="187" customWidth="1"/>
    <col min="1286" max="1296" width="8.7109375" style="187" customWidth="1"/>
    <col min="1297" max="1297" width="9.7109375" style="187" customWidth="1"/>
    <col min="1298" max="1298" width="8.42578125" style="187" customWidth="1"/>
    <col min="1299" max="1299" width="9.140625" style="187"/>
    <col min="1300" max="1300" width="10.7109375" style="187" customWidth="1"/>
    <col min="1301" max="1301" width="5.28515625" style="187" customWidth="1"/>
    <col min="1302" max="1302" width="15.42578125" style="187" bestFit="1" customWidth="1"/>
    <col min="1303" max="1303" width="10.42578125" style="187" bestFit="1" customWidth="1"/>
    <col min="1304" max="1537" width="9.140625" style="187"/>
    <col min="1538" max="1538" width="8.7109375" style="187" customWidth="1"/>
    <col min="1539" max="1539" width="17" style="187" customWidth="1"/>
    <col min="1540" max="1540" width="14.42578125" style="187" customWidth="1"/>
    <col min="1541" max="1541" width="10.28515625" style="187" customWidth="1"/>
    <col min="1542" max="1552" width="8.7109375" style="187" customWidth="1"/>
    <col min="1553" max="1553" width="9.7109375" style="187" customWidth="1"/>
    <col min="1554" max="1554" width="8.42578125" style="187" customWidth="1"/>
    <col min="1555" max="1555" width="9.140625" style="187"/>
    <col min="1556" max="1556" width="10.7109375" style="187" customWidth="1"/>
    <col min="1557" max="1557" width="5.28515625" style="187" customWidth="1"/>
    <col min="1558" max="1558" width="15.42578125" style="187" bestFit="1" customWidth="1"/>
    <col min="1559" max="1559" width="10.42578125" style="187" bestFit="1" customWidth="1"/>
    <col min="1560" max="1793" width="9.140625" style="187"/>
    <col min="1794" max="1794" width="8.7109375" style="187" customWidth="1"/>
    <col min="1795" max="1795" width="17" style="187" customWidth="1"/>
    <col min="1796" max="1796" width="14.42578125" style="187" customWidth="1"/>
    <col min="1797" max="1797" width="10.28515625" style="187" customWidth="1"/>
    <col min="1798" max="1808" width="8.7109375" style="187" customWidth="1"/>
    <col min="1809" max="1809" width="9.7109375" style="187" customWidth="1"/>
    <col min="1810" max="1810" width="8.42578125" style="187" customWidth="1"/>
    <col min="1811" max="1811" width="9.140625" style="187"/>
    <col min="1812" max="1812" width="10.7109375" style="187" customWidth="1"/>
    <col min="1813" max="1813" width="5.28515625" style="187" customWidth="1"/>
    <col min="1814" max="1814" width="15.42578125" style="187" bestFit="1" customWidth="1"/>
    <col min="1815" max="1815" width="10.42578125" style="187" bestFit="1" customWidth="1"/>
    <col min="1816" max="2049" width="9.140625" style="187"/>
    <col min="2050" max="2050" width="8.7109375" style="187" customWidth="1"/>
    <col min="2051" max="2051" width="17" style="187" customWidth="1"/>
    <col min="2052" max="2052" width="14.42578125" style="187" customWidth="1"/>
    <col min="2053" max="2053" width="10.28515625" style="187" customWidth="1"/>
    <col min="2054" max="2064" width="8.7109375" style="187" customWidth="1"/>
    <col min="2065" max="2065" width="9.7109375" style="187" customWidth="1"/>
    <col min="2066" max="2066" width="8.42578125" style="187" customWidth="1"/>
    <col min="2067" max="2067" width="9.140625" style="187"/>
    <col min="2068" max="2068" width="10.7109375" style="187" customWidth="1"/>
    <col min="2069" max="2069" width="5.28515625" style="187" customWidth="1"/>
    <col min="2070" max="2070" width="15.42578125" style="187" bestFit="1" customWidth="1"/>
    <col min="2071" max="2071" width="10.42578125" style="187" bestFit="1" customWidth="1"/>
    <col min="2072" max="2305" width="9.140625" style="187"/>
    <col min="2306" max="2306" width="8.7109375" style="187" customWidth="1"/>
    <col min="2307" max="2307" width="17" style="187" customWidth="1"/>
    <col min="2308" max="2308" width="14.42578125" style="187" customWidth="1"/>
    <col min="2309" max="2309" width="10.28515625" style="187" customWidth="1"/>
    <col min="2310" max="2320" width="8.7109375" style="187" customWidth="1"/>
    <col min="2321" max="2321" width="9.7109375" style="187" customWidth="1"/>
    <col min="2322" max="2322" width="8.42578125" style="187" customWidth="1"/>
    <col min="2323" max="2323" width="9.140625" style="187"/>
    <col min="2324" max="2324" width="10.7109375" style="187" customWidth="1"/>
    <col min="2325" max="2325" width="5.28515625" style="187" customWidth="1"/>
    <col min="2326" max="2326" width="15.42578125" style="187" bestFit="1" customWidth="1"/>
    <col min="2327" max="2327" width="10.42578125" style="187" bestFit="1" customWidth="1"/>
    <col min="2328" max="2561" width="9.140625" style="187"/>
    <col min="2562" max="2562" width="8.7109375" style="187" customWidth="1"/>
    <col min="2563" max="2563" width="17" style="187" customWidth="1"/>
    <col min="2564" max="2564" width="14.42578125" style="187" customWidth="1"/>
    <col min="2565" max="2565" width="10.28515625" style="187" customWidth="1"/>
    <col min="2566" max="2576" width="8.7109375" style="187" customWidth="1"/>
    <col min="2577" max="2577" width="9.7109375" style="187" customWidth="1"/>
    <col min="2578" max="2578" width="8.42578125" style="187" customWidth="1"/>
    <col min="2579" max="2579" width="9.140625" style="187"/>
    <col min="2580" max="2580" width="10.7109375" style="187" customWidth="1"/>
    <col min="2581" max="2581" width="5.28515625" style="187" customWidth="1"/>
    <col min="2582" max="2582" width="15.42578125" style="187" bestFit="1" customWidth="1"/>
    <col min="2583" max="2583" width="10.42578125" style="187" bestFit="1" customWidth="1"/>
    <col min="2584" max="2817" width="9.140625" style="187"/>
    <col min="2818" max="2818" width="8.7109375" style="187" customWidth="1"/>
    <col min="2819" max="2819" width="17" style="187" customWidth="1"/>
    <col min="2820" max="2820" width="14.42578125" style="187" customWidth="1"/>
    <col min="2821" max="2821" width="10.28515625" style="187" customWidth="1"/>
    <col min="2822" max="2832" width="8.7109375" style="187" customWidth="1"/>
    <col min="2833" max="2833" width="9.7109375" style="187" customWidth="1"/>
    <col min="2834" max="2834" width="8.42578125" style="187" customWidth="1"/>
    <col min="2835" max="2835" width="9.140625" style="187"/>
    <col min="2836" max="2836" width="10.7109375" style="187" customWidth="1"/>
    <col min="2837" max="2837" width="5.28515625" style="187" customWidth="1"/>
    <col min="2838" max="2838" width="15.42578125" style="187" bestFit="1" customWidth="1"/>
    <col min="2839" max="2839" width="10.42578125" style="187" bestFit="1" customWidth="1"/>
    <col min="2840" max="3073" width="9.140625" style="187"/>
    <col min="3074" max="3074" width="8.7109375" style="187" customWidth="1"/>
    <col min="3075" max="3075" width="17" style="187" customWidth="1"/>
    <col min="3076" max="3076" width="14.42578125" style="187" customWidth="1"/>
    <col min="3077" max="3077" width="10.28515625" style="187" customWidth="1"/>
    <col min="3078" max="3088" width="8.7109375" style="187" customWidth="1"/>
    <col min="3089" max="3089" width="9.7109375" style="187" customWidth="1"/>
    <col min="3090" max="3090" width="8.42578125" style="187" customWidth="1"/>
    <col min="3091" max="3091" width="9.140625" style="187"/>
    <col min="3092" max="3092" width="10.7109375" style="187" customWidth="1"/>
    <col min="3093" max="3093" width="5.28515625" style="187" customWidth="1"/>
    <col min="3094" max="3094" width="15.42578125" style="187" bestFit="1" customWidth="1"/>
    <col min="3095" max="3095" width="10.42578125" style="187" bestFit="1" customWidth="1"/>
    <col min="3096" max="3329" width="9.140625" style="187"/>
    <col min="3330" max="3330" width="8.7109375" style="187" customWidth="1"/>
    <col min="3331" max="3331" width="17" style="187" customWidth="1"/>
    <col min="3332" max="3332" width="14.42578125" style="187" customWidth="1"/>
    <col min="3333" max="3333" width="10.28515625" style="187" customWidth="1"/>
    <col min="3334" max="3344" width="8.7109375" style="187" customWidth="1"/>
    <col min="3345" max="3345" width="9.7109375" style="187" customWidth="1"/>
    <col min="3346" max="3346" width="8.42578125" style="187" customWidth="1"/>
    <col min="3347" max="3347" width="9.140625" style="187"/>
    <col min="3348" max="3348" width="10.7109375" style="187" customWidth="1"/>
    <col min="3349" max="3349" width="5.28515625" style="187" customWidth="1"/>
    <col min="3350" max="3350" width="15.42578125" style="187" bestFit="1" customWidth="1"/>
    <col min="3351" max="3351" width="10.42578125" style="187" bestFit="1" customWidth="1"/>
    <col min="3352" max="3585" width="9.140625" style="187"/>
    <col min="3586" max="3586" width="8.7109375" style="187" customWidth="1"/>
    <col min="3587" max="3587" width="17" style="187" customWidth="1"/>
    <col min="3588" max="3588" width="14.42578125" style="187" customWidth="1"/>
    <col min="3589" max="3589" width="10.28515625" style="187" customWidth="1"/>
    <col min="3590" max="3600" width="8.7109375" style="187" customWidth="1"/>
    <col min="3601" max="3601" width="9.7109375" style="187" customWidth="1"/>
    <col min="3602" max="3602" width="8.42578125" style="187" customWidth="1"/>
    <col min="3603" max="3603" width="9.140625" style="187"/>
    <col min="3604" max="3604" width="10.7109375" style="187" customWidth="1"/>
    <col min="3605" max="3605" width="5.28515625" style="187" customWidth="1"/>
    <col min="3606" max="3606" width="15.42578125" style="187" bestFit="1" customWidth="1"/>
    <col min="3607" max="3607" width="10.42578125" style="187" bestFit="1" customWidth="1"/>
    <col min="3608" max="3841" width="9.140625" style="187"/>
    <col min="3842" max="3842" width="8.7109375" style="187" customWidth="1"/>
    <col min="3843" max="3843" width="17" style="187" customWidth="1"/>
    <col min="3844" max="3844" width="14.42578125" style="187" customWidth="1"/>
    <col min="3845" max="3845" width="10.28515625" style="187" customWidth="1"/>
    <col min="3846" max="3856" width="8.7109375" style="187" customWidth="1"/>
    <col min="3857" max="3857" width="9.7109375" style="187" customWidth="1"/>
    <col min="3858" max="3858" width="8.42578125" style="187" customWidth="1"/>
    <col min="3859" max="3859" width="9.140625" style="187"/>
    <col min="3860" max="3860" width="10.7109375" style="187" customWidth="1"/>
    <col min="3861" max="3861" width="5.28515625" style="187" customWidth="1"/>
    <col min="3862" max="3862" width="15.42578125" style="187" bestFit="1" customWidth="1"/>
    <col min="3863" max="3863" width="10.42578125" style="187" bestFit="1" customWidth="1"/>
    <col min="3864" max="4097" width="9.140625" style="187"/>
    <col min="4098" max="4098" width="8.7109375" style="187" customWidth="1"/>
    <col min="4099" max="4099" width="17" style="187" customWidth="1"/>
    <col min="4100" max="4100" width="14.42578125" style="187" customWidth="1"/>
    <col min="4101" max="4101" width="10.28515625" style="187" customWidth="1"/>
    <col min="4102" max="4112" width="8.7109375" style="187" customWidth="1"/>
    <col min="4113" max="4113" width="9.7109375" style="187" customWidth="1"/>
    <col min="4114" max="4114" width="8.42578125" style="187" customWidth="1"/>
    <col min="4115" max="4115" width="9.140625" style="187"/>
    <col min="4116" max="4116" width="10.7109375" style="187" customWidth="1"/>
    <col min="4117" max="4117" width="5.28515625" style="187" customWidth="1"/>
    <col min="4118" max="4118" width="15.42578125" style="187" bestFit="1" customWidth="1"/>
    <col min="4119" max="4119" width="10.42578125" style="187" bestFit="1" customWidth="1"/>
    <col min="4120" max="4353" width="9.140625" style="187"/>
    <col min="4354" max="4354" width="8.7109375" style="187" customWidth="1"/>
    <col min="4355" max="4355" width="17" style="187" customWidth="1"/>
    <col min="4356" max="4356" width="14.42578125" style="187" customWidth="1"/>
    <col min="4357" max="4357" width="10.28515625" style="187" customWidth="1"/>
    <col min="4358" max="4368" width="8.7109375" style="187" customWidth="1"/>
    <col min="4369" max="4369" width="9.7109375" style="187" customWidth="1"/>
    <col min="4370" max="4370" width="8.42578125" style="187" customWidth="1"/>
    <col min="4371" max="4371" width="9.140625" style="187"/>
    <col min="4372" max="4372" width="10.7109375" style="187" customWidth="1"/>
    <col min="4373" max="4373" width="5.28515625" style="187" customWidth="1"/>
    <col min="4374" max="4374" width="15.42578125" style="187" bestFit="1" customWidth="1"/>
    <col min="4375" max="4375" width="10.42578125" style="187" bestFit="1" customWidth="1"/>
    <col min="4376" max="4609" width="9.140625" style="187"/>
    <col min="4610" max="4610" width="8.7109375" style="187" customWidth="1"/>
    <col min="4611" max="4611" width="17" style="187" customWidth="1"/>
    <col min="4612" max="4612" width="14.42578125" style="187" customWidth="1"/>
    <col min="4613" max="4613" width="10.28515625" style="187" customWidth="1"/>
    <col min="4614" max="4624" width="8.7109375" style="187" customWidth="1"/>
    <col min="4625" max="4625" width="9.7109375" style="187" customWidth="1"/>
    <col min="4626" max="4626" width="8.42578125" style="187" customWidth="1"/>
    <col min="4627" max="4627" width="9.140625" style="187"/>
    <col min="4628" max="4628" width="10.7109375" style="187" customWidth="1"/>
    <col min="4629" max="4629" width="5.28515625" style="187" customWidth="1"/>
    <col min="4630" max="4630" width="15.42578125" style="187" bestFit="1" customWidth="1"/>
    <col min="4631" max="4631" width="10.42578125" style="187" bestFit="1" customWidth="1"/>
    <col min="4632" max="4865" width="9.140625" style="187"/>
    <col min="4866" max="4866" width="8.7109375" style="187" customWidth="1"/>
    <col min="4867" max="4867" width="17" style="187" customWidth="1"/>
    <col min="4868" max="4868" width="14.42578125" style="187" customWidth="1"/>
    <col min="4869" max="4869" width="10.28515625" style="187" customWidth="1"/>
    <col min="4870" max="4880" width="8.7109375" style="187" customWidth="1"/>
    <col min="4881" max="4881" width="9.7109375" style="187" customWidth="1"/>
    <col min="4882" max="4882" width="8.42578125" style="187" customWidth="1"/>
    <col min="4883" max="4883" width="9.140625" style="187"/>
    <col min="4884" max="4884" width="10.7109375" style="187" customWidth="1"/>
    <col min="4885" max="4885" width="5.28515625" style="187" customWidth="1"/>
    <col min="4886" max="4886" width="15.42578125" style="187" bestFit="1" customWidth="1"/>
    <col min="4887" max="4887" width="10.42578125" style="187" bestFit="1" customWidth="1"/>
    <col min="4888" max="5121" width="9.140625" style="187"/>
    <col min="5122" max="5122" width="8.7109375" style="187" customWidth="1"/>
    <col min="5123" max="5123" width="17" style="187" customWidth="1"/>
    <col min="5124" max="5124" width="14.42578125" style="187" customWidth="1"/>
    <col min="5125" max="5125" width="10.28515625" style="187" customWidth="1"/>
    <col min="5126" max="5136" width="8.7109375" style="187" customWidth="1"/>
    <col min="5137" max="5137" width="9.7109375" style="187" customWidth="1"/>
    <col min="5138" max="5138" width="8.42578125" style="187" customWidth="1"/>
    <col min="5139" max="5139" width="9.140625" style="187"/>
    <col min="5140" max="5140" width="10.7109375" style="187" customWidth="1"/>
    <col min="5141" max="5141" width="5.28515625" style="187" customWidth="1"/>
    <col min="5142" max="5142" width="15.42578125" style="187" bestFit="1" customWidth="1"/>
    <col min="5143" max="5143" width="10.42578125" style="187" bestFit="1" customWidth="1"/>
    <col min="5144" max="5377" width="9.140625" style="187"/>
    <col min="5378" max="5378" width="8.7109375" style="187" customWidth="1"/>
    <col min="5379" max="5379" width="17" style="187" customWidth="1"/>
    <col min="5380" max="5380" width="14.42578125" style="187" customWidth="1"/>
    <col min="5381" max="5381" width="10.28515625" style="187" customWidth="1"/>
    <col min="5382" max="5392" width="8.7109375" style="187" customWidth="1"/>
    <col min="5393" max="5393" width="9.7109375" style="187" customWidth="1"/>
    <col min="5394" max="5394" width="8.42578125" style="187" customWidth="1"/>
    <col min="5395" max="5395" width="9.140625" style="187"/>
    <col min="5396" max="5396" width="10.7109375" style="187" customWidth="1"/>
    <col min="5397" max="5397" width="5.28515625" style="187" customWidth="1"/>
    <col min="5398" max="5398" width="15.42578125" style="187" bestFit="1" customWidth="1"/>
    <col min="5399" max="5399" width="10.42578125" style="187" bestFit="1" customWidth="1"/>
    <col min="5400" max="5633" width="9.140625" style="187"/>
    <col min="5634" max="5634" width="8.7109375" style="187" customWidth="1"/>
    <col min="5635" max="5635" width="17" style="187" customWidth="1"/>
    <col min="5636" max="5636" width="14.42578125" style="187" customWidth="1"/>
    <col min="5637" max="5637" width="10.28515625" style="187" customWidth="1"/>
    <col min="5638" max="5648" width="8.7109375" style="187" customWidth="1"/>
    <col min="5649" max="5649" width="9.7109375" style="187" customWidth="1"/>
    <col min="5650" max="5650" width="8.42578125" style="187" customWidth="1"/>
    <col min="5651" max="5651" width="9.140625" style="187"/>
    <col min="5652" max="5652" width="10.7109375" style="187" customWidth="1"/>
    <col min="5653" max="5653" width="5.28515625" style="187" customWidth="1"/>
    <col min="5654" max="5654" width="15.42578125" style="187" bestFit="1" customWidth="1"/>
    <col min="5655" max="5655" width="10.42578125" style="187" bestFit="1" customWidth="1"/>
    <col min="5656" max="5889" width="9.140625" style="187"/>
    <col min="5890" max="5890" width="8.7109375" style="187" customWidth="1"/>
    <col min="5891" max="5891" width="17" style="187" customWidth="1"/>
    <col min="5892" max="5892" width="14.42578125" style="187" customWidth="1"/>
    <col min="5893" max="5893" width="10.28515625" style="187" customWidth="1"/>
    <col min="5894" max="5904" width="8.7109375" style="187" customWidth="1"/>
    <col min="5905" max="5905" width="9.7109375" style="187" customWidth="1"/>
    <col min="5906" max="5906" width="8.42578125" style="187" customWidth="1"/>
    <col min="5907" max="5907" width="9.140625" style="187"/>
    <col min="5908" max="5908" width="10.7109375" style="187" customWidth="1"/>
    <col min="5909" max="5909" width="5.28515625" style="187" customWidth="1"/>
    <col min="5910" max="5910" width="15.42578125" style="187" bestFit="1" customWidth="1"/>
    <col min="5911" max="5911" width="10.42578125" style="187" bestFit="1" customWidth="1"/>
    <col min="5912" max="6145" width="9.140625" style="187"/>
    <col min="6146" max="6146" width="8.7109375" style="187" customWidth="1"/>
    <col min="6147" max="6147" width="17" style="187" customWidth="1"/>
    <col min="6148" max="6148" width="14.42578125" style="187" customWidth="1"/>
    <col min="6149" max="6149" width="10.28515625" style="187" customWidth="1"/>
    <col min="6150" max="6160" width="8.7109375" style="187" customWidth="1"/>
    <col min="6161" max="6161" width="9.7109375" style="187" customWidth="1"/>
    <col min="6162" max="6162" width="8.42578125" style="187" customWidth="1"/>
    <col min="6163" max="6163" width="9.140625" style="187"/>
    <col min="6164" max="6164" width="10.7109375" style="187" customWidth="1"/>
    <col min="6165" max="6165" width="5.28515625" style="187" customWidth="1"/>
    <col min="6166" max="6166" width="15.42578125" style="187" bestFit="1" customWidth="1"/>
    <col min="6167" max="6167" width="10.42578125" style="187" bestFit="1" customWidth="1"/>
    <col min="6168" max="6401" width="9.140625" style="187"/>
    <col min="6402" max="6402" width="8.7109375" style="187" customWidth="1"/>
    <col min="6403" max="6403" width="17" style="187" customWidth="1"/>
    <col min="6404" max="6404" width="14.42578125" style="187" customWidth="1"/>
    <col min="6405" max="6405" width="10.28515625" style="187" customWidth="1"/>
    <col min="6406" max="6416" width="8.7109375" style="187" customWidth="1"/>
    <col min="6417" max="6417" width="9.7109375" style="187" customWidth="1"/>
    <col min="6418" max="6418" width="8.42578125" style="187" customWidth="1"/>
    <col min="6419" max="6419" width="9.140625" style="187"/>
    <col min="6420" max="6420" width="10.7109375" style="187" customWidth="1"/>
    <col min="6421" max="6421" width="5.28515625" style="187" customWidth="1"/>
    <col min="6422" max="6422" width="15.42578125" style="187" bestFit="1" customWidth="1"/>
    <col min="6423" max="6423" width="10.42578125" style="187" bestFit="1" customWidth="1"/>
    <col min="6424" max="6657" width="9.140625" style="187"/>
    <col min="6658" max="6658" width="8.7109375" style="187" customWidth="1"/>
    <col min="6659" max="6659" width="17" style="187" customWidth="1"/>
    <col min="6660" max="6660" width="14.42578125" style="187" customWidth="1"/>
    <col min="6661" max="6661" width="10.28515625" style="187" customWidth="1"/>
    <col min="6662" max="6672" width="8.7109375" style="187" customWidth="1"/>
    <col min="6673" max="6673" width="9.7109375" style="187" customWidth="1"/>
    <col min="6674" max="6674" width="8.42578125" style="187" customWidth="1"/>
    <col min="6675" max="6675" width="9.140625" style="187"/>
    <col min="6676" max="6676" width="10.7109375" style="187" customWidth="1"/>
    <col min="6677" max="6677" width="5.28515625" style="187" customWidth="1"/>
    <col min="6678" max="6678" width="15.42578125" style="187" bestFit="1" customWidth="1"/>
    <col min="6679" max="6679" width="10.42578125" style="187" bestFit="1" customWidth="1"/>
    <col min="6680" max="6913" width="9.140625" style="187"/>
    <col min="6914" max="6914" width="8.7109375" style="187" customWidth="1"/>
    <col min="6915" max="6915" width="17" style="187" customWidth="1"/>
    <col min="6916" max="6916" width="14.42578125" style="187" customWidth="1"/>
    <col min="6917" max="6917" width="10.28515625" style="187" customWidth="1"/>
    <col min="6918" max="6928" width="8.7109375" style="187" customWidth="1"/>
    <col min="6929" max="6929" width="9.7109375" style="187" customWidth="1"/>
    <col min="6930" max="6930" width="8.42578125" style="187" customWidth="1"/>
    <col min="6931" max="6931" width="9.140625" style="187"/>
    <col min="6932" max="6932" width="10.7109375" style="187" customWidth="1"/>
    <col min="6933" max="6933" width="5.28515625" style="187" customWidth="1"/>
    <col min="6934" max="6934" width="15.42578125" style="187" bestFit="1" customWidth="1"/>
    <col min="6935" max="6935" width="10.42578125" style="187" bestFit="1" customWidth="1"/>
    <col min="6936" max="7169" width="9.140625" style="187"/>
    <col min="7170" max="7170" width="8.7109375" style="187" customWidth="1"/>
    <col min="7171" max="7171" width="17" style="187" customWidth="1"/>
    <col min="7172" max="7172" width="14.42578125" style="187" customWidth="1"/>
    <col min="7173" max="7173" width="10.28515625" style="187" customWidth="1"/>
    <col min="7174" max="7184" width="8.7109375" style="187" customWidth="1"/>
    <col min="7185" max="7185" width="9.7109375" style="187" customWidth="1"/>
    <col min="7186" max="7186" width="8.42578125" style="187" customWidth="1"/>
    <col min="7187" max="7187" width="9.140625" style="187"/>
    <col min="7188" max="7188" width="10.7109375" style="187" customWidth="1"/>
    <col min="7189" max="7189" width="5.28515625" style="187" customWidth="1"/>
    <col min="7190" max="7190" width="15.42578125" style="187" bestFit="1" customWidth="1"/>
    <col min="7191" max="7191" width="10.42578125" style="187" bestFit="1" customWidth="1"/>
    <col min="7192" max="7425" width="9.140625" style="187"/>
    <col min="7426" max="7426" width="8.7109375" style="187" customWidth="1"/>
    <col min="7427" max="7427" width="17" style="187" customWidth="1"/>
    <col min="7428" max="7428" width="14.42578125" style="187" customWidth="1"/>
    <col min="7429" max="7429" width="10.28515625" style="187" customWidth="1"/>
    <col min="7430" max="7440" width="8.7109375" style="187" customWidth="1"/>
    <col min="7441" max="7441" width="9.7109375" style="187" customWidth="1"/>
    <col min="7442" max="7442" width="8.42578125" style="187" customWidth="1"/>
    <col min="7443" max="7443" width="9.140625" style="187"/>
    <col min="7444" max="7444" width="10.7109375" style="187" customWidth="1"/>
    <col min="7445" max="7445" width="5.28515625" style="187" customWidth="1"/>
    <col min="7446" max="7446" width="15.42578125" style="187" bestFit="1" customWidth="1"/>
    <col min="7447" max="7447" width="10.42578125" style="187" bestFit="1" customWidth="1"/>
    <col min="7448" max="7681" width="9.140625" style="187"/>
    <col min="7682" max="7682" width="8.7109375" style="187" customWidth="1"/>
    <col min="7683" max="7683" width="17" style="187" customWidth="1"/>
    <col min="7684" max="7684" width="14.42578125" style="187" customWidth="1"/>
    <col min="7685" max="7685" width="10.28515625" style="187" customWidth="1"/>
    <col min="7686" max="7696" width="8.7109375" style="187" customWidth="1"/>
    <col min="7697" max="7697" width="9.7109375" style="187" customWidth="1"/>
    <col min="7698" max="7698" width="8.42578125" style="187" customWidth="1"/>
    <col min="7699" max="7699" width="9.140625" style="187"/>
    <col min="7700" max="7700" width="10.7109375" style="187" customWidth="1"/>
    <col min="7701" max="7701" width="5.28515625" style="187" customWidth="1"/>
    <col min="7702" max="7702" width="15.42578125" style="187" bestFit="1" customWidth="1"/>
    <col min="7703" max="7703" width="10.42578125" style="187" bestFit="1" customWidth="1"/>
    <col min="7704" max="7937" width="9.140625" style="187"/>
    <col min="7938" max="7938" width="8.7109375" style="187" customWidth="1"/>
    <col min="7939" max="7939" width="17" style="187" customWidth="1"/>
    <col min="7940" max="7940" width="14.42578125" style="187" customWidth="1"/>
    <col min="7941" max="7941" width="10.28515625" style="187" customWidth="1"/>
    <col min="7942" max="7952" width="8.7109375" style="187" customWidth="1"/>
    <col min="7953" max="7953" width="9.7109375" style="187" customWidth="1"/>
    <col min="7954" max="7954" width="8.42578125" style="187" customWidth="1"/>
    <col min="7955" max="7955" width="9.140625" style="187"/>
    <col min="7956" max="7956" width="10.7109375" style="187" customWidth="1"/>
    <col min="7957" max="7957" width="5.28515625" style="187" customWidth="1"/>
    <col min="7958" max="7958" width="15.42578125" style="187" bestFit="1" customWidth="1"/>
    <col min="7959" max="7959" width="10.42578125" style="187" bestFit="1" customWidth="1"/>
    <col min="7960" max="8193" width="9.140625" style="187"/>
    <col min="8194" max="8194" width="8.7109375" style="187" customWidth="1"/>
    <col min="8195" max="8195" width="17" style="187" customWidth="1"/>
    <col min="8196" max="8196" width="14.42578125" style="187" customWidth="1"/>
    <col min="8197" max="8197" width="10.28515625" style="187" customWidth="1"/>
    <col min="8198" max="8208" width="8.7109375" style="187" customWidth="1"/>
    <col min="8209" max="8209" width="9.7109375" style="187" customWidth="1"/>
    <col min="8210" max="8210" width="8.42578125" style="187" customWidth="1"/>
    <col min="8211" max="8211" width="9.140625" style="187"/>
    <col min="8212" max="8212" width="10.7109375" style="187" customWidth="1"/>
    <col min="8213" max="8213" width="5.28515625" style="187" customWidth="1"/>
    <col min="8214" max="8214" width="15.42578125" style="187" bestFit="1" customWidth="1"/>
    <col min="8215" max="8215" width="10.42578125" style="187" bestFit="1" customWidth="1"/>
    <col min="8216" max="8449" width="9.140625" style="187"/>
    <col min="8450" max="8450" width="8.7109375" style="187" customWidth="1"/>
    <col min="8451" max="8451" width="17" style="187" customWidth="1"/>
    <col min="8452" max="8452" width="14.42578125" style="187" customWidth="1"/>
    <col min="8453" max="8453" width="10.28515625" style="187" customWidth="1"/>
    <col min="8454" max="8464" width="8.7109375" style="187" customWidth="1"/>
    <col min="8465" max="8465" width="9.7109375" style="187" customWidth="1"/>
    <col min="8466" max="8466" width="8.42578125" style="187" customWidth="1"/>
    <col min="8467" max="8467" width="9.140625" style="187"/>
    <col min="8468" max="8468" width="10.7109375" style="187" customWidth="1"/>
    <col min="8469" max="8469" width="5.28515625" style="187" customWidth="1"/>
    <col min="8470" max="8470" width="15.42578125" style="187" bestFit="1" customWidth="1"/>
    <col min="8471" max="8471" width="10.42578125" style="187" bestFit="1" customWidth="1"/>
    <col min="8472" max="8705" width="9.140625" style="187"/>
    <col min="8706" max="8706" width="8.7109375" style="187" customWidth="1"/>
    <col min="8707" max="8707" width="17" style="187" customWidth="1"/>
    <col min="8708" max="8708" width="14.42578125" style="187" customWidth="1"/>
    <col min="8709" max="8709" width="10.28515625" style="187" customWidth="1"/>
    <col min="8710" max="8720" width="8.7109375" style="187" customWidth="1"/>
    <col min="8721" max="8721" width="9.7109375" style="187" customWidth="1"/>
    <col min="8722" max="8722" width="8.42578125" style="187" customWidth="1"/>
    <col min="8723" max="8723" width="9.140625" style="187"/>
    <col min="8724" max="8724" width="10.7109375" style="187" customWidth="1"/>
    <col min="8725" max="8725" width="5.28515625" style="187" customWidth="1"/>
    <col min="8726" max="8726" width="15.42578125" style="187" bestFit="1" customWidth="1"/>
    <col min="8727" max="8727" width="10.42578125" style="187" bestFit="1" customWidth="1"/>
    <col min="8728" max="8961" width="9.140625" style="187"/>
    <col min="8962" max="8962" width="8.7109375" style="187" customWidth="1"/>
    <col min="8963" max="8963" width="17" style="187" customWidth="1"/>
    <col min="8964" max="8964" width="14.42578125" style="187" customWidth="1"/>
    <col min="8965" max="8965" width="10.28515625" style="187" customWidth="1"/>
    <col min="8966" max="8976" width="8.7109375" style="187" customWidth="1"/>
    <col min="8977" max="8977" width="9.7109375" style="187" customWidth="1"/>
    <col min="8978" max="8978" width="8.42578125" style="187" customWidth="1"/>
    <col min="8979" max="8979" width="9.140625" style="187"/>
    <col min="8980" max="8980" width="10.7109375" style="187" customWidth="1"/>
    <col min="8981" max="8981" width="5.28515625" style="187" customWidth="1"/>
    <col min="8982" max="8982" width="15.42578125" style="187" bestFit="1" customWidth="1"/>
    <col min="8983" max="8983" width="10.42578125" style="187" bestFit="1" customWidth="1"/>
    <col min="8984" max="9217" width="9.140625" style="187"/>
    <col min="9218" max="9218" width="8.7109375" style="187" customWidth="1"/>
    <col min="9219" max="9219" width="17" style="187" customWidth="1"/>
    <col min="9220" max="9220" width="14.42578125" style="187" customWidth="1"/>
    <col min="9221" max="9221" width="10.28515625" style="187" customWidth="1"/>
    <col min="9222" max="9232" width="8.7109375" style="187" customWidth="1"/>
    <col min="9233" max="9233" width="9.7109375" style="187" customWidth="1"/>
    <col min="9234" max="9234" width="8.42578125" style="187" customWidth="1"/>
    <col min="9235" max="9235" width="9.140625" style="187"/>
    <col min="9236" max="9236" width="10.7109375" style="187" customWidth="1"/>
    <col min="9237" max="9237" width="5.28515625" style="187" customWidth="1"/>
    <col min="9238" max="9238" width="15.42578125" style="187" bestFit="1" customWidth="1"/>
    <col min="9239" max="9239" width="10.42578125" style="187" bestFit="1" customWidth="1"/>
    <col min="9240" max="9473" width="9.140625" style="187"/>
    <col min="9474" max="9474" width="8.7109375" style="187" customWidth="1"/>
    <col min="9475" max="9475" width="17" style="187" customWidth="1"/>
    <col min="9476" max="9476" width="14.42578125" style="187" customWidth="1"/>
    <col min="9477" max="9477" width="10.28515625" style="187" customWidth="1"/>
    <col min="9478" max="9488" width="8.7109375" style="187" customWidth="1"/>
    <col min="9489" max="9489" width="9.7109375" style="187" customWidth="1"/>
    <col min="9490" max="9490" width="8.42578125" style="187" customWidth="1"/>
    <col min="9491" max="9491" width="9.140625" style="187"/>
    <col min="9492" max="9492" width="10.7109375" style="187" customWidth="1"/>
    <col min="9493" max="9493" width="5.28515625" style="187" customWidth="1"/>
    <col min="9494" max="9494" width="15.42578125" style="187" bestFit="1" customWidth="1"/>
    <col min="9495" max="9495" width="10.42578125" style="187" bestFit="1" customWidth="1"/>
    <col min="9496" max="9729" width="9.140625" style="187"/>
    <col min="9730" max="9730" width="8.7109375" style="187" customWidth="1"/>
    <col min="9731" max="9731" width="17" style="187" customWidth="1"/>
    <col min="9732" max="9732" width="14.42578125" style="187" customWidth="1"/>
    <col min="9733" max="9733" width="10.28515625" style="187" customWidth="1"/>
    <col min="9734" max="9744" width="8.7109375" style="187" customWidth="1"/>
    <col min="9745" max="9745" width="9.7109375" style="187" customWidth="1"/>
    <col min="9746" max="9746" width="8.42578125" style="187" customWidth="1"/>
    <col min="9747" max="9747" width="9.140625" style="187"/>
    <col min="9748" max="9748" width="10.7109375" style="187" customWidth="1"/>
    <col min="9749" max="9749" width="5.28515625" style="187" customWidth="1"/>
    <col min="9750" max="9750" width="15.42578125" style="187" bestFit="1" customWidth="1"/>
    <col min="9751" max="9751" width="10.42578125" style="187" bestFit="1" customWidth="1"/>
    <col min="9752" max="9985" width="9.140625" style="187"/>
    <col min="9986" max="9986" width="8.7109375" style="187" customWidth="1"/>
    <col min="9987" max="9987" width="17" style="187" customWidth="1"/>
    <col min="9988" max="9988" width="14.42578125" style="187" customWidth="1"/>
    <col min="9989" max="9989" width="10.28515625" style="187" customWidth="1"/>
    <col min="9990" max="10000" width="8.7109375" style="187" customWidth="1"/>
    <col min="10001" max="10001" width="9.7109375" style="187" customWidth="1"/>
    <col min="10002" max="10002" width="8.42578125" style="187" customWidth="1"/>
    <col min="10003" max="10003" width="9.140625" style="187"/>
    <col min="10004" max="10004" width="10.7109375" style="187" customWidth="1"/>
    <col min="10005" max="10005" width="5.28515625" style="187" customWidth="1"/>
    <col min="10006" max="10006" width="15.42578125" style="187" bestFit="1" customWidth="1"/>
    <col min="10007" max="10007" width="10.42578125" style="187" bestFit="1" customWidth="1"/>
    <col min="10008" max="10241" width="9.140625" style="187"/>
    <col min="10242" max="10242" width="8.7109375" style="187" customWidth="1"/>
    <col min="10243" max="10243" width="17" style="187" customWidth="1"/>
    <col min="10244" max="10244" width="14.42578125" style="187" customWidth="1"/>
    <col min="10245" max="10245" width="10.28515625" style="187" customWidth="1"/>
    <col min="10246" max="10256" width="8.7109375" style="187" customWidth="1"/>
    <col min="10257" max="10257" width="9.7109375" style="187" customWidth="1"/>
    <col min="10258" max="10258" width="8.42578125" style="187" customWidth="1"/>
    <col min="10259" max="10259" width="9.140625" style="187"/>
    <col min="10260" max="10260" width="10.7109375" style="187" customWidth="1"/>
    <col min="10261" max="10261" width="5.28515625" style="187" customWidth="1"/>
    <col min="10262" max="10262" width="15.42578125" style="187" bestFit="1" customWidth="1"/>
    <col min="10263" max="10263" width="10.42578125" style="187" bestFit="1" customWidth="1"/>
    <col min="10264" max="10497" width="9.140625" style="187"/>
    <col min="10498" max="10498" width="8.7109375" style="187" customWidth="1"/>
    <col min="10499" max="10499" width="17" style="187" customWidth="1"/>
    <col min="10500" max="10500" width="14.42578125" style="187" customWidth="1"/>
    <col min="10501" max="10501" width="10.28515625" style="187" customWidth="1"/>
    <col min="10502" max="10512" width="8.7109375" style="187" customWidth="1"/>
    <col min="10513" max="10513" width="9.7109375" style="187" customWidth="1"/>
    <col min="10514" max="10514" width="8.42578125" style="187" customWidth="1"/>
    <col min="10515" max="10515" width="9.140625" style="187"/>
    <col min="10516" max="10516" width="10.7109375" style="187" customWidth="1"/>
    <col min="10517" max="10517" width="5.28515625" style="187" customWidth="1"/>
    <col min="10518" max="10518" width="15.42578125" style="187" bestFit="1" customWidth="1"/>
    <col min="10519" max="10519" width="10.42578125" style="187" bestFit="1" customWidth="1"/>
    <col min="10520" max="10753" width="9.140625" style="187"/>
    <col min="10754" max="10754" width="8.7109375" style="187" customWidth="1"/>
    <col min="10755" max="10755" width="17" style="187" customWidth="1"/>
    <col min="10756" max="10756" width="14.42578125" style="187" customWidth="1"/>
    <col min="10757" max="10757" width="10.28515625" style="187" customWidth="1"/>
    <col min="10758" max="10768" width="8.7109375" style="187" customWidth="1"/>
    <col min="10769" max="10769" width="9.7109375" style="187" customWidth="1"/>
    <col min="10770" max="10770" width="8.42578125" style="187" customWidth="1"/>
    <col min="10771" max="10771" width="9.140625" style="187"/>
    <col min="10772" max="10772" width="10.7109375" style="187" customWidth="1"/>
    <col min="10773" max="10773" width="5.28515625" style="187" customWidth="1"/>
    <col min="10774" max="10774" width="15.42578125" style="187" bestFit="1" customWidth="1"/>
    <col min="10775" max="10775" width="10.42578125" style="187" bestFit="1" customWidth="1"/>
    <col min="10776" max="11009" width="9.140625" style="187"/>
    <col min="11010" max="11010" width="8.7109375" style="187" customWidth="1"/>
    <col min="11011" max="11011" width="17" style="187" customWidth="1"/>
    <col min="11012" max="11012" width="14.42578125" style="187" customWidth="1"/>
    <col min="11013" max="11013" width="10.28515625" style="187" customWidth="1"/>
    <col min="11014" max="11024" width="8.7109375" style="187" customWidth="1"/>
    <col min="11025" max="11025" width="9.7109375" style="187" customWidth="1"/>
    <col min="11026" max="11026" width="8.42578125" style="187" customWidth="1"/>
    <col min="11027" max="11027" width="9.140625" style="187"/>
    <col min="11028" max="11028" width="10.7109375" style="187" customWidth="1"/>
    <col min="11029" max="11029" width="5.28515625" style="187" customWidth="1"/>
    <col min="11030" max="11030" width="15.42578125" style="187" bestFit="1" customWidth="1"/>
    <col min="11031" max="11031" width="10.42578125" style="187" bestFit="1" customWidth="1"/>
    <col min="11032" max="11265" width="9.140625" style="187"/>
    <col min="11266" max="11266" width="8.7109375" style="187" customWidth="1"/>
    <col min="11267" max="11267" width="17" style="187" customWidth="1"/>
    <col min="11268" max="11268" width="14.42578125" style="187" customWidth="1"/>
    <col min="11269" max="11269" width="10.28515625" style="187" customWidth="1"/>
    <col min="11270" max="11280" width="8.7109375" style="187" customWidth="1"/>
    <col min="11281" max="11281" width="9.7109375" style="187" customWidth="1"/>
    <col min="11282" max="11282" width="8.42578125" style="187" customWidth="1"/>
    <col min="11283" max="11283" width="9.140625" style="187"/>
    <col min="11284" max="11284" width="10.7109375" style="187" customWidth="1"/>
    <col min="11285" max="11285" width="5.28515625" style="187" customWidth="1"/>
    <col min="11286" max="11286" width="15.42578125" style="187" bestFit="1" customWidth="1"/>
    <col min="11287" max="11287" width="10.42578125" style="187" bestFit="1" customWidth="1"/>
    <col min="11288" max="11521" width="9.140625" style="187"/>
    <col min="11522" max="11522" width="8.7109375" style="187" customWidth="1"/>
    <col min="11523" max="11523" width="17" style="187" customWidth="1"/>
    <col min="11524" max="11524" width="14.42578125" style="187" customWidth="1"/>
    <col min="11525" max="11525" width="10.28515625" style="187" customWidth="1"/>
    <col min="11526" max="11536" width="8.7109375" style="187" customWidth="1"/>
    <col min="11537" max="11537" width="9.7109375" style="187" customWidth="1"/>
    <col min="11538" max="11538" width="8.42578125" style="187" customWidth="1"/>
    <col min="11539" max="11539" width="9.140625" style="187"/>
    <col min="11540" max="11540" width="10.7109375" style="187" customWidth="1"/>
    <col min="11541" max="11541" width="5.28515625" style="187" customWidth="1"/>
    <col min="11542" max="11542" width="15.42578125" style="187" bestFit="1" customWidth="1"/>
    <col min="11543" max="11543" width="10.42578125" style="187" bestFit="1" customWidth="1"/>
    <col min="11544" max="11777" width="9.140625" style="187"/>
    <col min="11778" max="11778" width="8.7109375" style="187" customWidth="1"/>
    <col min="11779" max="11779" width="17" style="187" customWidth="1"/>
    <col min="11780" max="11780" width="14.42578125" style="187" customWidth="1"/>
    <col min="11781" max="11781" width="10.28515625" style="187" customWidth="1"/>
    <col min="11782" max="11792" width="8.7109375" style="187" customWidth="1"/>
    <col min="11793" max="11793" width="9.7109375" style="187" customWidth="1"/>
    <col min="11794" max="11794" width="8.42578125" style="187" customWidth="1"/>
    <col min="11795" max="11795" width="9.140625" style="187"/>
    <col min="11796" max="11796" width="10.7109375" style="187" customWidth="1"/>
    <col min="11797" max="11797" width="5.28515625" style="187" customWidth="1"/>
    <col min="11798" max="11798" width="15.42578125" style="187" bestFit="1" customWidth="1"/>
    <col min="11799" max="11799" width="10.42578125" style="187" bestFit="1" customWidth="1"/>
    <col min="11800" max="12033" width="9.140625" style="187"/>
    <col min="12034" max="12034" width="8.7109375" style="187" customWidth="1"/>
    <col min="12035" max="12035" width="17" style="187" customWidth="1"/>
    <col min="12036" max="12036" width="14.42578125" style="187" customWidth="1"/>
    <col min="12037" max="12037" width="10.28515625" style="187" customWidth="1"/>
    <col min="12038" max="12048" width="8.7109375" style="187" customWidth="1"/>
    <col min="12049" max="12049" width="9.7109375" style="187" customWidth="1"/>
    <col min="12050" max="12050" width="8.42578125" style="187" customWidth="1"/>
    <col min="12051" max="12051" width="9.140625" style="187"/>
    <col min="12052" max="12052" width="10.7109375" style="187" customWidth="1"/>
    <col min="12053" max="12053" width="5.28515625" style="187" customWidth="1"/>
    <col min="12054" max="12054" width="15.42578125" style="187" bestFit="1" customWidth="1"/>
    <col min="12055" max="12055" width="10.42578125" style="187" bestFit="1" customWidth="1"/>
    <col min="12056" max="12289" width="9.140625" style="187"/>
    <col min="12290" max="12290" width="8.7109375" style="187" customWidth="1"/>
    <col min="12291" max="12291" width="17" style="187" customWidth="1"/>
    <col min="12292" max="12292" width="14.42578125" style="187" customWidth="1"/>
    <col min="12293" max="12293" width="10.28515625" style="187" customWidth="1"/>
    <col min="12294" max="12304" width="8.7109375" style="187" customWidth="1"/>
    <col min="12305" max="12305" width="9.7109375" style="187" customWidth="1"/>
    <col min="12306" max="12306" width="8.42578125" style="187" customWidth="1"/>
    <col min="12307" max="12307" width="9.140625" style="187"/>
    <col min="12308" max="12308" width="10.7109375" style="187" customWidth="1"/>
    <col min="12309" max="12309" width="5.28515625" style="187" customWidth="1"/>
    <col min="12310" max="12310" width="15.42578125" style="187" bestFit="1" customWidth="1"/>
    <col min="12311" max="12311" width="10.42578125" style="187" bestFit="1" customWidth="1"/>
    <col min="12312" max="12545" width="9.140625" style="187"/>
    <col min="12546" max="12546" width="8.7109375" style="187" customWidth="1"/>
    <col min="12547" max="12547" width="17" style="187" customWidth="1"/>
    <col min="12548" max="12548" width="14.42578125" style="187" customWidth="1"/>
    <col min="12549" max="12549" width="10.28515625" style="187" customWidth="1"/>
    <col min="12550" max="12560" width="8.7109375" style="187" customWidth="1"/>
    <col min="12561" max="12561" width="9.7109375" style="187" customWidth="1"/>
    <col min="12562" max="12562" width="8.42578125" style="187" customWidth="1"/>
    <col min="12563" max="12563" width="9.140625" style="187"/>
    <col min="12564" max="12564" width="10.7109375" style="187" customWidth="1"/>
    <col min="12565" max="12565" width="5.28515625" style="187" customWidth="1"/>
    <col min="12566" max="12566" width="15.42578125" style="187" bestFit="1" customWidth="1"/>
    <col min="12567" max="12567" width="10.42578125" style="187" bestFit="1" customWidth="1"/>
    <col min="12568" max="12801" width="9.140625" style="187"/>
    <col min="12802" max="12802" width="8.7109375" style="187" customWidth="1"/>
    <col min="12803" max="12803" width="17" style="187" customWidth="1"/>
    <col min="12804" max="12804" width="14.42578125" style="187" customWidth="1"/>
    <col min="12805" max="12805" width="10.28515625" style="187" customWidth="1"/>
    <col min="12806" max="12816" width="8.7109375" style="187" customWidth="1"/>
    <col min="12817" max="12817" width="9.7109375" style="187" customWidth="1"/>
    <col min="12818" max="12818" width="8.42578125" style="187" customWidth="1"/>
    <col min="12819" max="12819" width="9.140625" style="187"/>
    <col min="12820" max="12820" width="10.7109375" style="187" customWidth="1"/>
    <col min="12821" max="12821" width="5.28515625" style="187" customWidth="1"/>
    <col min="12822" max="12822" width="15.42578125" style="187" bestFit="1" customWidth="1"/>
    <col min="12823" max="12823" width="10.42578125" style="187" bestFit="1" customWidth="1"/>
    <col min="12824" max="13057" width="9.140625" style="187"/>
    <col min="13058" max="13058" width="8.7109375" style="187" customWidth="1"/>
    <col min="13059" max="13059" width="17" style="187" customWidth="1"/>
    <col min="13060" max="13060" width="14.42578125" style="187" customWidth="1"/>
    <col min="13061" max="13061" width="10.28515625" style="187" customWidth="1"/>
    <col min="13062" max="13072" width="8.7109375" style="187" customWidth="1"/>
    <col min="13073" max="13073" width="9.7109375" style="187" customWidth="1"/>
    <col min="13074" max="13074" width="8.42578125" style="187" customWidth="1"/>
    <col min="13075" max="13075" width="9.140625" style="187"/>
    <col min="13076" max="13076" width="10.7109375" style="187" customWidth="1"/>
    <col min="13077" max="13077" width="5.28515625" style="187" customWidth="1"/>
    <col min="13078" max="13078" width="15.42578125" style="187" bestFit="1" customWidth="1"/>
    <col min="13079" max="13079" width="10.42578125" style="187" bestFit="1" customWidth="1"/>
    <col min="13080" max="13313" width="9.140625" style="187"/>
    <col min="13314" max="13314" width="8.7109375" style="187" customWidth="1"/>
    <col min="13315" max="13315" width="17" style="187" customWidth="1"/>
    <col min="13316" max="13316" width="14.42578125" style="187" customWidth="1"/>
    <col min="13317" max="13317" width="10.28515625" style="187" customWidth="1"/>
    <col min="13318" max="13328" width="8.7109375" style="187" customWidth="1"/>
    <col min="13329" max="13329" width="9.7109375" style="187" customWidth="1"/>
    <col min="13330" max="13330" width="8.42578125" style="187" customWidth="1"/>
    <col min="13331" max="13331" width="9.140625" style="187"/>
    <col min="13332" max="13332" width="10.7109375" style="187" customWidth="1"/>
    <col min="13333" max="13333" width="5.28515625" style="187" customWidth="1"/>
    <col min="13334" max="13334" width="15.42578125" style="187" bestFit="1" customWidth="1"/>
    <col min="13335" max="13335" width="10.42578125" style="187" bestFit="1" customWidth="1"/>
    <col min="13336" max="13569" width="9.140625" style="187"/>
    <col min="13570" max="13570" width="8.7109375" style="187" customWidth="1"/>
    <col min="13571" max="13571" width="17" style="187" customWidth="1"/>
    <col min="13572" max="13572" width="14.42578125" style="187" customWidth="1"/>
    <col min="13573" max="13573" width="10.28515625" style="187" customWidth="1"/>
    <col min="13574" max="13584" width="8.7109375" style="187" customWidth="1"/>
    <col min="13585" max="13585" width="9.7109375" style="187" customWidth="1"/>
    <col min="13586" max="13586" width="8.42578125" style="187" customWidth="1"/>
    <col min="13587" max="13587" width="9.140625" style="187"/>
    <col min="13588" max="13588" width="10.7109375" style="187" customWidth="1"/>
    <col min="13589" max="13589" width="5.28515625" style="187" customWidth="1"/>
    <col min="13590" max="13590" width="15.42578125" style="187" bestFit="1" customWidth="1"/>
    <col min="13591" max="13591" width="10.42578125" style="187" bestFit="1" customWidth="1"/>
    <col min="13592" max="13825" width="9.140625" style="187"/>
    <col min="13826" max="13826" width="8.7109375" style="187" customWidth="1"/>
    <col min="13827" max="13827" width="17" style="187" customWidth="1"/>
    <col min="13828" max="13828" width="14.42578125" style="187" customWidth="1"/>
    <col min="13829" max="13829" width="10.28515625" style="187" customWidth="1"/>
    <col min="13830" max="13840" width="8.7109375" style="187" customWidth="1"/>
    <col min="13841" max="13841" width="9.7109375" style="187" customWidth="1"/>
    <col min="13842" max="13842" width="8.42578125" style="187" customWidth="1"/>
    <col min="13843" max="13843" width="9.140625" style="187"/>
    <col min="13844" max="13844" width="10.7109375" style="187" customWidth="1"/>
    <col min="13845" max="13845" width="5.28515625" style="187" customWidth="1"/>
    <col min="13846" max="13846" width="15.42578125" style="187" bestFit="1" customWidth="1"/>
    <col min="13847" max="13847" width="10.42578125" style="187" bestFit="1" customWidth="1"/>
    <col min="13848" max="14081" width="9.140625" style="187"/>
    <col min="14082" max="14082" width="8.7109375" style="187" customWidth="1"/>
    <col min="14083" max="14083" width="17" style="187" customWidth="1"/>
    <col min="14084" max="14084" width="14.42578125" style="187" customWidth="1"/>
    <col min="14085" max="14085" width="10.28515625" style="187" customWidth="1"/>
    <col min="14086" max="14096" width="8.7109375" style="187" customWidth="1"/>
    <col min="14097" max="14097" width="9.7109375" style="187" customWidth="1"/>
    <col min="14098" max="14098" width="8.42578125" style="187" customWidth="1"/>
    <col min="14099" max="14099" width="9.140625" style="187"/>
    <col min="14100" max="14100" width="10.7109375" style="187" customWidth="1"/>
    <col min="14101" max="14101" width="5.28515625" style="187" customWidth="1"/>
    <col min="14102" max="14102" width="15.42578125" style="187" bestFit="1" customWidth="1"/>
    <col min="14103" max="14103" width="10.42578125" style="187" bestFit="1" customWidth="1"/>
    <col min="14104" max="14337" width="9.140625" style="187"/>
    <col min="14338" max="14338" width="8.7109375" style="187" customWidth="1"/>
    <col min="14339" max="14339" width="17" style="187" customWidth="1"/>
    <col min="14340" max="14340" width="14.42578125" style="187" customWidth="1"/>
    <col min="14341" max="14341" width="10.28515625" style="187" customWidth="1"/>
    <col min="14342" max="14352" width="8.7109375" style="187" customWidth="1"/>
    <col min="14353" max="14353" width="9.7109375" style="187" customWidth="1"/>
    <col min="14354" max="14354" width="8.42578125" style="187" customWidth="1"/>
    <col min="14355" max="14355" width="9.140625" style="187"/>
    <col min="14356" max="14356" width="10.7109375" style="187" customWidth="1"/>
    <col min="14357" max="14357" width="5.28515625" style="187" customWidth="1"/>
    <col min="14358" max="14358" width="15.42578125" style="187" bestFit="1" customWidth="1"/>
    <col min="14359" max="14359" width="10.42578125" style="187" bestFit="1" customWidth="1"/>
    <col min="14360" max="14593" width="9.140625" style="187"/>
    <col min="14594" max="14594" width="8.7109375" style="187" customWidth="1"/>
    <col min="14595" max="14595" width="17" style="187" customWidth="1"/>
    <col min="14596" max="14596" width="14.42578125" style="187" customWidth="1"/>
    <col min="14597" max="14597" width="10.28515625" style="187" customWidth="1"/>
    <col min="14598" max="14608" width="8.7109375" style="187" customWidth="1"/>
    <col min="14609" max="14609" width="9.7109375" style="187" customWidth="1"/>
    <col min="14610" max="14610" width="8.42578125" style="187" customWidth="1"/>
    <col min="14611" max="14611" width="9.140625" style="187"/>
    <col min="14612" max="14612" width="10.7109375" style="187" customWidth="1"/>
    <col min="14613" max="14613" width="5.28515625" style="187" customWidth="1"/>
    <col min="14614" max="14614" width="15.42578125" style="187" bestFit="1" customWidth="1"/>
    <col min="14615" max="14615" width="10.42578125" style="187" bestFit="1" customWidth="1"/>
    <col min="14616" max="14849" width="9.140625" style="187"/>
    <col min="14850" max="14850" width="8.7109375" style="187" customWidth="1"/>
    <col min="14851" max="14851" width="17" style="187" customWidth="1"/>
    <col min="14852" max="14852" width="14.42578125" style="187" customWidth="1"/>
    <col min="14853" max="14853" width="10.28515625" style="187" customWidth="1"/>
    <col min="14854" max="14864" width="8.7109375" style="187" customWidth="1"/>
    <col min="14865" max="14865" width="9.7109375" style="187" customWidth="1"/>
    <col min="14866" max="14866" width="8.42578125" style="187" customWidth="1"/>
    <col min="14867" max="14867" width="9.140625" style="187"/>
    <col min="14868" max="14868" width="10.7109375" style="187" customWidth="1"/>
    <col min="14869" max="14869" width="5.28515625" style="187" customWidth="1"/>
    <col min="14870" max="14870" width="15.42578125" style="187" bestFit="1" customWidth="1"/>
    <col min="14871" max="14871" width="10.42578125" style="187" bestFit="1" customWidth="1"/>
    <col min="14872" max="15105" width="9.140625" style="187"/>
    <col min="15106" max="15106" width="8.7109375" style="187" customWidth="1"/>
    <col min="15107" max="15107" width="17" style="187" customWidth="1"/>
    <col min="15108" max="15108" width="14.42578125" style="187" customWidth="1"/>
    <col min="15109" max="15109" width="10.28515625" style="187" customWidth="1"/>
    <col min="15110" max="15120" width="8.7109375" style="187" customWidth="1"/>
    <col min="15121" max="15121" width="9.7109375" style="187" customWidth="1"/>
    <col min="15122" max="15122" width="8.42578125" style="187" customWidth="1"/>
    <col min="15123" max="15123" width="9.140625" style="187"/>
    <col min="15124" max="15124" width="10.7109375" style="187" customWidth="1"/>
    <col min="15125" max="15125" width="5.28515625" style="187" customWidth="1"/>
    <col min="15126" max="15126" width="15.42578125" style="187" bestFit="1" customWidth="1"/>
    <col min="15127" max="15127" width="10.42578125" style="187" bestFit="1" customWidth="1"/>
    <col min="15128" max="15361" width="9.140625" style="187"/>
    <col min="15362" max="15362" width="8.7109375" style="187" customWidth="1"/>
    <col min="15363" max="15363" width="17" style="187" customWidth="1"/>
    <col min="15364" max="15364" width="14.42578125" style="187" customWidth="1"/>
    <col min="15365" max="15365" width="10.28515625" style="187" customWidth="1"/>
    <col min="15366" max="15376" width="8.7109375" style="187" customWidth="1"/>
    <col min="15377" max="15377" width="9.7109375" style="187" customWidth="1"/>
    <col min="15378" max="15378" width="8.42578125" style="187" customWidth="1"/>
    <col min="15379" max="15379" width="9.140625" style="187"/>
    <col min="15380" max="15380" width="10.7109375" style="187" customWidth="1"/>
    <col min="15381" max="15381" width="5.28515625" style="187" customWidth="1"/>
    <col min="15382" max="15382" width="15.42578125" style="187" bestFit="1" customWidth="1"/>
    <col min="15383" max="15383" width="10.42578125" style="187" bestFit="1" customWidth="1"/>
    <col min="15384" max="15617" width="9.140625" style="187"/>
    <col min="15618" max="15618" width="8.7109375" style="187" customWidth="1"/>
    <col min="15619" max="15619" width="17" style="187" customWidth="1"/>
    <col min="15620" max="15620" width="14.42578125" style="187" customWidth="1"/>
    <col min="15621" max="15621" width="10.28515625" style="187" customWidth="1"/>
    <col min="15622" max="15632" width="8.7109375" style="187" customWidth="1"/>
    <col min="15633" max="15633" width="9.7109375" style="187" customWidth="1"/>
    <col min="15634" max="15634" width="8.42578125" style="187" customWidth="1"/>
    <col min="15635" max="15635" width="9.140625" style="187"/>
    <col min="15636" max="15636" width="10.7109375" style="187" customWidth="1"/>
    <col min="15637" max="15637" width="5.28515625" style="187" customWidth="1"/>
    <col min="15638" max="15638" width="15.42578125" style="187" bestFit="1" customWidth="1"/>
    <col min="15639" max="15639" width="10.42578125" style="187" bestFit="1" customWidth="1"/>
    <col min="15640" max="15873" width="9.140625" style="187"/>
    <col min="15874" max="15874" width="8.7109375" style="187" customWidth="1"/>
    <col min="15875" max="15875" width="17" style="187" customWidth="1"/>
    <col min="15876" max="15876" width="14.42578125" style="187" customWidth="1"/>
    <col min="15877" max="15877" width="10.28515625" style="187" customWidth="1"/>
    <col min="15878" max="15888" width="8.7109375" style="187" customWidth="1"/>
    <col min="15889" max="15889" width="9.7109375" style="187" customWidth="1"/>
    <col min="15890" max="15890" width="8.42578125" style="187" customWidth="1"/>
    <col min="15891" max="15891" width="9.140625" style="187"/>
    <col min="15892" max="15892" width="10.7109375" style="187" customWidth="1"/>
    <col min="15893" max="15893" width="5.28515625" style="187" customWidth="1"/>
    <col min="15894" max="15894" width="15.42578125" style="187" bestFit="1" customWidth="1"/>
    <col min="15895" max="15895" width="10.42578125" style="187" bestFit="1" customWidth="1"/>
    <col min="15896" max="16129" width="9.140625" style="187"/>
    <col min="16130" max="16130" width="8.7109375" style="187" customWidth="1"/>
    <col min="16131" max="16131" width="17" style="187" customWidth="1"/>
    <col min="16132" max="16132" width="14.42578125" style="187" customWidth="1"/>
    <col min="16133" max="16133" width="10.28515625" style="187" customWidth="1"/>
    <col min="16134" max="16144" width="8.7109375" style="187" customWidth="1"/>
    <col min="16145" max="16145" width="9.7109375" style="187" customWidth="1"/>
    <col min="16146" max="16146" width="8.42578125" style="187" customWidth="1"/>
    <col min="16147" max="16147" width="9.140625" style="187"/>
    <col min="16148" max="16148" width="10.7109375" style="187" customWidth="1"/>
    <col min="16149" max="16149" width="5.28515625" style="187" customWidth="1"/>
    <col min="16150" max="16150" width="15.42578125" style="187" bestFit="1" customWidth="1"/>
    <col min="16151" max="16151" width="10.42578125" style="187" bestFit="1" customWidth="1"/>
    <col min="16152" max="16384" width="9.140625" style="187"/>
  </cols>
  <sheetData>
    <row r="1" spans="1:30" ht="12.75">
      <c r="A1" s="428" t="s">
        <v>0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430"/>
    </row>
    <row r="2" spans="1:30" ht="12.75">
      <c r="A2" s="431" t="s">
        <v>266</v>
      </c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3"/>
      <c r="Q2" s="188"/>
      <c r="R2" s="189"/>
      <c r="S2" s="190"/>
      <c r="T2" s="190"/>
    </row>
    <row r="3" spans="1:30" ht="12.75">
      <c r="A3" s="38"/>
      <c r="B3" s="39" t="s">
        <v>53</v>
      </c>
      <c r="C3" s="39"/>
      <c r="D3" s="40"/>
      <c r="E3" s="177" t="s">
        <v>271</v>
      </c>
      <c r="F3" s="178" t="s">
        <v>1</v>
      </c>
      <c r="G3" s="179">
        <v>7.27</v>
      </c>
      <c r="H3" s="45"/>
      <c r="I3" s="45"/>
      <c r="J3" s="46"/>
      <c r="K3" s="45"/>
      <c r="L3" s="45"/>
      <c r="M3" s="45"/>
      <c r="N3" s="45"/>
      <c r="O3" s="47"/>
      <c r="Q3" s="191" t="s">
        <v>95</v>
      </c>
      <c r="R3" s="192"/>
      <c r="S3" s="193"/>
      <c r="T3" s="194"/>
      <c r="U3" s="195"/>
      <c r="V3" s="196"/>
      <c r="W3" s="493"/>
      <c r="X3" s="493"/>
      <c r="Y3" s="493"/>
      <c r="Z3" s="196"/>
      <c r="AA3" s="196"/>
      <c r="AB3" s="196"/>
      <c r="AC3" s="196"/>
    </row>
    <row r="4" spans="1:30" ht="13.5" thickBot="1">
      <c r="A4" s="48"/>
      <c r="B4" s="49" t="s">
        <v>54</v>
      </c>
      <c r="C4" s="50"/>
      <c r="D4" s="49"/>
      <c r="E4" s="197" t="s">
        <v>257</v>
      </c>
      <c r="F4" s="49" t="s">
        <v>343</v>
      </c>
      <c r="G4" s="49"/>
      <c r="H4" s="39"/>
      <c r="I4" s="49"/>
      <c r="J4" s="49"/>
      <c r="K4" s="52" t="s">
        <v>2</v>
      </c>
      <c r="L4" s="52"/>
      <c r="M4" s="52"/>
      <c r="N4" s="52">
        <v>15</v>
      </c>
      <c r="O4" s="198" t="s">
        <v>3</v>
      </c>
      <c r="Q4" s="199"/>
      <c r="R4" s="192"/>
      <c r="S4" s="193"/>
      <c r="T4" s="194"/>
      <c r="U4" s="195"/>
      <c r="V4" s="196"/>
      <c r="W4" s="491"/>
      <c r="X4" s="200"/>
      <c r="Y4" s="196"/>
      <c r="Z4" s="491"/>
      <c r="AA4" s="200"/>
      <c r="AB4" s="196"/>
      <c r="AC4" s="196"/>
    </row>
    <row r="5" spans="1:30" ht="14.25" thickTop="1" thickBot="1">
      <c r="A5" s="48"/>
      <c r="B5" s="39" t="s">
        <v>4</v>
      </c>
      <c r="C5" s="39"/>
      <c r="D5" s="49"/>
      <c r="E5" s="197" t="s">
        <v>272</v>
      </c>
      <c r="F5" s="49"/>
      <c r="G5" s="49"/>
      <c r="H5" s="49"/>
      <c r="I5" s="49"/>
      <c r="J5" s="49"/>
      <c r="K5" s="234" t="s">
        <v>2</v>
      </c>
      <c r="L5" s="235"/>
      <c r="M5" s="235"/>
      <c r="N5" s="235">
        <v>25</v>
      </c>
      <c r="O5" s="236" t="s">
        <v>3</v>
      </c>
      <c r="Q5" s="187" t="s">
        <v>217</v>
      </c>
      <c r="R5" s="201">
        <f ca="1">'PERFIL BC03'!C16</f>
        <v>5.1960505735787459</v>
      </c>
      <c r="S5" s="202"/>
      <c r="T5" s="203"/>
      <c r="U5" s="196"/>
      <c r="V5" s="196"/>
      <c r="W5" s="491"/>
      <c r="X5" s="200"/>
      <c r="Y5" s="196"/>
      <c r="Z5" s="491"/>
      <c r="AA5" s="200"/>
      <c r="AB5" s="196"/>
      <c r="AC5" s="196"/>
    </row>
    <row r="6" spans="1:30" ht="14.25" thickTop="1" thickBot="1">
      <c r="A6" s="48"/>
      <c r="B6" s="39" t="s">
        <v>55</v>
      </c>
      <c r="C6" s="39"/>
      <c r="D6" s="49"/>
      <c r="E6" s="43">
        <f ca="1">VLOOKUP(F10,'AUX BACIAS'!$A$2:$D$10,3,0)</f>
        <v>5.5221223872321046</v>
      </c>
      <c r="F6" s="49"/>
      <c r="G6" s="49"/>
      <c r="H6" s="49"/>
      <c r="I6" s="49"/>
      <c r="J6" s="49"/>
      <c r="K6" s="150" t="s">
        <v>2</v>
      </c>
      <c r="L6" s="151"/>
      <c r="M6" s="151"/>
      <c r="N6" s="151">
        <v>50</v>
      </c>
      <c r="O6" s="237" t="s">
        <v>3</v>
      </c>
      <c r="Q6" s="187" t="s">
        <v>218</v>
      </c>
      <c r="R6" s="201">
        <f ca="1">100*(E8/(E7*1000))</f>
        <v>11.606984262330521</v>
      </c>
      <c r="S6" s="202"/>
      <c r="T6" s="203"/>
      <c r="U6" s="196"/>
      <c r="V6" s="196"/>
      <c r="W6" s="196"/>
      <c r="X6" s="196"/>
      <c r="Y6" s="196"/>
      <c r="Z6" s="196"/>
      <c r="AA6" s="196"/>
      <c r="AB6" s="196"/>
      <c r="AC6" s="196"/>
    </row>
    <row r="7" spans="1:30" ht="13.5" thickTop="1">
      <c r="A7" s="48"/>
      <c r="B7" s="39" t="s">
        <v>6</v>
      </c>
      <c r="C7" s="39"/>
      <c r="D7" s="49"/>
      <c r="E7" s="43">
        <f ca="1">(VLOOKUP(F10,'AUX BACIAS'!$A$2:$D$10,4,0)/1000)</f>
        <v>4.4800612135541158</v>
      </c>
      <c r="F7" s="49"/>
      <c r="G7" s="49"/>
      <c r="H7" s="49"/>
      <c r="I7" s="49"/>
      <c r="J7" s="49"/>
      <c r="K7" s="49" t="s">
        <v>2</v>
      </c>
      <c r="L7" s="49"/>
      <c r="M7" s="49"/>
      <c r="N7" s="49">
        <v>100</v>
      </c>
      <c r="O7" s="146" t="s">
        <v>3</v>
      </c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</row>
    <row r="8" spans="1:30" ht="12.75">
      <c r="A8" s="48"/>
      <c r="B8" s="39" t="s">
        <v>7</v>
      </c>
      <c r="C8" s="39"/>
      <c r="D8" s="49"/>
      <c r="E8" s="179">
        <f>(INDEX('PERFIL BC03'!$C:$C,MATCH("C",'PERFIL BC03'!$B:$B,0))-INDEX('PERFIL BC03'!$C:$C,MATCH("E",'PERFIL BC03'!$B:$B,0)))</f>
        <v>520</v>
      </c>
      <c r="F8" s="49"/>
      <c r="G8" s="49"/>
      <c r="H8" s="49"/>
      <c r="I8" s="49"/>
      <c r="J8" s="49"/>
      <c r="K8" s="49" t="s">
        <v>56</v>
      </c>
      <c r="L8" s="49"/>
      <c r="M8" s="49"/>
      <c r="N8" s="50"/>
      <c r="O8" s="53">
        <f ca="1">H23</f>
        <v>0.35000000000000003</v>
      </c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96"/>
      <c r="AC8" s="196"/>
    </row>
    <row r="9" spans="1:30" ht="12.75">
      <c r="A9" s="48"/>
      <c r="B9" s="39" t="s">
        <v>267</v>
      </c>
      <c r="C9" s="39"/>
      <c r="D9" s="49"/>
      <c r="E9" s="125">
        <f ca="1">IF(R5&gt;R6,R6,R5)</f>
        <v>5.1960505735787459</v>
      </c>
      <c r="G9" s="49"/>
      <c r="H9" s="49"/>
      <c r="I9" s="49"/>
      <c r="J9" s="49"/>
      <c r="K9" s="55" t="s">
        <v>5</v>
      </c>
      <c r="L9" s="49"/>
      <c r="M9" s="55"/>
      <c r="N9" s="56"/>
      <c r="O9" s="53">
        <f ca="1">IF(E6&lt;=0.8,0.39*(E7^2/E9)^0.385,0.59*(E7^2/E9)^0.385)</f>
        <v>0.99267344539695856</v>
      </c>
      <c r="Q9" s="204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</row>
    <row r="10" spans="1:30" ht="12.75">
      <c r="A10" s="38"/>
      <c r="B10" s="57"/>
      <c r="C10" s="57"/>
      <c r="D10" s="57"/>
      <c r="E10" s="101" t="s">
        <v>98</v>
      </c>
      <c r="F10" s="89" t="str" cm="1">
        <f t="array" aca="1" ref="F10" ca="1">MID(RIGHT(CELL("nome.arquivo",A1),LEN(CELL("nome.arquivo",A1)) - SEARCH("]",CELL("nome.arquivo",A1))),1,4)</f>
        <v>BC03</v>
      </c>
      <c r="G10" s="59"/>
      <c r="H10" s="60"/>
      <c r="I10" s="61"/>
      <c r="J10" s="45"/>
      <c r="K10" s="55" t="s">
        <v>268</v>
      </c>
      <c r="L10" s="45"/>
      <c r="M10" s="62"/>
      <c r="N10" s="63"/>
      <c r="O10" s="64">
        <f ca="1">MAX(0.5,MIN(1,4.38/(E6^0.2*E7)))</f>
        <v>0.69465466551839938</v>
      </c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</row>
    <row r="11" spans="1:30" ht="12.75">
      <c r="A11" s="38"/>
      <c r="B11" s="39" t="s">
        <v>215</v>
      </c>
      <c r="C11" s="205" t="str">
        <f ca="1">IF(E9&lt;=2,"Plano",IF(AND(E9&gt;2,E9&lt;=5),"Levemente ondulado",IF(AND(E9&gt;5,E9&lt;=10),"Ondulado",IF(AND(E9&gt;10,E9&lt;=20),"Muito ondulado",IF(AND(E9&gt;20,E9&lt;=50),"Montanhoso",IF(AND(E9&gt;50,E9&lt;=100),"Muito montanhoso","Escarpado"))))))</f>
        <v>Ondulado</v>
      </c>
      <c r="D11" s="57"/>
      <c r="E11" s="101"/>
      <c r="F11" s="58"/>
      <c r="G11" s="59"/>
      <c r="H11" s="60"/>
      <c r="I11" s="61"/>
      <c r="J11" s="45"/>
      <c r="K11" s="45"/>
      <c r="L11" s="45"/>
      <c r="M11" s="45"/>
      <c r="N11" s="45"/>
      <c r="O11" s="47"/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96"/>
      <c r="AC11" s="196"/>
    </row>
    <row r="12" spans="1:30" ht="24" customHeight="1">
      <c r="A12" s="38"/>
      <c r="B12" s="45" t="s">
        <v>205</v>
      </c>
      <c r="C12" s="136" t="s">
        <v>210</v>
      </c>
      <c r="D12" s="45"/>
      <c r="E12" s="44"/>
      <c r="F12" s="44"/>
      <c r="G12" s="44"/>
      <c r="H12" s="44"/>
      <c r="I12" s="45"/>
      <c r="J12" s="427" t="s">
        <v>57</v>
      </c>
      <c r="K12" s="427"/>
      <c r="L12" s="427"/>
      <c r="M12" s="427"/>
      <c r="N12" s="427"/>
      <c r="O12" s="65"/>
      <c r="Q12" s="112" t="s">
        <v>141</v>
      </c>
      <c r="R12" s="206"/>
      <c r="S12" s="206"/>
      <c r="T12" s="206"/>
      <c r="U12" s="206"/>
      <c r="V12" s="206"/>
      <c r="W12" s="196"/>
      <c r="X12" s="196"/>
      <c r="Y12" s="196"/>
      <c r="Z12" s="196"/>
      <c r="AA12" s="196"/>
      <c r="AB12" s="196"/>
      <c r="AC12" s="196"/>
    </row>
    <row r="13" spans="1:30" ht="15" customHeight="1">
      <c r="A13" s="38"/>
      <c r="B13" s="45" t="s">
        <v>220</v>
      </c>
      <c r="C13" s="45"/>
      <c r="D13" s="45"/>
      <c r="E13" s="45"/>
      <c r="F13" s="45"/>
      <c r="G13" s="45"/>
      <c r="H13" s="45"/>
      <c r="I13" s="45"/>
      <c r="J13" s="66" t="s">
        <v>58</v>
      </c>
      <c r="K13" s="207" t="s">
        <v>59</v>
      </c>
      <c r="L13" s="494" t="s">
        <v>60</v>
      </c>
      <c r="M13" s="495"/>
      <c r="N13" s="66" t="s">
        <v>61</v>
      </c>
      <c r="O13" s="67"/>
      <c r="Q13" s="112" t="str" cm="1">
        <f t="array" aca="1" ref="Q13" ca="1">IFERROR(_xlfn.LET(
_xlpm.Q,M20,
_xlpm.Tipos,[3]Base_Bueiros!$C$2:$C$10,
_xlpm.Dims,[3]Base_Bueiros!$D$2:$D$10,
_xlpm.Vazoes,[3]Base_Bueiros!$F$2:$F$10,
_xlpm.Diam,VALUE(_xlpm.Dims),
_xlpm.MenorDiam,_xlfn.AGGREGATE(15,6,_xlpm.Diam/(_xlpm.Vazoes&gt;=_xlpm.Q),1),
_xlpm.MenorVazao,_xlfn.AGGREGATE(15,6,_xlpm.Vazoes/((_xlpm.Vazoes&gt;=_xlpm.Q)*(_xlpm.Diam=_xlpm.MenorDiam)),1),
_xlpm.Linha,MATCH(_xlpm.MenorVazao,_xlpm.Vazoes,0),
INDEX(_xlpm.Tipos,_xlpm.Linha)&amp;" d="&amp;INDEX(_xlpm.Dims,_xlpm.Linha)&amp;"m"
),"Não atende em canal 15 anos. Dimensionar para 25 anos")</f>
        <v>Não atende em canal 15 anos. Dimensionar para 25 anos</v>
      </c>
      <c r="R13" s="206"/>
      <c r="S13" s="45">
        <f ca="1">IF(Q13="Não atende em canal 15 anos. Dimensionar para 25 anos",25,15)</f>
        <v>25</v>
      </c>
      <c r="T13" s="206"/>
      <c r="U13" s="206"/>
      <c r="V13" s="206"/>
      <c r="W13" s="196"/>
      <c r="X13" s="94" t="s">
        <v>269</v>
      </c>
      <c r="Y13" s="94" t="s">
        <v>1</v>
      </c>
      <c r="Z13" s="94" t="s">
        <v>270</v>
      </c>
      <c r="AA13" s="44"/>
      <c r="AB13" s="196" t="str">
        <f>'BC01 (RAC)'!AB13</f>
        <v>ax (1-24h)</v>
      </c>
      <c r="AC13" s="425" t="s">
        <v>216</v>
      </c>
      <c r="AD13" s="425"/>
    </row>
    <row r="14" spans="1:30" ht="15.75" thickBot="1">
      <c r="A14" s="38"/>
      <c r="B14" s="45"/>
      <c r="C14" s="45"/>
      <c r="D14" s="45"/>
      <c r="E14" s="45"/>
      <c r="F14" s="45"/>
      <c r="G14" s="45"/>
      <c r="H14" s="45"/>
      <c r="I14" s="45"/>
      <c r="J14" s="208" t="s">
        <v>62</v>
      </c>
      <c r="K14" s="209">
        <f ca="1">$O$9*60</f>
        <v>59.560406723817515</v>
      </c>
      <c r="L14" s="486">
        <f ca="1">IF($O$9&lt;=1,(X14*LN((K14/60)))+Z14,(AB14*LN((K14/60)))+Z14)</f>
        <v>83.185524703587618</v>
      </c>
      <c r="M14" s="486"/>
      <c r="N14" s="210">
        <f ca="1">L14/K14</f>
        <v>1.3966581035841499</v>
      </c>
      <c r="O14" s="67"/>
      <c r="Q14" s="112" t="str" cm="1">
        <f t="array" aca="1" ref="Q14" ca="1">IFERROR(_xlfn.LET(
_xlpm.Q,M21,
_xlpm.Tipos,[3]Base_Bueiros!$C$20:$C$28,
_xlpm.Dims,[3]Base_Bueiros!$D$20:$D$28,
_xlpm.Vazoes,[3]Base_Bueiros!$F$20:$F$28,
_xlpm.Diam,VALUE(_xlpm.Dims),
_xlpm.MenorDiam,_xlfn.AGGREGATE(15,6,_xlpm.Diam/(_xlpm.Vazoes&gt;=_xlpm.Q),1),
_xlpm.MenorVazao,_xlfn.AGGREGATE(15,6,_xlpm.Vazoes/((_xlpm.Vazoes&gt;=_xlpm.Q)*(_xlpm.Diam=_xlpm.MenorDiam)),1),
_xlpm.Linha,MATCH(_xlpm.MenorVazao,_xlpm.Vazoes,0),
_xlpm.Tipo,TRIM(IFERROR(LEFT(INDEX(_xlpm.Tipos,_xlpm.Linha),FIND(" OU ",INDEX(_xlpm.Tipos,_xlpm.Linha))-1),INDEX(_xlpm.Tipos,_xlpm.Linha))),
_xlpm.Tipo&amp;" d="&amp;INDEX(_xlpm.Dims,_xlpm.Linha)&amp;"m"
),"Não atende em orifício 25 anos. Dimensionar para 50 anos")</f>
        <v>Não atende em orifício 25 anos. Dimensionar para 50 anos</v>
      </c>
      <c r="R14" s="206"/>
      <c r="S14" s="45">
        <f ca="1">IF(Q14="Não atende em orifício 25 anos. Dimensionar para 50 anos",50,25)</f>
        <v>50</v>
      </c>
      <c r="T14" s="206"/>
      <c r="U14" s="206"/>
      <c r="V14" s="206"/>
      <c r="W14" s="196"/>
      <c r="X14" s="145">
        <f>'BC01 (RAC)'!X14</f>
        <v>26.41505980258199</v>
      </c>
      <c r="Y14" s="145"/>
      <c r="Z14" s="145">
        <f>'BC01 (RAC)'!Z14</f>
        <v>83.379768522636454</v>
      </c>
      <c r="AA14" s="145"/>
      <c r="AB14" s="145">
        <f>'BC01 (RAC)'!AB14</f>
        <v>24.188985755464877</v>
      </c>
      <c r="AC14" s="487" t="str">
        <f ca="1">IF(C11="Plano","Tabelado",IF(C11="Ondulado","Tabelado",IF(C11="Montanhoso","Tabelado","Ponderado")))</f>
        <v>Tabelado</v>
      </c>
      <c r="AD14" s="487"/>
    </row>
    <row r="15" spans="1:30" ht="16.5" thickTop="1" thickBot="1">
      <c r="A15" s="38"/>
      <c r="B15" s="45"/>
      <c r="C15" s="45"/>
      <c r="D15" s="45"/>
      <c r="E15" s="45"/>
      <c r="F15" s="45"/>
      <c r="G15" s="45"/>
      <c r="H15" s="45"/>
      <c r="I15" s="45"/>
      <c r="J15" s="238" t="s">
        <v>63</v>
      </c>
      <c r="K15" s="239">
        <f ca="1">$O$9*60</f>
        <v>59.560406723817515</v>
      </c>
      <c r="L15" s="489">
        <f ca="1">IF($O$9&lt;=1,(X15*LN((K15/60)))+Z15,(AB15*LN((K15/60)))+Z15)</f>
        <v>91.710847577528156</v>
      </c>
      <c r="M15" s="489"/>
      <c r="N15" s="240">
        <f ca="1">L15/K15</f>
        <v>1.5397955222635182</v>
      </c>
      <c r="O15" s="67"/>
      <c r="Q15" s="206"/>
      <c r="R15" s="214"/>
      <c r="S15" s="206"/>
      <c r="T15" s="206"/>
      <c r="U15" s="206"/>
      <c r="V15" s="206"/>
      <c r="W15" s="196"/>
      <c r="X15" s="145">
        <f>'BC01 (RAC)'!X15</f>
        <v>29.043206617627984</v>
      </c>
      <c r="Y15" s="145"/>
      <c r="Z15" s="145">
        <f>'BC01 (RAC)'!Z15</f>
        <v>91.924417541518196</v>
      </c>
      <c r="AA15" s="145"/>
      <c r="AB15" s="145">
        <f>'BC01 (RAC)'!AB15</f>
        <v>26.572791210671088</v>
      </c>
      <c r="AC15" s="488"/>
      <c r="AD15" s="488"/>
    </row>
    <row r="16" spans="1:30" ht="16.5" thickTop="1" thickBot="1">
      <c r="A16" s="38"/>
      <c r="B16" s="45"/>
      <c r="C16" s="45"/>
      <c r="D16" s="45"/>
      <c r="E16" s="45"/>
      <c r="F16" s="45"/>
      <c r="G16" s="45"/>
      <c r="H16" s="45"/>
      <c r="I16" s="45"/>
      <c r="J16" s="211" t="s">
        <v>64</v>
      </c>
      <c r="K16" s="212">
        <f ca="1">$O$9*60</f>
        <v>59.560406723817515</v>
      </c>
      <c r="L16" s="492">
        <f ca="1">IF($O$9&lt;=1,(X16*LN((K16/60)))+Z16,(AB16*LN((K16/60)))+Z16)</f>
        <v>102.80741801619843</v>
      </c>
      <c r="M16" s="492"/>
      <c r="N16" s="213">
        <f ca="1">L16/K16</f>
        <v>1.7261033574353839</v>
      </c>
      <c r="O16" s="67"/>
      <c r="Q16" s="206"/>
      <c r="R16" s="218"/>
      <c r="S16" s="196"/>
      <c r="T16" s="196"/>
      <c r="U16" s="196"/>
      <c r="V16" s="196"/>
      <c r="W16" s="196"/>
      <c r="X16" s="145">
        <f>'BC01 (RAC)'!X16</f>
        <v>32.437160263037789</v>
      </c>
      <c r="Y16" s="145"/>
      <c r="Z16" s="145">
        <f>'BC01 (RAC)'!Z16</f>
        <v>103.0459455052778</v>
      </c>
      <c r="AA16" s="145"/>
      <c r="AB16" s="145">
        <f>'BC01 (RAC)'!AB16</f>
        <v>29.77992314240781</v>
      </c>
      <c r="AC16" s="45"/>
      <c r="AD16" s="45"/>
    </row>
    <row r="17" spans="1:29" ht="15.75" thickTop="1">
      <c r="A17" s="38"/>
      <c r="B17" s="45"/>
      <c r="C17" s="45"/>
      <c r="D17" s="45"/>
      <c r="E17" s="45"/>
      <c r="F17" s="45"/>
      <c r="G17" s="45"/>
      <c r="H17" s="45"/>
      <c r="I17" s="68"/>
      <c r="J17" s="215" t="s">
        <v>65</v>
      </c>
      <c r="K17" s="216">
        <f ca="1">$O$9*60</f>
        <v>59.560406723817515</v>
      </c>
      <c r="L17" s="490">
        <f ca="1">IF($O$9&lt;=1,(X17*LN((K17/60)))+Z17,(AB17*LN((K17/60)))+Z17)</f>
        <v>113.58235649033888</v>
      </c>
      <c r="M17" s="490"/>
      <c r="N17" s="217">
        <f ca="1">L17/K17</f>
        <v>1.9070110957606778</v>
      </c>
      <c r="O17" s="67"/>
      <c r="Q17" s="206"/>
      <c r="R17" s="218"/>
      <c r="S17" s="196"/>
      <c r="T17" s="196"/>
      <c r="U17" s="196"/>
      <c r="V17" s="196"/>
      <c r="W17" s="196"/>
      <c r="X17" s="145">
        <f>'BC01 (RAC)'!X17</f>
        <v>37.177212539092373</v>
      </c>
      <c r="Y17" s="145"/>
      <c r="Z17" s="145">
        <f>'BC01 (RAC)'!Z17</f>
        <v>113.85574007527696</v>
      </c>
      <c r="AA17" s="145"/>
      <c r="AB17" s="145">
        <f>'BC01 (RAC)'!AB17</f>
        <v>33.004344811583479</v>
      </c>
      <c r="AC17" s="196"/>
    </row>
    <row r="18" spans="1:29" ht="15">
      <c r="A18" s="38"/>
      <c r="B18" s="475" t="s">
        <v>66</v>
      </c>
      <c r="C18" s="476"/>
      <c r="D18" s="476"/>
      <c r="E18" s="476"/>
      <c r="F18" s="476"/>
      <c r="G18" s="476"/>
      <c r="H18" s="477"/>
      <c r="I18" s="45"/>
      <c r="J18" s="45"/>
      <c r="K18" s="45"/>
      <c r="L18" s="45"/>
      <c r="M18" s="45"/>
      <c r="N18" s="45"/>
      <c r="O18" s="47"/>
      <c r="Q18" s="206"/>
      <c r="R18" s="218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</row>
    <row r="19" spans="1:29" ht="15">
      <c r="A19" s="38"/>
      <c r="B19" s="478"/>
      <c r="C19" s="479"/>
      <c r="D19" s="69" t="s">
        <v>67</v>
      </c>
      <c r="E19" s="69" t="s">
        <v>68</v>
      </c>
      <c r="F19" s="69" t="s">
        <v>44</v>
      </c>
      <c r="G19" s="69" t="s">
        <v>51</v>
      </c>
      <c r="H19" s="69"/>
      <c r="I19" s="45"/>
      <c r="J19" s="440" t="s">
        <v>9</v>
      </c>
      <c r="K19" s="442" t="s">
        <v>10</v>
      </c>
      <c r="L19" s="442"/>
      <c r="M19" s="442" t="s">
        <v>11</v>
      </c>
      <c r="N19" s="442"/>
      <c r="O19" s="47"/>
      <c r="Q19" s="206"/>
      <c r="R19" s="206"/>
      <c r="S19" s="196"/>
      <c r="T19" s="196"/>
      <c r="U19" s="196"/>
      <c r="V19" s="196"/>
      <c r="W19" s="196"/>
      <c r="X19" s="196"/>
      <c r="Y19" s="196"/>
      <c r="Z19" s="196"/>
      <c r="AA19" s="196"/>
      <c r="AB19" s="196"/>
      <c r="AC19" s="196"/>
    </row>
    <row r="20" spans="1:29" ht="15.75" thickBot="1">
      <c r="A20" s="38"/>
      <c r="B20" s="446" t="s">
        <v>69</v>
      </c>
      <c r="C20" s="446"/>
      <c r="D20" s="71">
        <f ca="1">E20*10^6</f>
        <v>5522122.3872321043</v>
      </c>
      <c r="E20" s="70">
        <f ca="1">E6</f>
        <v>5.5221223872321046</v>
      </c>
      <c r="F20" s="70" t="s">
        <v>25</v>
      </c>
      <c r="G20" s="70" t="s">
        <v>25</v>
      </c>
      <c r="H20" s="70" t="s">
        <v>25</v>
      </c>
      <c r="I20" s="45"/>
      <c r="J20" s="441"/>
      <c r="K20" s="483" t="s">
        <v>12</v>
      </c>
      <c r="L20" s="483"/>
      <c r="M20" s="404">
        <f ca="1">0.278*$O$8*(N14*60)*$E$6*$O$10</f>
        <v>31.277294606493893</v>
      </c>
      <c r="N20" s="405" t="s">
        <v>13</v>
      </c>
      <c r="O20" s="47"/>
      <c r="Q20" s="206"/>
      <c r="R20" s="206"/>
      <c r="S20" s="196"/>
      <c r="T20" s="196"/>
      <c r="U20" s="196"/>
      <c r="V20" s="196"/>
      <c r="W20" s="196"/>
      <c r="X20" s="196"/>
      <c r="Y20" s="196"/>
      <c r="Z20" s="196"/>
      <c r="AA20" s="196"/>
      <c r="AB20" s="196"/>
      <c r="AC20" s="196"/>
    </row>
    <row r="21" spans="1:29" ht="17.25" customHeight="1" thickTop="1" thickBot="1">
      <c r="A21" s="38"/>
      <c r="B21" s="446" t="s">
        <v>70</v>
      </c>
      <c r="C21" s="446"/>
      <c r="D21" s="220">
        <f ca="1">$D$20*G21</f>
        <v>3458505.2511234665</v>
      </c>
      <c r="E21" s="221">
        <f ca="1">D21/10^6</f>
        <v>3.4585052511234666</v>
      </c>
      <c r="F21" s="221" cm="1">
        <f t="array" aca="1" ref="F21" ca="1">_xlfn.LET(
_xlpm.superficie,B21,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_xlpm.col,MATCH(_xlpm.terreno,C_CN_IP03!$D$2:$I$2,0),
INDEX(C_CN_IP03!$D$4:$I$19,_xlpm.lin,_xlpm.col)
),
IF(
_xlpm.metodo="Ponderado",
IF(
_xlpm.terreno="Levemente ondulado",
AVERAGE(
INDEX(C_CN_IP03!$D$4:$I$19,_xlpm.lin,1),
INDEX(C_CN_IP03!$D$4:$I$19,_xlpm.lin,3)
),
IF(
_xlpm.terreno="Muito ondulado",
AVERAGE(
INDEX(C_CN_IP03!$D$4:$I$19,_xlpm.lin,3),
INDEX(C_CN_IP03!$D$4:$I$19,_xlpm.lin,5)
),
"Condição de terreno não reconhecida"
)
),
"Método não reconhecido"
)
)
)</f>
        <v>0.35</v>
      </c>
      <c r="G21" s="233">
        <v>0.62629999999999997</v>
      </c>
      <c r="H21" s="221">
        <f ca="1">(G21*(F21))</f>
        <v>0.21920499999999998</v>
      </c>
      <c r="I21" s="45"/>
      <c r="J21" s="441"/>
      <c r="K21" s="484" t="s">
        <v>14</v>
      </c>
      <c r="L21" s="485"/>
      <c r="M21" s="239">
        <f ca="1">0.278*$O$8*(N15*60)*$E$6*$O$10</f>
        <v>34.482768588822687</v>
      </c>
      <c r="N21" s="409" t="s">
        <v>13</v>
      </c>
      <c r="O21" s="47"/>
      <c r="Q21" s="219"/>
      <c r="R21" s="219"/>
    </row>
    <row r="22" spans="1:29" ht="17.25" customHeight="1" thickTop="1" thickBot="1">
      <c r="A22" s="38"/>
      <c r="B22" s="446" t="s">
        <v>71</v>
      </c>
      <c r="C22" s="446"/>
      <c r="D22" s="220">
        <f ca="1">$D$20*G22</f>
        <v>2063617.1361086373</v>
      </c>
      <c r="E22" s="221">
        <f ca="1">D22*(10^-6)</f>
        <v>2.0636171361086371</v>
      </c>
      <c r="F22" s="221" cm="1">
        <f t="array" aca="1" ref="F22" ca="1">_xlfn.LET(
_xlpm.superficie,B22,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_xlpm.col,MATCH(_xlpm.terreno,C_CN_IP03!$D$2:$I$2,0),
INDEX(C_CN_IP03!$D$4:$I$19,_xlpm.lin,_xlpm.col)
),
IF(
_xlpm.metodo="Ponderado",
IF(
_xlpm.terreno="Levemente ondulado",
AVERAGE(
INDEX(C_CN_IP03!$D$4:$I$19,_xlpm.lin,1),
INDEX(C_CN_IP03!$D$4:$I$19,_xlpm.lin,3)
),
IF(
_xlpm.terreno="Muito ondulado",
AVERAGE(
INDEX(C_CN_IP03!$D$4:$I$19,_xlpm.lin,3),
INDEX(C_CN_IP03!$D$4:$I$19,_xlpm.lin,5)
),
"Condição de terreno não reconhecida"
)
),
"Método não reconhecido"
)
)
)</f>
        <v>0.35</v>
      </c>
      <c r="G22" s="233">
        <v>0.37369999999999998</v>
      </c>
      <c r="H22" s="221">
        <f ca="1">(G22*(F22))</f>
        <v>0.13079499999999999</v>
      </c>
      <c r="I22" s="72"/>
      <c r="J22" s="441"/>
      <c r="K22" s="480" t="s">
        <v>75</v>
      </c>
      <c r="L22" s="481"/>
      <c r="M22" s="412">
        <f ca="1">0.278*$O$8*(N16*60)*$E$6*$O$10</f>
        <v>38.655017354082119</v>
      </c>
      <c r="N22" s="408" t="s">
        <v>13</v>
      </c>
      <c r="O22" s="47"/>
      <c r="Q22" s="219"/>
      <c r="R22" s="219"/>
    </row>
    <row r="23" spans="1:29" s="225" customFormat="1" ht="17.25" customHeight="1" thickTop="1">
      <c r="A23" s="222"/>
      <c r="B23" s="457" t="s">
        <v>72</v>
      </c>
      <c r="C23" s="457"/>
      <c r="D23" s="457"/>
      <c r="E23" s="457"/>
      <c r="F23" s="457"/>
      <c r="G23" s="457"/>
      <c r="H23" s="73">
        <f ca="1">_xlfn.CEILING.MATH(SUM(H21:H22),0.05)</f>
        <v>0.35000000000000003</v>
      </c>
      <c r="I23" s="223"/>
      <c r="J23" s="440"/>
      <c r="K23" s="482" t="s">
        <v>15</v>
      </c>
      <c r="L23" s="482"/>
      <c r="M23" s="410">
        <f ca="1">0.278*$O$8*(N17*60)*$E$6*$O$10</f>
        <v>42.706334289611441</v>
      </c>
      <c r="N23" s="411" t="s">
        <v>13</v>
      </c>
      <c r="O23" s="224"/>
      <c r="Q23" s="226"/>
      <c r="R23" s="226"/>
      <c r="S23" s="226"/>
      <c r="T23" s="226"/>
      <c r="U23" s="226"/>
      <c r="V23" s="226"/>
    </row>
    <row r="24" spans="1:29" ht="15">
      <c r="A24" s="38"/>
      <c r="B24" s="74" t="s">
        <v>73</v>
      </c>
      <c r="I24" s="72"/>
      <c r="J24" s="45"/>
      <c r="K24" s="45"/>
      <c r="L24" s="45"/>
      <c r="M24" s="45"/>
      <c r="N24" s="45"/>
      <c r="O24" s="47"/>
      <c r="Q24" s="219"/>
      <c r="R24" s="219"/>
      <c r="S24" s="219"/>
      <c r="T24" s="219"/>
      <c r="U24" s="219"/>
      <c r="V24" s="219"/>
    </row>
    <row r="25" spans="1:29" ht="15">
      <c r="A25" s="38"/>
      <c r="C25" s="75"/>
      <c r="D25" s="75"/>
      <c r="E25" s="75"/>
      <c r="F25" s="75"/>
      <c r="G25" s="75"/>
      <c r="H25" s="75"/>
      <c r="I25" s="72"/>
      <c r="J25" s="459" t="s">
        <v>74</v>
      </c>
      <c r="K25" s="442"/>
      <c r="L25" s="442"/>
      <c r="M25" s="442"/>
      <c r="N25" s="442"/>
      <c r="O25" s="47"/>
      <c r="Q25" s="219"/>
      <c r="R25" s="219"/>
      <c r="S25" s="219"/>
      <c r="T25" s="219"/>
      <c r="U25" s="219"/>
      <c r="V25" s="219"/>
    </row>
    <row r="26" spans="1:29" ht="15">
      <c r="A26" s="38"/>
      <c r="B26" s="45"/>
      <c r="C26" s="45"/>
      <c r="D26" s="45"/>
      <c r="E26" s="45"/>
      <c r="F26" s="45"/>
      <c r="G26" s="45"/>
      <c r="H26" s="45"/>
      <c r="I26" s="76"/>
      <c r="J26" s="461" t="str" cm="1">
        <f t="array" aca="1" ref="J26" ca="1">IFERROR(_xlfn.LET(
_xlpm.Func,"Orif",
_xlpm.Funcs,Base_Bueiros!$A$2:$A$37,
_xlpm.Tipos,Base_Bueiros!$C$2:$C$37,
_xlpm.Dims,Base_Bueiros!$D$2:$D$37,
_xlpm.Vazoes,Base_Bueiros!$F$2:$F$37,
_xlpm.DimNum,IFERROR(VALUE(TRIM(LEFT(_xlpm.Dims,FIND("x",_xlpm.Dims)-1))),VALUE(_xlpm.Dims)),
_xlpm.Linhas,IF(MID(_xlpm.Tipos,2,1)="T",3,IF(MID(_xlpm.Tipos,2,1)="D",2,1)),
_xlpm.EhTubular,MID(_xlpm.Tipos,3,1)="T",
_xlpm.QNec,IF(ISNUMBER(FIND("Orif",_xlpm.Func)),IF(_xlpm.EhTubular,M21,M22),IF(_xlpm.EhTubular,M20,M21)),
_xlpm.FiltroBase,(ISNUMBER(FIND(_xlpm.Func,_xlpm.Funcs)))*(_xlpm.Vazoes&gt;=_xlpm.QNec),
_xlpm.TemTubular,SUM(_xlpm.FiltroBase*_xlpm.EhTubular)&gt;0,
_xlpm.Filtro,_xlpm.FiltroBase*IF(_xlpm.TemTubular,_xlpm.EhTubular,NOT(_xlpm.EhTubular)),
_xlpm.Prior1,IF(_xlpm.EhTubular,_xlpm.DimNum,_xlpm.Linhas),
_xlpm.Prior2,IF(_xlpm.EhTubular,_xlpm.Linhas,_xlpm.DimNum),
_xlpm.MenorPrior1,_xlfn.AGGREGATE(15,6,_xlpm.Prior1/_xlpm.Filtro,1),
_xlpm.MenorPrior2,_xlfn.AGGREGATE(15,6,_xlpm.Prior2/(_xlpm.Filtro*(_xlpm.Prior1=_xlpm.MenorPrior1)),1),
_xlpm.MenorVazao,_xlfn.AGGREGATE(15,6,_xlpm.Vazoes/(_xlpm.Filtro*(_xlpm.Prior1=_xlpm.MenorPrior1)*(_xlpm.Prior2=_xlpm.MenorPrior2)),1),
_xlpm.Linha,MATCH(1,(_xlpm.Vazoes=_xlpm.MenorVazao)*(_xlpm.Filtro&gt;0),0),
_xlpm.Tipo,INDEX(_xlpm.Tipos,_xlpm.Linha),
_xlpm.Dim,INDEX(_xlpm.Dims,_xlpm.Linha),
_xlpm.EhTubularEscolhido,MID(_xlpm.Tipo,3,1)="T",
_xlpm.Tipo&amp;" "&amp;IF(_xlpm.EhTubularEscolhido,_xlpm.Dim&amp;"m",SUBSTITUTE(_xlpm.Dim,"0,00","")&amp;"m")
),"Ponte")</f>
        <v>BSCC 3,00 x 3,00m</v>
      </c>
      <c r="K26" s="461"/>
      <c r="L26" s="461"/>
      <c r="M26" s="461"/>
      <c r="N26" s="461"/>
      <c r="O26" s="47"/>
      <c r="Q26" s="219"/>
      <c r="R26" s="219"/>
      <c r="S26" s="219"/>
      <c r="T26" s="219"/>
      <c r="U26" s="219"/>
      <c r="V26" s="219"/>
    </row>
    <row r="27" spans="1:29" ht="15">
      <c r="A27" s="38"/>
      <c r="B27" s="45"/>
      <c r="C27" s="45"/>
      <c r="D27" s="45"/>
      <c r="E27" s="45"/>
      <c r="F27" s="45"/>
      <c r="G27" s="45"/>
      <c r="H27" s="45"/>
      <c r="I27" s="76"/>
      <c r="J27" s="45" t="s">
        <v>86</v>
      </c>
      <c r="K27" s="77"/>
      <c r="L27" s="77"/>
      <c r="M27" s="77"/>
      <c r="N27" s="77"/>
      <c r="O27" s="47"/>
      <c r="Q27" s="219"/>
      <c r="R27" s="219"/>
      <c r="S27" s="219"/>
      <c r="T27" s="219"/>
      <c r="U27" s="219"/>
      <c r="V27" s="219"/>
    </row>
    <row r="28" spans="1:29" ht="15" customHeight="1">
      <c r="A28" s="38"/>
      <c r="B28"/>
      <c r="C28"/>
      <c r="D28"/>
      <c r="E28"/>
      <c r="F28"/>
      <c r="G28"/>
      <c r="H28"/>
      <c r="I28" s="76"/>
      <c r="J28" s="45" t="s">
        <v>87</v>
      </c>
      <c r="K28" s="77"/>
      <c r="L28" s="77"/>
      <c r="M28" s="77"/>
      <c r="N28" s="77"/>
      <c r="O28" s="47"/>
      <c r="Q28" s="219"/>
      <c r="R28" s="219"/>
      <c r="S28" s="219"/>
      <c r="T28" s="219"/>
      <c r="U28" s="219"/>
      <c r="V28" s="219"/>
    </row>
    <row r="29" spans="1:29" ht="15">
      <c r="A29" s="38"/>
      <c r="B29"/>
      <c r="C29"/>
      <c r="D29"/>
      <c r="E29"/>
      <c r="F29"/>
      <c r="G29"/>
      <c r="H29"/>
      <c r="I29" s="76"/>
      <c r="J29" s="45"/>
      <c r="K29" s="77"/>
      <c r="L29" s="77"/>
      <c r="M29" s="77"/>
      <c r="N29" s="77"/>
      <c r="O29" s="47"/>
      <c r="Q29" s="219"/>
      <c r="R29" s="219"/>
      <c r="S29" s="219"/>
      <c r="T29" s="219"/>
      <c r="U29" s="219"/>
      <c r="V29" s="219"/>
    </row>
    <row r="30" spans="1:29" ht="15">
      <c r="A30" s="38"/>
      <c r="B30"/>
      <c r="C30"/>
      <c r="D30"/>
      <c r="E30"/>
      <c r="F30"/>
      <c r="G30"/>
      <c r="H30"/>
      <c r="I30" s="76"/>
      <c r="J30" s="459" t="s">
        <v>74</v>
      </c>
      <c r="K30" s="459"/>
      <c r="L30" s="459"/>
      <c r="M30" s="459"/>
      <c r="N30" s="459"/>
      <c r="O30" s="47"/>
      <c r="Q30" s="219"/>
      <c r="R30" s="219"/>
      <c r="S30" s="219"/>
      <c r="T30" s="219"/>
      <c r="U30" s="219"/>
      <c r="V30" s="219"/>
    </row>
    <row r="31" spans="1:29" ht="15">
      <c r="A31" s="38"/>
      <c r="B31" s="45"/>
      <c r="C31" s="45"/>
      <c r="D31" s="45"/>
      <c r="E31" s="45"/>
      <c r="F31" s="45"/>
      <c r="G31" s="45"/>
      <c r="H31" s="45"/>
      <c r="I31" s="76"/>
      <c r="J31" s="462" t="str" cm="1">
        <f t="array" aca="1" ref="J31" ca="1">IFERROR(_xlfn.LET(
_xlpm.Func,"Canal",
_xlpm.Funcs,Base_Bueiros!$A$2:$A$37,
_xlpm.Tipos,Base_Bueiros!$C$2:$C$37,
_xlpm.Dims,Base_Bueiros!$D$2:$D$37,
_xlpm.Vazoes,Base_Bueiros!$F$2:$F$37,
_xlpm.DimNum,IFERROR(VALUE(TRIM(LEFT(_xlpm.Dims,FIND("x",_xlpm.Dims)-1))),VALUE(_xlpm.Dims)),
_xlpm.Linhas,IF(MID(_xlpm.Tipos,2,1)="T",3,IF(MID(_xlpm.Tipos,2,1)="D",2,1)),
_xlpm.EhTubular,MID(_xlpm.Tipos,3,1)="T",
_xlpm.QNec,IF(ISNUMBER(FIND("Orif",_xlpm.Func)),IF(_xlpm.EhTubular,M21,M22),IF(_xlpm.EhTubular,M20,M21)),
_xlpm.FiltroBase,(ISNUMBER(FIND(_xlpm.Func,_xlpm.Funcs)))*(_xlpm.Vazoes&gt;=_xlpm.QNec),
_xlpm.TemTubular,SUM(_xlpm.FiltroBase*_xlpm.EhTubular)&gt;0,
_xlpm.Filtro,_xlpm.FiltroBase*IF(_xlpm.TemTubular,_xlpm.EhTubular,NOT(_xlpm.EhTubular)),
_xlpm.Prior1,IF(_xlpm.EhTubular,_xlpm.DimNum,_xlpm.Linhas),
_xlpm.Prior2,IF(_xlpm.EhTubular,_xlpm.Linhas,_xlpm.DimNum),
_xlpm.MenorPrior1,_xlfn.AGGREGATE(15,6,_xlpm.Prior1/_xlpm.Filtro,1),
_xlpm.MenorPrior2,_xlfn.AGGREGATE(15,6,_xlpm.Prior2/(_xlpm.Filtro*(_xlpm.Prior1=_xlpm.MenorPrior1)),1),
_xlpm.MenorVazao,_xlfn.AGGREGATE(15,6,_xlpm.Vazoes/(_xlpm.Filtro*(_xlpm.Prior1=_xlpm.MenorPrior1)*(_xlpm.Prior2=_xlpm.MenorPrior2)),1),
_xlpm.Linha,MATCH(1,(_xlpm.Vazoes=_xlpm.MenorVazao)*(_xlpm.Filtro&gt;0),0),
_xlpm.Tipo,INDEX(_xlpm.Tipos,_xlpm.Linha),
_xlpm.Dim,INDEX(_xlpm.Dims,_xlpm.Linha),
_xlpm.EhTubularEscolhido,MID(_xlpm.Tipo,3,1)="T",
_xlpm.Tipo&amp;" "&amp;IF(_xlpm.EhTubularEscolhido,_xlpm.Dim&amp;"m",SUBSTITUTE(_xlpm.Dim,"0,00","")&amp;"m")
),"Ponte")</f>
        <v>BDCC 3,00 x 3,00m</v>
      </c>
      <c r="K31" s="462"/>
      <c r="L31" s="462"/>
      <c r="M31" s="462"/>
      <c r="N31" s="462"/>
      <c r="O31" s="47"/>
      <c r="Q31" s="219"/>
      <c r="R31" s="219"/>
      <c r="S31" s="219"/>
      <c r="T31" s="219"/>
      <c r="U31" s="219"/>
      <c r="V31" s="219"/>
    </row>
    <row r="32" spans="1:29" ht="15">
      <c r="A32" s="38"/>
      <c r="B32" s="45"/>
      <c r="C32" s="45"/>
      <c r="D32" s="45"/>
      <c r="E32" s="45"/>
      <c r="F32" s="45"/>
      <c r="G32" s="45"/>
      <c r="H32" s="45"/>
      <c r="I32" s="76"/>
      <c r="J32" s="45" t="s">
        <v>88</v>
      </c>
      <c r="K32" s="77"/>
      <c r="L32" s="77"/>
      <c r="M32" s="77"/>
      <c r="N32" s="77"/>
      <c r="O32" s="47"/>
      <c r="Q32" s="219"/>
      <c r="R32" s="219"/>
      <c r="S32" s="219"/>
      <c r="T32" s="219"/>
      <c r="U32" s="219"/>
      <c r="V32" s="219"/>
    </row>
    <row r="33" spans="1:22" ht="15">
      <c r="A33" s="38"/>
      <c r="B33" s="45"/>
      <c r="C33" s="45"/>
      <c r="D33" s="45"/>
      <c r="E33" s="45"/>
      <c r="F33" s="45"/>
      <c r="G33" s="45"/>
      <c r="H33" s="45"/>
      <c r="I33" s="76"/>
      <c r="J33" s="77"/>
      <c r="K33" s="77"/>
      <c r="L33" s="77"/>
      <c r="M33" s="77"/>
      <c r="N33" s="77"/>
      <c r="O33" s="47"/>
      <c r="Q33" s="219"/>
      <c r="R33" s="219"/>
      <c r="S33" s="219"/>
      <c r="T33" s="219"/>
      <c r="U33" s="219"/>
      <c r="V33" s="219"/>
    </row>
    <row r="34" spans="1:22" ht="15">
      <c r="A34" s="38"/>
      <c r="B34" s="45"/>
      <c r="C34" s="45"/>
      <c r="D34" s="45"/>
      <c r="E34" s="45"/>
      <c r="F34" s="45"/>
      <c r="G34" s="45"/>
      <c r="H34" s="45"/>
      <c r="I34" s="76"/>
      <c r="J34" s="459" t="s">
        <v>408</v>
      </c>
      <c r="K34" s="459"/>
      <c r="L34" s="459"/>
      <c r="M34" s="459"/>
      <c r="N34" s="459"/>
      <c r="O34" s="47"/>
      <c r="Q34" s="219"/>
      <c r="R34" s="219"/>
      <c r="S34" s="219"/>
      <c r="T34" s="219"/>
      <c r="U34" s="219"/>
      <c r="V34" s="219"/>
    </row>
    <row r="35" spans="1:22" ht="15">
      <c r="A35" s="38"/>
      <c r="B35" s="45"/>
      <c r="C35" s="45"/>
      <c r="D35" s="45"/>
      <c r="E35" s="45"/>
      <c r="F35" s="45"/>
      <c r="G35" s="45"/>
      <c r="H35" s="45"/>
      <c r="I35" s="76"/>
      <c r="J35" s="452" t="str">
        <f>'Apresentação  - Est. Hid.'!AK21</f>
        <v>Ponte existente 9,50x4,00m</v>
      </c>
      <c r="K35" s="453"/>
      <c r="L35" s="453"/>
      <c r="M35" s="453"/>
      <c r="N35" s="453"/>
      <c r="O35" s="47"/>
      <c r="Q35" s="219"/>
      <c r="R35" s="219"/>
      <c r="S35" s="219"/>
      <c r="T35" s="219"/>
      <c r="U35" s="219"/>
      <c r="V35" s="219"/>
    </row>
    <row r="36" spans="1:22" ht="15">
      <c r="A36" s="38"/>
      <c r="B36" s="45"/>
      <c r="C36" s="45"/>
      <c r="D36" s="45"/>
      <c r="E36" s="45"/>
      <c r="F36" s="45"/>
      <c r="G36" s="45"/>
      <c r="H36" s="45"/>
      <c r="I36" s="76"/>
      <c r="J36"/>
      <c r="K36"/>
      <c r="L36"/>
      <c r="M36"/>
      <c r="N36"/>
      <c r="O36" s="47"/>
      <c r="Q36" s="219"/>
      <c r="R36" s="219"/>
      <c r="S36" s="219"/>
      <c r="T36" s="219"/>
      <c r="U36" s="219"/>
      <c r="V36" s="219"/>
    </row>
    <row r="37" spans="1:22" ht="15.75" thickBot="1">
      <c r="A37" s="79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1"/>
      <c r="Q37" s="219"/>
      <c r="R37" s="219"/>
      <c r="S37" s="219"/>
      <c r="T37" s="219"/>
      <c r="U37" s="219"/>
      <c r="V37" s="219"/>
    </row>
    <row r="38" spans="1:22" ht="15">
      <c r="Q38" s="219"/>
      <c r="R38" s="219"/>
      <c r="S38" s="219"/>
      <c r="T38" s="219"/>
      <c r="U38" s="219"/>
      <c r="V38" s="219"/>
    </row>
    <row r="40" spans="1:22">
      <c r="C40" s="196"/>
      <c r="D40" s="196"/>
      <c r="E40" s="196"/>
      <c r="F40" s="196"/>
      <c r="G40" s="196"/>
    </row>
    <row r="41" spans="1:22">
      <c r="C41" s="472"/>
      <c r="D41" s="472"/>
      <c r="E41" s="472"/>
      <c r="F41" s="473"/>
      <c r="G41" s="474"/>
      <c r="K41" s="227"/>
    </row>
    <row r="42" spans="1:22">
      <c r="C42" s="228"/>
      <c r="D42" s="229"/>
      <c r="E42" s="230"/>
      <c r="F42" s="229"/>
      <c r="G42" s="231"/>
    </row>
    <row r="43" spans="1:22">
      <c r="C43" s="228"/>
      <c r="D43" s="229"/>
      <c r="E43" s="230"/>
      <c r="F43" s="229"/>
      <c r="G43" s="231"/>
    </row>
    <row r="44" spans="1:22">
      <c r="C44" s="228"/>
      <c r="D44" s="229"/>
      <c r="E44" s="230"/>
      <c r="F44" s="229"/>
      <c r="G44" s="231"/>
    </row>
    <row r="45" spans="1:22">
      <c r="C45" s="228"/>
      <c r="D45" s="229"/>
      <c r="E45" s="230"/>
      <c r="F45" s="229"/>
      <c r="G45" s="231"/>
    </row>
    <row r="46" spans="1:22">
      <c r="C46" s="196"/>
      <c r="D46" s="196"/>
      <c r="E46" s="196"/>
      <c r="F46" s="196"/>
      <c r="G46" s="196"/>
    </row>
    <row r="47" spans="1:22">
      <c r="C47" s="196"/>
      <c r="D47" s="196"/>
      <c r="E47" s="196"/>
      <c r="F47" s="196"/>
      <c r="G47" s="196"/>
    </row>
    <row r="48" spans="1:22">
      <c r="C48" s="196"/>
      <c r="D48" s="196"/>
      <c r="E48" s="196"/>
      <c r="F48" s="196"/>
      <c r="G48" s="196"/>
    </row>
  </sheetData>
  <mergeCells count="34">
    <mergeCell ref="Z4:Z5"/>
    <mergeCell ref="J12:N12"/>
    <mergeCell ref="L16:M16"/>
    <mergeCell ref="A1:O1"/>
    <mergeCell ref="A2:O2"/>
    <mergeCell ref="W3:Y3"/>
    <mergeCell ref="W4:W5"/>
    <mergeCell ref="L13:M13"/>
    <mergeCell ref="AC13:AD13"/>
    <mergeCell ref="L14:M14"/>
    <mergeCell ref="AC14:AD15"/>
    <mergeCell ref="L15:M15"/>
    <mergeCell ref="L17:M17"/>
    <mergeCell ref="J25:N25"/>
    <mergeCell ref="J26:N26"/>
    <mergeCell ref="J30:N30"/>
    <mergeCell ref="B20:C20"/>
    <mergeCell ref="B22:C22"/>
    <mergeCell ref="J19:J23"/>
    <mergeCell ref="K19:L19"/>
    <mergeCell ref="M19:N19"/>
    <mergeCell ref="K20:L20"/>
    <mergeCell ref="K21:L21"/>
    <mergeCell ref="B18:H18"/>
    <mergeCell ref="B19:C19"/>
    <mergeCell ref="B21:C21"/>
    <mergeCell ref="K22:L22"/>
    <mergeCell ref="B23:G23"/>
    <mergeCell ref="K23:L23"/>
    <mergeCell ref="J34:N34"/>
    <mergeCell ref="J35:N35"/>
    <mergeCell ref="J31:N31"/>
    <mergeCell ref="C41:E41"/>
    <mergeCell ref="F41:G41"/>
  </mergeCells>
  <conditionalFormatting sqref="K4:O4">
    <cfRule type="expression" dxfId="133" priority="1">
      <formula>AND($M$22&lt;=79.73,OR($S$13=15,$S$13=25),$N$4=$S$13)</formula>
    </cfRule>
  </conditionalFormatting>
  <conditionalFormatting sqref="K5:O5">
    <cfRule type="expression" dxfId="132" priority="2">
      <formula>AND($M$22&lt;=79.73,OR($S$13=15,$S$13=25),$N$5=$S$13)</formula>
    </cfRule>
    <cfRule type="expression" dxfId="131" priority="3">
      <formula>AND($M$22&lt;=79.73,OR($S$14=25,$S$14=50),$N$5=$S$14)</formula>
    </cfRule>
  </conditionalFormatting>
  <conditionalFormatting sqref="K6:O6">
    <cfRule type="expression" dxfId="130" priority="4">
      <formula>AND($M$22&lt;=79.73,OR($S$14=25,$S$14=50),$N$6=$S$14)</formula>
    </cfRule>
  </conditionalFormatting>
  <conditionalFormatting sqref="K7:O7">
    <cfRule type="expression" dxfId="129" priority="5">
      <formula>AND($M$22&gt;79.73,$N$7=100)</formula>
    </cfRule>
  </conditionalFormatting>
  <conditionalFormatting sqref="J14:N14">
    <cfRule type="expression" dxfId="128" priority="6">
      <formula>AND($M$22&lt;=79.73,OR($S$13=15,$S$13=25),$S$13=15)</formula>
    </cfRule>
  </conditionalFormatting>
  <conditionalFormatting sqref="J15:N15">
    <cfRule type="expression" dxfId="127" priority="7">
      <formula>AND($M$22&lt;=79.73,OR($S$13=15,$S$13=25),$S$13=25)</formula>
    </cfRule>
    <cfRule type="expression" dxfId="126" priority="8">
      <formula>AND($M$22&lt;=79.73,OR($S$14=25,$S$14=50),$S$14=25)</formula>
    </cfRule>
  </conditionalFormatting>
  <conditionalFormatting sqref="J16:N16">
    <cfRule type="expression" dxfId="125" priority="9">
      <formula>AND($M$22&lt;=79.73,OR($S$14=25,$S$14=50),$S$14=50)</formula>
    </cfRule>
  </conditionalFormatting>
  <conditionalFormatting sqref="J17:N17">
    <cfRule type="expression" dxfId="124" priority="10">
      <formula>$M$22&gt;79.73</formula>
    </cfRule>
  </conditionalFormatting>
  <conditionalFormatting sqref="K20:N20">
    <cfRule type="expression" dxfId="123" priority="11">
      <formula>AND($M$22&lt;=79.73,OR($S$13=15,$S$13=25),$S$13=15)</formula>
    </cfRule>
  </conditionalFormatting>
  <conditionalFormatting sqref="K21:N21">
    <cfRule type="expression" dxfId="122" priority="12">
      <formula>AND($M$22&lt;=79.73,OR($S$13=15,$S$13=25),$S$13=25)</formula>
    </cfRule>
    <cfRule type="expression" dxfId="121" priority="13">
      <formula>AND($M$22&lt;=79.73,OR($S$14=25,$S$14=50),$S$14=25)</formula>
    </cfRule>
  </conditionalFormatting>
  <conditionalFormatting sqref="K22:N22">
    <cfRule type="expression" dxfId="120" priority="14">
      <formula>AND($M$22&lt;=79.73,OR($S$14=25,$S$14=50),$S$14=50)</formula>
    </cfRule>
  </conditionalFormatting>
  <conditionalFormatting sqref="K23:N23">
    <cfRule type="expression" dxfId="119" priority="15">
      <formula>$M$22&gt;79.73</formula>
    </cfRule>
  </conditionalFormatting>
  <dataValidations disablePrompts="1" count="3">
    <dataValidation type="list" allowBlank="1" showInputMessage="1" showErrorMessage="1" sqref="C11" xr:uid="{291C1D37-8814-4B91-9B4F-5408184B2067}">
      <formula1>"Plano,Levemente ondulado,Ondulado,Muito ondulado,Montanhoso,Muito montanhoso,Escarpado"</formula1>
    </dataValidation>
    <dataValidation type="list" allowBlank="1" showInputMessage="1" showErrorMessage="1" sqref="C12" xr:uid="{74AE7FE4-E85B-404A-9A27-76C234EDE71F}">
      <formula1>"A,B,C,D"</formula1>
    </dataValidation>
    <dataValidation type="list" allowBlank="1" showInputMessage="1" showErrorMessage="1" sqref="AC14" xr:uid="{CAC1FC38-2B41-42FA-91AE-B464DB28673F}">
      <formula1>"Tabelado,Ponderado"</formula1>
    </dataValidation>
  </dataValidations>
  <printOptions horizontalCentered="1" verticalCentered="1"/>
  <pageMargins left="0.39370078740157483" right="0.39370078740157483" top="0.74803149606299213" bottom="0.39370078740157483" header="0.23622047244094491" footer="0.31496062992125984"/>
  <pageSetup paperSize="9" scale="90" orientation="landscape" r:id="rId1"/>
  <headerFooter>
    <oddHeader xml:space="preserve">&amp;L&amp;"Times New Roman,Normal"&amp;12&amp;G&amp;C
&amp;R&amp;"Times New Roman,Negrito"&amp;12ANTEPROJETO DE ENGENHARIA RODOVIA GO-188
TRECHO: Entr. BR-070 (Ponte Alta) / GO-188
 (Div. GO/MT-Registro do Araguaia)
</oddHeader>
  </headerFooter>
  <colBreaks count="1" manualBreakCount="1">
    <brk id="15" max="1048575" man="1"/>
  </colBreaks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47FC-2C83-46F5-9F37-D64FEA6EF449}">
  <sheetPr codeName="Planilha16">
    <tabColor rgb="FF0070C0"/>
  </sheetPr>
  <dimension ref="B2:K22"/>
  <sheetViews>
    <sheetView showGridLines="0" zoomScaleNormal="100" zoomScaleSheetLayoutView="100" workbookViewId="0">
      <selection activeCell="N28" sqref="N28"/>
    </sheetView>
  </sheetViews>
  <sheetFormatPr defaultRowHeight="15"/>
  <cols>
    <col min="3" max="3" width="8.5703125" bestFit="1" customWidth="1"/>
    <col min="4" max="4" width="12.5703125" bestFit="1" customWidth="1"/>
    <col min="5" max="5" width="10.85546875" bestFit="1" customWidth="1"/>
    <col min="6" max="9" width="8.5703125" customWidth="1"/>
    <col min="10" max="10" width="11" bestFit="1" customWidth="1"/>
    <col min="14" max="14" width="10.42578125" customWidth="1"/>
  </cols>
  <sheetData>
    <row r="2" spans="2:11" ht="45.75" thickBot="1">
      <c r="B2" s="1" t="s">
        <v>37</v>
      </c>
      <c r="C2" s="1" t="s">
        <v>38</v>
      </c>
      <c r="D2" s="1" t="s">
        <v>39</v>
      </c>
      <c r="E2" s="1" t="s">
        <v>40</v>
      </c>
      <c r="F2" s="2" t="s">
        <v>41</v>
      </c>
      <c r="G2" s="2" t="s">
        <v>42</v>
      </c>
      <c r="H2" s="1" t="s">
        <v>43</v>
      </c>
      <c r="I2" s="3"/>
      <c r="J2" s="3"/>
    </row>
    <row r="3" spans="2:11" ht="15.75" thickBot="1">
      <c r="B3" s="14" t="s">
        <v>44</v>
      </c>
      <c r="C3" s="232">
        <v>1164</v>
      </c>
      <c r="D3" s="14">
        <v>0</v>
      </c>
      <c r="E3" s="13">
        <f>D3/1000</f>
        <v>0</v>
      </c>
      <c r="F3" s="13">
        <v>0</v>
      </c>
      <c r="G3" s="13">
        <v>0</v>
      </c>
      <c r="H3" s="13">
        <v>0</v>
      </c>
      <c r="J3" s="464" t="s">
        <v>198</v>
      </c>
      <c r="K3" s="465"/>
    </row>
    <row r="4" spans="2:11">
      <c r="B4" s="14">
        <v>2</v>
      </c>
      <c r="C4" s="232">
        <v>944</v>
      </c>
      <c r="D4" s="14">
        <v>500</v>
      </c>
      <c r="E4" s="12">
        <f>D4/1000</f>
        <v>0.5</v>
      </c>
      <c r="F4" s="13">
        <f>C3-C4</f>
        <v>220</v>
      </c>
      <c r="G4" s="12">
        <f>E4-E3</f>
        <v>0.5</v>
      </c>
      <c r="H4" s="12">
        <f t="shared" ref="H4:H11" si="0">F4/G4</f>
        <v>440</v>
      </c>
      <c r="J4" s="120" t="s">
        <v>199</v>
      </c>
      <c r="K4" s="124">
        <f ca="1">(((E12/((G4/SQRT(H4))+(G5/SQRT(H5))+(G6/SQRT(H6))+(G7/SQRT(H7))+(G8/SQRT(H8))+(G9/SQRT(H9))+(G10/SQRT(H10))+(G11/SQRT(H11))+(G12/SQRT(H12))))^2)/1000)*1000</f>
        <v>51.960505735787457</v>
      </c>
    </row>
    <row r="5" spans="2:11" ht="15.75" thickBot="1">
      <c r="B5" s="14">
        <v>3</v>
      </c>
      <c r="C5" s="232">
        <v>843</v>
      </c>
      <c r="D5" s="14">
        <f>D4+500</f>
        <v>1000</v>
      </c>
      <c r="E5" s="12">
        <f t="shared" ref="E5:E12" si="1">D5/1000</f>
        <v>1</v>
      </c>
      <c r="F5" s="13">
        <f t="shared" ref="F5:F12" si="2">C4-C5</f>
        <v>101</v>
      </c>
      <c r="G5" s="12">
        <f t="shared" ref="G5:G12" si="3">E5-E4</f>
        <v>0.5</v>
      </c>
      <c r="H5" s="12">
        <f t="shared" si="0"/>
        <v>202</v>
      </c>
      <c r="J5" s="121" t="s">
        <v>200</v>
      </c>
      <c r="K5" s="123">
        <f ca="1">((E12/((G4/SQRT(H4))+(G5/SQRT(H5))+(G6/SQRT(H6))+(G7/SQRT(H7))+(G8/SQRT(H8))+(G9/SQRT(H9))+(G10/SQRT(H10))+(G11/SQRT(H11))+(G12/SQRT(H12))))^2)/1000</f>
        <v>5.1960505735787456E-2</v>
      </c>
    </row>
    <row r="6" spans="2:11" ht="15.75" thickBot="1">
      <c r="B6" s="14">
        <v>4</v>
      </c>
      <c r="C6" s="232">
        <v>766</v>
      </c>
      <c r="D6" s="14">
        <f t="shared" ref="D6:D11" si="4">D5+500</f>
        <v>1500</v>
      </c>
      <c r="E6" s="12">
        <f t="shared" si="1"/>
        <v>1.5</v>
      </c>
      <c r="F6" s="13">
        <f t="shared" si="2"/>
        <v>77</v>
      </c>
      <c r="G6" s="12">
        <f t="shared" si="3"/>
        <v>0.5</v>
      </c>
      <c r="H6" s="12">
        <f t="shared" si="0"/>
        <v>154</v>
      </c>
      <c r="J6" s="119" t="s">
        <v>201</v>
      </c>
      <c r="K6" s="122">
        <f ca="1">(((E12/((G4/SQRT(H4))+(G5/SQRT(H5))+(G6/SQRT(H6))+(G7/SQRT(H7))+(G8/SQRT(H8))+(G9/SQRT(H9))+(G10/SQRT(H10))+(G11/SQRT(H11))+(G12/SQRT(H12))))^2)/1000)*100</f>
        <v>5.1960505735787459</v>
      </c>
    </row>
    <row r="7" spans="2:11">
      <c r="B7" s="14">
        <v>5</v>
      </c>
      <c r="C7" s="232">
        <v>721</v>
      </c>
      <c r="D7" s="14">
        <f t="shared" si="4"/>
        <v>2000</v>
      </c>
      <c r="E7" s="12">
        <f t="shared" si="1"/>
        <v>2</v>
      </c>
      <c r="F7" s="13">
        <f t="shared" si="2"/>
        <v>45</v>
      </c>
      <c r="G7" s="12">
        <f t="shared" si="3"/>
        <v>0.5</v>
      </c>
      <c r="H7" s="12">
        <f t="shared" si="0"/>
        <v>90</v>
      </c>
    </row>
    <row r="8" spans="2:11">
      <c r="B8" s="14">
        <v>6</v>
      </c>
      <c r="C8" s="232">
        <v>695</v>
      </c>
      <c r="D8" s="14">
        <f t="shared" si="4"/>
        <v>2500</v>
      </c>
      <c r="E8" s="12">
        <f t="shared" si="1"/>
        <v>2.5</v>
      </c>
      <c r="F8" s="13">
        <f t="shared" si="2"/>
        <v>26</v>
      </c>
      <c r="G8" s="12">
        <f t="shared" si="3"/>
        <v>0.5</v>
      </c>
      <c r="H8" s="12">
        <f t="shared" si="0"/>
        <v>52</v>
      </c>
    </row>
    <row r="9" spans="2:11">
      <c r="B9" s="14">
        <v>7</v>
      </c>
      <c r="C9" s="232">
        <v>676</v>
      </c>
      <c r="D9" s="14">
        <f t="shared" si="4"/>
        <v>3000</v>
      </c>
      <c r="E9" s="12">
        <f t="shared" si="1"/>
        <v>3</v>
      </c>
      <c r="F9" s="13">
        <f t="shared" si="2"/>
        <v>19</v>
      </c>
      <c r="G9" s="12">
        <f t="shared" si="3"/>
        <v>0.5</v>
      </c>
      <c r="H9" s="12">
        <f t="shared" si="0"/>
        <v>38</v>
      </c>
    </row>
    <row r="10" spans="2:11">
      <c r="B10" s="14">
        <v>8</v>
      </c>
      <c r="C10" s="232">
        <v>664</v>
      </c>
      <c r="D10" s="14">
        <f t="shared" si="4"/>
        <v>3500</v>
      </c>
      <c r="E10" s="12">
        <f t="shared" si="1"/>
        <v>3.5</v>
      </c>
      <c r="F10" s="13">
        <f t="shared" si="2"/>
        <v>12</v>
      </c>
      <c r="G10" s="12">
        <f t="shared" si="3"/>
        <v>0.5</v>
      </c>
      <c r="H10" s="12">
        <f t="shared" si="0"/>
        <v>24</v>
      </c>
    </row>
    <row r="11" spans="2:11">
      <c r="B11" s="14">
        <v>9</v>
      </c>
      <c r="C11" s="232">
        <v>654</v>
      </c>
      <c r="D11" s="14">
        <f t="shared" si="4"/>
        <v>4000</v>
      </c>
      <c r="E11" s="12">
        <f t="shared" si="1"/>
        <v>4</v>
      </c>
      <c r="F11" s="13">
        <f t="shared" si="2"/>
        <v>10</v>
      </c>
      <c r="G11" s="12">
        <f t="shared" si="3"/>
        <v>0.5</v>
      </c>
      <c r="H11" s="12">
        <f t="shared" si="0"/>
        <v>20</v>
      </c>
    </row>
    <row r="12" spans="2:11">
      <c r="B12" s="14" t="s">
        <v>33</v>
      </c>
      <c r="C12" s="232">
        <v>644</v>
      </c>
      <c r="D12" s="37">
        <f ca="1">'BC03 (RAC-MOD)'!E7*1000</f>
        <v>4480.061213554116</v>
      </c>
      <c r="E12" s="12">
        <f t="shared" ca="1" si="1"/>
        <v>4.4800612135541158</v>
      </c>
      <c r="F12" s="13">
        <f t="shared" si="2"/>
        <v>10</v>
      </c>
      <c r="G12" s="12">
        <f t="shared" ca="1" si="3"/>
        <v>0.4800612135541158</v>
      </c>
      <c r="H12" s="12">
        <f ca="1">F12/G12</f>
        <v>20.830676833825759</v>
      </c>
    </row>
    <row r="13" spans="2:11" ht="15.75" thickBot="1">
      <c r="B13" s="3"/>
      <c r="C13" s="93"/>
      <c r="D13" s="106"/>
      <c r="E13" s="107"/>
      <c r="F13" s="106"/>
      <c r="G13" s="107"/>
      <c r="H13" s="107"/>
    </row>
    <row r="14" spans="2:11" ht="15.75" thickBot="1">
      <c r="B14" s="4" t="s">
        <v>48</v>
      </c>
      <c r="C14" s="5">
        <f ca="1">(((E12/((G4/SQRT(H4))+(G5/SQRT(H5))+(G6/SQRT(H6))+(G7/SQRT(H7))+(G8/SQRT(H8))+(G9/SQRT(H9))+(G10/SQRT(H10))+(G11/SQRT(H11))+(G12/SQRT(H12))))^2)/1000)*1000</f>
        <v>51.960505735787457</v>
      </c>
      <c r="D14" s="6" t="s">
        <v>45</v>
      </c>
      <c r="E14" s="6" t="s">
        <v>49</v>
      </c>
      <c r="F14" s="6"/>
      <c r="G14" s="6"/>
      <c r="H14" s="7"/>
    </row>
    <row r="15" spans="2:11" ht="15.75" thickBot="1">
      <c r="B15" s="4" t="s">
        <v>48</v>
      </c>
      <c r="C15" s="8">
        <f ca="1">C14/1000</f>
        <v>5.1960505735787456E-2</v>
      </c>
      <c r="D15" s="6" t="s">
        <v>46</v>
      </c>
      <c r="E15" s="6" t="s">
        <v>50</v>
      </c>
      <c r="F15" s="6"/>
      <c r="G15" s="6"/>
      <c r="H15" s="7"/>
    </row>
    <row r="16" spans="2:11" ht="15.75" thickBot="1">
      <c r="B16" s="9" t="s">
        <v>48</v>
      </c>
      <c r="C16" s="108">
        <f ca="1">C15*100</f>
        <v>5.1960505735787459</v>
      </c>
      <c r="D16" s="10" t="s">
        <v>47</v>
      </c>
      <c r="E16" s="10" t="s">
        <v>51</v>
      </c>
      <c r="F16" s="10"/>
      <c r="G16" s="10"/>
      <c r="H16" s="11"/>
    </row>
    <row r="21" ht="13.5" customHeight="1"/>
    <row r="22" hidden="1"/>
  </sheetData>
  <mergeCells count="1">
    <mergeCell ref="J3:K3"/>
  </mergeCells>
  <pageMargins left="0.51181102362204722" right="0.51181102362204722" top="0.78740157480314965" bottom="0.78740157480314965" header="0.23622047244094491" footer="0.31496062992125984"/>
  <pageSetup paperSize="9" orientation="portrait" r:id="rId1"/>
  <headerFooter>
    <oddHeader xml:space="preserve">&amp;L&amp;G&amp;R&amp;"Times New Roman,Negrito"&amp;12ANTEPROJETO DE ENGENHARIA RODOVIA GO-188
TRECHO: Entr. BR-070 (Ponte Alta) / GO-188
 (Div. GO/MT-Registro do Araguaia)
</oddHead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4D3D-3258-4E0B-877E-3B8EA821AABB}">
  <sheetPr codeName="Planilha32">
    <tabColor rgb="FF0070C0"/>
  </sheetPr>
  <dimension ref="A1:AD48"/>
  <sheetViews>
    <sheetView showGridLines="0" zoomScaleNormal="100" zoomScaleSheetLayoutView="100" workbookViewId="0">
      <selection activeCell="V11" sqref="V11"/>
    </sheetView>
  </sheetViews>
  <sheetFormatPr defaultRowHeight="11.25"/>
  <cols>
    <col min="1" max="1" width="3.7109375" style="187" customWidth="1"/>
    <col min="2" max="2" width="12.7109375" style="187" customWidth="1"/>
    <col min="3" max="3" width="15.85546875" style="187" customWidth="1"/>
    <col min="4" max="4" width="13.42578125" style="187" customWidth="1"/>
    <col min="5" max="5" width="7.85546875" style="187" customWidth="1"/>
    <col min="6" max="6" width="5.7109375" style="187" customWidth="1"/>
    <col min="7" max="7" width="8.28515625" style="187" bestFit="1" customWidth="1"/>
    <col min="8" max="8" width="8.28515625" style="187" customWidth="1"/>
    <col min="9" max="9" width="9.5703125" style="187" customWidth="1"/>
    <col min="10" max="10" width="9.7109375" style="187" customWidth="1"/>
    <col min="11" max="11" width="15.7109375" style="187" customWidth="1"/>
    <col min="12" max="12" width="8.7109375" style="187" customWidth="1"/>
    <col min="13" max="13" width="6.28515625" style="187" bestFit="1" customWidth="1"/>
    <col min="14" max="14" width="10.42578125" style="187" customWidth="1"/>
    <col min="15" max="15" width="5.7109375" style="187" bestFit="1" customWidth="1"/>
    <col min="16" max="16" width="8.7109375" style="187" customWidth="1"/>
    <col min="17" max="17" width="20.7109375" style="187" customWidth="1"/>
    <col min="18" max="18" width="8.42578125" style="187" customWidth="1"/>
    <col min="19" max="19" width="12.5703125" style="187" bestFit="1" customWidth="1"/>
    <col min="20" max="20" width="12.28515625" style="187" bestFit="1" customWidth="1"/>
    <col min="21" max="21" width="5.28515625" style="187" customWidth="1"/>
    <col min="22" max="22" width="15.42578125" style="187" bestFit="1" customWidth="1"/>
    <col min="23" max="23" width="10.42578125" style="187" bestFit="1" customWidth="1"/>
    <col min="24" max="257" width="9.140625" style="187"/>
    <col min="258" max="258" width="8.7109375" style="187" customWidth="1"/>
    <col min="259" max="259" width="17" style="187" customWidth="1"/>
    <col min="260" max="260" width="14.42578125" style="187" customWidth="1"/>
    <col min="261" max="261" width="10.28515625" style="187" customWidth="1"/>
    <col min="262" max="272" width="8.7109375" style="187" customWidth="1"/>
    <col min="273" max="273" width="9.7109375" style="187" customWidth="1"/>
    <col min="274" max="274" width="8.42578125" style="187" customWidth="1"/>
    <col min="275" max="275" width="9.140625" style="187"/>
    <col min="276" max="276" width="10.7109375" style="187" customWidth="1"/>
    <col min="277" max="277" width="5.28515625" style="187" customWidth="1"/>
    <col min="278" max="278" width="15.42578125" style="187" bestFit="1" customWidth="1"/>
    <col min="279" max="279" width="10.42578125" style="187" bestFit="1" customWidth="1"/>
    <col min="280" max="513" width="9.140625" style="187"/>
    <col min="514" max="514" width="8.7109375" style="187" customWidth="1"/>
    <col min="515" max="515" width="17" style="187" customWidth="1"/>
    <col min="516" max="516" width="14.42578125" style="187" customWidth="1"/>
    <col min="517" max="517" width="10.28515625" style="187" customWidth="1"/>
    <col min="518" max="528" width="8.7109375" style="187" customWidth="1"/>
    <col min="529" max="529" width="9.7109375" style="187" customWidth="1"/>
    <col min="530" max="530" width="8.42578125" style="187" customWidth="1"/>
    <col min="531" max="531" width="9.140625" style="187"/>
    <col min="532" max="532" width="10.7109375" style="187" customWidth="1"/>
    <col min="533" max="533" width="5.28515625" style="187" customWidth="1"/>
    <col min="534" max="534" width="15.42578125" style="187" bestFit="1" customWidth="1"/>
    <col min="535" max="535" width="10.42578125" style="187" bestFit="1" customWidth="1"/>
    <col min="536" max="769" width="9.140625" style="187"/>
    <col min="770" max="770" width="8.7109375" style="187" customWidth="1"/>
    <col min="771" max="771" width="17" style="187" customWidth="1"/>
    <col min="772" max="772" width="14.42578125" style="187" customWidth="1"/>
    <col min="773" max="773" width="10.28515625" style="187" customWidth="1"/>
    <col min="774" max="784" width="8.7109375" style="187" customWidth="1"/>
    <col min="785" max="785" width="9.7109375" style="187" customWidth="1"/>
    <col min="786" max="786" width="8.42578125" style="187" customWidth="1"/>
    <col min="787" max="787" width="9.140625" style="187"/>
    <col min="788" max="788" width="10.7109375" style="187" customWidth="1"/>
    <col min="789" max="789" width="5.28515625" style="187" customWidth="1"/>
    <col min="790" max="790" width="15.42578125" style="187" bestFit="1" customWidth="1"/>
    <col min="791" max="791" width="10.42578125" style="187" bestFit="1" customWidth="1"/>
    <col min="792" max="1025" width="9.140625" style="187"/>
    <col min="1026" max="1026" width="8.7109375" style="187" customWidth="1"/>
    <col min="1027" max="1027" width="17" style="187" customWidth="1"/>
    <col min="1028" max="1028" width="14.42578125" style="187" customWidth="1"/>
    <col min="1029" max="1029" width="10.28515625" style="187" customWidth="1"/>
    <col min="1030" max="1040" width="8.7109375" style="187" customWidth="1"/>
    <col min="1041" max="1041" width="9.7109375" style="187" customWidth="1"/>
    <col min="1042" max="1042" width="8.42578125" style="187" customWidth="1"/>
    <col min="1043" max="1043" width="9.140625" style="187"/>
    <col min="1044" max="1044" width="10.7109375" style="187" customWidth="1"/>
    <col min="1045" max="1045" width="5.28515625" style="187" customWidth="1"/>
    <col min="1046" max="1046" width="15.42578125" style="187" bestFit="1" customWidth="1"/>
    <col min="1047" max="1047" width="10.42578125" style="187" bestFit="1" customWidth="1"/>
    <col min="1048" max="1281" width="9.140625" style="187"/>
    <col min="1282" max="1282" width="8.7109375" style="187" customWidth="1"/>
    <col min="1283" max="1283" width="17" style="187" customWidth="1"/>
    <col min="1284" max="1284" width="14.42578125" style="187" customWidth="1"/>
    <col min="1285" max="1285" width="10.28515625" style="187" customWidth="1"/>
    <col min="1286" max="1296" width="8.7109375" style="187" customWidth="1"/>
    <col min="1297" max="1297" width="9.7109375" style="187" customWidth="1"/>
    <col min="1298" max="1298" width="8.42578125" style="187" customWidth="1"/>
    <col min="1299" max="1299" width="9.140625" style="187"/>
    <col min="1300" max="1300" width="10.7109375" style="187" customWidth="1"/>
    <col min="1301" max="1301" width="5.28515625" style="187" customWidth="1"/>
    <col min="1302" max="1302" width="15.42578125" style="187" bestFit="1" customWidth="1"/>
    <col min="1303" max="1303" width="10.42578125" style="187" bestFit="1" customWidth="1"/>
    <col min="1304" max="1537" width="9.140625" style="187"/>
    <col min="1538" max="1538" width="8.7109375" style="187" customWidth="1"/>
    <col min="1539" max="1539" width="17" style="187" customWidth="1"/>
    <col min="1540" max="1540" width="14.42578125" style="187" customWidth="1"/>
    <col min="1541" max="1541" width="10.28515625" style="187" customWidth="1"/>
    <col min="1542" max="1552" width="8.7109375" style="187" customWidth="1"/>
    <col min="1553" max="1553" width="9.7109375" style="187" customWidth="1"/>
    <col min="1554" max="1554" width="8.42578125" style="187" customWidth="1"/>
    <col min="1555" max="1555" width="9.140625" style="187"/>
    <col min="1556" max="1556" width="10.7109375" style="187" customWidth="1"/>
    <col min="1557" max="1557" width="5.28515625" style="187" customWidth="1"/>
    <col min="1558" max="1558" width="15.42578125" style="187" bestFit="1" customWidth="1"/>
    <col min="1559" max="1559" width="10.42578125" style="187" bestFit="1" customWidth="1"/>
    <col min="1560" max="1793" width="9.140625" style="187"/>
    <col min="1794" max="1794" width="8.7109375" style="187" customWidth="1"/>
    <col min="1795" max="1795" width="17" style="187" customWidth="1"/>
    <col min="1796" max="1796" width="14.42578125" style="187" customWidth="1"/>
    <col min="1797" max="1797" width="10.28515625" style="187" customWidth="1"/>
    <col min="1798" max="1808" width="8.7109375" style="187" customWidth="1"/>
    <col min="1809" max="1809" width="9.7109375" style="187" customWidth="1"/>
    <col min="1810" max="1810" width="8.42578125" style="187" customWidth="1"/>
    <col min="1811" max="1811" width="9.140625" style="187"/>
    <col min="1812" max="1812" width="10.7109375" style="187" customWidth="1"/>
    <col min="1813" max="1813" width="5.28515625" style="187" customWidth="1"/>
    <col min="1814" max="1814" width="15.42578125" style="187" bestFit="1" customWidth="1"/>
    <col min="1815" max="1815" width="10.42578125" style="187" bestFit="1" customWidth="1"/>
    <col min="1816" max="2049" width="9.140625" style="187"/>
    <col min="2050" max="2050" width="8.7109375" style="187" customWidth="1"/>
    <col min="2051" max="2051" width="17" style="187" customWidth="1"/>
    <col min="2052" max="2052" width="14.42578125" style="187" customWidth="1"/>
    <col min="2053" max="2053" width="10.28515625" style="187" customWidth="1"/>
    <col min="2054" max="2064" width="8.7109375" style="187" customWidth="1"/>
    <col min="2065" max="2065" width="9.7109375" style="187" customWidth="1"/>
    <col min="2066" max="2066" width="8.42578125" style="187" customWidth="1"/>
    <col min="2067" max="2067" width="9.140625" style="187"/>
    <col min="2068" max="2068" width="10.7109375" style="187" customWidth="1"/>
    <col min="2069" max="2069" width="5.28515625" style="187" customWidth="1"/>
    <col min="2070" max="2070" width="15.42578125" style="187" bestFit="1" customWidth="1"/>
    <col min="2071" max="2071" width="10.42578125" style="187" bestFit="1" customWidth="1"/>
    <col min="2072" max="2305" width="9.140625" style="187"/>
    <col min="2306" max="2306" width="8.7109375" style="187" customWidth="1"/>
    <col min="2307" max="2307" width="17" style="187" customWidth="1"/>
    <col min="2308" max="2308" width="14.42578125" style="187" customWidth="1"/>
    <col min="2309" max="2309" width="10.28515625" style="187" customWidth="1"/>
    <col min="2310" max="2320" width="8.7109375" style="187" customWidth="1"/>
    <col min="2321" max="2321" width="9.7109375" style="187" customWidth="1"/>
    <col min="2322" max="2322" width="8.42578125" style="187" customWidth="1"/>
    <col min="2323" max="2323" width="9.140625" style="187"/>
    <col min="2324" max="2324" width="10.7109375" style="187" customWidth="1"/>
    <col min="2325" max="2325" width="5.28515625" style="187" customWidth="1"/>
    <col min="2326" max="2326" width="15.42578125" style="187" bestFit="1" customWidth="1"/>
    <col min="2327" max="2327" width="10.42578125" style="187" bestFit="1" customWidth="1"/>
    <col min="2328" max="2561" width="9.140625" style="187"/>
    <col min="2562" max="2562" width="8.7109375" style="187" customWidth="1"/>
    <col min="2563" max="2563" width="17" style="187" customWidth="1"/>
    <col min="2564" max="2564" width="14.42578125" style="187" customWidth="1"/>
    <col min="2565" max="2565" width="10.28515625" style="187" customWidth="1"/>
    <col min="2566" max="2576" width="8.7109375" style="187" customWidth="1"/>
    <col min="2577" max="2577" width="9.7109375" style="187" customWidth="1"/>
    <col min="2578" max="2578" width="8.42578125" style="187" customWidth="1"/>
    <col min="2579" max="2579" width="9.140625" style="187"/>
    <col min="2580" max="2580" width="10.7109375" style="187" customWidth="1"/>
    <col min="2581" max="2581" width="5.28515625" style="187" customWidth="1"/>
    <col min="2582" max="2582" width="15.42578125" style="187" bestFit="1" customWidth="1"/>
    <col min="2583" max="2583" width="10.42578125" style="187" bestFit="1" customWidth="1"/>
    <col min="2584" max="2817" width="9.140625" style="187"/>
    <col min="2818" max="2818" width="8.7109375" style="187" customWidth="1"/>
    <col min="2819" max="2819" width="17" style="187" customWidth="1"/>
    <col min="2820" max="2820" width="14.42578125" style="187" customWidth="1"/>
    <col min="2821" max="2821" width="10.28515625" style="187" customWidth="1"/>
    <col min="2822" max="2832" width="8.7109375" style="187" customWidth="1"/>
    <col min="2833" max="2833" width="9.7109375" style="187" customWidth="1"/>
    <col min="2834" max="2834" width="8.42578125" style="187" customWidth="1"/>
    <col min="2835" max="2835" width="9.140625" style="187"/>
    <col min="2836" max="2836" width="10.7109375" style="187" customWidth="1"/>
    <col min="2837" max="2837" width="5.28515625" style="187" customWidth="1"/>
    <col min="2838" max="2838" width="15.42578125" style="187" bestFit="1" customWidth="1"/>
    <col min="2839" max="2839" width="10.42578125" style="187" bestFit="1" customWidth="1"/>
    <col min="2840" max="3073" width="9.140625" style="187"/>
    <col min="3074" max="3074" width="8.7109375" style="187" customWidth="1"/>
    <col min="3075" max="3075" width="17" style="187" customWidth="1"/>
    <col min="3076" max="3076" width="14.42578125" style="187" customWidth="1"/>
    <col min="3077" max="3077" width="10.28515625" style="187" customWidth="1"/>
    <col min="3078" max="3088" width="8.7109375" style="187" customWidth="1"/>
    <col min="3089" max="3089" width="9.7109375" style="187" customWidth="1"/>
    <col min="3090" max="3090" width="8.42578125" style="187" customWidth="1"/>
    <col min="3091" max="3091" width="9.140625" style="187"/>
    <col min="3092" max="3092" width="10.7109375" style="187" customWidth="1"/>
    <col min="3093" max="3093" width="5.28515625" style="187" customWidth="1"/>
    <col min="3094" max="3094" width="15.42578125" style="187" bestFit="1" customWidth="1"/>
    <col min="3095" max="3095" width="10.42578125" style="187" bestFit="1" customWidth="1"/>
    <col min="3096" max="3329" width="9.140625" style="187"/>
    <col min="3330" max="3330" width="8.7109375" style="187" customWidth="1"/>
    <col min="3331" max="3331" width="17" style="187" customWidth="1"/>
    <col min="3332" max="3332" width="14.42578125" style="187" customWidth="1"/>
    <col min="3333" max="3333" width="10.28515625" style="187" customWidth="1"/>
    <col min="3334" max="3344" width="8.7109375" style="187" customWidth="1"/>
    <col min="3345" max="3345" width="9.7109375" style="187" customWidth="1"/>
    <col min="3346" max="3346" width="8.42578125" style="187" customWidth="1"/>
    <col min="3347" max="3347" width="9.140625" style="187"/>
    <col min="3348" max="3348" width="10.7109375" style="187" customWidth="1"/>
    <col min="3349" max="3349" width="5.28515625" style="187" customWidth="1"/>
    <col min="3350" max="3350" width="15.42578125" style="187" bestFit="1" customWidth="1"/>
    <col min="3351" max="3351" width="10.42578125" style="187" bestFit="1" customWidth="1"/>
    <col min="3352" max="3585" width="9.140625" style="187"/>
    <col min="3586" max="3586" width="8.7109375" style="187" customWidth="1"/>
    <col min="3587" max="3587" width="17" style="187" customWidth="1"/>
    <col min="3588" max="3588" width="14.42578125" style="187" customWidth="1"/>
    <col min="3589" max="3589" width="10.28515625" style="187" customWidth="1"/>
    <col min="3590" max="3600" width="8.7109375" style="187" customWidth="1"/>
    <col min="3601" max="3601" width="9.7109375" style="187" customWidth="1"/>
    <col min="3602" max="3602" width="8.42578125" style="187" customWidth="1"/>
    <col min="3603" max="3603" width="9.140625" style="187"/>
    <col min="3604" max="3604" width="10.7109375" style="187" customWidth="1"/>
    <col min="3605" max="3605" width="5.28515625" style="187" customWidth="1"/>
    <col min="3606" max="3606" width="15.42578125" style="187" bestFit="1" customWidth="1"/>
    <col min="3607" max="3607" width="10.42578125" style="187" bestFit="1" customWidth="1"/>
    <col min="3608" max="3841" width="9.140625" style="187"/>
    <col min="3842" max="3842" width="8.7109375" style="187" customWidth="1"/>
    <col min="3843" max="3843" width="17" style="187" customWidth="1"/>
    <col min="3844" max="3844" width="14.42578125" style="187" customWidth="1"/>
    <col min="3845" max="3845" width="10.28515625" style="187" customWidth="1"/>
    <col min="3846" max="3856" width="8.7109375" style="187" customWidth="1"/>
    <col min="3857" max="3857" width="9.7109375" style="187" customWidth="1"/>
    <col min="3858" max="3858" width="8.42578125" style="187" customWidth="1"/>
    <col min="3859" max="3859" width="9.140625" style="187"/>
    <col min="3860" max="3860" width="10.7109375" style="187" customWidth="1"/>
    <col min="3861" max="3861" width="5.28515625" style="187" customWidth="1"/>
    <col min="3862" max="3862" width="15.42578125" style="187" bestFit="1" customWidth="1"/>
    <col min="3863" max="3863" width="10.42578125" style="187" bestFit="1" customWidth="1"/>
    <col min="3864" max="4097" width="9.140625" style="187"/>
    <col min="4098" max="4098" width="8.7109375" style="187" customWidth="1"/>
    <col min="4099" max="4099" width="17" style="187" customWidth="1"/>
    <col min="4100" max="4100" width="14.42578125" style="187" customWidth="1"/>
    <col min="4101" max="4101" width="10.28515625" style="187" customWidth="1"/>
    <col min="4102" max="4112" width="8.7109375" style="187" customWidth="1"/>
    <col min="4113" max="4113" width="9.7109375" style="187" customWidth="1"/>
    <col min="4114" max="4114" width="8.42578125" style="187" customWidth="1"/>
    <col min="4115" max="4115" width="9.140625" style="187"/>
    <col min="4116" max="4116" width="10.7109375" style="187" customWidth="1"/>
    <col min="4117" max="4117" width="5.28515625" style="187" customWidth="1"/>
    <col min="4118" max="4118" width="15.42578125" style="187" bestFit="1" customWidth="1"/>
    <col min="4119" max="4119" width="10.42578125" style="187" bestFit="1" customWidth="1"/>
    <col min="4120" max="4353" width="9.140625" style="187"/>
    <col min="4354" max="4354" width="8.7109375" style="187" customWidth="1"/>
    <col min="4355" max="4355" width="17" style="187" customWidth="1"/>
    <col min="4356" max="4356" width="14.42578125" style="187" customWidth="1"/>
    <col min="4357" max="4357" width="10.28515625" style="187" customWidth="1"/>
    <col min="4358" max="4368" width="8.7109375" style="187" customWidth="1"/>
    <col min="4369" max="4369" width="9.7109375" style="187" customWidth="1"/>
    <col min="4370" max="4370" width="8.42578125" style="187" customWidth="1"/>
    <col min="4371" max="4371" width="9.140625" style="187"/>
    <col min="4372" max="4372" width="10.7109375" style="187" customWidth="1"/>
    <col min="4373" max="4373" width="5.28515625" style="187" customWidth="1"/>
    <col min="4374" max="4374" width="15.42578125" style="187" bestFit="1" customWidth="1"/>
    <col min="4375" max="4375" width="10.42578125" style="187" bestFit="1" customWidth="1"/>
    <col min="4376" max="4609" width="9.140625" style="187"/>
    <col min="4610" max="4610" width="8.7109375" style="187" customWidth="1"/>
    <col min="4611" max="4611" width="17" style="187" customWidth="1"/>
    <col min="4612" max="4612" width="14.42578125" style="187" customWidth="1"/>
    <col min="4613" max="4613" width="10.28515625" style="187" customWidth="1"/>
    <col min="4614" max="4624" width="8.7109375" style="187" customWidth="1"/>
    <col min="4625" max="4625" width="9.7109375" style="187" customWidth="1"/>
    <col min="4626" max="4626" width="8.42578125" style="187" customWidth="1"/>
    <col min="4627" max="4627" width="9.140625" style="187"/>
    <col min="4628" max="4628" width="10.7109375" style="187" customWidth="1"/>
    <col min="4629" max="4629" width="5.28515625" style="187" customWidth="1"/>
    <col min="4630" max="4630" width="15.42578125" style="187" bestFit="1" customWidth="1"/>
    <col min="4631" max="4631" width="10.42578125" style="187" bestFit="1" customWidth="1"/>
    <col min="4632" max="4865" width="9.140625" style="187"/>
    <col min="4866" max="4866" width="8.7109375" style="187" customWidth="1"/>
    <col min="4867" max="4867" width="17" style="187" customWidth="1"/>
    <col min="4868" max="4868" width="14.42578125" style="187" customWidth="1"/>
    <col min="4869" max="4869" width="10.28515625" style="187" customWidth="1"/>
    <col min="4870" max="4880" width="8.7109375" style="187" customWidth="1"/>
    <col min="4881" max="4881" width="9.7109375" style="187" customWidth="1"/>
    <col min="4882" max="4882" width="8.42578125" style="187" customWidth="1"/>
    <col min="4883" max="4883" width="9.140625" style="187"/>
    <col min="4884" max="4884" width="10.7109375" style="187" customWidth="1"/>
    <col min="4885" max="4885" width="5.28515625" style="187" customWidth="1"/>
    <col min="4886" max="4886" width="15.42578125" style="187" bestFit="1" customWidth="1"/>
    <col min="4887" max="4887" width="10.42578125" style="187" bestFit="1" customWidth="1"/>
    <col min="4888" max="5121" width="9.140625" style="187"/>
    <col min="5122" max="5122" width="8.7109375" style="187" customWidth="1"/>
    <col min="5123" max="5123" width="17" style="187" customWidth="1"/>
    <col min="5124" max="5124" width="14.42578125" style="187" customWidth="1"/>
    <col min="5125" max="5125" width="10.28515625" style="187" customWidth="1"/>
    <col min="5126" max="5136" width="8.7109375" style="187" customWidth="1"/>
    <col min="5137" max="5137" width="9.7109375" style="187" customWidth="1"/>
    <col min="5138" max="5138" width="8.42578125" style="187" customWidth="1"/>
    <col min="5139" max="5139" width="9.140625" style="187"/>
    <col min="5140" max="5140" width="10.7109375" style="187" customWidth="1"/>
    <col min="5141" max="5141" width="5.28515625" style="187" customWidth="1"/>
    <col min="5142" max="5142" width="15.42578125" style="187" bestFit="1" customWidth="1"/>
    <col min="5143" max="5143" width="10.42578125" style="187" bestFit="1" customWidth="1"/>
    <col min="5144" max="5377" width="9.140625" style="187"/>
    <col min="5378" max="5378" width="8.7109375" style="187" customWidth="1"/>
    <col min="5379" max="5379" width="17" style="187" customWidth="1"/>
    <col min="5380" max="5380" width="14.42578125" style="187" customWidth="1"/>
    <col min="5381" max="5381" width="10.28515625" style="187" customWidth="1"/>
    <col min="5382" max="5392" width="8.7109375" style="187" customWidth="1"/>
    <col min="5393" max="5393" width="9.7109375" style="187" customWidth="1"/>
    <col min="5394" max="5394" width="8.42578125" style="187" customWidth="1"/>
    <col min="5395" max="5395" width="9.140625" style="187"/>
    <col min="5396" max="5396" width="10.7109375" style="187" customWidth="1"/>
    <col min="5397" max="5397" width="5.28515625" style="187" customWidth="1"/>
    <col min="5398" max="5398" width="15.42578125" style="187" bestFit="1" customWidth="1"/>
    <col min="5399" max="5399" width="10.42578125" style="187" bestFit="1" customWidth="1"/>
    <col min="5400" max="5633" width="9.140625" style="187"/>
    <col min="5634" max="5634" width="8.7109375" style="187" customWidth="1"/>
    <col min="5635" max="5635" width="17" style="187" customWidth="1"/>
    <col min="5636" max="5636" width="14.42578125" style="187" customWidth="1"/>
    <col min="5637" max="5637" width="10.28515625" style="187" customWidth="1"/>
    <col min="5638" max="5648" width="8.7109375" style="187" customWidth="1"/>
    <col min="5649" max="5649" width="9.7109375" style="187" customWidth="1"/>
    <col min="5650" max="5650" width="8.42578125" style="187" customWidth="1"/>
    <col min="5651" max="5651" width="9.140625" style="187"/>
    <col min="5652" max="5652" width="10.7109375" style="187" customWidth="1"/>
    <col min="5653" max="5653" width="5.28515625" style="187" customWidth="1"/>
    <col min="5654" max="5654" width="15.42578125" style="187" bestFit="1" customWidth="1"/>
    <col min="5655" max="5655" width="10.42578125" style="187" bestFit="1" customWidth="1"/>
    <col min="5656" max="5889" width="9.140625" style="187"/>
    <col min="5890" max="5890" width="8.7109375" style="187" customWidth="1"/>
    <col min="5891" max="5891" width="17" style="187" customWidth="1"/>
    <col min="5892" max="5892" width="14.42578125" style="187" customWidth="1"/>
    <col min="5893" max="5893" width="10.28515625" style="187" customWidth="1"/>
    <col min="5894" max="5904" width="8.7109375" style="187" customWidth="1"/>
    <col min="5905" max="5905" width="9.7109375" style="187" customWidth="1"/>
    <col min="5906" max="5906" width="8.42578125" style="187" customWidth="1"/>
    <col min="5907" max="5907" width="9.140625" style="187"/>
    <col min="5908" max="5908" width="10.7109375" style="187" customWidth="1"/>
    <col min="5909" max="5909" width="5.28515625" style="187" customWidth="1"/>
    <col min="5910" max="5910" width="15.42578125" style="187" bestFit="1" customWidth="1"/>
    <col min="5911" max="5911" width="10.42578125" style="187" bestFit="1" customWidth="1"/>
    <col min="5912" max="6145" width="9.140625" style="187"/>
    <col min="6146" max="6146" width="8.7109375" style="187" customWidth="1"/>
    <col min="6147" max="6147" width="17" style="187" customWidth="1"/>
    <col min="6148" max="6148" width="14.42578125" style="187" customWidth="1"/>
    <col min="6149" max="6149" width="10.28515625" style="187" customWidth="1"/>
    <col min="6150" max="6160" width="8.7109375" style="187" customWidth="1"/>
    <col min="6161" max="6161" width="9.7109375" style="187" customWidth="1"/>
    <col min="6162" max="6162" width="8.42578125" style="187" customWidth="1"/>
    <col min="6163" max="6163" width="9.140625" style="187"/>
    <col min="6164" max="6164" width="10.7109375" style="187" customWidth="1"/>
    <col min="6165" max="6165" width="5.28515625" style="187" customWidth="1"/>
    <col min="6166" max="6166" width="15.42578125" style="187" bestFit="1" customWidth="1"/>
    <col min="6167" max="6167" width="10.42578125" style="187" bestFit="1" customWidth="1"/>
    <col min="6168" max="6401" width="9.140625" style="187"/>
    <col min="6402" max="6402" width="8.7109375" style="187" customWidth="1"/>
    <col min="6403" max="6403" width="17" style="187" customWidth="1"/>
    <col min="6404" max="6404" width="14.42578125" style="187" customWidth="1"/>
    <col min="6405" max="6405" width="10.28515625" style="187" customWidth="1"/>
    <col min="6406" max="6416" width="8.7109375" style="187" customWidth="1"/>
    <col min="6417" max="6417" width="9.7109375" style="187" customWidth="1"/>
    <col min="6418" max="6418" width="8.42578125" style="187" customWidth="1"/>
    <col min="6419" max="6419" width="9.140625" style="187"/>
    <col min="6420" max="6420" width="10.7109375" style="187" customWidth="1"/>
    <col min="6421" max="6421" width="5.28515625" style="187" customWidth="1"/>
    <col min="6422" max="6422" width="15.42578125" style="187" bestFit="1" customWidth="1"/>
    <col min="6423" max="6423" width="10.42578125" style="187" bestFit="1" customWidth="1"/>
    <col min="6424" max="6657" width="9.140625" style="187"/>
    <col min="6658" max="6658" width="8.7109375" style="187" customWidth="1"/>
    <col min="6659" max="6659" width="17" style="187" customWidth="1"/>
    <col min="6660" max="6660" width="14.42578125" style="187" customWidth="1"/>
    <col min="6661" max="6661" width="10.28515625" style="187" customWidth="1"/>
    <col min="6662" max="6672" width="8.7109375" style="187" customWidth="1"/>
    <col min="6673" max="6673" width="9.7109375" style="187" customWidth="1"/>
    <col min="6674" max="6674" width="8.42578125" style="187" customWidth="1"/>
    <col min="6675" max="6675" width="9.140625" style="187"/>
    <col min="6676" max="6676" width="10.7109375" style="187" customWidth="1"/>
    <col min="6677" max="6677" width="5.28515625" style="187" customWidth="1"/>
    <col min="6678" max="6678" width="15.42578125" style="187" bestFit="1" customWidth="1"/>
    <col min="6679" max="6679" width="10.42578125" style="187" bestFit="1" customWidth="1"/>
    <col min="6680" max="6913" width="9.140625" style="187"/>
    <col min="6914" max="6914" width="8.7109375" style="187" customWidth="1"/>
    <col min="6915" max="6915" width="17" style="187" customWidth="1"/>
    <col min="6916" max="6916" width="14.42578125" style="187" customWidth="1"/>
    <col min="6917" max="6917" width="10.28515625" style="187" customWidth="1"/>
    <col min="6918" max="6928" width="8.7109375" style="187" customWidth="1"/>
    <col min="6929" max="6929" width="9.7109375" style="187" customWidth="1"/>
    <col min="6930" max="6930" width="8.42578125" style="187" customWidth="1"/>
    <col min="6931" max="6931" width="9.140625" style="187"/>
    <col min="6932" max="6932" width="10.7109375" style="187" customWidth="1"/>
    <col min="6933" max="6933" width="5.28515625" style="187" customWidth="1"/>
    <col min="6934" max="6934" width="15.42578125" style="187" bestFit="1" customWidth="1"/>
    <col min="6935" max="6935" width="10.42578125" style="187" bestFit="1" customWidth="1"/>
    <col min="6936" max="7169" width="9.140625" style="187"/>
    <col min="7170" max="7170" width="8.7109375" style="187" customWidth="1"/>
    <col min="7171" max="7171" width="17" style="187" customWidth="1"/>
    <col min="7172" max="7172" width="14.42578125" style="187" customWidth="1"/>
    <col min="7173" max="7173" width="10.28515625" style="187" customWidth="1"/>
    <col min="7174" max="7184" width="8.7109375" style="187" customWidth="1"/>
    <col min="7185" max="7185" width="9.7109375" style="187" customWidth="1"/>
    <col min="7186" max="7186" width="8.42578125" style="187" customWidth="1"/>
    <col min="7187" max="7187" width="9.140625" style="187"/>
    <col min="7188" max="7188" width="10.7109375" style="187" customWidth="1"/>
    <col min="7189" max="7189" width="5.28515625" style="187" customWidth="1"/>
    <col min="7190" max="7190" width="15.42578125" style="187" bestFit="1" customWidth="1"/>
    <col min="7191" max="7191" width="10.42578125" style="187" bestFit="1" customWidth="1"/>
    <col min="7192" max="7425" width="9.140625" style="187"/>
    <col min="7426" max="7426" width="8.7109375" style="187" customWidth="1"/>
    <col min="7427" max="7427" width="17" style="187" customWidth="1"/>
    <col min="7428" max="7428" width="14.42578125" style="187" customWidth="1"/>
    <col min="7429" max="7429" width="10.28515625" style="187" customWidth="1"/>
    <col min="7430" max="7440" width="8.7109375" style="187" customWidth="1"/>
    <col min="7441" max="7441" width="9.7109375" style="187" customWidth="1"/>
    <col min="7442" max="7442" width="8.42578125" style="187" customWidth="1"/>
    <col min="7443" max="7443" width="9.140625" style="187"/>
    <col min="7444" max="7444" width="10.7109375" style="187" customWidth="1"/>
    <col min="7445" max="7445" width="5.28515625" style="187" customWidth="1"/>
    <col min="7446" max="7446" width="15.42578125" style="187" bestFit="1" customWidth="1"/>
    <col min="7447" max="7447" width="10.42578125" style="187" bestFit="1" customWidth="1"/>
    <col min="7448" max="7681" width="9.140625" style="187"/>
    <col min="7682" max="7682" width="8.7109375" style="187" customWidth="1"/>
    <col min="7683" max="7683" width="17" style="187" customWidth="1"/>
    <col min="7684" max="7684" width="14.42578125" style="187" customWidth="1"/>
    <col min="7685" max="7685" width="10.28515625" style="187" customWidth="1"/>
    <col min="7686" max="7696" width="8.7109375" style="187" customWidth="1"/>
    <col min="7697" max="7697" width="9.7109375" style="187" customWidth="1"/>
    <col min="7698" max="7698" width="8.42578125" style="187" customWidth="1"/>
    <col min="7699" max="7699" width="9.140625" style="187"/>
    <col min="7700" max="7700" width="10.7109375" style="187" customWidth="1"/>
    <col min="7701" max="7701" width="5.28515625" style="187" customWidth="1"/>
    <col min="7702" max="7702" width="15.42578125" style="187" bestFit="1" customWidth="1"/>
    <col min="7703" max="7703" width="10.42578125" style="187" bestFit="1" customWidth="1"/>
    <col min="7704" max="7937" width="9.140625" style="187"/>
    <col min="7938" max="7938" width="8.7109375" style="187" customWidth="1"/>
    <col min="7939" max="7939" width="17" style="187" customWidth="1"/>
    <col min="7940" max="7940" width="14.42578125" style="187" customWidth="1"/>
    <col min="7941" max="7941" width="10.28515625" style="187" customWidth="1"/>
    <col min="7942" max="7952" width="8.7109375" style="187" customWidth="1"/>
    <col min="7953" max="7953" width="9.7109375" style="187" customWidth="1"/>
    <col min="7954" max="7954" width="8.42578125" style="187" customWidth="1"/>
    <col min="7955" max="7955" width="9.140625" style="187"/>
    <col min="7956" max="7956" width="10.7109375" style="187" customWidth="1"/>
    <col min="7957" max="7957" width="5.28515625" style="187" customWidth="1"/>
    <col min="7958" max="7958" width="15.42578125" style="187" bestFit="1" customWidth="1"/>
    <col min="7959" max="7959" width="10.42578125" style="187" bestFit="1" customWidth="1"/>
    <col min="7960" max="8193" width="9.140625" style="187"/>
    <col min="8194" max="8194" width="8.7109375" style="187" customWidth="1"/>
    <col min="8195" max="8195" width="17" style="187" customWidth="1"/>
    <col min="8196" max="8196" width="14.42578125" style="187" customWidth="1"/>
    <col min="8197" max="8197" width="10.28515625" style="187" customWidth="1"/>
    <col min="8198" max="8208" width="8.7109375" style="187" customWidth="1"/>
    <col min="8209" max="8209" width="9.7109375" style="187" customWidth="1"/>
    <col min="8210" max="8210" width="8.42578125" style="187" customWidth="1"/>
    <col min="8211" max="8211" width="9.140625" style="187"/>
    <col min="8212" max="8212" width="10.7109375" style="187" customWidth="1"/>
    <col min="8213" max="8213" width="5.28515625" style="187" customWidth="1"/>
    <col min="8214" max="8214" width="15.42578125" style="187" bestFit="1" customWidth="1"/>
    <col min="8215" max="8215" width="10.42578125" style="187" bestFit="1" customWidth="1"/>
    <col min="8216" max="8449" width="9.140625" style="187"/>
    <col min="8450" max="8450" width="8.7109375" style="187" customWidth="1"/>
    <col min="8451" max="8451" width="17" style="187" customWidth="1"/>
    <col min="8452" max="8452" width="14.42578125" style="187" customWidth="1"/>
    <col min="8453" max="8453" width="10.28515625" style="187" customWidth="1"/>
    <col min="8454" max="8464" width="8.7109375" style="187" customWidth="1"/>
    <col min="8465" max="8465" width="9.7109375" style="187" customWidth="1"/>
    <col min="8466" max="8466" width="8.42578125" style="187" customWidth="1"/>
    <col min="8467" max="8467" width="9.140625" style="187"/>
    <col min="8468" max="8468" width="10.7109375" style="187" customWidth="1"/>
    <col min="8469" max="8469" width="5.28515625" style="187" customWidth="1"/>
    <col min="8470" max="8470" width="15.42578125" style="187" bestFit="1" customWidth="1"/>
    <col min="8471" max="8471" width="10.42578125" style="187" bestFit="1" customWidth="1"/>
    <col min="8472" max="8705" width="9.140625" style="187"/>
    <col min="8706" max="8706" width="8.7109375" style="187" customWidth="1"/>
    <col min="8707" max="8707" width="17" style="187" customWidth="1"/>
    <col min="8708" max="8708" width="14.42578125" style="187" customWidth="1"/>
    <col min="8709" max="8709" width="10.28515625" style="187" customWidth="1"/>
    <col min="8710" max="8720" width="8.7109375" style="187" customWidth="1"/>
    <col min="8721" max="8721" width="9.7109375" style="187" customWidth="1"/>
    <col min="8722" max="8722" width="8.42578125" style="187" customWidth="1"/>
    <col min="8723" max="8723" width="9.140625" style="187"/>
    <col min="8724" max="8724" width="10.7109375" style="187" customWidth="1"/>
    <col min="8725" max="8725" width="5.28515625" style="187" customWidth="1"/>
    <col min="8726" max="8726" width="15.42578125" style="187" bestFit="1" customWidth="1"/>
    <col min="8727" max="8727" width="10.42578125" style="187" bestFit="1" customWidth="1"/>
    <col min="8728" max="8961" width="9.140625" style="187"/>
    <col min="8962" max="8962" width="8.7109375" style="187" customWidth="1"/>
    <col min="8963" max="8963" width="17" style="187" customWidth="1"/>
    <col min="8964" max="8964" width="14.42578125" style="187" customWidth="1"/>
    <col min="8965" max="8965" width="10.28515625" style="187" customWidth="1"/>
    <col min="8966" max="8976" width="8.7109375" style="187" customWidth="1"/>
    <col min="8977" max="8977" width="9.7109375" style="187" customWidth="1"/>
    <col min="8978" max="8978" width="8.42578125" style="187" customWidth="1"/>
    <col min="8979" max="8979" width="9.140625" style="187"/>
    <col min="8980" max="8980" width="10.7109375" style="187" customWidth="1"/>
    <col min="8981" max="8981" width="5.28515625" style="187" customWidth="1"/>
    <col min="8982" max="8982" width="15.42578125" style="187" bestFit="1" customWidth="1"/>
    <col min="8983" max="8983" width="10.42578125" style="187" bestFit="1" customWidth="1"/>
    <col min="8984" max="9217" width="9.140625" style="187"/>
    <col min="9218" max="9218" width="8.7109375" style="187" customWidth="1"/>
    <col min="9219" max="9219" width="17" style="187" customWidth="1"/>
    <col min="9220" max="9220" width="14.42578125" style="187" customWidth="1"/>
    <col min="9221" max="9221" width="10.28515625" style="187" customWidth="1"/>
    <col min="9222" max="9232" width="8.7109375" style="187" customWidth="1"/>
    <col min="9233" max="9233" width="9.7109375" style="187" customWidth="1"/>
    <col min="9234" max="9234" width="8.42578125" style="187" customWidth="1"/>
    <col min="9235" max="9235" width="9.140625" style="187"/>
    <col min="9236" max="9236" width="10.7109375" style="187" customWidth="1"/>
    <col min="9237" max="9237" width="5.28515625" style="187" customWidth="1"/>
    <col min="9238" max="9238" width="15.42578125" style="187" bestFit="1" customWidth="1"/>
    <col min="9239" max="9239" width="10.42578125" style="187" bestFit="1" customWidth="1"/>
    <col min="9240" max="9473" width="9.140625" style="187"/>
    <col min="9474" max="9474" width="8.7109375" style="187" customWidth="1"/>
    <col min="9475" max="9475" width="17" style="187" customWidth="1"/>
    <col min="9476" max="9476" width="14.42578125" style="187" customWidth="1"/>
    <col min="9477" max="9477" width="10.28515625" style="187" customWidth="1"/>
    <col min="9478" max="9488" width="8.7109375" style="187" customWidth="1"/>
    <col min="9489" max="9489" width="9.7109375" style="187" customWidth="1"/>
    <col min="9490" max="9490" width="8.42578125" style="187" customWidth="1"/>
    <col min="9491" max="9491" width="9.140625" style="187"/>
    <col min="9492" max="9492" width="10.7109375" style="187" customWidth="1"/>
    <col min="9493" max="9493" width="5.28515625" style="187" customWidth="1"/>
    <col min="9494" max="9494" width="15.42578125" style="187" bestFit="1" customWidth="1"/>
    <col min="9495" max="9495" width="10.42578125" style="187" bestFit="1" customWidth="1"/>
    <col min="9496" max="9729" width="9.140625" style="187"/>
    <col min="9730" max="9730" width="8.7109375" style="187" customWidth="1"/>
    <col min="9731" max="9731" width="17" style="187" customWidth="1"/>
    <col min="9732" max="9732" width="14.42578125" style="187" customWidth="1"/>
    <col min="9733" max="9733" width="10.28515625" style="187" customWidth="1"/>
    <col min="9734" max="9744" width="8.7109375" style="187" customWidth="1"/>
    <col min="9745" max="9745" width="9.7109375" style="187" customWidth="1"/>
    <col min="9746" max="9746" width="8.42578125" style="187" customWidth="1"/>
    <col min="9747" max="9747" width="9.140625" style="187"/>
    <col min="9748" max="9748" width="10.7109375" style="187" customWidth="1"/>
    <col min="9749" max="9749" width="5.28515625" style="187" customWidth="1"/>
    <col min="9750" max="9750" width="15.42578125" style="187" bestFit="1" customWidth="1"/>
    <col min="9751" max="9751" width="10.42578125" style="187" bestFit="1" customWidth="1"/>
    <col min="9752" max="9985" width="9.140625" style="187"/>
    <col min="9986" max="9986" width="8.7109375" style="187" customWidth="1"/>
    <col min="9987" max="9987" width="17" style="187" customWidth="1"/>
    <col min="9988" max="9988" width="14.42578125" style="187" customWidth="1"/>
    <col min="9989" max="9989" width="10.28515625" style="187" customWidth="1"/>
    <col min="9990" max="10000" width="8.7109375" style="187" customWidth="1"/>
    <col min="10001" max="10001" width="9.7109375" style="187" customWidth="1"/>
    <col min="10002" max="10002" width="8.42578125" style="187" customWidth="1"/>
    <col min="10003" max="10003" width="9.140625" style="187"/>
    <col min="10004" max="10004" width="10.7109375" style="187" customWidth="1"/>
    <col min="10005" max="10005" width="5.28515625" style="187" customWidth="1"/>
    <col min="10006" max="10006" width="15.42578125" style="187" bestFit="1" customWidth="1"/>
    <col min="10007" max="10007" width="10.42578125" style="187" bestFit="1" customWidth="1"/>
    <col min="10008" max="10241" width="9.140625" style="187"/>
    <col min="10242" max="10242" width="8.7109375" style="187" customWidth="1"/>
    <col min="10243" max="10243" width="17" style="187" customWidth="1"/>
    <col min="10244" max="10244" width="14.42578125" style="187" customWidth="1"/>
    <col min="10245" max="10245" width="10.28515625" style="187" customWidth="1"/>
    <col min="10246" max="10256" width="8.7109375" style="187" customWidth="1"/>
    <col min="10257" max="10257" width="9.7109375" style="187" customWidth="1"/>
    <col min="10258" max="10258" width="8.42578125" style="187" customWidth="1"/>
    <col min="10259" max="10259" width="9.140625" style="187"/>
    <col min="10260" max="10260" width="10.7109375" style="187" customWidth="1"/>
    <col min="10261" max="10261" width="5.28515625" style="187" customWidth="1"/>
    <col min="10262" max="10262" width="15.42578125" style="187" bestFit="1" customWidth="1"/>
    <col min="10263" max="10263" width="10.42578125" style="187" bestFit="1" customWidth="1"/>
    <col min="10264" max="10497" width="9.140625" style="187"/>
    <col min="10498" max="10498" width="8.7109375" style="187" customWidth="1"/>
    <col min="10499" max="10499" width="17" style="187" customWidth="1"/>
    <col min="10500" max="10500" width="14.42578125" style="187" customWidth="1"/>
    <col min="10501" max="10501" width="10.28515625" style="187" customWidth="1"/>
    <col min="10502" max="10512" width="8.7109375" style="187" customWidth="1"/>
    <col min="10513" max="10513" width="9.7109375" style="187" customWidth="1"/>
    <col min="10514" max="10514" width="8.42578125" style="187" customWidth="1"/>
    <col min="10515" max="10515" width="9.140625" style="187"/>
    <col min="10516" max="10516" width="10.7109375" style="187" customWidth="1"/>
    <col min="10517" max="10517" width="5.28515625" style="187" customWidth="1"/>
    <col min="10518" max="10518" width="15.42578125" style="187" bestFit="1" customWidth="1"/>
    <col min="10519" max="10519" width="10.42578125" style="187" bestFit="1" customWidth="1"/>
    <col min="10520" max="10753" width="9.140625" style="187"/>
    <col min="10754" max="10754" width="8.7109375" style="187" customWidth="1"/>
    <col min="10755" max="10755" width="17" style="187" customWidth="1"/>
    <col min="10756" max="10756" width="14.42578125" style="187" customWidth="1"/>
    <col min="10757" max="10757" width="10.28515625" style="187" customWidth="1"/>
    <col min="10758" max="10768" width="8.7109375" style="187" customWidth="1"/>
    <col min="10769" max="10769" width="9.7109375" style="187" customWidth="1"/>
    <col min="10770" max="10770" width="8.42578125" style="187" customWidth="1"/>
    <col min="10771" max="10771" width="9.140625" style="187"/>
    <col min="10772" max="10772" width="10.7109375" style="187" customWidth="1"/>
    <col min="10773" max="10773" width="5.28515625" style="187" customWidth="1"/>
    <col min="10774" max="10774" width="15.42578125" style="187" bestFit="1" customWidth="1"/>
    <col min="10775" max="10775" width="10.42578125" style="187" bestFit="1" customWidth="1"/>
    <col min="10776" max="11009" width="9.140625" style="187"/>
    <col min="11010" max="11010" width="8.7109375" style="187" customWidth="1"/>
    <col min="11011" max="11011" width="17" style="187" customWidth="1"/>
    <col min="11012" max="11012" width="14.42578125" style="187" customWidth="1"/>
    <col min="11013" max="11013" width="10.28515625" style="187" customWidth="1"/>
    <col min="11014" max="11024" width="8.7109375" style="187" customWidth="1"/>
    <col min="11025" max="11025" width="9.7109375" style="187" customWidth="1"/>
    <col min="11026" max="11026" width="8.42578125" style="187" customWidth="1"/>
    <col min="11027" max="11027" width="9.140625" style="187"/>
    <col min="11028" max="11028" width="10.7109375" style="187" customWidth="1"/>
    <col min="11029" max="11029" width="5.28515625" style="187" customWidth="1"/>
    <col min="11030" max="11030" width="15.42578125" style="187" bestFit="1" customWidth="1"/>
    <col min="11031" max="11031" width="10.42578125" style="187" bestFit="1" customWidth="1"/>
    <col min="11032" max="11265" width="9.140625" style="187"/>
    <col min="11266" max="11266" width="8.7109375" style="187" customWidth="1"/>
    <col min="11267" max="11267" width="17" style="187" customWidth="1"/>
    <col min="11268" max="11268" width="14.42578125" style="187" customWidth="1"/>
    <col min="11269" max="11269" width="10.28515625" style="187" customWidth="1"/>
    <col min="11270" max="11280" width="8.7109375" style="187" customWidth="1"/>
    <col min="11281" max="11281" width="9.7109375" style="187" customWidth="1"/>
    <col min="11282" max="11282" width="8.42578125" style="187" customWidth="1"/>
    <col min="11283" max="11283" width="9.140625" style="187"/>
    <col min="11284" max="11284" width="10.7109375" style="187" customWidth="1"/>
    <col min="11285" max="11285" width="5.28515625" style="187" customWidth="1"/>
    <col min="11286" max="11286" width="15.42578125" style="187" bestFit="1" customWidth="1"/>
    <col min="11287" max="11287" width="10.42578125" style="187" bestFit="1" customWidth="1"/>
    <col min="11288" max="11521" width="9.140625" style="187"/>
    <col min="11522" max="11522" width="8.7109375" style="187" customWidth="1"/>
    <col min="11523" max="11523" width="17" style="187" customWidth="1"/>
    <col min="11524" max="11524" width="14.42578125" style="187" customWidth="1"/>
    <col min="11525" max="11525" width="10.28515625" style="187" customWidth="1"/>
    <col min="11526" max="11536" width="8.7109375" style="187" customWidth="1"/>
    <col min="11537" max="11537" width="9.7109375" style="187" customWidth="1"/>
    <col min="11538" max="11538" width="8.42578125" style="187" customWidth="1"/>
    <col min="11539" max="11539" width="9.140625" style="187"/>
    <col min="11540" max="11540" width="10.7109375" style="187" customWidth="1"/>
    <col min="11541" max="11541" width="5.28515625" style="187" customWidth="1"/>
    <col min="11542" max="11542" width="15.42578125" style="187" bestFit="1" customWidth="1"/>
    <col min="11543" max="11543" width="10.42578125" style="187" bestFit="1" customWidth="1"/>
    <col min="11544" max="11777" width="9.140625" style="187"/>
    <col min="11778" max="11778" width="8.7109375" style="187" customWidth="1"/>
    <col min="11779" max="11779" width="17" style="187" customWidth="1"/>
    <col min="11780" max="11780" width="14.42578125" style="187" customWidth="1"/>
    <col min="11781" max="11781" width="10.28515625" style="187" customWidth="1"/>
    <col min="11782" max="11792" width="8.7109375" style="187" customWidth="1"/>
    <col min="11793" max="11793" width="9.7109375" style="187" customWidth="1"/>
    <col min="11794" max="11794" width="8.42578125" style="187" customWidth="1"/>
    <col min="11795" max="11795" width="9.140625" style="187"/>
    <col min="11796" max="11796" width="10.7109375" style="187" customWidth="1"/>
    <col min="11797" max="11797" width="5.28515625" style="187" customWidth="1"/>
    <col min="11798" max="11798" width="15.42578125" style="187" bestFit="1" customWidth="1"/>
    <col min="11799" max="11799" width="10.42578125" style="187" bestFit="1" customWidth="1"/>
    <col min="11800" max="12033" width="9.140625" style="187"/>
    <col min="12034" max="12034" width="8.7109375" style="187" customWidth="1"/>
    <col min="12035" max="12035" width="17" style="187" customWidth="1"/>
    <col min="12036" max="12036" width="14.42578125" style="187" customWidth="1"/>
    <col min="12037" max="12037" width="10.28515625" style="187" customWidth="1"/>
    <col min="12038" max="12048" width="8.7109375" style="187" customWidth="1"/>
    <col min="12049" max="12049" width="9.7109375" style="187" customWidth="1"/>
    <col min="12050" max="12050" width="8.42578125" style="187" customWidth="1"/>
    <col min="12051" max="12051" width="9.140625" style="187"/>
    <col min="12052" max="12052" width="10.7109375" style="187" customWidth="1"/>
    <col min="12053" max="12053" width="5.28515625" style="187" customWidth="1"/>
    <col min="12054" max="12054" width="15.42578125" style="187" bestFit="1" customWidth="1"/>
    <col min="12055" max="12055" width="10.42578125" style="187" bestFit="1" customWidth="1"/>
    <col min="12056" max="12289" width="9.140625" style="187"/>
    <col min="12290" max="12290" width="8.7109375" style="187" customWidth="1"/>
    <col min="12291" max="12291" width="17" style="187" customWidth="1"/>
    <col min="12292" max="12292" width="14.42578125" style="187" customWidth="1"/>
    <col min="12293" max="12293" width="10.28515625" style="187" customWidth="1"/>
    <col min="12294" max="12304" width="8.7109375" style="187" customWidth="1"/>
    <col min="12305" max="12305" width="9.7109375" style="187" customWidth="1"/>
    <col min="12306" max="12306" width="8.42578125" style="187" customWidth="1"/>
    <col min="12307" max="12307" width="9.140625" style="187"/>
    <col min="12308" max="12308" width="10.7109375" style="187" customWidth="1"/>
    <col min="12309" max="12309" width="5.28515625" style="187" customWidth="1"/>
    <col min="12310" max="12310" width="15.42578125" style="187" bestFit="1" customWidth="1"/>
    <col min="12311" max="12311" width="10.42578125" style="187" bestFit="1" customWidth="1"/>
    <col min="12312" max="12545" width="9.140625" style="187"/>
    <col min="12546" max="12546" width="8.7109375" style="187" customWidth="1"/>
    <col min="12547" max="12547" width="17" style="187" customWidth="1"/>
    <col min="12548" max="12548" width="14.42578125" style="187" customWidth="1"/>
    <col min="12549" max="12549" width="10.28515625" style="187" customWidth="1"/>
    <col min="12550" max="12560" width="8.7109375" style="187" customWidth="1"/>
    <col min="12561" max="12561" width="9.7109375" style="187" customWidth="1"/>
    <col min="12562" max="12562" width="8.42578125" style="187" customWidth="1"/>
    <col min="12563" max="12563" width="9.140625" style="187"/>
    <col min="12564" max="12564" width="10.7109375" style="187" customWidth="1"/>
    <col min="12565" max="12565" width="5.28515625" style="187" customWidth="1"/>
    <col min="12566" max="12566" width="15.42578125" style="187" bestFit="1" customWidth="1"/>
    <col min="12567" max="12567" width="10.42578125" style="187" bestFit="1" customWidth="1"/>
    <col min="12568" max="12801" width="9.140625" style="187"/>
    <col min="12802" max="12802" width="8.7109375" style="187" customWidth="1"/>
    <col min="12803" max="12803" width="17" style="187" customWidth="1"/>
    <col min="12804" max="12804" width="14.42578125" style="187" customWidth="1"/>
    <col min="12805" max="12805" width="10.28515625" style="187" customWidth="1"/>
    <col min="12806" max="12816" width="8.7109375" style="187" customWidth="1"/>
    <col min="12817" max="12817" width="9.7109375" style="187" customWidth="1"/>
    <col min="12818" max="12818" width="8.42578125" style="187" customWidth="1"/>
    <col min="12819" max="12819" width="9.140625" style="187"/>
    <col min="12820" max="12820" width="10.7109375" style="187" customWidth="1"/>
    <col min="12821" max="12821" width="5.28515625" style="187" customWidth="1"/>
    <col min="12822" max="12822" width="15.42578125" style="187" bestFit="1" customWidth="1"/>
    <col min="12823" max="12823" width="10.42578125" style="187" bestFit="1" customWidth="1"/>
    <col min="12824" max="13057" width="9.140625" style="187"/>
    <col min="13058" max="13058" width="8.7109375" style="187" customWidth="1"/>
    <col min="13059" max="13059" width="17" style="187" customWidth="1"/>
    <col min="13060" max="13060" width="14.42578125" style="187" customWidth="1"/>
    <col min="13061" max="13061" width="10.28515625" style="187" customWidth="1"/>
    <col min="13062" max="13072" width="8.7109375" style="187" customWidth="1"/>
    <col min="13073" max="13073" width="9.7109375" style="187" customWidth="1"/>
    <col min="13074" max="13074" width="8.42578125" style="187" customWidth="1"/>
    <col min="13075" max="13075" width="9.140625" style="187"/>
    <col min="13076" max="13076" width="10.7109375" style="187" customWidth="1"/>
    <col min="13077" max="13077" width="5.28515625" style="187" customWidth="1"/>
    <col min="13078" max="13078" width="15.42578125" style="187" bestFit="1" customWidth="1"/>
    <col min="13079" max="13079" width="10.42578125" style="187" bestFit="1" customWidth="1"/>
    <col min="13080" max="13313" width="9.140625" style="187"/>
    <col min="13314" max="13314" width="8.7109375" style="187" customWidth="1"/>
    <col min="13315" max="13315" width="17" style="187" customWidth="1"/>
    <col min="13316" max="13316" width="14.42578125" style="187" customWidth="1"/>
    <col min="13317" max="13317" width="10.28515625" style="187" customWidth="1"/>
    <col min="13318" max="13328" width="8.7109375" style="187" customWidth="1"/>
    <col min="13329" max="13329" width="9.7109375" style="187" customWidth="1"/>
    <col min="13330" max="13330" width="8.42578125" style="187" customWidth="1"/>
    <col min="13331" max="13331" width="9.140625" style="187"/>
    <col min="13332" max="13332" width="10.7109375" style="187" customWidth="1"/>
    <col min="13333" max="13333" width="5.28515625" style="187" customWidth="1"/>
    <col min="13334" max="13334" width="15.42578125" style="187" bestFit="1" customWidth="1"/>
    <col min="13335" max="13335" width="10.42578125" style="187" bestFit="1" customWidth="1"/>
    <col min="13336" max="13569" width="9.140625" style="187"/>
    <col min="13570" max="13570" width="8.7109375" style="187" customWidth="1"/>
    <col min="13571" max="13571" width="17" style="187" customWidth="1"/>
    <col min="13572" max="13572" width="14.42578125" style="187" customWidth="1"/>
    <col min="13573" max="13573" width="10.28515625" style="187" customWidth="1"/>
    <col min="13574" max="13584" width="8.7109375" style="187" customWidth="1"/>
    <col min="13585" max="13585" width="9.7109375" style="187" customWidth="1"/>
    <col min="13586" max="13586" width="8.42578125" style="187" customWidth="1"/>
    <col min="13587" max="13587" width="9.140625" style="187"/>
    <col min="13588" max="13588" width="10.7109375" style="187" customWidth="1"/>
    <col min="13589" max="13589" width="5.28515625" style="187" customWidth="1"/>
    <col min="13590" max="13590" width="15.42578125" style="187" bestFit="1" customWidth="1"/>
    <col min="13591" max="13591" width="10.42578125" style="187" bestFit="1" customWidth="1"/>
    <col min="13592" max="13825" width="9.140625" style="187"/>
    <col min="13826" max="13826" width="8.7109375" style="187" customWidth="1"/>
    <col min="13827" max="13827" width="17" style="187" customWidth="1"/>
    <col min="13828" max="13828" width="14.42578125" style="187" customWidth="1"/>
    <col min="13829" max="13829" width="10.28515625" style="187" customWidth="1"/>
    <col min="13830" max="13840" width="8.7109375" style="187" customWidth="1"/>
    <col min="13841" max="13841" width="9.7109375" style="187" customWidth="1"/>
    <col min="13842" max="13842" width="8.42578125" style="187" customWidth="1"/>
    <col min="13843" max="13843" width="9.140625" style="187"/>
    <col min="13844" max="13844" width="10.7109375" style="187" customWidth="1"/>
    <col min="13845" max="13845" width="5.28515625" style="187" customWidth="1"/>
    <col min="13846" max="13846" width="15.42578125" style="187" bestFit="1" customWidth="1"/>
    <col min="13847" max="13847" width="10.42578125" style="187" bestFit="1" customWidth="1"/>
    <col min="13848" max="14081" width="9.140625" style="187"/>
    <col min="14082" max="14082" width="8.7109375" style="187" customWidth="1"/>
    <col min="14083" max="14083" width="17" style="187" customWidth="1"/>
    <col min="14084" max="14084" width="14.42578125" style="187" customWidth="1"/>
    <col min="14085" max="14085" width="10.28515625" style="187" customWidth="1"/>
    <col min="14086" max="14096" width="8.7109375" style="187" customWidth="1"/>
    <col min="14097" max="14097" width="9.7109375" style="187" customWidth="1"/>
    <col min="14098" max="14098" width="8.42578125" style="187" customWidth="1"/>
    <col min="14099" max="14099" width="9.140625" style="187"/>
    <col min="14100" max="14100" width="10.7109375" style="187" customWidth="1"/>
    <col min="14101" max="14101" width="5.28515625" style="187" customWidth="1"/>
    <col min="14102" max="14102" width="15.42578125" style="187" bestFit="1" customWidth="1"/>
    <col min="14103" max="14103" width="10.42578125" style="187" bestFit="1" customWidth="1"/>
    <col min="14104" max="14337" width="9.140625" style="187"/>
    <col min="14338" max="14338" width="8.7109375" style="187" customWidth="1"/>
    <col min="14339" max="14339" width="17" style="187" customWidth="1"/>
    <col min="14340" max="14340" width="14.42578125" style="187" customWidth="1"/>
    <col min="14341" max="14341" width="10.28515625" style="187" customWidth="1"/>
    <col min="14342" max="14352" width="8.7109375" style="187" customWidth="1"/>
    <col min="14353" max="14353" width="9.7109375" style="187" customWidth="1"/>
    <col min="14354" max="14354" width="8.42578125" style="187" customWidth="1"/>
    <col min="14355" max="14355" width="9.140625" style="187"/>
    <col min="14356" max="14356" width="10.7109375" style="187" customWidth="1"/>
    <col min="14357" max="14357" width="5.28515625" style="187" customWidth="1"/>
    <col min="14358" max="14358" width="15.42578125" style="187" bestFit="1" customWidth="1"/>
    <col min="14359" max="14359" width="10.42578125" style="187" bestFit="1" customWidth="1"/>
    <col min="14360" max="14593" width="9.140625" style="187"/>
    <col min="14594" max="14594" width="8.7109375" style="187" customWidth="1"/>
    <col min="14595" max="14595" width="17" style="187" customWidth="1"/>
    <col min="14596" max="14596" width="14.42578125" style="187" customWidth="1"/>
    <col min="14597" max="14597" width="10.28515625" style="187" customWidth="1"/>
    <col min="14598" max="14608" width="8.7109375" style="187" customWidth="1"/>
    <col min="14609" max="14609" width="9.7109375" style="187" customWidth="1"/>
    <col min="14610" max="14610" width="8.42578125" style="187" customWidth="1"/>
    <col min="14611" max="14611" width="9.140625" style="187"/>
    <col min="14612" max="14612" width="10.7109375" style="187" customWidth="1"/>
    <col min="14613" max="14613" width="5.28515625" style="187" customWidth="1"/>
    <col min="14614" max="14614" width="15.42578125" style="187" bestFit="1" customWidth="1"/>
    <col min="14615" max="14615" width="10.42578125" style="187" bestFit="1" customWidth="1"/>
    <col min="14616" max="14849" width="9.140625" style="187"/>
    <col min="14850" max="14850" width="8.7109375" style="187" customWidth="1"/>
    <col min="14851" max="14851" width="17" style="187" customWidth="1"/>
    <col min="14852" max="14852" width="14.42578125" style="187" customWidth="1"/>
    <col min="14853" max="14853" width="10.28515625" style="187" customWidth="1"/>
    <col min="14854" max="14864" width="8.7109375" style="187" customWidth="1"/>
    <col min="14865" max="14865" width="9.7109375" style="187" customWidth="1"/>
    <col min="14866" max="14866" width="8.42578125" style="187" customWidth="1"/>
    <col min="14867" max="14867" width="9.140625" style="187"/>
    <col min="14868" max="14868" width="10.7109375" style="187" customWidth="1"/>
    <col min="14869" max="14869" width="5.28515625" style="187" customWidth="1"/>
    <col min="14870" max="14870" width="15.42578125" style="187" bestFit="1" customWidth="1"/>
    <col min="14871" max="14871" width="10.42578125" style="187" bestFit="1" customWidth="1"/>
    <col min="14872" max="15105" width="9.140625" style="187"/>
    <col min="15106" max="15106" width="8.7109375" style="187" customWidth="1"/>
    <col min="15107" max="15107" width="17" style="187" customWidth="1"/>
    <col min="15108" max="15108" width="14.42578125" style="187" customWidth="1"/>
    <col min="15109" max="15109" width="10.28515625" style="187" customWidth="1"/>
    <col min="15110" max="15120" width="8.7109375" style="187" customWidth="1"/>
    <col min="15121" max="15121" width="9.7109375" style="187" customWidth="1"/>
    <col min="15122" max="15122" width="8.42578125" style="187" customWidth="1"/>
    <col min="15123" max="15123" width="9.140625" style="187"/>
    <col min="15124" max="15124" width="10.7109375" style="187" customWidth="1"/>
    <col min="15125" max="15125" width="5.28515625" style="187" customWidth="1"/>
    <col min="15126" max="15126" width="15.42578125" style="187" bestFit="1" customWidth="1"/>
    <col min="15127" max="15127" width="10.42578125" style="187" bestFit="1" customWidth="1"/>
    <col min="15128" max="15361" width="9.140625" style="187"/>
    <col min="15362" max="15362" width="8.7109375" style="187" customWidth="1"/>
    <col min="15363" max="15363" width="17" style="187" customWidth="1"/>
    <col min="15364" max="15364" width="14.42578125" style="187" customWidth="1"/>
    <col min="15365" max="15365" width="10.28515625" style="187" customWidth="1"/>
    <col min="15366" max="15376" width="8.7109375" style="187" customWidth="1"/>
    <col min="15377" max="15377" width="9.7109375" style="187" customWidth="1"/>
    <col min="15378" max="15378" width="8.42578125" style="187" customWidth="1"/>
    <col min="15379" max="15379" width="9.140625" style="187"/>
    <col min="15380" max="15380" width="10.7109375" style="187" customWidth="1"/>
    <col min="15381" max="15381" width="5.28515625" style="187" customWidth="1"/>
    <col min="15382" max="15382" width="15.42578125" style="187" bestFit="1" customWidth="1"/>
    <col min="15383" max="15383" width="10.42578125" style="187" bestFit="1" customWidth="1"/>
    <col min="15384" max="15617" width="9.140625" style="187"/>
    <col min="15618" max="15618" width="8.7109375" style="187" customWidth="1"/>
    <col min="15619" max="15619" width="17" style="187" customWidth="1"/>
    <col min="15620" max="15620" width="14.42578125" style="187" customWidth="1"/>
    <col min="15621" max="15621" width="10.28515625" style="187" customWidth="1"/>
    <col min="15622" max="15632" width="8.7109375" style="187" customWidth="1"/>
    <col min="15633" max="15633" width="9.7109375" style="187" customWidth="1"/>
    <col min="15634" max="15634" width="8.42578125" style="187" customWidth="1"/>
    <col min="15635" max="15635" width="9.140625" style="187"/>
    <col min="15636" max="15636" width="10.7109375" style="187" customWidth="1"/>
    <col min="15637" max="15637" width="5.28515625" style="187" customWidth="1"/>
    <col min="15638" max="15638" width="15.42578125" style="187" bestFit="1" customWidth="1"/>
    <col min="15639" max="15639" width="10.42578125" style="187" bestFit="1" customWidth="1"/>
    <col min="15640" max="15873" width="9.140625" style="187"/>
    <col min="15874" max="15874" width="8.7109375" style="187" customWidth="1"/>
    <col min="15875" max="15875" width="17" style="187" customWidth="1"/>
    <col min="15876" max="15876" width="14.42578125" style="187" customWidth="1"/>
    <col min="15877" max="15877" width="10.28515625" style="187" customWidth="1"/>
    <col min="15878" max="15888" width="8.7109375" style="187" customWidth="1"/>
    <col min="15889" max="15889" width="9.7109375" style="187" customWidth="1"/>
    <col min="15890" max="15890" width="8.42578125" style="187" customWidth="1"/>
    <col min="15891" max="15891" width="9.140625" style="187"/>
    <col min="15892" max="15892" width="10.7109375" style="187" customWidth="1"/>
    <col min="15893" max="15893" width="5.28515625" style="187" customWidth="1"/>
    <col min="15894" max="15894" width="15.42578125" style="187" bestFit="1" customWidth="1"/>
    <col min="15895" max="15895" width="10.42578125" style="187" bestFit="1" customWidth="1"/>
    <col min="15896" max="16129" width="9.140625" style="187"/>
    <col min="16130" max="16130" width="8.7109375" style="187" customWidth="1"/>
    <col min="16131" max="16131" width="17" style="187" customWidth="1"/>
    <col min="16132" max="16132" width="14.42578125" style="187" customWidth="1"/>
    <col min="16133" max="16133" width="10.28515625" style="187" customWidth="1"/>
    <col min="16134" max="16144" width="8.7109375" style="187" customWidth="1"/>
    <col min="16145" max="16145" width="9.7109375" style="187" customWidth="1"/>
    <col min="16146" max="16146" width="8.42578125" style="187" customWidth="1"/>
    <col min="16147" max="16147" width="9.140625" style="187"/>
    <col min="16148" max="16148" width="10.7109375" style="187" customWidth="1"/>
    <col min="16149" max="16149" width="5.28515625" style="187" customWidth="1"/>
    <col min="16150" max="16150" width="15.42578125" style="187" bestFit="1" customWidth="1"/>
    <col min="16151" max="16151" width="10.42578125" style="187" bestFit="1" customWidth="1"/>
    <col min="16152" max="16384" width="9.140625" style="187"/>
  </cols>
  <sheetData>
    <row r="1" spans="1:30" ht="12.75">
      <c r="A1" s="428" t="s">
        <v>0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430"/>
    </row>
    <row r="2" spans="1:30" ht="12.75">
      <c r="A2" s="431" t="s">
        <v>266</v>
      </c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3"/>
      <c r="Q2" s="188"/>
      <c r="R2" s="189"/>
      <c r="S2" s="190"/>
      <c r="T2" s="190"/>
    </row>
    <row r="3" spans="1:30" ht="12.75">
      <c r="A3" s="38"/>
      <c r="B3" s="39" t="s">
        <v>53</v>
      </c>
      <c r="C3" s="39"/>
      <c r="D3" s="40"/>
      <c r="E3" s="177" t="s">
        <v>273</v>
      </c>
      <c r="F3" s="42" t="s">
        <v>1</v>
      </c>
      <c r="G3" s="43">
        <v>13.34</v>
      </c>
      <c r="H3" s="45"/>
      <c r="I3" s="45"/>
      <c r="J3" s="46"/>
      <c r="K3" s="45"/>
      <c r="L3" s="45"/>
      <c r="M3" s="45"/>
      <c r="N3" s="45"/>
      <c r="O3" s="47"/>
      <c r="Q3" s="191" t="s">
        <v>95</v>
      </c>
      <c r="R3" s="192"/>
      <c r="S3" s="193"/>
      <c r="T3" s="194"/>
      <c r="U3" s="195"/>
      <c r="V3" s="196"/>
      <c r="W3" s="493"/>
      <c r="X3" s="493"/>
      <c r="Y3" s="493"/>
      <c r="Z3" s="196"/>
      <c r="AA3" s="196"/>
      <c r="AB3" s="196"/>
      <c r="AC3" s="196"/>
    </row>
    <row r="4" spans="1:30" ht="13.5" thickBot="1">
      <c r="A4" s="48"/>
      <c r="B4" s="49" t="s">
        <v>54</v>
      </c>
      <c r="C4" s="50"/>
      <c r="D4" s="49"/>
      <c r="E4" s="197" t="s">
        <v>257</v>
      </c>
      <c r="F4" s="49" t="s">
        <v>343</v>
      </c>
      <c r="G4" s="49"/>
      <c r="H4" s="39"/>
      <c r="I4" s="49"/>
      <c r="J4" s="49"/>
      <c r="K4" s="52" t="s">
        <v>2</v>
      </c>
      <c r="L4" s="52"/>
      <c r="M4" s="52"/>
      <c r="N4" s="52">
        <v>15</v>
      </c>
      <c r="O4" s="198" t="s">
        <v>3</v>
      </c>
      <c r="Q4" s="199"/>
      <c r="R4" s="192"/>
      <c r="S4" s="193"/>
      <c r="T4" s="194"/>
      <c r="U4" s="195"/>
      <c r="V4" s="196"/>
      <c r="W4" s="491"/>
      <c r="X4" s="200"/>
      <c r="Y4" s="196"/>
      <c r="Z4" s="491"/>
      <c r="AA4" s="200"/>
      <c r="AB4" s="196"/>
      <c r="AC4" s="196"/>
    </row>
    <row r="5" spans="1:30" ht="14.25" thickTop="1" thickBot="1">
      <c r="A5" s="48"/>
      <c r="B5" s="39" t="s">
        <v>4</v>
      </c>
      <c r="C5" s="39"/>
      <c r="D5" s="49"/>
      <c r="E5" s="197" t="s">
        <v>274</v>
      </c>
      <c r="F5" s="49"/>
      <c r="G5" s="49"/>
      <c r="H5" s="49"/>
      <c r="I5" s="49"/>
      <c r="J5" s="49"/>
      <c r="K5" s="234" t="s">
        <v>2</v>
      </c>
      <c r="L5" s="235"/>
      <c r="M5" s="235"/>
      <c r="N5" s="235">
        <v>25</v>
      </c>
      <c r="O5" s="236" t="s">
        <v>3</v>
      </c>
      <c r="Q5" s="187" t="s">
        <v>217</v>
      </c>
      <c r="R5" s="201">
        <f ca="1">'PERFIL BC04'!C16</f>
        <v>3.1404045812529082</v>
      </c>
      <c r="S5" s="202"/>
      <c r="T5" s="203"/>
      <c r="U5" s="196"/>
      <c r="V5" s="196"/>
      <c r="W5" s="491"/>
      <c r="X5" s="200"/>
      <c r="Y5" s="196"/>
      <c r="Z5" s="491"/>
      <c r="AA5" s="200"/>
      <c r="AB5" s="196"/>
      <c r="AC5" s="196"/>
    </row>
    <row r="6" spans="1:30" ht="14.25" thickTop="1" thickBot="1">
      <c r="A6" s="48"/>
      <c r="B6" s="39" t="s">
        <v>55</v>
      </c>
      <c r="C6" s="39"/>
      <c r="D6" s="49"/>
      <c r="E6" s="43">
        <f ca="1">VLOOKUP(F10,'AUX BACIAS'!$A$2:$D$10,3,0)</f>
        <v>5.0371131177551982</v>
      </c>
      <c r="F6" s="49"/>
      <c r="G6" s="49"/>
      <c r="H6" s="49"/>
      <c r="I6" s="49"/>
      <c r="J6" s="49"/>
      <c r="K6" s="150" t="s">
        <v>2</v>
      </c>
      <c r="L6" s="151"/>
      <c r="M6" s="151"/>
      <c r="N6" s="151">
        <v>50</v>
      </c>
      <c r="O6" s="237" t="s">
        <v>3</v>
      </c>
      <c r="Q6" s="187" t="s">
        <v>218</v>
      </c>
      <c r="R6" s="201">
        <f ca="1">100*(E8/(E7*1000))</f>
        <v>11.198320433491778</v>
      </c>
      <c r="S6" s="202"/>
      <c r="T6" s="203"/>
      <c r="U6" s="196"/>
      <c r="V6" s="196"/>
      <c r="W6" s="196"/>
      <c r="X6" s="196"/>
      <c r="Y6" s="196"/>
      <c r="Z6" s="196"/>
      <c r="AA6" s="196"/>
      <c r="AB6" s="196"/>
      <c r="AC6" s="196"/>
    </row>
    <row r="7" spans="1:30" ht="13.5" thickTop="1">
      <c r="A7" s="48"/>
      <c r="B7" s="39" t="s">
        <v>6</v>
      </c>
      <c r="C7" s="39"/>
      <c r="D7" s="49"/>
      <c r="E7" s="43">
        <f ca="1">(VLOOKUP(F10,'AUX BACIAS'!$A$2:$D$10,4,0)/1000)</f>
        <v>4.4738851953335459</v>
      </c>
      <c r="F7" s="49"/>
      <c r="G7" s="49"/>
      <c r="H7" s="49"/>
      <c r="I7" s="49"/>
      <c r="J7" s="49"/>
      <c r="K7" s="49" t="s">
        <v>2</v>
      </c>
      <c r="L7" s="49"/>
      <c r="M7" s="49"/>
      <c r="N7" s="49">
        <v>100</v>
      </c>
      <c r="O7" s="146" t="s">
        <v>3</v>
      </c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</row>
    <row r="8" spans="1:30" ht="12.75">
      <c r="A8" s="48"/>
      <c r="B8" s="39" t="s">
        <v>7</v>
      </c>
      <c r="C8" s="39"/>
      <c r="D8" s="49"/>
      <c r="E8" s="179">
        <f>(INDEX('PERFIL BC04'!$C:$C,MATCH("C",'PERFIL BC04'!$B:$B,0))-INDEX('PERFIL BC04'!$C:$C,MATCH("E",'PERFIL BC04'!$B:$B,0)))</f>
        <v>501</v>
      </c>
      <c r="F8" s="49"/>
      <c r="G8" s="49"/>
      <c r="H8" s="49"/>
      <c r="I8" s="49"/>
      <c r="J8" s="49"/>
      <c r="K8" s="49" t="s">
        <v>56</v>
      </c>
      <c r="L8" s="49"/>
      <c r="M8" s="49"/>
      <c r="N8" s="50"/>
      <c r="O8" s="53">
        <f>H23</f>
        <v>0.35000000000000003</v>
      </c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96"/>
      <c r="AC8" s="196"/>
    </row>
    <row r="9" spans="1:30" ht="12.75">
      <c r="A9" s="48"/>
      <c r="B9" s="39" t="s">
        <v>267</v>
      </c>
      <c r="C9" s="39"/>
      <c r="D9" s="49"/>
      <c r="E9" s="125">
        <f ca="1">IF(R5&gt;R6,R6,R5)</f>
        <v>3.1404045812529082</v>
      </c>
      <c r="G9" s="49"/>
      <c r="H9" s="49"/>
      <c r="I9" s="49"/>
      <c r="J9" s="49"/>
      <c r="K9" s="55" t="s">
        <v>5</v>
      </c>
      <c r="L9" s="49"/>
      <c r="M9" s="55"/>
      <c r="N9" s="56"/>
      <c r="O9" s="53">
        <f ca="1">IF(E6&lt;=0.8,0.39*(E7^2/E9)^0.385,0.59*(E7^2/E9)^0.385)</f>
        <v>1.2037599171449274</v>
      </c>
      <c r="Q9" s="204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</row>
    <row r="10" spans="1:30" ht="12.75">
      <c r="A10" s="38"/>
      <c r="B10" s="57"/>
      <c r="C10" s="57"/>
      <c r="D10" s="57"/>
      <c r="E10" s="101" t="s">
        <v>98</v>
      </c>
      <c r="F10" s="241" t="str" cm="1">
        <f t="array" aca="1" ref="F10" ca="1">MID(RIGHT(CELL("nome.arquivo",A1),LEN(CELL("nome.arquivo",A1)) - SEARCH("]",CELL("nome.arquivo",A1))),1,4)</f>
        <v>BC04</v>
      </c>
      <c r="G10" s="59"/>
      <c r="H10" s="60"/>
      <c r="I10" s="61"/>
      <c r="J10" s="45"/>
      <c r="K10" s="55" t="s">
        <v>268</v>
      </c>
      <c r="L10" s="45"/>
      <c r="M10" s="62"/>
      <c r="N10" s="63"/>
      <c r="O10" s="64">
        <f ca="1">MAX(0.5,MIN(1,4.38/(E6^0.2*E7)))</f>
        <v>0.70852133831055952</v>
      </c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</row>
    <row r="11" spans="1:30" ht="12.75">
      <c r="A11" s="38"/>
      <c r="B11" s="39" t="s">
        <v>215</v>
      </c>
      <c r="C11" s="205" t="s">
        <v>207</v>
      </c>
      <c r="D11" s="57"/>
      <c r="E11" s="101"/>
      <c r="F11" s="58"/>
      <c r="G11" s="59"/>
      <c r="H11" s="60"/>
      <c r="I11" s="61"/>
      <c r="J11" s="45"/>
      <c r="K11" s="45"/>
      <c r="L11" s="45"/>
      <c r="M11" s="45"/>
      <c r="N11" s="45"/>
      <c r="O11" s="47"/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96"/>
      <c r="AC11" s="196"/>
    </row>
    <row r="12" spans="1:30" ht="24" customHeight="1">
      <c r="A12" s="38"/>
      <c r="B12" s="45" t="s">
        <v>205</v>
      </c>
      <c r="C12" s="136" t="s">
        <v>210</v>
      </c>
      <c r="D12" s="45"/>
      <c r="E12" s="44"/>
      <c r="F12" s="44"/>
      <c r="G12" s="44"/>
      <c r="H12" s="44"/>
      <c r="I12" s="45"/>
      <c r="J12" s="427" t="s">
        <v>57</v>
      </c>
      <c r="K12" s="427"/>
      <c r="L12" s="427"/>
      <c r="M12" s="427"/>
      <c r="N12" s="427"/>
      <c r="O12" s="65"/>
      <c r="Q12" s="112" t="s">
        <v>141</v>
      </c>
      <c r="R12" s="206"/>
      <c r="S12" s="206"/>
      <c r="T12" s="206"/>
      <c r="U12" s="206"/>
      <c r="V12" s="206"/>
      <c r="W12" s="196"/>
      <c r="X12" s="196"/>
      <c r="Y12" s="196"/>
      <c r="Z12" s="196"/>
      <c r="AA12" s="196"/>
      <c r="AB12" s="196"/>
      <c r="AC12" s="196"/>
    </row>
    <row r="13" spans="1:30" ht="15" customHeight="1">
      <c r="A13" s="38"/>
      <c r="B13" s="45" t="s">
        <v>220</v>
      </c>
      <c r="C13" s="45"/>
      <c r="D13" s="45"/>
      <c r="E13" s="45"/>
      <c r="F13" s="45"/>
      <c r="G13" s="45"/>
      <c r="H13" s="45"/>
      <c r="I13" s="45"/>
      <c r="J13" s="66" t="s">
        <v>58</v>
      </c>
      <c r="K13" s="207" t="s">
        <v>59</v>
      </c>
      <c r="L13" s="494" t="s">
        <v>60</v>
      </c>
      <c r="M13" s="495"/>
      <c r="N13" s="66" t="s">
        <v>61</v>
      </c>
      <c r="O13" s="67"/>
      <c r="Q13" s="112" t="str" cm="1">
        <f t="array" aca="1" ref="Q13" ca="1">IFERROR(_xlfn.LET(
_xlpm.Q,M20,
_xlpm.Tipos,[3]Base_Bueiros!$C$2:$C$10,
_xlpm.Dims,[3]Base_Bueiros!$D$2:$D$10,
_xlpm.Vazoes,[3]Base_Bueiros!$F$2:$F$10,
_xlpm.Diam,VALUE(_xlpm.Dims),
_xlpm.MenorDiam,_xlfn.AGGREGATE(15,6,_xlpm.Diam/(_xlpm.Vazoes&gt;=_xlpm.Q),1),
_xlpm.MenorVazao,_xlfn.AGGREGATE(15,6,_xlpm.Vazoes/((_xlpm.Vazoes&gt;=_xlpm.Q)*(_xlpm.Diam=_xlpm.MenorDiam)),1),
_xlpm.Linha,MATCH(_xlpm.MenorVazao,_xlpm.Vazoes,0),
INDEX(_xlpm.Tipos,_xlpm.Linha)&amp;" d="&amp;INDEX(_xlpm.Dims,_xlpm.Linha)&amp;"m"
),"Não atende em canal 15 anos. Dimensionar para 25 anos")</f>
        <v>Não atende em canal 15 anos. Dimensionar para 25 anos</v>
      </c>
      <c r="R13" s="206"/>
      <c r="S13" s="45">
        <f ca="1">IF(Q13="Não atende em canal 15 anos. Dimensionar para 25 anos",25,15)</f>
        <v>25</v>
      </c>
      <c r="T13" s="206"/>
      <c r="U13" s="206"/>
      <c r="V13" s="206"/>
      <c r="W13" s="196"/>
      <c r="X13" s="94" t="s">
        <v>269</v>
      </c>
      <c r="Y13" s="94" t="s">
        <v>1</v>
      </c>
      <c r="Z13" s="94" t="s">
        <v>270</v>
      </c>
      <c r="AA13" s="44"/>
      <c r="AB13" s="196" t="str">
        <f>'BC01 (RAC)'!AB13</f>
        <v>ax (1-24h)</v>
      </c>
      <c r="AC13" s="425" t="s">
        <v>216</v>
      </c>
      <c r="AD13" s="425"/>
    </row>
    <row r="14" spans="1:30" ht="15.75" thickBot="1">
      <c r="A14" s="38"/>
      <c r="B14" s="45"/>
      <c r="C14" s="45"/>
      <c r="D14" s="45"/>
      <c r="E14" s="45"/>
      <c r="F14" s="45"/>
      <c r="G14" s="45"/>
      <c r="H14" s="45"/>
      <c r="I14" s="45"/>
      <c r="J14" s="208" t="s">
        <v>62</v>
      </c>
      <c r="K14" s="209">
        <f ca="1">$O$9*60</f>
        <v>72.225595028695636</v>
      </c>
      <c r="L14" s="486">
        <f ca="1">IF($O$9&lt;=1,(X14*LN((K14/60)))+Z14,(AB14*LN((K14/60)))+Z14)</f>
        <v>87.865614059685328</v>
      </c>
      <c r="M14" s="486"/>
      <c r="N14" s="210">
        <f ca="1">L14/K14</f>
        <v>1.2165439969691607</v>
      </c>
      <c r="O14" s="67"/>
      <c r="Q14" s="112" t="str" cm="1">
        <f t="array" aca="1" ref="Q14" ca="1">IFERROR(_xlfn.LET(
_xlpm.Q,M21,
_xlpm.Tipos,[3]Base_Bueiros!$C$20:$C$28,
_xlpm.Dims,[3]Base_Bueiros!$D$20:$D$28,
_xlpm.Vazoes,[3]Base_Bueiros!$F$20:$F$28,
_xlpm.Diam,VALUE(_xlpm.Dims),
_xlpm.MenorDiam,_xlfn.AGGREGATE(15,6,_xlpm.Diam/(_xlpm.Vazoes&gt;=_xlpm.Q),1),
_xlpm.MenorVazao,_xlfn.AGGREGATE(15,6,_xlpm.Vazoes/((_xlpm.Vazoes&gt;=_xlpm.Q)*(_xlpm.Diam=_xlpm.MenorDiam)),1),
_xlpm.Linha,MATCH(_xlpm.MenorVazao,_xlpm.Vazoes,0),
_xlpm.Tipo,TRIM(IFERROR(LEFT(INDEX(_xlpm.Tipos,_xlpm.Linha),FIND(" OU ",INDEX(_xlpm.Tipos,_xlpm.Linha))-1),INDEX(_xlpm.Tipos,_xlpm.Linha))),
_xlpm.Tipo&amp;" d="&amp;INDEX(_xlpm.Dims,_xlpm.Linha)&amp;"m"
),"Não atende em orifício 25 anos. Dimensionar para 50 anos")</f>
        <v>Não atende em orifício 25 anos. Dimensionar para 50 anos</v>
      </c>
      <c r="R14" s="206"/>
      <c r="S14" s="45">
        <f ca="1">IF(Q14="Não atende em orifício 25 anos. Dimensionar para 50 anos",50,25)</f>
        <v>50</v>
      </c>
      <c r="T14" s="206"/>
      <c r="U14" s="206"/>
      <c r="V14" s="206"/>
      <c r="W14" s="196"/>
      <c r="X14" s="145">
        <f>'BC01 (RAC)'!X14</f>
        <v>26.41505980258199</v>
      </c>
      <c r="Y14" s="145"/>
      <c r="Z14" s="145">
        <f>'BC01 (RAC)'!Z14</f>
        <v>83.379768522636454</v>
      </c>
      <c r="AA14" s="145"/>
      <c r="AB14" s="145">
        <f>'BC01 (RAC)'!AB14</f>
        <v>24.188985755464877</v>
      </c>
      <c r="AC14" s="487" t="str">
        <f>IF(C11="Plano","Tabelado",IF(C11="Ondulado","Tabelado",IF(C11="Montanhoso","Tabelado","Ponderado")))</f>
        <v>Tabelado</v>
      </c>
      <c r="AD14" s="487"/>
    </row>
    <row r="15" spans="1:30" ht="16.5" thickTop="1" thickBot="1">
      <c r="A15" s="38"/>
      <c r="B15" s="45"/>
      <c r="C15" s="45"/>
      <c r="D15" s="45"/>
      <c r="E15" s="45"/>
      <c r="F15" s="45"/>
      <c r="G15" s="45"/>
      <c r="H15" s="45"/>
      <c r="I15" s="45"/>
      <c r="J15" s="238" t="s">
        <v>63</v>
      </c>
      <c r="K15" s="239">
        <f ca="1">$O$9*60</f>
        <v>72.225595028695636</v>
      </c>
      <c r="L15" s="489">
        <f ca="1">IF($O$9&lt;=1,(X15*LN((K15/60)))+Z15,(AB15*LN((K15/60)))+Z15)</f>
        <v>96.852339615819716</v>
      </c>
      <c r="M15" s="489"/>
      <c r="N15" s="240">
        <f ca="1">L15/K15</f>
        <v>1.3409697708594819</v>
      </c>
      <c r="O15" s="67"/>
      <c r="Q15" s="206"/>
      <c r="R15" s="214"/>
      <c r="S15" s="206"/>
      <c r="T15" s="206"/>
      <c r="U15" s="206"/>
      <c r="V15" s="206"/>
      <c r="W15" s="196"/>
      <c r="X15" s="145">
        <f>'BC01 (RAC)'!X15</f>
        <v>29.043206617627984</v>
      </c>
      <c r="Y15" s="145"/>
      <c r="Z15" s="145">
        <f>'BC01 (RAC)'!Z15</f>
        <v>91.924417541518196</v>
      </c>
      <c r="AA15" s="145"/>
      <c r="AB15" s="145">
        <f>'BC01 (RAC)'!AB15</f>
        <v>26.572791210671088</v>
      </c>
      <c r="AC15" s="488"/>
      <c r="AD15" s="488"/>
    </row>
    <row r="16" spans="1:30" ht="16.5" thickTop="1" thickBot="1">
      <c r="A16" s="38"/>
      <c r="B16" s="45"/>
      <c r="C16" s="45"/>
      <c r="D16" s="45"/>
      <c r="E16" s="45"/>
      <c r="F16" s="45"/>
      <c r="G16" s="45"/>
      <c r="H16" s="45"/>
      <c r="I16" s="45"/>
      <c r="J16" s="211" t="s">
        <v>64</v>
      </c>
      <c r="K16" s="212">
        <f ca="1">$O$9*60</f>
        <v>72.225595028695636</v>
      </c>
      <c r="L16" s="492">
        <f ca="1">IF($O$9&lt;=1,(X16*LN((K16/60)))+Z16,(AB16*LN((K16/60)))+Z16)</f>
        <v>108.56862994821059</v>
      </c>
      <c r="M16" s="492"/>
      <c r="N16" s="213">
        <f ca="1">L16/K16</f>
        <v>1.5031877536637206</v>
      </c>
      <c r="O16" s="67"/>
      <c r="Q16" s="206"/>
      <c r="R16" s="218"/>
      <c r="S16" s="196"/>
      <c r="T16" s="196"/>
      <c r="U16" s="196"/>
      <c r="V16" s="196"/>
      <c r="W16" s="196"/>
      <c r="X16" s="145">
        <f>'BC01 (RAC)'!X16</f>
        <v>32.437160263037789</v>
      </c>
      <c r="Y16" s="145"/>
      <c r="Z16" s="145">
        <f>'BC01 (RAC)'!Z16</f>
        <v>103.0459455052778</v>
      </c>
      <c r="AA16" s="145"/>
      <c r="AB16" s="145">
        <f>'BC01 (RAC)'!AB16</f>
        <v>29.77992314240781</v>
      </c>
      <c r="AC16" s="45"/>
      <c r="AD16" s="45"/>
    </row>
    <row r="17" spans="1:29" ht="15.75" thickTop="1">
      <c r="A17" s="38"/>
      <c r="B17" s="45"/>
      <c r="C17" s="45"/>
      <c r="D17" s="45"/>
      <c r="E17" s="45"/>
      <c r="F17" s="45"/>
      <c r="G17" s="45"/>
      <c r="H17" s="45"/>
      <c r="I17" s="68"/>
      <c r="J17" s="215" t="s">
        <v>65</v>
      </c>
      <c r="K17" s="216">
        <f ca="1">$O$9*60</f>
        <v>72.225595028695636</v>
      </c>
      <c r="L17" s="490">
        <f ca="1">IF($O$9&lt;=1,(X17*LN((K17/60)))+Z17,(AB17*LN((K17/60)))+Z17)</f>
        <v>119.97639326731148</v>
      </c>
      <c r="M17" s="490"/>
      <c r="N17" s="217">
        <f ca="1">L17/K17</f>
        <v>1.6611340234669467</v>
      </c>
      <c r="O17" s="67"/>
      <c r="Q17" s="206"/>
      <c r="R17" s="218"/>
      <c r="S17" s="196"/>
      <c r="T17" s="196"/>
      <c r="U17" s="196"/>
      <c r="V17" s="196"/>
      <c r="W17" s="196"/>
      <c r="X17" s="145">
        <f>'BC01 (RAC)'!X17</f>
        <v>37.177212539092373</v>
      </c>
      <c r="Y17" s="145"/>
      <c r="Z17" s="145">
        <f>'BC01 (RAC)'!Z17</f>
        <v>113.85574007527696</v>
      </c>
      <c r="AA17" s="145"/>
      <c r="AB17" s="145">
        <f>'BC01 (RAC)'!AB17</f>
        <v>33.004344811583479</v>
      </c>
      <c r="AC17" s="196"/>
    </row>
    <row r="18" spans="1:29" ht="15">
      <c r="A18" s="38"/>
      <c r="B18" s="475" t="s">
        <v>66</v>
      </c>
      <c r="C18" s="476"/>
      <c r="D18" s="476"/>
      <c r="E18" s="476"/>
      <c r="F18" s="476"/>
      <c r="G18" s="476"/>
      <c r="H18" s="477"/>
      <c r="I18" s="45"/>
      <c r="J18" s="45"/>
      <c r="K18" s="45"/>
      <c r="L18" s="45"/>
      <c r="M18" s="45"/>
      <c r="N18" s="45"/>
      <c r="O18" s="47"/>
      <c r="Q18" s="206"/>
      <c r="R18" s="218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</row>
    <row r="19" spans="1:29" ht="15">
      <c r="A19" s="38"/>
      <c r="B19" s="478"/>
      <c r="C19" s="479"/>
      <c r="D19" s="69" t="s">
        <v>67</v>
      </c>
      <c r="E19" s="69" t="s">
        <v>68</v>
      </c>
      <c r="F19" s="69" t="s">
        <v>44</v>
      </c>
      <c r="G19" s="69" t="s">
        <v>51</v>
      </c>
      <c r="H19" s="69"/>
      <c r="I19" s="45"/>
      <c r="J19" s="440" t="s">
        <v>9</v>
      </c>
      <c r="K19" s="442" t="s">
        <v>10</v>
      </c>
      <c r="L19" s="442"/>
      <c r="M19" s="442" t="s">
        <v>11</v>
      </c>
      <c r="N19" s="442"/>
      <c r="O19" s="47"/>
      <c r="Q19" s="206"/>
      <c r="R19" s="206"/>
      <c r="S19" s="196"/>
      <c r="T19" s="196"/>
      <c r="U19" s="196"/>
      <c r="V19" s="196"/>
      <c r="W19" s="196"/>
      <c r="X19" s="196"/>
      <c r="Y19" s="196"/>
      <c r="Z19" s="196"/>
      <c r="AA19" s="196"/>
      <c r="AB19" s="196"/>
      <c r="AC19" s="196"/>
    </row>
    <row r="20" spans="1:29" ht="15.75" thickBot="1">
      <c r="A20" s="38"/>
      <c r="B20" s="446" t="s">
        <v>69</v>
      </c>
      <c r="C20" s="446"/>
      <c r="D20" s="71">
        <f ca="1">E20*10^6</f>
        <v>5037113.1177551979</v>
      </c>
      <c r="E20" s="70">
        <f ca="1">E6</f>
        <v>5.0371131177551982</v>
      </c>
      <c r="F20" s="70" t="s">
        <v>25</v>
      </c>
      <c r="G20" s="70" t="s">
        <v>25</v>
      </c>
      <c r="H20" s="70" t="s">
        <v>25</v>
      </c>
      <c r="I20" s="45"/>
      <c r="J20" s="441"/>
      <c r="K20" s="483" t="s">
        <v>12</v>
      </c>
      <c r="L20" s="483"/>
      <c r="M20" s="404">
        <f ca="1">0.278*$O$8*(N14*60)*$E$6*$O$10</f>
        <v>25.346999066914979</v>
      </c>
      <c r="N20" s="405" t="s">
        <v>13</v>
      </c>
      <c r="O20" s="47"/>
      <c r="Q20" s="206"/>
      <c r="R20" s="206"/>
      <c r="S20" s="196"/>
      <c r="T20" s="196"/>
      <c r="U20" s="196"/>
      <c r="V20" s="196"/>
      <c r="W20" s="196"/>
      <c r="X20" s="196"/>
      <c r="Y20" s="196"/>
      <c r="Z20" s="196"/>
      <c r="AA20" s="196"/>
      <c r="AB20" s="196"/>
      <c r="AC20" s="196"/>
    </row>
    <row r="21" spans="1:29" ht="17.25" customHeight="1" thickTop="1" thickBot="1">
      <c r="A21" s="38"/>
      <c r="B21" s="446" t="s">
        <v>70</v>
      </c>
      <c r="C21" s="446"/>
      <c r="D21" s="220">
        <f ca="1">$D$20*G21</f>
        <v>2318079.4567909422</v>
      </c>
      <c r="E21" s="221">
        <f ca="1">D21/10^6</f>
        <v>2.3180794567909424</v>
      </c>
      <c r="F21" s="221" cm="1">
        <f t="array" ref="F21">_xlfn.LET(
_xlpm.superficie,B21,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_xlpm.col,MATCH(_xlpm.terreno,C_CN_IP03!$D$2:$I$2,0),
INDEX(C_CN_IP03!$D$4:$I$19,_xlpm.lin,_xlpm.col)
),
IF(
_xlpm.metodo="Ponderado",
IF(
_xlpm.terreno="Levemente ondulado",
AVERAGE(
INDEX(C_CN_IP03!$D$4:$I$19,_xlpm.lin,1),
INDEX(C_CN_IP03!$D$4:$I$19,_xlpm.lin,3)
),
IF(
_xlpm.terreno="Muito ondulado",
AVERAGE(
INDEX(C_CN_IP03!$D$4:$I$19,_xlpm.lin,3),
INDEX(C_CN_IP03!$D$4:$I$19,_xlpm.lin,5)
),
"Condição de terreno não reconhecida"
)
),
"Método não reconhecido"
)
)
)</f>
        <v>0.35</v>
      </c>
      <c r="G21" s="233">
        <v>0.4602</v>
      </c>
      <c r="H21" s="221">
        <f>(G21*(F21))</f>
        <v>0.16106999999999999</v>
      </c>
      <c r="I21" s="45"/>
      <c r="J21" s="441"/>
      <c r="K21" s="484" t="s">
        <v>14</v>
      </c>
      <c r="L21" s="485"/>
      <c r="M21" s="239">
        <f ca="1">0.278*$O$8*(N15*60)*$E$6*$O$10</f>
        <v>27.93944124948743</v>
      </c>
      <c r="N21" s="409" t="s">
        <v>13</v>
      </c>
      <c r="O21" s="47"/>
      <c r="Q21" s="219"/>
      <c r="R21" s="219"/>
    </row>
    <row r="22" spans="1:29" ht="17.25" customHeight="1" thickTop="1" thickBot="1">
      <c r="A22" s="38"/>
      <c r="B22" s="446" t="s">
        <v>71</v>
      </c>
      <c r="C22" s="446"/>
      <c r="D22" s="220">
        <f ca="1">$D$20*G22</f>
        <v>2719033.6609642557</v>
      </c>
      <c r="E22" s="221">
        <f ca="1">D22*(10^-6)</f>
        <v>2.7190336609642554</v>
      </c>
      <c r="F22" s="221" cm="1">
        <f t="array" ref="F22">_xlfn.LET(
_xlpm.superficie,B22,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_xlpm.col,MATCH(_xlpm.terreno,C_CN_IP03!$D$2:$I$2,0),
INDEX(C_CN_IP03!$D$4:$I$19,_xlpm.lin,_xlpm.col)
),
IF(
_xlpm.metodo="Ponderado",
IF(
_xlpm.terreno="Levemente ondulado",
AVERAGE(
INDEX(C_CN_IP03!$D$4:$I$19,_xlpm.lin,1),
INDEX(C_CN_IP03!$D$4:$I$19,_xlpm.lin,3)
),
IF(
_xlpm.terreno="Muito ondulado",
AVERAGE(
INDEX(C_CN_IP03!$D$4:$I$19,_xlpm.lin,3),
INDEX(C_CN_IP03!$D$4:$I$19,_xlpm.lin,5)
),
"Condição de terreno não reconhecida"
)
),
"Método não reconhecido"
)
)
)</f>
        <v>0.35</v>
      </c>
      <c r="G22" s="233">
        <v>0.53979999999999995</v>
      </c>
      <c r="H22" s="221">
        <f>(G22*(F22))</f>
        <v>0.18892999999999996</v>
      </c>
      <c r="I22" s="72"/>
      <c r="J22" s="441"/>
      <c r="K22" s="480" t="s">
        <v>75</v>
      </c>
      <c r="L22" s="481"/>
      <c r="M22" s="412">
        <f ca="1">0.278*$O$8*(N16*60)*$E$6*$O$10</f>
        <v>31.31929357625873</v>
      </c>
      <c r="N22" s="408" t="s">
        <v>13</v>
      </c>
      <c r="O22" s="47"/>
      <c r="Q22" s="219"/>
      <c r="R22" s="219"/>
    </row>
    <row r="23" spans="1:29" s="225" customFormat="1" ht="17.25" customHeight="1" thickTop="1">
      <c r="A23" s="222"/>
      <c r="B23" s="457" t="s">
        <v>72</v>
      </c>
      <c r="C23" s="457"/>
      <c r="D23" s="457"/>
      <c r="E23" s="457"/>
      <c r="F23" s="457"/>
      <c r="G23" s="457"/>
      <c r="H23" s="73">
        <f>_xlfn.CEILING.MATH(SUM(H21:H22),0.05)</f>
        <v>0.35000000000000003</v>
      </c>
      <c r="I23" s="223"/>
      <c r="J23" s="440"/>
      <c r="K23" s="482" t="s">
        <v>15</v>
      </c>
      <c r="L23" s="482"/>
      <c r="M23" s="410">
        <f ca="1">0.278*$O$8*(N17*60)*$E$6*$O$10</f>
        <v>34.610143692077891</v>
      </c>
      <c r="N23" s="411" t="s">
        <v>13</v>
      </c>
      <c r="O23" s="224"/>
      <c r="Q23" s="226"/>
      <c r="R23" s="226"/>
      <c r="S23" s="226"/>
      <c r="T23" s="226"/>
      <c r="U23" s="226"/>
      <c r="V23" s="226"/>
    </row>
    <row r="24" spans="1:29" ht="15">
      <c r="A24" s="38"/>
      <c r="B24" s="74" t="s">
        <v>73</v>
      </c>
      <c r="I24" s="72"/>
      <c r="J24" s="45"/>
      <c r="K24" s="45"/>
      <c r="L24" s="45"/>
      <c r="M24" s="45"/>
      <c r="N24" s="45"/>
      <c r="O24" s="47"/>
      <c r="Q24" s="219"/>
      <c r="R24" s="219"/>
      <c r="S24" s="219"/>
      <c r="T24" s="219"/>
      <c r="U24" s="219"/>
      <c r="V24" s="219"/>
    </row>
    <row r="25" spans="1:29" ht="15">
      <c r="A25" s="38"/>
      <c r="C25" s="75"/>
      <c r="D25" s="75"/>
      <c r="E25" s="75"/>
      <c r="F25" s="75"/>
      <c r="G25" s="75"/>
      <c r="H25" s="75"/>
      <c r="I25" s="72"/>
      <c r="J25" s="459" t="s">
        <v>74</v>
      </c>
      <c r="K25" s="442"/>
      <c r="L25" s="442"/>
      <c r="M25" s="442"/>
      <c r="N25" s="442"/>
      <c r="O25" s="47"/>
      <c r="Q25" s="219"/>
      <c r="R25" s="219"/>
      <c r="S25" s="219"/>
      <c r="T25" s="219"/>
      <c r="U25" s="219"/>
      <c r="V25" s="219"/>
    </row>
    <row r="26" spans="1:29" ht="15">
      <c r="A26" s="38"/>
      <c r="B26" s="45"/>
      <c r="C26" s="45"/>
      <c r="D26" s="45"/>
      <c r="E26" s="45"/>
      <c r="F26" s="45"/>
      <c r="G26" s="45"/>
      <c r="H26" s="45"/>
      <c r="I26" s="76"/>
      <c r="J26" s="461" t="str" cm="1">
        <f t="array" aca="1" ref="J26" ca="1">IFERROR(_xlfn.LET(
_xlpm.Func,"Orif",
_xlpm.Funcs,Base_Bueiros!$A$2:$A$37,
_xlpm.Tipos,Base_Bueiros!$C$2:$C$37,
_xlpm.Dims,Base_Bueiros!$D$2:$D$37,
_xlpm.Vazoes,Base_Bueiros!$F$2:$F$37,
_xlpm.DimNum,IFERROR(VALUE(TRIM(LEFT(_xlpm.Dims,FIND("x",_xlpm.Dims)-1))),VALUE(_xlpm.Dims)),
_xlpm.Linhas,IF(MID(_xlpm.Tipos,2,1)="T",3,IF(MID(_xlpm.Tipos,2,1)="D",2,1)),
_xlpm.EhTubular,MID(_xlpm.Tipos,3,1)="T",
_xlpm.QNec,IF(ISNUMBER(FIND("Orif",_xlpm.Func)),IF(_xlpm.EhTubular,M21,M22),IF(_xlpm.EhTubular,M20,M21)),
_xlpm.FiltroBase,(ISNUMBER(FIND(_xlpm.Func,_xlpm.Funcs)))*(_xlpm.Vazoes&gt;=_xlpm.QNec),
_xlpm.TemTubular,SUM(_xlpm.FiltroBase*_xlpm.EhTubular)&gt;0,
_xlpm.Filtro,_xlpm.FiltroBase*IF(_xlpm.TemTubular,_xlpm.EhTubular,NOT(_xlpm.EhTubular)),
_xlpm.Prior1,IF(_xlpm.EhTubular,_xlpm.DimNum,_xlpm.Linhas),
_xlpm.Prior2,IF(_xlpm.EhTubular,_xlpm.Linhas,_xlpm.DimNum),
_xlpm.MenorPrior1,_xlfn.AGGREGATE(15,6,_xlpm.Prior1/_xlpm.Filtro,1),
_xlpm.MenorPrior2,_xlfn.AGGREGATE(15,6,_xlpm.Prior2/(_xlpm.Filtro*(_xlpm.Prior1=_xlpm.MenorPrior1)),1),
_xlpm.MenorVazao,_xlfn.AGGREGATE(15,6,_xlpm.Vazoes/(_xlpm.Filtro*(_xlpm.Prior1=_xlpm.MenorPrior1)*(_xlpm.Prior2=_xlpm.MenorPrior2)),1),
_xlpm.Linha,MATCH(1,(_xlpm.Vazoes=_xlpm.MenorVazao)*(_xlpm.Filtro&gt;0),0),
_xlpm.Tipo,INDEX(_xlpm.Tipos,_xlpm.Linha),
_xlpm.Dim,INDEX(_xlpm.Dims,_xlpm.Linha),
_xlpm.EhTubularEscolhido,MID(_xlpm.Tipo,3,1)="T",
_xlpm.Tipo&amp;" "&amp;IF(_xlpm.EhTubularEscolhido,_xlpm.Dim&amp;"m",SUBSTITUTE(_xlpm.Dim,"0,00","")&amp;"m")
),"Ponte")</f>
        <v>BSCC 3,00 x 3,00m</v>
      </c>
      <c r="K26" s="461"/>
      <c r="L26" s="461"/>
      <c r="M26" s="461"/>
      <c r="N26" s="461"/>
      <c r="O26" s="47"/>
      <c r="Q26" s="219"/>
      <c r="R26" s="219"/>
      <c r="S26" s="219"/>
      <c r="T26" s="219"/>
      <c r="U26" s="219"/>
      <c r="V26" s="219"/>
    </row>
    <row r="27" spans="1:29" ht="15">
      <c r="A27" s="38"/>
      <c r="B27" s="45"/>
      <c r="C27" s="45"/>
      <c r="D27" s="45"/>
      <c r="E27" s="45"/>
      <c r="F27" s="45"/>
      <c r="G27" s="45"/>
      <c r="H27" s="45"/>
      <c r="I27" s="76"/>
      <c r="J27" s="45" t="s">
        <v>86</v>
      </c>
      <c r="K27" s="77"/>
      <c r="L27" s="77"/>
      <c r="M27" s="77"/>
      <c r="N27" s="77"/>
      <c r="O27" s="47"/>
      <c r="Q27" s="219"/>
      <c r="R27" s="219"/>
      <c r="S27" s="219"/>
      <c r="T27" s="219"/>
      <c r="U27" s="219"/>
      <c r="V27" s="219"/>
    </row>
    <row r="28" spans="1:29" ht="15" customHeight="1">
      <c r="A28" s="38"/>
      <c r="B28"/>
      <c r="C28"/>
      <c r="D28"/>
      <c r="E28"/>
      <c r="F28"/>
      <c r="G28"/>
      <c r="H28"/>
      <c r="I28" s="76"/>
      <c r="J28" s="45" t="s">
        <v>87</v>
      </c>
      <c r="K28" s="77"/>
      <c r="L28" s="77"/>
      <c r="M28" s="77"/>
      <c r="N28" s="77"/>
      <c r="O28" s="47"/>
      <c r="Q28" s="219"/>
      <c r="R28" s="219"/>
      <c r="S28" s="219"/>
      <c r="T28" s="219"/>
      <c r="U28" s="219"/>
      <c r="V28" s="219"/>
    </row>
    <row r="29" spans="1:29" ht="15">
      <c r="A29" s="38"/>
      <c r="B29"/>
      <c r="C29"/>
      <c r="D29"/>
      <c r="E29"/>
      <c r="F29"/>
      <c r="G29"/>
      <c r="H29"/>
      <c r="I29" s="76"/>
      <c r="J29" s="45"/>
      <c r="K29" s="77"/>
      <c r="L29" s="77"/>
      <c r="M29" s="77"/>
      <c r="N29" s="77"/>
      <c r="O29" s="47"/>
      <c r="Q29" s="219"/>
      <c r="R29" s="219"/>
      <c r="S29" s="219"/>
      <c r="T29" s="219"/>
      <c r="U29" s="219"/>
      <c r="V29" s="219"/>
    </row>
    <row r="30" spans="1:29" ht="15">
      <c r="A30" s="38"/>
      <c r="B30"/>
      <c r="C30"/>
      <c r="D30"/>
      <c r="E30"/>
      <c r="F30"/>
      <c r="G30"/>
      <c r="H30"/>
      <c r="I30" s="76"/>
      <c r="J30" s="459" t="s">
        <v>74</v>
      </c>
      <c r="K30" s="459"/>
      <c r="L30" s="459"/>
      <c r="M30" s="459"/>
      <c r="N30" s="459"/>
      <c r="O30" s="47"/>
      <c r="Q30" s="219"/>
      <c r="R30" s="219"/>
      <c r="S30" s="219"/>
      <c r="T30" s="219"/>
      <c r="U30" s="219"/>
      <c r="V30" s="219"/>
    </row>
    <row r="31" spans="1:29" ht="15">
      <c r="A31" s="38"/>
      <c r="B31" s="45"/>
      <c r="C31" s="45"/>
      <c r="D31" s="45"/>
      <c r="E31" s="45"/>
      <c r="F31" s="45"/>
      <c r="G31" s="45"/>
      <c r="H31" s="45"/>
      <c r="I31" s="76"/>
      <c r="J31" s="462" t="str" cm="1">
        <f t="array" aca="1" ref="J31" ca="1">IFERROR(_xlfn.LET(
_xlpm.Func,"Canal",
_xlpm.Funcs,Base_Bueiros!$A$2:$A$37,
_xlpm.Tipos,Base_Bueiros!$C$2:$C$37,
_xlpm.Dims,Base_Bueiros!$D$2:$D$37,
_xlpm.Vazoes,Base_Bueiros!$F$2:$F$37,
_xlpm.DimNum,IFERROR(VALUE(TRIM(LEFT(_xlpm.Dims,FIND("x",_xlpm.Dims)-1))),VALUE(_xlpm.Dims)),
_xlpm.Linhas,IF(MID(_xlpm.Tipos,2,1)="T",3,IF(MID(_xlpm.Tipos,2,1)="D",2,1)),
_xlpm.EhTubular,MID(_xlpm.Tipos,3,1)="T",
_xlpm.QNec,IF(ISNUMBER(FIND("Orif",_xlpm.Func)),IF(_xlpm.EhTubular,M21,M22),IF(_xlpm.EhTubular,M20,M21)),
_xlpm.FiltroBase,(ISNUMBER(FIND(_xlpm.Func,_xlpm.Funcs)))*(_xlpm.Vazoes&gt;=_xlpm.QNec),
_xlpm.TemTubular,SUM(_xlpm.FiltroBase*_xlpm.EhTubular)&gt;0,
_xlpm.Filtro,_xlpm.FiltroBase*IF(_xlpm.TemTubular,_xlpm.EhTubular,NOT(_xlpm.EhTubular)),
_xlpm.Prior1,IF(_xlpm.EhTubular,_xlpm.DimNum,_xlpm.Linhas),
_xlpm.Prior2,IF(_xlpm.EhTubular,_xlpm.Linhas,_xlpm.DimNum),
_xlpm.MenorPrior1,_xlfn.AGGREGATE(15,6,_xlpm.Prior1/_xlpm.Filtro,1),
_xlpm.MenorPrior2,_xlfn.AGGREGATE(15,6,_xlpm.Prior2/(_xlpm.Filtro*(_xlpm.Prior1=_xlpm.MenorPrior1)),1),
_xlpm.MenorVazao,_xlfn.AGGREGATE(15,6,_xlpm.Vazoes/(_xlpm.Filtro*(_xlpm.Prior1=_xlpm.MenorPrior1)*(_xlpm.Prior2=_xlpm.MenorPrior2)),1),
_xlpm.Linha,MATCH(1,(_xlpm.Vazoes=_xlpm.MenorVazao)*(_xlpm.Filtro&gt;0),0),
_xlpm.Tipo,INDEX(_xlpm.Tipos,_xlpm.Linha),
_xlpm.Dim,INDEX(_xlpm.Dims,_xlpm.Linha),
_xlpm.EhTubularEscolhido,MID(_xlpm.Tipo,3,1)="T",
_xlpm.Tipo&amp;" "&amp;IF(_xlpm.EhTubularEscolhido,_xlpm.Dim&amp;"m",SUBSTITUTE(_xlpm.Dim,"0,00","")&amp;"m")
),"Ponte")</f>
        <v>BDCC 2,50 x 2,50m</v>
      </c>
      <c r="K31" s="462"/>
      <c r="L31" s="462"/>
      <c r="M31" s="462"/>
      <c r="N31" s="462"/>
      <c r="O31" s="47"/>
      <c r="Q31" s="219"/>
      <c r="R31" s="219"/>
      <c r="S31" s="219"/>
      <c r="T31" s="219"/>
      <c r="U31" s="219"/>
      <c r="V31" s="219"/>
    </row>
    <row r="32" spans="1:29" ht="15">
      <c r="A32" s="38"/>
      <c r="B32" s="45"/>
      <c r="C32" s="45"/>
      <c r="D32" s="45"/>
      <c r="E32" s="45"/>
      <c r="F32" s="45"/>
      <c r="G32" s="45"/>
      <c r="H32" s="45"/>
      <c r="I32" s="76"/>
      <c r="J32" s="45" t="s">
        <v>88</v>
      </c>
      <c r="K32" s="77"/>
      <c r="L32" s="77"/>
      <c r="M32" s="77"/>
      <c r="N32" s="77"/>
      <c r="O32" s="47"/>
      <c r="Q32" s="219"/>
      <c r="R32" s="219"/>
      <c r="S32" s="219"/>
      <c r="T32" s="219"/>
      <c r="U32" s="219"/>
      <c r="V32" s="219"/>
    </row>
    <row r="33" spans="1:22" ht="15">
      <c r="A33" s="38"/>
      <c r="B33" s="45"/>
      <c r="C33" s="45"/>
      <c r="D33" s="45"/>
      <c r="E33" s="45"/>
      <c r="F33" s="45"/>
      <c r="G33" s="45"/>
      <c r="H33" s="45"/>
      <c r="I33" s="76"/>
      <c r="J33" s="77"/>
      <c r="K33" s="77"/>
      <c r="L33" s="77"/>
      <c r="M33" s="77"/>
      <c r="N33" s="77"/>
      <c r="O33" s="47"/>
      <c r="Q33" s="219"/>
      <c r="R33" s="219"/>
      <c r="S33" s="219"/>
      <c r="T33" s="219"/>
      <c r="U33" s="219"/>
      <c r="V33" s="219"/>
    </row>
    <row r="34" spans="1:22" ht="15">
      <c r="A34" s="38"/>
      <c r="B34" s="45"/>
      <c r="C34" s="45"/>
      <c r="D34" s="45"/>
      <c r="E34" s="45"/>
      <c r="F34" s="45"/>
      <c r="G34" s="45"/>
      <c r="H34" s="45"/>
      <c r="I34" s="76"/>
      <c r="J34" s="459" t="s">
        <v>408</v>
      </c>
      <c r="K34" s="459"/>
      <c r="L34" s="459"/>
      <c r="M34" s="459"/>
      <c r="N34" s="459"/>
      <c r="O34" s="47"/>
      <c r="Q34" s="219"/>
      <c r="R34" s="219"/>
      <c r="S34" s="219"/>
      <c r="T34" s="219"/>
      <c r="U34" s="219"/>
      <c r="V34" s="219"/>
    </row>
    <row r="35" spans="1:22" ht="15">
      <c r="A35" s="38"/>
      <c r="B35" s="45"/>
      <c r="C35" s="45"/>
      <c r="D35" s="45"/>
      <c r="E35" s="45"/>
      <c r="F35" s="45"/>
      <c r="G35" s="45"/>
      <c r="H35" s="45"/>
      <c r="I35" s="76"/>
      <c r="J35" s="452" t="str">
        <f>'Apresentação  - Est. Hid.'!AK22</f>
        <v>Ponte existente 15,00x3,90m</v>
      </c>
      <c r="K35" s="453"/>
      <c r="L35" s="453"/>
      <c r="M35" s="453"/>
      <c r="N35" s="453"/>
      <c r="O35" s="47"/>
      <c r="Q35" s="219"/>
      <c r="R35" s="219"/>
      <c r="S35" s="219"/>
      <c r="T35" s="219"/>
      <c r="U35" s="219"/>
      <c r="V35" s="219"/>
    </row>
    <row r="36" spans="1:22" ht="15">
      <c r="A36" s="38"/>
      <c r="B36" s="45"/>
      <c r="C36" s="45"/>
      <c r="D36" s="45"/>
      <c r="E36" s="45"/>
      <c r="F36" s="45"/>
      <c r="G36" s="45"/>
      <c r="H36" s="45"/>
      <c r="I36" s="76"/>
      <c r="J36"/>
      <c r="K36"/>
      <c r="L36"/>
      <c r="M36"/>
      <c r="N36"/>
      <c r="O36" s="47"/>
      <c r="Q36" s="219"/>
      <c r="R36" s="219"/>
      <c r="S36" s="219"/>
      <c r="T36" s="219"/>
      <c r="U36" s="219"/>
      <c r="V36" s="219"/>
    </row>
    <row r="37" spans="1:22" ht="15.75" thickBot="1">
      <c r="A37" s="79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1"/>
      <c r="Q37" s="219"/>
      <c r="R37" s="219"/>
      <c r="S37" s="219"/>
      <c r="T37" s="219"/>
      <c r="U37" s="219"/>
      <c r="V37" s="219"/>
    </row>
    <row r="38" spans="1:22" ht="15">
      <c r="Q38" s="219"/>
      <c r="R38" s="219"/>
      <c r="S38" s="219"/>
      <c r="T38" s="219"/>
      <c r="U38" s="219"/>
      <c r="V38" s="219"/>
    </row>
    <row r="40" spans="1:22">
      <c r="C40" s="196"/>
      <c r="D40" s="196"/>
      <c r="E40" s="196"/>
      <c r="F40" s="196"/>
      <c r="G40" s="196"/>
    </row>
    <row r="41" spans="1:22">
      <c r="C41" s="472"/>
      <c r="D41" s="472"/>
      <c r="E41" s="472"/>
      <c r="F41" s="473"/>
      <c r="G41" s="474"/>
      <c r="K41" s="227"/>
    </row>
    <row r="42" spans="1:22">
      <c r="C42" s="228"/>
      <c r="D42" s="229"/>
      <c r="E42" s="230"/>
      <c r="F42" s="229"/>
      <c r="G42" s="231"/>
    </row>
    <row r="43" spans="1:22">
      <c r="C43" s="228"/>
      <c r="D43" s="229"/>
      <c r="E43" s="230"/>
      <c r="F43" s="229"/>
      <c r="G43" s="231"/>
    </row>
    <row r="44" spans="1:22">
      <c r="C44" s="228"/>
      <c r="D44" s="229"/>
      <c r="E44" s="230"/>
      <c r="F44" s="229"/>
      <c r="G44" s="231"/>
    </row>
    <row r="45" spans="1:22">
      <c r="C45" s="228"/>
      <c r="D45" s="229"/>
      <c r="E45" s="230"/>
      <c r="F45" s="229"/>
      <c r="G45" s="231"/>
    </row>
    <row r="46" spans="1:22">
      <c r="C46" s="196"/>
      <c r="D46" s="196"/>
      <c r="E46" s="196"/>
      <c r="F46" s="196"/>
      <c r="G46" s="196"/>
    </row>
    <row r="47" spans="1:22">
      <c r="C47" s="196"/>
      <c r="D47" s="196"/>
      <c r="E47" s="196"/>
      <c r="F47" s="196"/>
      <c r="G47" s="196"/>
    </row>
    <row r="48" spans="1:22">
      <c r="C48" s="196"/>
      <c r="D48" s="196"/>
      <c r="E48" s="196"/>
      <c r="F48" s="196"/>
      <c r="G48" s="196"/>
    </row>
  </sheetData>
  <mergeCells count="34">
    <mergeCell ref="Z4:Z5"/>
    <mergeCell ref="J12:N12"/>
    <mergeCell ref="L16:M16"/>
    <mergeCell ref="A1:O1"/>
    <mergeCell ref="A2:O2"/>
    <mergeCell ref="W3:Y3"/>
    <mergeCell ref="W4:W5"/>
    <mergeCell ref="L13:M13"/>
    <mergeCell ref="AC13:AD13"/>
    <mergeCell ref="L14:M14"/>
    <mergeCell ref="AC14:AD15"/>
    <mergeCell ref="L15:M15"/>
    <mergeCell ref="L17:M17"/>
    <mergeCell ref="B18:H18"/>
    <mergeCell ref="B19:C19"/>
    <mergeCell ref="J19:J23"/>
    <mergeCell ref="K19:L19"/>
    <mergeCell ref="M19:N19"/>
    <mergeCell ref="B20:C20"/>
    <mergeCell ref="K20:L20"/>
    <mergeCell ref="B21:C21"/>
    <mergeCell ref="K21:L21"/>
    <mergeCell ref="J30:N30"/>
    <mergeCell ref="J31:N31"/>
    <mergeCell ref="C41:E41"/>
    <mergeCell ref="F41:G41"/>
    <mergeCell ref="B22:C22"/>
    <mergeCell ref="K22:L22"/>
    <mergeCell ref="B23:G23"/>
    <mergeCell ref="K23:L23"/>
    <mergeCell ref="J25:N25"/>
    <mergeCell ref="J26:N26"/>
    <mergeCell ref="J34:N34"/>
    <mergeCell ref="J35:N35"/>
  </mergeCells>
  <conditionalFormatting sqref="K4:O4">
    <cfRule type="expression" dxfId="118" priority="1">
      <formula>AND($M$22&lt;=79.73,OR($S$13=15,$S$13=25),$N$4=$S$13)</formula>
    </cfRule>
  </conditionalFormatting>
  <conditionalFormatting sqref="K5:O5">
    <cfRule type="expression" dxfId="117" priority="2">
      <formula>AND($M$22&lt;=79.73,OR($S$13=15,$S$13=25),$N$5=$S$13)</formula>
    </cfRule>
    <cfRule type="expression" dxfId="116" priority="3">
      <formula>AND($M$22&lt;=79.73,OR($S$14=25,$S$14=50),$N$5=$S$14)</formula>
    </cfRule>
  </conditionalFormatting>
  <conditionalFormatting sqref="K6:O6">
    <cfRule type="expression" dxfId="115" priority="4">
      <formula>AND($M$22&lt;=79.73,OR($S$14=25,$S$14=50),$N$6=$S$14)</formula>
    </cfRule>
  </conditionalFormatting>
  <conditionalFormatting sqref="K7:O7">
    <cfRule type="expression" dxfId="114" priority="5">
      <formula>AND($M$22&gt;79.73,$N$7=100)</formula>
    </cfRule>
  </conditionalFormatting>
  <conditionalFormatting sqref="J14:N14">
    <cfRule type="expression" dxfId="113" priority="6">
      <formula>AND($M$22&lt;=79.73,OR($S$13=15,$S$13=25),$S$13=15)</formula>
    </cfRule>
  </conditionalFormatting>
  <conditionalFormatting sqref="J15:N15">
    <cfRule type="expression" dxfId="112" priority="7">
      <formula>AND($M$22&lt;=79.73,OR($S$13=15,$S$13=25),$S$13=25)</formula>
    </cfRule>
    <cfRule type="expression" dxfId="111" priority="8">
      <formula>AND($M$22&lt;=79.73,OR($S$14=25,$S$14=50),$S$14=25)</formula>
    </cfRule>
  </conditionalFormatting>
  <conditionalFormatting sqref="J16:N16">
    <cfRule type="expression" dxfId="110" priority="9">
      <formula>AND($M$22&lt;=79.73,OR($S$14=25,$S$14=50),$S$14=50)</formula>
    </cfRule>
  </conditionalFormatting>
  <conditionalFormatting sqref="J17:N17">
    <cfRule type="expression" dxfId="109" priority="10">
      <formula>$M$22&gt;79.73</formula>
    </cfRule>
  </conditionalFormatting>
  <conditionalFormatting sqref="K20:N20">
    <cfRule type="expression" dxfId="108" priority="11">
      <formula>AND($M$22&lt;=79.73,OR($S$13=15,$S$13=25),$S$13=15)</formula>
    </cfRule>
  </conditionalFormatting>
  <conditionalFormatting sqref="K21:N21">
    <cfRule type="expression" dxfId="107" priority="12">
      <formula>AND($M$22&lt;=79.73,OR($S$13=15,$S$13=25),$S$13=25)</formula>
    </cfRule>
    <cfRule type="expression" dxfId="106" priority="13">
      <formula>AND($M$22&lt;=79.73,OR($S$14=25,$S$14=50),$S$14=25)</formula>
    </cfRule>
  </conditionalFormatting>
  <conditionalFormatting sqref="K22:N22">
    <cfRule type="expression" dxfId="105" priority="14">
      <formula>AND($M$22&lt;=79.73,OR($S$14=25,$S$14=50),$S$14=50)</formula>
    </cfRule>
  </conditionalFormatting>
  <conditionalFormatting sqref="K23:N23">
    <cfRule type="expression" dxfId="104" priority="15">
      <formula>$M$22&gt;79.73</formula>
    </cfRule>
  </conditionalFormatting>
  <dataValidations disablePrompts="1" count="3">
    <dataValidation type="list" allowBlank="1" showInputMessage="1" showErrorMessage="1" sqref="AC14" xr:uid="{B01869D2-DD10-4C75-9DFA-CBA262531AA3}">
      <formula1>"Tabelado,Ponderado"</formula1>
    </dataValidation>
    <dataValidation type="list" allowBlank="1" showInputMessage="1" showErrorMessage="1" sqref="C12" xr:uid="{ECBF62E6-FE19-4CD7-A2BF-41782380A9CB}">
      <formula1>"A,B,C,D"</formula1>
    </dataValidation>
    <dataValidation type="list" allowBlank="1" showInputMessage="1" showErrorMessage="1" sqref="C11" xr:uid="{333A5986-B7E1-4457-A948-89AD0A7605D5}">
      <formula1>"Plano,Levemente ondulado,Ondulado,Muito ondulado,Montanhoso,Muito montanhoso,Escarpado"</formula1>
    </dataValidation>
  </dataValidations>
  <printOptions horizontalCentered="1" verticalCentered="1"/>
  <pageMargins left="0.39370078740157483" right="0.39370078740157483" top="0.74803149606299213" bottom="0.39370078740157483" header="0.23622047244094491" footer="0.31496062992125984"/>
  <pageSetup paperSize="9" scale="90" orientation="landscape" r:id="rId1"/>
  <headerFooter>
    <oddHeader xml:space="preserve">&amp;L&amp;"Times New Roman,Normal"&amp;12&amp;G&amp;C
&amp;R&amp;"Times New Roman,Negrito"&amp;12ANTEPROJETO DE ENGENHARIA RODOVIA GO-188
TRECHO: Entr. BR-070 (Ponte Alta) / GO-188
 (Div. GO/MT-Registro do Araguaia)
</oddHeader>
  </headerFooter>
  <colBreaks count="1" manualBreakCount="1">
    <brk id="15" max="1048575" man="1"/>
  </colBreaks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E8F6D-D8A0-4428-BBB9-9564D485E8BE}">
  <sheetPr codeName="Planilha17">
    <tabColor rgb="FF0070C0"/>
  </sheetPr>
  <dimension ref="B2:K22"/>
  <sheetViews>
    <sheetView showGridLines="0" zoomScaleNormal="100" zoomScaleSheetLayoutView="100" workbookViewId="0">
      <selection activeCell="V11" sqref="V11"/>
    </sheetView>
  </sheetViews>
  <sheetFormatPr defaultRowHeight="15"/>
  <cols>
    <col min="3" max="3" width="8.5703125" bestFit="1" customWidth="1"/>
    <col min="4" max="4" width="12.5703125" bestFit="1" customWidth="1"/>
    <col min="5" max="5" width="10.85546875" bestFit="1" customWidth="1"/>
    <col min="6" max="9" width="8.5703125" customWidth="1"/>
    <col min="10" max="10" width="11" bestFit="1" customWidth="1"/>
    <col min="14" max="14" width="10.42578125" customWidth="1"/>
  </cols>
  <sheetData>
    <row r="2" spans="2:11" ht="45.75" thickBot="1">
      <c r="B2" s="1" t="s">
        <v>37</v>
      </c>
      <c r="C2" s="1" t="s">
        <v>38</v>
      </c>
      <c r="D2" s="1" t="s">
        <v>39</v>
      </c>
      <c r="E2" s="1" t="s">
        <v>40</v>
      </c>
      <c r="F2" s="2" t="s">
        <v>41</v>
      </c>
      <c r="G2" s="2" t="s">
        <v>42</v>
      </c>
      <c r="H2" s="1" t="s">
        <v>43</v>
      </c>
      <c r="I2" s="3"/>
      <c r="J2" s="3"/>
    </row>
    <row r="3" spans="2:11" ht="15.75" thickBot="1">
      <c r="B3" s="14" t="s">
        <v>44</v>
      </c>
      <c r="C3" s="232">
        <v>1135</v>
      </c>
      <c r="D3" s="14">
        <v>0</v>
      </c>
      <c r="E3" s="13">
        <f>D3/1000</f>
        <v>0</v>
      </c>
      <c r="F3" s="13">
        <v>0</v>
      </c>
      <c r="G3" s="13">
        <v>0</v>
      </c>
      <c r="H3" s="13">
        <v>0</v>
      </c>
      <c r="J3" s="464" t="s">
        <v>198</v>
      </c>
      <c r="K3" s="465"/>
    </row>
    <row r="4" spans="2:11">
      <c r="B4" s="14">
        <v>2</v>
      </c>
      <c r="C4" s="232">
        <v>876</v>
      </c>
      <c r="D4" s="14">
        <v>500</v>
      </c>
      <c r="E4" s="12">
        <f>D4/1000</f>
        <v>0.5</v>
      </c>
      <c r="F4" s="13">
        <f>C3-C4</f>
        <v>259</v>
      </c>
      <c r="G4" s="12">
        <f>E4-E3</f>
        <v>0.5</v>
      </c>
      <c r="H4" s="12">
        <f t="shared" ref="H4:H11" si="0">F4/G4</f>
        <v>518</v>
      </c>
      <c r="J4" s="120" t="s">
        <v>199</v>
      </c>
      <c r="K4" s="124">
        <f ca="1">(((E12/((G4/SQRT(H4))+(G5/SQRT(H5))+(G6/SQRT(H6))+(G7/SQRT(H7))+(G8/SQRT(H8))+(G9/SQRT(H9))+(G10/SQRT(H10))+(G11/SQRT(H11))+(G12/SQRT(H12))))^2)/1000)*1000</f>
        <v>31.404045812529084</v>
      </c>
    </row>
    <row r="5" spans="2:11" ht="15.75" thickBot="1">
      <c r="B5" s="14">
        <v>3</v>
      </c>
      <c r="C5" s="232">
        <v>772</v>
      </c>
      <c r="D5" s="14">
        <f>D4+500</f>
        <v>1000</v>
      </c>
      <c r="E5" s="12">
        <f t="shared" ref="E5:E12" si="1">D5/1000</f>
        <v>1</v>
      </c>
      <c r="F5" s="13">
        <f t="shared" ref="F5:F12" si="2">C4-C5</f>
        <v>104</v>
      </c>
      <c r="G5" s="12">
        <f t="shared" ref="G5:G12" si="3">E5-E4</f>
        <v>0.5</v>
      </c>
      <c r="H5" s="12">
        <f t="shared" si="0"/>
        <v>208</v>
      </c>
      <c r="J5" s="121" t="s">
        <v>200</v>
      </c>
      <c r="K5" s="123">
        <f ca="1">((E12/((G4/SQRT(H4))+(G5/SQRT(H5))+(G6/SQRT(H6))+(G7/SQRT(H7))+(G8/SQRT(H8))+(G9/SQRT(H9))+(G10/SQRT(H10))+(G11/SQRT(H11))+(G12/SQRT(H12))))^2)/1000</f>
        <v>3.1404045812529084E-2</v>
      </c>
    </row>
    <row r="6" spans="2:11" ht="15.75" thickBot="1">
      <c r="B6" s="14">
        <v>4</v>
      </c>
      <c r="C6" s="232">
        <v>725</v>
      </c>
      <c r="D6" s="14">
        <f t="shared" ref="D6:D11" si="4">D5+500</f>
        <v>1500</v>
      </c>
      <c r="E6" s="12">
        <f t="shared" si="1"/>
        <v>1.5</v>
      </c>
      <c r="F6" s="13">
        <f t="shared" si="2"/>
        <v>47</v>
      </c>
      <c r="G6" s="12">
        <f t="shared" si="3"/>
        <v>0.5</v>
      </c>
      <c r="H6" s="12">
        <f t="shared" si="0"/>
        <v>94</v>
      </c>
      <c r="J6" s="119" t="s">
        <v>201</v>
      </c>
      <c r="K6" s="122">
        <f ca="1">(((E12/((G4/SQRT(H4))+(G5/SQRT(H5))+(G6/SQRT(H6))+(G7/SQRT(H7))+(G8/SQRT(H8))+(G9/SQRT(H9))+(G10/SQRT(H10))+(G11/SQRT(H11))+(G12/SQRT(H12))))^2)/1000)*100</f>
        <v>3.1404045812529082</v>
      </c>
    </row>
    <row r="7" spans="2:11">
      <c r="B7" s="14">
        <v>5</v>
      </c>
      <c r="C7" s="232">
        <v>688</v>
      </c>
      <c r="D7" s="14">
        <f t="shared" si="4"/>
        <v>2000</v>
      </c>
      <c r="E7" s="12">
        <f t="shared" si="1"/>
        <v>2</v>
      </c>
      <c r="F7" s="13">
        <f t="shared" si="2"/>
        <v>37</v>
      </c>
      <c r="G7" s="12">
        <f t="shared" si="3"/>
        <v>0.5</v>
      </c>
      <c r="H7" s="12">
        <f t="shared" si="0"/>
        <v>74</v>
      </c>
    </row>
    <row r="8" spans="2:11">
      <c r="B8" s="14">
        <v>6</v>
      </c>
      <c r="C8" s="232">
        <v>667</v>
      </c>
      <c r="D8" s="14">
        <f t="shared" si="4"/>
        <v>2500</v>
      </c>
      <c r="E8" s="12">
        <f t="shared" si="1"/>
        <v>2.5</v>
      </c>
      <c r="F8" s="13">
        <f t="shared" si="2"/>
        <v>21</v>
      </c>
      <c r="G8" s="12">
        <f t="shared" si="3"/>
        <v>0.5</v>
      </c>
      <c r="H8" s="12">
        <f t="shared" si="0"/>
        <v>42</v>
      </c>
    </row>
    <row r="9" spans="2:11">
      <c r="B9" s="14">
        <v>7</v>
      </c>
      <c r="C9" s="232">
        <v>652</v>
      </c>
      <c r="D9" s="14">
        <f t="shared" si="4"/>
        <v>3000</v>
      </c>
      <c r="E9" s="12">
        <f t="shared" si="1"/>
        <v>3</v>
      </c>
      <c r="F9" s="13">
        <f t="shared" si="2"/>
        <v>15</v>
      </c>
      <c r="G9" s="12">
        <f t="shared" si="3"/>
        <v>0.5</v>
      </c>
      <c r="H9" s="12">
        <f t="shared" si="0"/>
        <v>30</v>
      </c>
    </row>
    <row r="10" spans="2:11">
      <c r="B10" s="14">
        <v>8</v>
      </c>
      <c r="C10" s="232">
        <v>649</v>
      </c>
      <c r="D10" s="14">
        <f t="shared" si="4"/>
        <v>3500</v>
      </c>
      <c r="E10" s="12">
        <f t="shared" si="1"/>
        <v>3.5</v>
      </c>
      <c r="F10" s="13">
        <f t="shared" si="2"/>
        <v>3</v>
      </c>
      <c r="G10" s="12">
        <f t="shared" si="3"/>
        <v>0.5</v>
      </c>
      <c r="H10" s="12">
        <f t="shared" si="0"/>
        <v>6</v>
      </c>
    </row>
    <row r="11" spans="2:11">
      <c r="B11" s="14">
        <v>9</v>
      </c>
      <c r="C11" s="232">
        <v>639</v>
      </c>
      <c r="D11" s="14">
        <f t="shared" si="4"/>
        <v>4000</v>
      </c>
      <c r="E11" s="12">
        <f t="shared" si="1"/>
        <v>4</v>
      </c>
      <c r="F11" s="13">
        <f t="shared" si="2"/>
        <v>10</v>
      </c>
      <c r="G11" s="12">
        <f t="shared" si="3"/>
        <v>0.5</v>
      </c>
      <c r="H11" s="12">
        <f t="shared" si="0"/>
        <v>20</v>
      </c>
    </row>
    <row r="12" spans="2:11">
      <c r="B12" s="14" t="s">
        <v>33</v>
      </c>
      <c r="C12" s="232">
        <v>634</v>
      </c>
      <c r="D12" s="37">
        <f ca="1">'BC03 (RAC-MOD)'!E7*1000</f>
        <v>4480.061213554116</v>
      </c>
      <c r="E12" s="12">
        <f t="shared" ca="1" si="1"/>
        <v>4.4800612135541158</v>
      </c>
      <c r="F12" s="13">
        <f t="shared" si="2"/>
        <v>5</v>
      </c>
      <c r="G12" s="12">
        <f t="shared" ca="1" si="3"/>
        <v>0.4800612135541158</v>
      </c>
      <c r="H12" s="12">
        <f ca="1">F12/G12</f>
        <v>10.41533841691288</v>
      </c>
    </row>
    <row r="13" spans="2:11" ht="15.75" thickBot="1">
      <c r="B13" s="3"/>
      <c r="C13" s="93"/>
      <c r="D13" s="106"/>
      <c r="E13" s="107"/>
      <c r="F13" s="106"/>
      <c r="G13" s="107"/>
      <c r="H13" s="107"/>
    </row>
    <row r="14" spans="2:11" ht="15.75" thickBot="1">
      <c r="B14" s="4" t="s">
        <v>48</v>
      </c>
      <c r="C14" s="5">
        <f ca="1">(((E12/((G4/SQRT(H4))+(G5/SQRT(H5))+(G6/SQRT(H6))+(G7/SQRT(H7))+(G8/SQRT(H8))+(G9/SQRT(H9))+(G10/SQRT(H10))+(G11/SQRT(H11))+(G12/SQRT(H12))))^2)/1000)*1000</f>
        <v>31.404045812529084</v>
      </c>
      <c r="D14" s="6" t="s">
        <v>45</v>
      </c>
      <c r="E14" s="6" t="s">
        <v>49</v>
      </c>
      <c r="F14" s="6"/>
      <c r="G14" s="6"/>
      <c r="H14" s="7"/>
    </row>
    <row r="15" spans="2:11" ht="15.75" thickBot="1">
      <c r="B15" s="4" t="s">
        <v>48</v>
      </c>
      <c r="C15" s="8">
        <f ca="1">C14/1000</f>
        <v>3.1404045812529084E-2</v>
      </c>
      <c r="D15" s="6" t="s">
        <v>46</v>
      </c>
      <c r="E15" s="6" t="s">
        <v>50</v>
      </c>
      <c r="F15" s="6"/>
      <c r="G15" s="6"/>
      <c r="H15" s="7"/>
    </row>
    <row r="16" spans="2:11" ht="15.75" thickBot="1">
      <c r="B16" s="9" t="s">
        <v>48</v>
      </c>
      <c r="C16" s="108">
        <f ca="1">C15*100</f>
        <v>3.1404045812529082</v>
      </c>
      <c r="D16" s="10" t="s">
        <v>47</v>
      </c>
      <c r="E16" s="10" t="s">
        <v>51</v>
      </c>
      <c r="F16" s="10"/>
      <c r="G16" s="10"/>
      <c r="H16" s="11"/>
    </row>
    <row r="21" ht="13.5" customHeight="1"/>
    <row r="22" hidden="1"/>
  </sheetData>
  <mergeCells count="1">
    <mergeCell ref="J3:K3"/>
  </mergeCells>
  <pageMargins left="0.51181102362204722" right="0.51181102362204722" top="0.78740157480314965" bottom="0.78740157480314965" header="0.23622047244094491" footer="0.31496062992125984"/>
  <pageSetup paperSize="9" orientation="portrait" r:id="rId1"/>
  <headerFooter>
    <oddHeader xml:space="preserve">&amp;L&amp;G&amp;R&amp;"Times New Roman,Negrito"&amp;12ANTEPROJETO DE ENGENHARIA RODOVIA GO-188
TRECHO: Entr. BR-070 (Ponte Alta) / GO-188
 (Div. GO/MT-Registro do Araguaia)
</oddHead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5DA9-A8BA-4996-A480-DA57CB64D68C}">
  <sheetPr codeName="Planilha33">
    <tabColor rgb="FF0070C0"/>
  </sheetPr>
  <dimension ref="A1:AD48"/>
  <sheetViews>
    <sheetView showGridLines="0" zoomScaleNormal="100" zoomScaleSheetLayoutView="100" workbookViewId="0">
      <selection activeCell="V11" sqref="V11"/>
    </sheetView>
  </sheetViews>
  <sheetFormatPr defaultRowHeight="11.25"/>
  <cols>
    <col min="1" max="1" width="3.7109375" style="187" customWidth="1"/>
    <col min="2" max="2" width="12.7109375" style="187" customWidth="1"/>
    <col min="3" max="3" width="15.85546875" style="187" customWidth="1"/>
    <col min="4" max="4" width="13.42578125" style="187" customWidth="1"/>
    <col min="5" max="5" width="7.85546875" style="187" customWidth="1"/>
    <col min="6" max="6" width="5.7109375" style="187" customWidth="1"/>
    <col min="7" max="7" width="8.28515625" style="187" bestFit="1" customWidth="1"/>
    <col min="8" max="8" width="8.28515625" style="187" customWidth="1"/>
    <col min="9" max="9" width="9.5703125" style="187" customWidth="1"/>
    <col min="10" max="10" width="9.7109375" style="187" customWidth="1"/>
    <col min="11" max="11" width="15.7109375" style="187" customWidth="1"/>
    <col min="12" max="12" width="8.7109375" style="187" customWidth="1"/>
    <col min="13" max="13" width="6.28515625" style="187" bestFit="1" customWidth="1"/>
    <col min="14" max="14" width="10.42578125" style="187" customWidth="1"/>
    <col min="15" max="15" width="5.7109375" style="187" bestFit="1" customWidth="1"/>
    <col min="16" max="16" width="8.7109375" style="187" customWidth="1"/>
    <col min="17" max="17" width="20.7109375" style="187" customWidth="1"/>
    <col min="18" max="18" width="8.42578125" style="187" customWidth="1"/>
    <col min="19" max="19" width="12.5703125" style="187" bestFit="1" customWidth="1"/>
    <col min="20" max="20" width="12.28515625" style="187" bestFit="1" customWidth="1"/>
    <col min="21" max="21" width="5.28515625" style="187" customWidth="1"/>
    <col min="22" max="22" width="15.42578125" style="187" bestFit="1" customWidth="1"/>
    <col min="23" max="23" width="10.42578125" style="187" bestFit="1" customWidth="1"/>
    <col min="24" max="257" width="9.140625" style="187"/>
    <col min="258" max="258" width="8.7109375" style="187" customWidth="1"/>
    <col min="259" max="259" width="17" style="187" customWidth="1"/>
    <col min="260" max="260" width="14.42578125" style="187" customWidth="1"/>
    <col min="261" max="261" width="10.28515625" style="187" customWidth="1"/>
    <col min="262" max="272" width="8.7109375" style="187" customWidth="1"/>
    <col min="273" max="273" width="9.7109375" style="187" customWidth="1"/>
    <col min="274" max="274" width="8.42578125" style="187" customWidth="1"/>
    <col min="275" max="275" width="9.140625" style="187"/>
    <col min="276" max="276" width="10.7109375" style="187" customWidth="1"/>
    <col min="277" max="277" width="5.28515625" style="187" customWidth="1"/>
    <col min="278" max="278" width="15.42578125" style="187" bestFit="1" customWidth="1"/>
    <col min="279" max="279" width="10.42578125" style="187" bestFit="1" customWidth="1"/>
    <col min="280" max="513" width="9.140625" style="187"/>
    <col min="514" max="514" width="8.7109375" style="187" customWidth="1"/>
    <col min="515" max="515" width="17" style="187" customWidth="1"/>
    <col min="516" max="516" width="14.42578125" style="187" customWidth="1"/>
    <col min="517" max="517" width="10.28515625" style="187" customWidth="1"/>
    <col min="518" max="528" width="8.7109375" style="187" customWidth="1"/>
    <col min="529" max="529" width="9.7109375" style="187" customWidth="1"/>
    <col min="530" max="530" width="8.42578125" style="187" customWidth="1"/>
    <col min="531" max="531" width="9.140625" style="187"/>
    <col min="532" max="532" width="10.7109375" style="187" customWidth="1"/>
    <col min="533" max="533" width="5.28515625" style="187" customWidth="1"/>
    <col min="534" max="534" width="15.42578125" style="187" bestFit="1" customWidth="1"/>
    <col min="535" max="535" width="10.42578125" style="187" bestFit="1" customWidth="1"/>
    <col min="536" max="769" width="9.140625" style="187"/>
    <col min="770" max="770" width="8.7109375" style="187" customWidth="1"/>
    <col min="771" max="771" width="17" style="187" customWidth="1"/>
    <col min="772" max="772" width="14.42578125" style="187" customWidth="1"/>
    <col min="773" max="773" width="10.28515625" style="187" customWidth="1"/>
    <col min="774" max="784" width="8.7109375" style="187" customWidth="1"/>
    <col min="785" max="785" width="9.7109375" style="187" customWidth="1"/>
    <col min="786" max="786" width="8.42578125" style="187" customWidth="1"/>
    <col min="787" max="787" width="9.140625" style="187"/>
    <col min="788" max="788" width="10.7109375" style="187" customWidth="1"/>
    <col min="789" max="789" width="5.28515625" style="187" customWidth="1"/>
    <col min="790" max="790" width="15.42578125" style="187" bestFit="1" customWidth="1"/>
    <col min="791" max="791" width="10.42578125" style="187" bestFit="1" customWidth="1"/>
    <col min="792" max="1025" width="9.140625" style="187"/>
    <col min="1026" max="1026" width="8.7109375" style="187" customWidth="1"/>
    <col min="1027" max="1027" width="17" style="187" customWidth="1"/>
    <col min="1028" max="1028" width="14.42578125" style="187" customWidth="1"/>
    <col min="1029" max="1029" width="10.28515625" style="187" customWidth="1"/>
    <col min="1030" max="1040" width="8.7109375" style="187" customWidth="1"/>
    <col min="1041" max="1041" width="9.7109375" style="187" customWidth="1"/>
    <col min="1042" max="1042" width="8.42578125" style="187" customWidth="1"/>
    <col min="1043" max="1043" width="9.140625" style="187"/>
    <col min="1044" max="1044" width="10.7109375" style="187" customWidth="1"/>
    <col min="1045" max="1045" width="5.28515625" style="187" customWidth="1"/>
    <col min="1046" max="1046" width="15.42578125" style="187" bestFit="1" customWidth="1"/>
    <col min="1047" max="1047" width="10.42578125" style="187" bestFit="1" customWidth="1"/>
    <col min="1048" max="1281" width="9.140625" style="187"/>
    <col min="1282" max="1282" width="8.7109375" style="187" customWidth="1"/>
    <col min="1283" max="1283" width="17" style="187" customWidth="1"/>
    <col min="1284" max="1284" width="14.42578125" style="187" customWidth="1"/>
    <col min="1285" max="1285" width="10.28515625" style="187" customWidth="1"/>
    <col min="1286" max="1296" width="8.7109375" style="187" customWidth="1"/>
    <col min="1297" max="1297" width="9.7109375" style="187" customWidth="1"/>
    <col min="1298" max="1298" width="8.42578125" style="187" customWidth="1"/>
    <col min="1299" max="1299" width="9.140625" style="187"/>
    <col min="1300" max="1300" width="10.7109375" style="187" customWidth="1"/>
    <col min="1301" max="1301" width="5.28515625" style="187" customWidth="1"/>
    <col min="1302" max="1302" width="15.42578125" style="187" bestFit="1" customWidth="1"/>
    <col min="1303" max="1303" width="10.42578125" style="187" bestFit="1" customWidth="1"/>
    <col min="1304" max="1537" width="9.140625" style="187"/>
    <col min="1538" max="1538" width="8.7109375" style="187" customWidth="1"/>
    <col min="1539" max="1539" width="17" style="187" customWidth="1"/>
    <col min="1540" max="1540" width="14.42578125" style="187" customWidth="1"/>
    <col min="1541" max="1541" width="10.28515625" style="187" customWidth="1"/>
    <col min="1542" max="1552" width="8.7109375" style="187" customWidth="1"/>
    <col min="1553" max="1553" width="9.7109375" style="187" customWidth="1"/>
    <col min="1554" max="1554" width="8.42578125" style="187" customWidth="1"/>
    <col min="1555" max="1555" width="9.140625" style="187"/>
    <col min="1556" max="1556" width="10.7109375" style="187" customWidth="1"/>
    <col min="1557" max="1557" width="5.28515625" style="187" customWidth="1"/>
    <col min="1558" max="1558" width="15.42578125" style="187" bestFit="1" customWidth="1"/>
    <col min="1559" max="1559" width="10.42578125" style="187" bestFit="1" customWidth="1"/>
    <col min="1560" max="1793" width="9.140625" style="187"/>
    <col min="1794" max="1794" width="8.7109375" style="187" customWidth="1"/>
    <col min="1795" max="1795" width="17" style="187" customWidth="1"/>
    <col min="1796" max="1796" width="14.42578125" style="187" customWidth="1"/>
    <col min="1797" max="1797" width="10.28515625" style="187" customWidth="1"/>
    <col min="1798" max="1808" width="8.7109375" style="187" customWidth="1"/>
    <col min="1809" max="1809" width="9.7109375" style="187" customWidth="1"/>
    <col min="1810" max="1810" width="8.42578125" style="187" customWidth="1"/>
    <col min="1811" max="1811" width="9.140625" style="187"/>
    <col min="1812" max="1812" width="10.7109375" style="187" customWidth="1"/>
    <col min="1813" max="1813" width="5.28515625" style="187" customWidth="1"/>
    <col min="1814" max="1814" width="15.42578125" style="187" bestFit="1" customWidth="1"/>
    <col min="1815" max="1815" width="10.42578125" style="187" bestFit="1" customWidth="1"/>
    <col min="1816" max="2049" width="9.140625" style="187"/>
    <col min="2050" max="2050" width="8.7109375" style="187" customWidth="1"/>
    <col min="2051" max="2051" width="17" style="187" customWidth="1"/>
    <col min="2052" max="2052" width="14.42578125" style="187" customWidth="1"/>
    <col min="2053" max="2053" width="10.28515625" style="187" customWidth="1"/>
    <col min="2054" max="2064" width="8.7109375" style="187" customWidth="1"/>
    <col min="2065" max="2065" width="9.7109375" style="187" customWidth="1"/>
    <col min="2066" max="2066" width="8.42578125" style="187" customWidth="1"/>
    <col min="2067" max="2067" width="9.140625" style="187"/>
    <col min="2068" max="2068" width="10.7109375" style="187" customWidth="1"/>
    <col min="2069" max="2069" width="5.28515625" style="187" customWidth="1"/>
    <col min="2070" max="2070" width="15.42578125" style="187" bestFit="1" customWidth="1"/>
    <col min="2071" max="2071" width="10.42578125" style="187" bestFit="1" customWidth="1"/>
    <col min="2072" max="2305" width="9.140625" style="187"/>
    <col min="2306" max="2306" width="8.7109375" style="187" customWidth="1"/>
    <col min="2307" max="2307" width="17" style="187" customWidth="1"/>
    <col min="2308" max="2308" width="14.42578125" style="187" customWidth="1"/>
    <col min="2309" max="2309" width="10.28515625" style="187" customWidth="1"/>
    <col min="2310" max="2320" width="8.7109375" style="187" customWidth="1"/>
    <col min="2321" max="2321" width="9.7109375" style="187" customWidth="1"/>
    <col min="2322" max="2322" width="8.42578125" style="187" customWidth="1"/>
    <col min="2323" max="2323" width="9.140625" style="187"/>
    <col min="2324" max="2324" width="10.7109375" style="187" customWidth="1"/>
    <col min="2325" max="2325" width="5.28515625" style="187" customWidth="1"/>
    <col min="2326" max="2326" width="15.42578125" style="187" bestFit="1" customWidth="1"/>
    <col min="2327" max="2327" width="10.42578125" style="187" bestFit="1" customWidth="1"/>
    <col min="2328" max="2561" width="9.140625" style="187"/>
    <col min="2562" max="2562" width="8.7109375" style="187" customWidth="1"/>
    <col min="2563" max="2563" width="17" style="187" customWidth="1"/>
    <col min="2564" max="2564" width="14.42578125" style="187" customWidth="1"/>
    <col min="2565" max="2565" width="10.28515625" style="187" customWidth="1"/>
    <col min="2566" max="2576" width="8.7109375" style="187" customWidth="1"/>
    <col min="2577" max="2577" width="9.7109375" style="187" customWidth="1"/>
    <col min="2578" max="2578" width="8.42578125" style="187" customWidth="1"/>
    <col min="2579" max="2579" width="9.140625" style="187"/>
    <col min="2580" max="2580" width="10.7109375" style="187" customWidth="1"/>
    <col min="2581" max="2581" width="5.28515625" style="187" customWidth="1"/>
    <col min="2582" max="2582" width="15.42578125" style="187" bestFit="1" customWidth="1"/>
    <col min="2583" max="2583" width="10.42578125" style="187" bestFit="1" customWidth="1"/>
    <col min="2584" max="2817" width="9.140625" style="187"/>
    <col min="2818" max="2818" width="8.7109375" style="187" customWidth="1"/>
    <col min="2819" max="2819" width="17" style="187" customWidth="1"/>
    <col min="2820" max="2820" width="14.42578125" style="187" customWidth="1"/>
    <col min="2821" max="2821" width="10.28515625" style="187" customWidth="1"/>
    <col min="2822" max="2832" width="8.7109375" style="187" customWidth="1"/>
    <col min="2833" max="2833" width="9.7109375" style="187" customWidth="1"/>
    <col min="2834" max="2834" width="8.42578125" style="187" customWidth="1"/>
    <col min="2835" max="2835" width="9.140625" style="187"/>
    <col min="2836" max="2836" width="10.7109375" style="187" customWidth="1"/>
    <col min="2837" max="2837" width="5.28515625" style="187" customWidth="1"/>
    <col min="2838" max="2838" width="15.42578125" style="187" bestFit="1" customWidth="1"/>
    <col min="2839" max="2839" width="10.42578125" style="187" bestFit="1" customWidth="1"/>
    <col min="2840" max="3073" width="9.140625" style="187"/>
    <col min="3074" max="3074" width="8.7109375" style="187" customWidth="1"/>
    <col min="3075" max="3075" width="17" style="187" customWidth="1"/>
    <col min="3076" max="3076" width="14.42578125" style="187" customWidth="1"/>
    <col min="3077" max="3077" width="10.28515625" style="187" customWidth="1"/>
    <col min="3078" max="3088" width="8.7109375" style="187" customWidth="1"/>
    <col min="3089" max="3089" width="9.7109375" style="187" customWidth="1"/>
    <col min="3090" max="3090" width="8.42578125" style="187" customWidth="1"/>
    <col min="3091" max="3091" width="9.140625" style="187"/>
    <col min="3092" max="3092" width="10.7109375" style="187" customWidth="1"/>
    <col min="3093" max="3093" width="5.28515625" style="187" customWidth="1"/>
    <col min="3094" max="3094" width="15.42578125" style="187" bestFit="1" customWidth="1"/>
    <col min="3095" max="3095" width="10.42578125" style="187" bestFit="1" customWidth="1"/>
    <col min="3096" max="3329" width="9.140625" style="187"/>
    <col min="3330" max="3330" width="8.7109375" style="187" customWidth="1"/>
    <col min="3331" max="3331" width="17" style="187" customWidth="1"/>
    <col min="3332" max="3332" width="14.42578125" style="187" customWidth="1"/>
    <col min="3333" max="3333" width="10.28515625" style="187" customWidth="1"/>
    <col min="3334" max="3344" width="8.7109375" style="187" customWidth="1"/>
    <col min="3345" max="3345" width="9.7109375" style="187" customWidth="1"/>
    <col min="3346" max="3346" width="8.42578125" style="187" customWidth="1"/>
    <col min="3347" max="3347" width="9.140625" style="187"/>
    <col min="3348" max="3348" width="10.7109375" style="187" customWidth="1"/>
    <col min="3349" max="3349" width="5.28515625" style="187" customWidth="1"/>
    <col min="3350" max="3350" width="15.42578125" style="187" bestFit="1" customWidth="1"/>
    <col min="3351" max="3351" width="10.42578125" style="187" bestFit="1" customWidth="1"/>
    <col min="3352" max="3585" width="9.140625" style="187"/>
    <col min="3586" max="3586" width="8.7109375" style="187" customWidth="1"/>
    <col min="3587" max="3587" width="17" style="187" customWidth="1"/>
    <col min="3588" max="3588" width="14.42578125" style="187" customWidth="1"/>
    <col min="3589" max="3589" width="10.28515625" style="187" customWidth="1"/>
    <col min="3590" max="3600" width="8.7109375" style="187" customWidth="1"/>
    <col min="3601" max="3601" width="9.7109375" style="187" customWidth="1"/>
    <col min="3602" max="3602" width="8.42578125" style="187" customWidth="1"/>
    <col min="3603" max="3603" width="9.140625" style="187"/>
    <col min="3604" max="3604" width="10.7109375" style="187" customWidth="1"/>
    <col min="3605" max="3605" width="5.28515625" style="187" customWidth="1"/>
    <col min="3606" max="3606" width="15.42578125" style="187" bestFit="1" customWidth="1"/>
    <col min="3607" max="3607" width="10.42578125" style="187" bestFit="1" customWidth="1"/>
    <col min="3608" max="3841" width="9.140625" style="187"/>
    <col min="3842" max="3842" width="8.7109375" style="187" customWidth="1"/>
    <col min="3843" max="3843" width="17" style="187" customWidth="1"/>
    <col min="3844" max="3844" width="14.42578125" style="187" customWidth="1"/>
    <col min="3845" max="3845" width="10.28515625" style="187" customWidth="1"/>
    <col min="3846" max="3856" width="8.7109375" style="187" customWidth="1"/>
    <col min="3857" max="3857" width="9.7109375" style="187" customWidth="1"/>
    <col min="3858" max="3858" width="8.42578125" style="187" customWidth="1"/>
    <col min="3859" max="3859" width="9.140625" style="187"/>
    <col min="3860" max="3860" width="10.7109375" style="187" customWidth="1"/>
    <col min="3861" max="3861" width="5.28515625" style="187" customWidth="1"/>
    <col min="3862" max="3862" width="15.42578125" style="187" bestFit="1" customWidth="1"/>
    <col min="3863" max="3863" width="10.42578125" style="187" bestFit="1" customWidth="1"/>
    <col min="3864" max="4097" width="9.140625" style="187"/>
    <col min="4098" max="4098" width="8.7109375" style="187" customWidth="1"/>
    <col min="4099" max="4099" width="17" style="187" customWidth="1"/>
    <col min="4100" max="4100" width="14.42578125" style="187" customWidth="1"/>
    <col min="4101" max="4101" width="10.28515625" style="187" customWidth="1"/>
    <col min="4102" max="4112" width="8.7109375" style="187" customWidth="1"/>
    <col min="4113" max="4113" width="9.7109375" style="187" customWidth="1"/>
    <col min="4114" max="4114" width="8.42578125" style="187" customWidth="1"/>
    <col min="4115" max="4115" width="9.140625" style="187"/>
    <col min="4116" max="4116" width="10.7109375" style="187" customWidth="1"/>
    <col min="4117" max="4117" width="5.28515625" style="187" customWidth="1"/>
    <col min="4118" max="4118" width="15.42578125" style="187" bestFit="1" customWidth="1"/>
    <col min="4119" max="4119" width="10.42578125" style="187" bestFit="1" customWidth="1"/>
    <col min="4120" max="4353" width="9.140625" style="187"/>
    <col min="4354" max="4354" width="8.7109375" style="187" customWidth="1"/>
    <col min="4355" max="4355" width="17" style="187" customWidth="1"/>
    <col min="4356" max="4356" width="14.42578125" style="187" customWidth="1"/>
    <col min="4357" max="4357" width="10.28515625" style="187" customWidth="1"/>
    <col min="4358" max="4368" width="8.7109375" style="187" customWidth="1"/>
    <col min="4369" max="4369" width="9.7109375" style="187" customWidth="1"/>
    <col min="4370" max="4370" width="8.42578125" style="187" customWidth="1"/>
    <col min="4371" max="4371" width="9.140625" style="187"/>
    <col min="4372" max="4372" width="10.7109375" style="187" customWidth="1"/>
    <col min="4373" max="4373" width="5.28515625" style="187" customWidth="1"/>
    <col min="4374" max="4374" width="15.42578125" style="187" bestFit="1" customWidth="1"/>
    <col min="4375" max="4375" width="10.42578125" style="187" bestFit="1" customWidth="1"/>
    <col min="4376" max="4609" width="9.140625" style="187"/>
    <col min="4610" max="4610" width="8.7109375" style="187" customWidth="1"/>
    <col min="4611" max="4611" width="17" style="187" customWidth="1"/>
    <col min="4612" max="4612" width="14.42578125" style="187" customWidth="1"/>
    <col min="4613" max="4613" width="10.28515625" style="187" customWidth="1"/>
    <col min="4614" max="4624" width="8.7109375" style="187" customWidth="1"/>
    <col min="4625" max="4625" width="9.7109375" style="187" customWidth="1"/>
    <col min="4626" max="4626" width="8.42578125" style="187" customWidth="1"/>
    <col min="4627" max="4627" width="9.140625" style="187"/>
    <col min="4628" max="4628" width="10.7109375" style="187" customWidth="1"/>
    <col min="4629" max="4629" width="5.28515625" style="187" customWidth="1"/>
    <col min="4630" max="4630" width="15.42578125" style="187" bestFit="1" customWidth="1"/>
    <col min="4631" max="4631" width="10.42578125" style="187" bestFit="1" customWidth="1"/>
    <col min="4632" max="4865" width="9.140625" style="187"/>
    <col min="4866" max="4866" width="8.7109375" style="187" customWidth="1"/>
    <col min="4867" max="4867" width="17" style="187" customWidth="1"/>
    <col min="4868" max="4868" width="14.42578125" style="187" customWidth="1"/>
    <col min="4869" max="4869" width="10.28515625" style="187" customWidth="1"/>
    <col min="4870" max="4880" width="8.7109375" style="187" customWidth="1"/>
    <col min="4881" max="4881" width="9.7109375" style="187" customWidth="1"/>
    <col min="4882" max="4882" width="8.42578125" style="187" customWidth="1"/>
    <col min="4883" max="4883" width="9.140625" style="187"/>
    <col min="4884" max="4884" width="10.7109375" style="187" customWidth="1"/>
    <col min="4885" max="4885" width="5.28515625" style="187" customWidth="1"/>
    <col min="4886" max="4886" width="15.42578125" style="187" bestFit="1" customWidth="1"/>
    <col min="4887" max="4887" width="10.42578125" style="187" bestFit="1" customWidth="1"/>
    <col min="4888" max="5121" width="9.140625" style="187"/>
    <col min="5122" max="5122" width="8.7109375" style="187" customWidth="1"/>
    <col min="5123" max="5123" width="17" style="187" customWidth="1"/>
    <col min="5124" max="5124" width="14.42578125" style="187" customWidth="1"/>
    <col min="5125" max="5125" width="10.28515625" style="187" customWidth="1"/>
    <col min="5126" max="5136" width="8.7109375" style="187" customWidth="1"/>
    <col min="5137" max="5137" width="9.7109375" style="187" customWidth="1"/>
    <col min="5138" max="5138" width="8.42578125" style="187" customWidth="1"/>
    <col min="5139" max="5139" width="9.140625" style="187"/>
    <col min="5140" max="5140" width="10.7109375" style="187" customWidth="1"/>
    <col min="5141" max="5141" width="5.28515625" style="187" customWidth="1"/>
    <col min="5142" max="5142" width="15.42578125" style="187" bestFit="1" customWidth="1"/>
    <col min="5143" max="5143" width="10.42578125" style="187" bestFit="1" customWidth="1"/>
    <col min="5144" max="5377" width="9.140625" style="187"/>
    <col min="5378" max="5378" width="8.7109375" style="187" customWidth="1"/>
    <col min="5379" max="5379" width="17" style="187" customWidth="1"/>
    <col min="5380" max="5380" width="14.42578125" style="187" customWidth="1"/>
    <col min="5381" max="5381" width="10.28515625" style="187" customWidth="1"/>
    <col min="5382" max="5392" width="8.7109375" style="187" customWidth="1"/>
    <col min="5393" max="5393" width="9.7109375" style="187" customWidth="1"/>
    <col min="5394" max="5394" width="8.42578125" style="187" customWidth="1"/>
    <col min="5395" max="5395" width="9.140625" style="187"/>
    <col min="5396" max="5396" width="10.7109375" style="187" customWidth="1"/>
    <col min="5397" max="5397" width="5.28515625" style="187" customWidth="1"/>
    <col min="5398" max="5398" width="15.42578125" style="187" bestFit="1" customWidth="1"/>
    <col min="5399" max="5399" width="10.42578125" style="187" bestFit="1" customWidth="1"/>
    <col min="5400" max="5633" width="9.140625" style="187"/>
    <col min="5634" max="5634" width="8.7109375" style="187" customWidth="1"/>
    <col min="5635" max="5635" width="17" style="187" customWidth="1"/>
    <col min="5636" max="5636" width="14.42578125" style="187" customWidth="1"/>
    <col min="5637" max="5637" width="10.28515625" style="187" customWidth="1"/>
    <col min="5638" max="5648" width="8.7109375" style="187" customWidth="1"/>
    <col min="5649" max="5649" width="9.7109375" style="187" customWidth="1"/>
    <col min="5650" max="5650" width="8.42578125" style="187" customWidth="1"/>
    <col min="5651" max="5651" width="9.140625" style="187"/>
    <col min="5652" max="5652" width="10.7109375" style="187" customWidth="1"/>
    <col min="5653" max="5653" width="5.28515625" style="187" customWidth="1"/>
    <col min="5654" max="5654" width="15.42578125" style="187" bestFit="1" customWidth="1"/>
    <col min="5655" max="5655" width="10.42578125" style="187" bestFit="1" customWidth="1"/>
    <col min="5656" max="5889" width="9.140625" style="187"/>
    <col min="5890" max="5890" width="8.7109375" style="187" customWidth="1"/>
    <col min="5891" max="5891" width="17" style="187" customWidth="1"/>
    <col min="5892" max="5892" width="14.42578125" style="187" customWidth="1"/>
    <col min="5893" max="5893" width="10.28515625" style="187" customWidth="1"/>
    <col min="5894" max="5904" width="8.7109375" style="187" customWidth="1"/>
    <col min="5905" max="5905" width="9.7109375" style="187" customWidth="1"/>
    <col min="5906" max="5906" width="8.42578125" style="187" customWidth="1"/>
    <col min="5907" max="5907" width="9.140625" style="187"/>
    <col min="5908" max="5908" width="10.7109375" style="187" customWidth="1"/>
    <col min="5909" max="5909" width="5.28515625" style="187" customWidth="1"/>
    <col min="5910" max="5910" width="15.42578125" style="187" bestFit="1" customWidth="1"/>
    <col min="5911" max="5911" width="10.42578125" style="187" bestFit="1" customWidth="1"/>
    <col min="5912" max="6145" width="9.140625" style="187"/>
    <col min="6146" max="6146" width="8.7109375" style="187" customWidth="1"/>
    <col min="6147" max="6147" width="17" style="187" customWidth="1"/>
    <col min="6148" max="6148" width="14.42578125" style="187" customWidth="1"/>
    <col min="6149" max="6149" width="10.28515625" style="187" customWidth="1"/>
    <col min="6150" max="6160" width="8.7109375" style="187" customWidth="1"/>
    <col min="6161" max="6161" width="9.7109375" style="187" customWidth="1"/>
    <col min="6162" max="6162" width="8.42578125" style="187" customWidth="1"/>
    <col min="6163" max="6163" width="9.140625" style="187"/>
    <col min="6164" max="6164" width="10.7109375" style="187" customWidth="1"/>
    <col min="6165" max="6165" width="5.28515625" style="187" customWidth="1"/>
    <col min="6166" max="6166" width="15.42578125" style="187" bestFit="1" customWidth="1"/>
    <col min="6167" max="6167" width="10.42578125" style="187" bestFit="1" customWidth="1"/>
    <col min="6168" max="6401" width="9.140625" style="187"/>
    <col min="6402" max="6402" width="8.7109375" style="187" customWidth="1"/>
    <col min="6403" max="6403" width="17" style="187" customWidth="1"/>
    <col min="6404" max="6404" width="14.42578125" style="187" customWidth="1"/>
    <col min="6405" max="6405" width="10.28515625" style="187" customWidth="1"/>
    <col min="6406" max="6416" width="8.7109375" style="187" customWidth="1"/>
    <col min="6417" max="6417" width="9.7109375" style="187" customWidth="1"/>
    <col min="6418" max="6418" width="8.42578125" style="187" customWidth="1"/>
    <col min="6419" max="6419" width="9.140625" style="187"/>
    <col min="6420" max="6420" width="10.7109375" style="187" customWidth="1"/>
    <col min="6421" max="6421" width="5.28515625" style="187" customWidth="1"/>
    <col min="6422" max="6422" width="15.42578125" style="187" bestFit="1" customWidth="1"/>
    <col min="6423" max="6423" width="10.42578125" style="187" bestFit="1" customWidth="1"/>
    <col min="6424" max="6657" width="9.140625" style="187"/>
    <col min="6658" max="6658" width="8.7109375" style="187" customWidth="1"/>
    <col min="6659" max="6659" width="17" style="187" customWidth="1"/>
    <col min="6660" max="6660" width="14.42578125" style="187" customWidth="1"/>
    <col min="6661" max="6661" width="10.28515625" style="187" customWidth="1"/>
    <col min="6662" max="6672" width="8.7109375" style="187" customWidth="1"/>
    <col min="6673" max="6673" width="9.7109375" style="187" customWidth="1"/>
    <col min="6674" max="6674" width="8.42578125" style="187" customWidth="1"/>
    <col min="6675" max="6675" width="9.140625" style="187"/>
    <col min="6676" max="6676" width="10.7109375" style="187" customWidth="1"/>
    <col min="6677" max="6677" width="5.28515625" style="187" customWidth="1"/>
    <col min="6678" max="6678" width="15.42578125" style="187" bestFit="1" customWidth="1"/>
    <col min="6679" max="6679" width="10.42578125" style="187" bestFit="1" customWidth="1"/>
    <col min="6680" max="6913" width="9.140625" style="187"/>
    <col min="6914" max="6914" width="8.7109375" style="187" customWidth="1"/>
    <col min="6915" max="6915" width="17" style="187" customWidth="1"/>
    <col min="6916" max="6916" width="14.42578125" style="187" customWidth="1"/>
    <col min="6917" max="6917" width="10.28515625" style="187" customWidth="1"/>
    <col min="6918" max="6928" width="8.7109375" style="187" customWidth="1"/>
    <col min="6929" max="6929" width="9.7109375" style="187" customWidth="1"/>
    <col min="6930" max="6930" width="8.42578125" style="187" customWidth="1"/>
    <col min="6931" max="6931" width="9.140625" style="187"/>
    <col min="6932" max="6932" width="10.7109375" style="187" customWidth="1"/>
    <col min="6933" max="6933" width="5.28515625" style="187" customWidth="1"/>
    <col min="6934" max="6934" width="15.42578125" style="187" bestFit="1" customWidth="1"/>
    <col min="6935" max="6935" width="10.42578125" style="187" bestFit="1" customWidth="1"/>
    <col min="6936" max="7169" width="9.140625" style="187"/>
    <col min="7170" max="7170" width="8.7109375" style="187" customWidth="1"/>
    <col min="7171" max="7171" width="17" style="187" customWidth="1"/>
    <col min="7172" max="7172" width="14.42578125" style="187" customWidth="1"/>
    <col min="7173" max="7173" width="10.28515625" style="187" customWidth="1"/>
    <col min="7174" max="7184" width="8.7109375" style="187" customWidth="1"/>
    <col min="7185" max="7185" width="9.7109375" style="187" customWidth="1"/>
    <col min="7186" max="7186" width="8.42578125" style="187" customWidth="1"/>
    <col min="7187" max="7187" width="9.140625" style="187"/>
    <col min="7188" max="7188" width="10.7109375" style="187" customWidth="1"/>
    <col min="7189" max="7189" width="5.28515625" style="187" customWidth="1"/>
    <col min="7190" max="7190" width="15.42578125" style="187" bestFit="1" customWidth="1"/>
    <col min="7191" max="7191" width="10.42578125" style="187" bestFit="1" customWidth="1"/>
    <col min="7192" max="7425" width="9.140625" style="187"/>
    <col min="7426" max="7426" width="8.7109375" style="187" customWidth="1"/>
    <col min="7427" max="7427" width="17" style="187" customWidth="1"/>
    <col min="7428" max="7428" width="14.42578125" style="187" customWidth="1"/>
    <col min="7429" max="7429" width="10.28515625" style="187" customWidth="1"/>
    <col min="7430" max="7440" width="8.7109375" style="187" customWidth="1"/>
    <col min="7441" max="7441" width="9.7109375" style="187" customWidth="1"/>
    <col min="7442" max="7442" width="8.42578125" style="187" customWidth="1"/>
    <col min="7443" max="7443" width="9.140625" style="187"/>
    <col min="7444" max="7444" width="10.7109375" style="187" customWidth="1"/>
    <col min="7445" max="7445" width="5.28515625" style="187" customWidth="1"/>
    <col min="7446" max="7446" width="15.42578125" style="187" bestFit="1" customWidth="1"/>
    <col min="7447" max="7447" width="10.42578125" style="187" bestFit="1" customWidth="1"/>
    <col min="7448" max="7681" width="9.140625" style="187"/>
    <col min="7682" max="7682" width="8.7109375" style="187" customWidth="1"/>
    <col min="7683" max="7683" width="17" style="187" customWidth="1"/>
    <col min="7684" max="7684" width="14.42578125" style="187" customWidth="1"/>
    <col min="7685" max="7685" width="10.28515625" style="187" customWidth="1"/>
    <col min="7686" max="7696" width="8.7109375" style="187" customWidth="1"/>
    <col min="7697" max="7697" width="9.7109375" style="187" customWidth="1"/>
    <col min="7698" max="7698" width="8.42578125" style="187" customWidth="1"/>
    <col min="7699" max="7699" width="9.140625" style="187"/>
    <col min="7700" max="7700" width="10.7109375" style="187" customWidth="1"/>
    <col min="7701" max="7701" width="5.28515625" style="187" customWidth="1"/>
    <col min="7702" max="7702" width="15.42578125" style="187" bestFit="1" customWidth="1"/>
    <col min="7703" max="7703" width="10.42578125" style="187" bestFit="1" customWidth="1"/>
    <col min="7704" max="7937" width="9.140625" style="187"/>
    <col min="7938" max="7938" width="8.7109375" style="187" customWidth="1"/>
    <col min="7939" max="7939" width="17" style="187" customWidth="1"/>
    <col min="7940" max="7940" width="14.42578125" style="187" customWidth="1"/>
    <col min="7941" max="7941" width="10.28515625" style="187" customWidth="1"/>
    <col min="7942" max="7952" width="8.7109375" style="187" customWidth="1"/>
    <col min="7953" max="7953" width="9.7109375" style="187" customWidth="1"/>
    <col min="7954" max="7954" width="8.42578125" style="187" customWidth="1"/>
    <col min="7955" max="7955" width="9.140625" style="187"/>
    <col min="7956" max="7956" width="10.7109375" style="187" customWidth="1"/>
    <col min="7957" max="7957" width="5.28515625" style="187" customWidth="1"/>
    <col min="7958" max="7958" width="15.42578125" style="187" bestFit="1" customWidth="1"/>
    <col min="7959" max="7959" width="10.42578125" style="187" bestFit="1" customWidth="1"/>
    <col min="7960" max="8193" width="9.140625" style="187"/>
    <col min="8194" max="8194" width="8.7109375" style="187" customWidth="1"/>
    <col min="8195" max="8195" width="17" style="187" customWidth="1"/>
    <col min="8196" max="8196" width="14.42578125" style="187" customWidth="1"/>
    <col min="8197" max="8197" width="10.28515625" style="187" customWidth="1"/>
    <col min="8198" max="8208" width="8.7109375" style="187" customWidth="1"/>
    <col min="8209" max="8209" width="9.7109375" style="187" customWidth="1"/>
    <col min="8210" max="8210" width="8.42578125" style="187" customWidth="1"/>
    <col min="8211" max="8211" width="9.140625" style="187"/>
    <col min="8212" max="8212" width="10.7109375" style="187" customWidth="1"/>
    <col min="8213" max="8213" width="5.28515625" style="187" customWidth="1"/>
    <col min="8214" max="8214" width="15.42578125" style="187" bestFit="1" customWidth="1"/>
    <col min="8215" max="8215" width="10.42578125" style="187" bestFit="1" customWidth="1"/>
    <col min="8216" max="8449" width="9.140625" style="187"/>
    <col min="8450" max="8450" width="8.7109375" style="187" customWidth="1"/>
    <col min="8451" max="8451" width="17" style="187" customWidth="1"/>
    <col min="8452" max="8452" width="14.42578125" style="187" customWidth="1"/>
    <col min="8453" max="8453" width="10.28515625" style="187" customWidth="1"/>
    <col min="8454" max="8464" width="8.7109375" style="187" customWidth="1"/>
    <col min="8465" max="8465" width="9.7109375" style="187" customWidth="1"/>
    <col min="8466" max="8466" width="8.42578125" style="187" customWidth="1"/>
    <col min="8467" max="8467" width="9.140625" style="187"/>
    <col min="8468" max="8468" width="10.7109375" style="187" customWidth="1"/>
    <col min="8469" max="8469" width="5.28515625" style="187" customWidth="1"/>
    <col min="8470" max="8470" width="15.42578125" style="187" bestFit="1" customWidth="1"/>
    <col min="8471" max="8471" width="10.42578125" style="187" bestFit="1" customWidth="1"/>
    <col min="8472" max="8705" width="9.140625" style="187"/>
    <col min="8706" max="8706" width="8.7109375" style="187" customWidth="1"/>
    <col min="8707" max="8707" width="17" style="187" customWidth="1"/>
    <col min="8708" max="8708" width="14.42578125" style="187" customWidth="1"/>
    <col min="8709" max="8709" width="10.28515625" style="187" customWidth="1"/>
    <col min="8710" max="8720" width="8.7109375" style="187" customWidth="1"/>
    <col min="8721" max="8721" width="9.7109375" style="187" customWidth="1"/>
    <col min="8722" max="8722" width="8.42578125" style="187" customWidth="1"/>
    <col min="8723" max="8723" width="9.140625" style="187"/>
    <col min="8724" max="8724" width="10.7109375" style="187" customWidth="1"/>
    <col min="8725" max="8725" width="5.28515625" style="187" customWidth="1"/>
    <col min="8726" max="8726" width="15.42578125" style="187" bestFit="1" customWidth="1"/>
    <col min="8727" max="8727" width="10.42578125" style="187" bestFit="1" customWidth="1"/>
    <col min="8728" max="8961" width="9.140625" style="187"/>
    <col min="8962" max="8962" width="8.7109375" style="187" customWidth="1"/>
    <col min="8963" max="8963" width="17" style="187" customWidth="1"/>
    <col min="8964" max="8964" width="14.42578125" style="187" customWidth="1"/>
    <col min="8965" max="8965" width="10.28515625" style="187" customWidth="1"/>
    <col min="8966" max="8976" width="8.7109375" style="187" customWidth="1"/>
    <col min="8977" max="8977" width="9.7109375" style="187" customWidth="1"/>
    <col min="8978" max="8978" width="8.42578125" style="187" customWidth="1"/>
    <col min="8979" max="8979" width="9.140625" style="187"/>
    <col min="8980" max="8980" width="10.7109375" style="187" customWidth="1"/>
    <col min="8981" max="8981" width="5.28515625" style="187" customWidth="1"/>
    <col min="8982" max="8982" width="15.42578125" style="187" bestFit="1" customWidth="1"/>
    <col min="8983" max="8983" width="10.42578125" style="187" bestFit="1" customWidth="1"/>
    <col min="8984" max="9217" width="9.140625" style="187"/>
    <col min="9218" max="9218" width="8.7109375" style="187" customWidth="1"/>
    <col min="9219" max="9219" width="17" style="187" customWidth="1"/>
    <col min="9220" max="9220" width="14.42578125" style="187" customWidth="1"/>
    <col min="9221" max="9221" width="10.28515625" style="187" customWidth="1"/>
    <col min="9222" max="9232" width="8.7109375" style="187" customWidth="1"/>
    <col min="9233" max="9233" width="9.7109375" style="187" customWidth="1"/>
    <col min="9234" max="9234" width="8.42578125" style="187" customWidth="1"/>
    <col min="9235" max="9235" width="9.140625" style="187"/>
    <col min="9236" max="9236" width="10.7109375" style="187" customWidth="1"/>
    <col min="9237" max="9237" width="5.28515625" style="187" customWidth="1"/>
    <col min="9238" max="9238" width="15.42578125" style="187" bestFit="1" customWidth="1"/>
    <col min="9239" max="9239" width="10.42578125" style="187" bestFit="1" customWidth="1"/>
    <col min="9240" max="9473" width="9.140625" style="187"/>
    <col min="9474" max="9474" width="8.7109375" style="187" customWidth="1"/>
    <col min="9475" max="9475" width="17" style="187" customWidth="1"/>
    <col min="9476" max="9476" width="14.42578125" style="187" customWidth="1"/>
    <col min="9477" max="9477" width="10.28515625" style="187" customWidth="1"/>
    <col min="9478" max="9488" width="8.7109375" style="187" customWidth="1"/>
    <col min="9489" max="9489" width="9.7109375" style="187" customWidth="1"/>
    <col min="9490" max="9490" width="8.42578125" style="187" customWidth="1"/>
    <col min="9491" max="9491" width="9.140625" style="187"/>
    <col min="9492" max="9492" width="10.7109375" style="187" customWidth="1"/>
    <col min="9493" max="9493" width="5.28515625" style="187" customWidth="1"/>
    <col min="9494" max="9494" width="15.42578125" style="187" bestFit="1" customWidth="1"/>
    <col min="9495" max="9495" width="10.42578125" style="187" bestFit="1" customWidth="1"/>
    <col min="9496" max="9729" width="9.140625" style="187"/>
    <col min="9730" max="9730" width="8.7109375" style="187" customWidth="1"/>
    <col min="9731" max="9731" width="17" style="187" customWidth="1"/>
    <col min="9732" max="9732" width="14.42578125" style="187" customWidth="1"/>
    <col min="9733" max="9733" width="10.28515625" style="187" customWidth="1"/>
    <col min="9734" max="9744" width="8.7109375" style="187" customWidth="1"/>
    <col min="9745" max="9745" width="9.7109375" style="187" customWidth="1"/>
    <col min="9746" max="9746" width="8.42578125" style="187" customWidth="1"/>
    <col min="9747" max="9747" width="9.140625" style="187"/>
    <col min="9748" max="9748" width="10.7109375" style="187" customWidth="1"/>
    <col min="9749" max="9749" width="5.28515625" style="187" customWidth="1"/>
    <col min="9750" max="9750" width="15.42578125" style="187" bestFit="1" customWidth="1"/>
    <col min="9751" max="9751" width="10.42578125" style="187" bestFit="1" customWidth="1"/>
    <col min="9752" max="9985" width="9.140625" style="187"/>
    <col min="9986" max="9986" width="8.7109375" style="187" customWidth="1"/>
    <col min="9987" max="9987" width="17" style="187" customWidth="1"/>
    <col min="9988" max="9988" width="14.42578125" style="187" customWidth="1"/>
    <col min="9989" max="9989" width="10.28515625" style="187" customWidth="1"/>
    <col min="9990" max="10000" width="8.7109375" style="187" customWidth="1"/>
    <col min="10001" max="10001" width="9.7109375" style="187" customWidth="1"/>
    <col min="10002" max="10002" width="8.42578125" style="187" customWidth="1"/>
    <col min="10003" max="10003" width="9.140625" style="187"/>
    <col min="10004" max="10004" width="10.7109375" style="187" customWidth="1"/>
    <col min="10005" max="10005" width="5.28515625" style="187" customWidth="1"/>
    <col min="10006" max="10006" width="15.42578125" style="187" bestFit="1" customWidth="1"/>
    <col min="10007" max="10007" width="10.42578125" style="187" bestFit="1" customWidth="1"/>
    <col min="10008" max="10241" width="9.140625" style="187"/>
    <col min="10242" max="10242" width="8.7109375" style="187" customWidth="1"/>
    <col min="10243" max="10243" width="17" style="187" customWidth="1"/>
    <col min="10244" max="10244" width="14.42578125" style="187" customWidth="1"/>
    <col min="10245" max="10245" width="10.28515625" style="187" customWidth="1"/>
    <col min="10246" max="10256" width="8.7109375" style="187" customWidth="1"/>
    <col min="10257" max="10257" width="9.7109375" style="187" customWidth="1"/>
    <col min="10258" max="10258" width="8.42578125" style="187" customWidth="1"/>
    <col min="10259" max="10259" width="9.140625" style="187"/>
    <col min="10260" max="10260" width="10.7109375" style="187" customWidth="1"/>
    <col min="10261" max="10261" width="5.28515625" style="187" customWidth="1"/>
    <col min="10262" max="10262" width="15.42578125" style="187" bestFit="1" customWidth="1"/>
    <col min="10263" max="10263" width="10.42578125" style="187" bestFit="1" customWidth="1"/>
    <col min="10264" max="10497" width="9.140625" style="187"/>
    <col min="10498" max="10498" width="8.7109375" style="187" customWidth="1"/>
    <col min="10499" max="10499" width="17" style="187" customWidth="1"/>
    <col min="10500" max="10500" width="14.42578125" style="187" customWidth="1"/>
    <col min="10501" max="10501" width="10.28515625" style="187" customWidth="1"/>
    <col min="10502" max="10512" width="8.7109375" style="187" customWidth="1"/>
    <col min="10513" max="10513" width="9.7109375" style="187" customWidth="1"/>
    <col min="10514" max="10514" width="8.42578125" style="187" customWidth="1"/>
    <col min="10515" max="10515" width="9.140625" style="187"/>
    <col min="10516" max="10516" width="10.7109375" style="187" customWidth="1"/>
    <col min="10517" max="10517" width="5.28515625" style="187" customWidth="1"/>
    <col min="10518" max="10518" width="15.42578125" style="187" bestFit="1" customWidth="1"/>
    <col min="10519" max="10519" width="10.42578125" style="187" bestFit="1" customWidth="1"/>
    <col min="10520" max="10753" width="9.140625" style="187"/>
    <col min="10754" max="10754" width="8.7109375" style="187" customWidth="1"/>
    <col min="10755" max="10755" width="17" style="187" customWidth="1"/>
    <col min="10756" max="10756" width="14.42578125" style="187" customWidth="1"/>
    <col min="10757" max="10757" width="10.28515625" style="187" customWidth="1"/>
    <col min="10758" max="10768" width="8.7109375" style="187" customWidth="1"/>
    <col min="10769" max="10769" width="9.7109375" style="187" customWidth="1"/>
    <col min="10770" max="10770" width="8.42578125" style="187" customWidth="1"/>
    <col min="10771" max="10771" width="9.140625" style="187"/>
    <col min="10772" max="10772" width="10.7109375" style="187" customWidth="1"/>
    <col min="10773" max="10773" width="5.28515625" style="187" customWidth="1"/>
    <col min="10774" max="10774" width="15.42578125" style="187" bestFit="1" customWidth="1"/>
    <col min="10775" max="10775" width="10.42578125" style="187" bestFit="1" customWidth="1"/>
    <col min="10776" max="11009" width="9.140625" style="187"/>
    <col min="11010" max="11010" width="8.7109375" style="187" customWidth="1"/>
    <col min="11011" max="11011" width="17" style="187" customWidth="1"/>
    <col min="11012" max="11012" width="14.42578125" style="187" customWidth="1"/>
    <col min="11013" max="11013" width="10.28515625" style="187" customWidth="1"/>
    <col min="11014" max="11024" width="8.7109375" style="187" customWidth="1"/>
    <col min="11025" max="11025" width="9.7109375" style="187" customWidth="1"/>
    <col min="11026" max="11026" width="8.42578125" style="187" customWidth="1"/>
    <col min="11027" max="11027" width="9.140625" style="187"/>
    <col min="11028" max="11028" width="10.7109375" style="187" customWidth="1"/>
    <col min="11029" max="11029" width="5.28515625" style="187" customWidth="1"/>
    <col min="11030" max="11030" width="15.42578125" style="187" bestFit="1" customWidth="1"/>
    <col min="11031" max="11031" width="10.42578125" style="187" bestFit="1" customWidth="1"/>
    <col min="11032" max="11265" width="9.140625" style="187"/>
    <col min="11266" max="11266" width="8.7109375" style="187" customWidth="1"/>
    <col min="11267" max="11267" width="17" style="187" customWidth="1"/>
    <col min="11268" max="11268" width="14.42578125" style="187" customWidth="1"/>
    <col min="11269" max="11269" width="10.28515625" style="187" customWidth="1"/>
    <col min="11270" max="11280" width="8.7109375" style="187" customWidth="1"/>
    <col min="11281" max="11281" width="9.7109375" style="187" customWidth="1"/>
    <col min="11282" max="11282" width="8.42578125" style="187" customWidth="1"/>
    <col min="11283" max="11283" width="9.140625" style="187"/>
    <col min="11284" max="11284" width="10.7109375" style="187" customWidth="1"/>
    <col min="11285" max="11285" width="5.28515625" style="187" customWidth="1"/>
    <col min="11286" max="11286" width="15.42578125" style="187" bestFit="1" customWidth="1"/>
    <col min="11287" max="11287" width="10.42578125" style="187" bestFit="1" customWidth="1"/>
    <col min="11288" max="11521" width="9.140625" style="187"/>
    <col min="11522" max="11522" width="8.7109375" style="187" customWidth="1"/>
    <col min="11523" max="11523" width="17" style="187" customWidth="1"/>
    <col min="11524" max="11524" width="14.42578125" style="187" customWidth="1"/>
    <col min="11525" max="11525" width="10.28515625" style="187" customWidth="1"/>
    <col min="11526" max="11536" width="8.7109375" style="187" customWidth="1"/>
    <col min="11537" max="11537" width="9.7109375" style="187" customWidth="1"/>
    <col min="11538" max="11538" width="8.42578125" style="187" customWidth="1"/>
    <col min="11539" max="11539" width="9.140625" style="187"/>
    <col min="11540" max="11540" width="10.7109375" style="187" customWidth="1"/>
    <col min="11541" max="11541" width="5.28515625" style="187" customWidth="1"/>
    <col min="11542" max="11542" width="15.42578125" style="187" bestFit="1" customWidth="1"/>
    <col min="11543" max="11543" width="10.42578125" style="187" bestFit="1" customWidth="1"/>
    <col min="11544" max="11777" width="9.140625" style="187"/>
    <col min="11778" max="11778" width="8.7109375" style="187" customWidth="1"/>
    <col min="11779" max="11779" width="17" style="187" customWidth="1"/>
    <col min="11780" max="11780" width="14.42578125" style="187" customWidth="1"/>
    <col min="11781" max="11781" width="10.28515625" style="187" customWidth="1"/>
    <col min="11782" max="11792" width="8.7109375" style="187" customWidth="1"/>
    <col min="11793" max="11793" width="9.7109375" style="187" customWidth="1"/>
    <col min="11794" max="11794" width="8.42578125" style="187" customWidth="1"/>
    <col min="11795" max="11795" width="9.140625" style="187"/>
    <col min="11796" max="11796" width="10.7109375" style="187" customWidth="1"/>
    <col min="11797" max="11797" width="5.28515625" style="187" customWidth="1"/>
    <col min="11798" max="11798" width="15.42578125" style="187" bestFit="1" customWidth="1"/>
    <col min="11799" max="11799" width="10.42578125" style="187" bestFit="1" customWidth="1"/>
    <col min="11800" max="12033" width="9.140625" style="187"/>
    <col min="12034" max="12034" width="8.7109375" style="187" customWidth="1"/>
    <col min="12035" max="12035" width="17" style="187" customWidth="1"/>
    <col min="12036" max="12036" width="14.42578125" style="187" customWidth="1"/>
    <col min="12037" max="12037" width="10.28515625" style="187" customWidth="1"/>
    <col min="12038" max="12048" width="8.7109375" style="187" customWidth="1"/>
    <col min="12049" max="12049" width="9.7109375" style="187" customWidth="1"/>
    <col min="12050" max="12050" width="8.42578125" style="187" customWidth="1"/>
    <col min="12051" max="12051" width="9.140625" style="187"/>
    <col min="12052" max="12052" width="10.7109375" style="187" customWidth="1"/>
    <col min="12053" max="12053" width="5.28515625" style="187" customWidth="1"/>
    <col min="12054" max="12054" width="15.42578125" style="187" bestFit="1" customWidth="1"/>
    <col min="12055" max="12055" width="10.42578125" style="187" bestFit="1" customWidth="1"/>
    <col min="12056" max="12289" width="9.140625" style="187"/>
    <col min="12290" max="12290" width="8.7109375" style="187" customWidth="1"/>
    <col min="12291" max="12291" width="17" style="187" customWidth="1"/>
    <col min="12292" max="12292" width="14.42578125" style="187" customWidth="1"/>
    <col min="12293" max="12293" width="10.28515625" style="187" customWidth="1"/>
    <col min="12294" max="12304" width="8.7109375" style="187" customWidth="1"/>
    <col min="12305" max="12305" width="9.7109375" style="187" customWidth="1"/>
    <col min="12306" max="12306" width="8.42578125" style="187" customWidth="1"/>
    <col min="12307" max="12307" width="9.140625" style="187"/>
    <col min="12308" max="12308" width="10.7109375" style="187" customWidth="1"/>
    <col min="12309" max="12309" width="5.28515625" style="187" customWidth="1"/>
    <col min="12310" max="12310" width="15.42578125" style="187" bestFit="1" customWidth="1"/>
    <col min="12311" max="12311" width="10.42578125" style="187" bestFit="1" customWidth="1"/>
    <col min="12312" max="12545" width="9.140625" style="187"/>
    <col min="12546" max="12546" width="8.7109375" style="187" customWidth="1"/>
    <col min="12547" max="12547" width="17" style="187" customWidth="1"/>
    <col min="12548" max="12548" width="14.42578125" style="187" customWidth="1"/>
    <col min="12549" max="12549" width="10.28515625" style="187" customWidth="1"/>
    <col min="12550" max="12560" width="8.7109375" style="187" customWidth="1"/>
    <col min="12561" max="12561" width="9.7109375" style="187" customWidth="1"/>
    <col min="12562" max="12562" width="8.42578125" style="187" customWidth="1"/>
    <col min="12563" max="12563" width="9.140625" style="187"/>
    <col min="12564" max="12564" width="10.7109375" style="187" customWidth="1"/>
    <col min="12565" max="12565" width="5.28515625" style="187" customWidth="1"/>
    <col min="12566" max="12566" width="15.42578125" style="187" bestFit="1" customWidth="1"/>
    <col min="12567" max="12567" width="10.42578125" style="187" bestFit="1" customWidth="1"/>
    <col min="12568" max="12801" width="9.140625" style="187"/>
    <col min="12802" max="12802" width="8.7109375" style="187" customWidth="1"/>
    <col min="12803" max="12803" width="17" style="187" customWidth="1"/>
    <col min="12804" max="12804" width="14.42578125" style="187" customWidth="1"/>
    <col min="12805" max="12805" width="10.28515625" style="187" customWidth="1"/>
    <col min="12806" max="12816" width="8.7109375" style="187" customWidth="1"/>
    <col min="12817" max="12817" width="9.7109375" style="187" customWidth="1"/>
    <col min="12818" max="12818" width="8.42578125" style="187" customWidth="1"/>
    <col min="12819" max="12819" width="9.140625" style="187"/>
    <col min="12820" max="12820" width="10.7109375" style="187" customWidth="1"/>
    <col min="12821" max="12821" width="5.28515625" style="187" customWidth="1"/>
    <col min="12822" max="12822" width="15.42578125" style="187" bestFit="1" customWidth="1"/>
    <col min="12823" max="12823" width="10.42578125" style="187" bestFit="1" customWidth="1"/>
    <col min="12824" max="13057" width="9.140625" style="187"/>
    <col min="13058" max="13058" width="8.7109375" style="187" customWidth="1"/>
    <col min="13059" max="13059" width="17" style="187" customWidth="1"/>
    <col min="13060" max="13060" width="14.42578125" style="187" customWidth="1"/>
    <col min="13061" max="13061" width="10.28515625" style="187" customWidth="1"/>
    <col min="13062" max="13072" width="8.7109375" style="187" customWidth="1"/>
    <col min="13073" max="13073" width="9.7109375" style="187" customWidth="1"/>
    <col min="13074" max="13074" width="8.42578125" style="187" customWidth="1"/>
    <col min="13075" max="13075" width="9.140625" style="187"/>
    <col min="13076" max="13076" width="10.7109375" style="187" customWidth="1"/>
    <col min="13077" max="13077" width="5.28515625" style="187" customWidth="1"/>
    <col min="13078" max="13078" width="15.42578125" style="187" bestFit="1" customWidth="1"/>
    <col min="13079" max="13079" width="10.42578125" style="187" bestFit="1" customWidth="1"/>
    <col min="13080" max="13313" width="9.140625" style="187"/>
    <col min="13314" max="13314" width="8.7109375" style="187" customWidth="1"/>
    <col min="13315" max="13315" width="17" style="187" customWidth="1"/>
    <col min="13316" max="13316" width="14.42578125" style="187" customWidth="1"/>
    <col min="13317" max="13317" width="10.28515625" style="187" customWidth="1"/>
    <col min="13318" max="13328" width="8.7109375" style="187" customWidth="1"/>
    <col min="13329" max="13329" width="9.7109375" style="187" customWidth="1"/>
    <col min="13330" max="13330" width="8.42578125" style="187" customWidth="1"/>
    <col min="13331" max="13331" width="9.140625" style="187"/>
    <col min="13332" max="13332" width="10.7109375" style="187" customWidth="1"/>
    <col min="13333" max="13333" width="5.28515625" style="187" customWidth="1"/>
    <col min="13334" max="13334" width="15.42578125" style="187" bestFit="1" customWidth="1"/>
    <col min="13335" max="13335" width="10.42578125" style="187" bestFit="1" customWidth="1"/>
    <col min="13336" max="13569" width="9.140625" style="187"/>
    <col min="13570" max="13570" width="8.7109375" style="187" customWidth="1"/>
    <col min="13571" max="13571" width="17" style="187" customWidth="1"/>
    <col min="13572" max="13572" width="14.42578125" style="187" customWidth="1"/>
    <col min="13573" max="13573" width="10.28515625" style="187" customWidth="1"/>
    <col min="13574" max="13584" width="8.7109375" style="187" customWidth="1"/>
    <col min="13585" max="13585" width="9.7109375" style="187" customWidth="1"/>
    <col min="13586" max="13586" width="8.42578125" style="187" customWidth="1"/>
    <col min="13587" max="13587" width="9.140625" style="187"/>
    <col min="13588" max="13588" width="10.7109375" style="187" customWidth="1"/>
    <col min="13589" max="13589" width="5.28515625" style="187" customWidth="1"/>
    <col min="13590" max="13590" width="15.42578125" style="187" bestFit="1" customWidth="1"/>
    <col min="13591" max="13591" width="10.42578125" style="187" bestFit="1" customWidth="1"/>
    <col min="13592" max="13825" width="9.140625" style="187"/>
    <col min="13826" max="13826" width="8.7109375" style="187" customWidth="1"/>
    <col min="13827" max="13827" width="17" style="187" customWidth="1"/>
    <col min="13828" max="13828" width="14.42578125" style="187" customWidth="1"/>
    <col min="13829" max="13829" width="10.28515625" style="187" customWidth="1"/>
    <col min="13830" max="13840" width="8.7109375" style="187" customWidth="1"/>
    <col min="13841" max="13841" width="9.7109375" style="187" customWidth="1"/>
    <col min="13842" max="13842" width="8.42578125" style="187" customWidth="1"/>
    <col min="13843" max="13843" width="9.140625" style="187"/>
    <col min="13844" max="13844" width="10.7109375" style="187" customWidth="1"/>
    <col min="13845" max="13845" width="5.28515625" style="187" customWidth="1"/>
    <col min="13846" max="13846" width="15.42578125" style="187" bestFit="1" customWidth="1"/>
    <col min="13847" max="13847" width="10.42578125" style="187" bestFit="1" customWidth="1"/>
    <col min="13848" max="14081" width="9.140625" style="187"/>
    <col min="14082" max="14082" width="8.7109375" style="187" customWidth="1"/>
    <col min="14083" max="14083" width="17" style="187" customWidth="1"/>
    <col min="14084" max="14084" width="14.42578125" style="187" customWidth="1"/>
    <col min="14085" max="14085" width="10.28515625" style="187" customWidth="1"/>
    <col min="14086" max="14096" width="8.7109375" style="187" customWidth="1"/>
    <col min="14097" max="14097" width="9.7109375" style="187" customWidth="1"/>
    <col min="14098" max="14098" width="8.42578125" style="187" customWidth="1"/>
    <col min="14099" max="14099" width="9.140625" style="187"/>
    <col min="14100" max="14100" width="10.7109375" style="187" customWidth="1"/>
    <col min="14101" max="14101" width="5.28515625" style="187" customWidth="1"/>
    <col min="14102" max="14102" width="15.42578125" style="187" bestFit="1" customWidth="1"/>
    <col min="14103" max="14103" width="10.42578125" style="187" bestFit="1" customWidth="1"/>
    <col min="14104" max="14337" width="9.140625" style="187"/>
    <col min="14338" max="14338" width="8.7109375" style="187" customWidth="1"/>
    <col min="14339" max="14339" width="17" style="187" customWidth="1"/>
    <col min="14340" max="14340" width="14.42578125" style="187" customWidth="1"/>
    <col min="14341" max="14341" width="10.28515625" style="187" customWidth="1"/>
    <col min="14342" max="14352" width="8.7109375" style="187" customWidth="1"/>
    <col min="14353" max="14353" width="9.7109375" style="187" customWidth="1"/>
    <col min="14354" max="14354" width="8.42578125" style="187" customWidth="1"/>
    <col min="14355" max="14355" width="9.140625" style="187"/>
    <col min="14356" max="14356" width="10.7109375" style="187" customWidth="1"/>
    <col min="14357" max="14357" width="5.28515625" style="187" customWidth="1"/>
    <col min="14358" max="14358" width="15.42578125" style="187" bestFit="1" customWidth="1"/>
    <col min="14359" max="14359" width="10.42578125" style="187" bestFit="1" customWidth="1"/>
    <col min="14360" max="14593" width="9.140625" style="187"/>
    <col min="14594" max="14594" width="8.7109375" style="187" customWidth="1"/>
    <col min="14595" max="14595" width="17" style="187" customWidth="1"/>
    <col min="14596" max="14596" width="14.42578125" style="187" customWidth="1"/>
    <col min="14597" max="14597" width="10.28515625" style="187" customWidth="1"/>
    <col min="14598" max="14608" width="8.7109375" style="187" customWidth="1"/>
    <col min="14609" max="14609" width="9.7109375" style="187" customWidth="1"/>
    <col min="14610" max="14610" width="8.42578125" style="187" customWidth="1"/>
    <col min="14611" max="14611" width="9.140625" style="187"/>
    <col min="14612" max="14612" width="10.7109375" style="187" customWidth="1"/>
    <col min="14613" max="14613" width="5.28515625" style="187" customWidth="1"/>
    <col min="14614" max="14614" width="15.42578125" style="187" bestFit="1" customWidth="1"/>
    <col min="14615" max="14615" width="10.42578125" style="187" bestFit="1" customWidth="1"/>
    <col min="14616" max="14849" width="9.140625" style="187"/>
    <col min="14850" max="14850" width="8.7109375" style="187" customWidth="1"/>
    <col min="14851" max="14851" width="17" style="187" customWidth="1"/>
    <col min="14852" max="14852" width="14.42578125" style="187" customWidth="1"/>
    <col min="14853" max="14853" width="10.28515625" style="187" customWidth="1"/>
    <col min="14854" max="14864" width="8.7109375" style="187" customWidth="1"/>
    <col min="14865" max="14865" width="9.7109375" style="187" customWidth="1"/>
    <col min="14866" max="14866" width="8.42578125" style="187" customWidth="1"/>
    <col min="14867" max="14867" width="9.140625" style="187"/>
    <col min="14868" max="14868" width="10.7109375" style="187" customWidth="1"/>
    <col min="14869" max="14869" width="5.28515625" style="187" customWidth="1"/>
    <col min="14870" max="14870" width="15.42578125" style="187" bestFit="1" customWidth="1"/>
    <col min="14871" max="14871" width="10.42578125" style="187" bestFit="1" customWidth="1"/>
    <col min="14872" max="15105" width="9.140625" style="187"/>
    <col min="15106" max="15106" width="8.7109375" style="187" customWidth="1"/>
    <col min="15107" max="15107" width="17" style="187" customWidth="1"/>
    <col min="15108" max="15108" width="14.42578125" style="187" customWidth="1"/>
    <col min="15109" max="15109" width="10.28515625" style="187" customWidth="1"/>
    <col min="15110" max="15120" width="8.7109375" style="187" customWidth="1"/>
    <col min="15121" max="15121" width="9.7109375" style="187" customWidth="1"/>
    <col min="15122" max="15122" width="8.42578125" style="187" customWidth="1"/>
    <col min="15123" max="15123" width="9.140625" style="187"/>
    <col min="15124" max="15124" width="10.7109375" style="187" customWidth="1"/>
    <col min="15125" max="15125" width="5.28515625" style="187" customWidth="1"/>
    <col min="15126" max="15126" width="15.42578125" style="187" bestFit="1" customWidth="1"/>
    <col min="15127" max="15127" width="10.42578125" style="187" bestFit="1" customWidth="1"/>
    <col min="15128" max="15361" width="9.140625" style="187"/>
    <col min="15362" max="15362" width="8.7109375" style="187" customWidth="1"/>
    <col min="15363" max="15363" width="17" style="187" customWidth="1"/>
    <col min="15364" max="15364" width="14.42578125" style="187" customWidth="1"/>
    <col min="15365" max="15365" width="10.28515625" style="187" customWidth="1"/>
    <col min="15366" max="15376" width="8.7109375" style="187" customWidth="1"/>
    <col min="15377" max="15377" width="9.7109375" style="187" customWidth="1"/>
    <col min="15378" max="15378" width="8.42578125" style="187" customWidth="1"/>
    <col min="15379" max="15379" width="9.140625" style="187"/>
    <col min="15380" max="15380" width="10.7109375" style="187" customWidth="1"/>
    <col min="15381" max="15381" width="5.28515625" style="187" customWidth="1"/>
    <col min="15382" max="15382" width="15.42578125" style="187" bestFit="1" customWidth="1"/>
    <col min="15383" max="15383" width="10.42578125" style="187" bestFit="1" customWidth="1"/>
    <col min="15384" max="15617" width="9.140625" style="187"/>
    <col min="15618" max="15618" width="8.7109375" style="187" customWidth="1"/>
    <col min="15619" max="15619" width="17" style="187" customWidth="1"/>
    <col min="15620" max="15620" width="14.42578125" style="187" customWidth="1"/>
    <col min="15621" max="15621" width="10.28515625" style="187" customWidth="1"/>
    <col min="15622" max="15632" width="8.7109375" style="187" customWidth="1"/>
    <col min="15633" max="15633" width="9.7109375" style="187" customWidth="1"/>
    <col min="15634" max="15634" width="8.42578125" style="187" customWidth="1"/>
    <col min="15635" max="15635" width="9.140625" style="187"/>
    <col min="15636" max="15636" width="10.7109375" style="187" customWidth="1"/>
    <col min="15637" max="15637" width="5.28515625" style="187" customWidth="1"/>
    <col min="15638" max="15638" width="15.42578125" style="187" bestFit="1" customWidth="1"/>
    <col min="15639" max="15639" width="10.42578125" style="187" bestFit="1" customWidth="1"/>
    <col min="15640" max="15873" width="9.140625" style="187"/>
    <col min="15874" max="15874" width="8.7109375" style="187" customWidth="1"/>
    <col min="15875" max="15875" width="17" style="187" customWidth="1"/>
    <col min="15876" max="15876" width="14.42578125" style="187" customWidth="1"/>
    <col min="15877" max="15877" width="10.28515625" style="187" customWidth="1"/>
    <col min="15878" max="15888" width="8.7109375" style="187" customWidth="1"/>
    <col min="15889" max="15889" width="9.7109375" style="187" customWidth="1"/>
    <col min="15890" max="15890" width="8.42578125" style="187" customWidth="1"/>
    <col min="15891" max="15891" width="9.140625" style="187"/>
    <col min="15892" max="15892" width="10.7109375" style="187" customWidth="1"/>
    <col min="15893" max="15893" width="5.28515625" style="187" customWidth="1"/>
    <col min="15894" max="15894" width="15.42578125" style="187" bestFit="1" customWidth="1"/>
    <col min="15895" max="15895" width="10.42578125" style="187" bestFit="1" customWidth="1"/>
    <col min="15896" max="16129" width="9.140625" style="187"/>
    <col min="16130" max="16130" width="8.7109375" style="187" customWidth="1"/>
    <col min="16131" max="16131" width="17" style="187" customWidth="1"/>
    <col min="16132" max="16132" width="14.42578125" style="187" customWidth="1"/>
    <col min="16133" max="16133" width="10.28515625" style="187" customWidth="1"/>
    <col min="16134" max="16144" width="8.7109375" style="187" customWidth="1"/>
    <col min="16145" max="16145" width="9.7109375" style="187" customWidth="1"/>
    <col min="16146" max="16146" width="8.42578125" style="187" customWidth="1"/>
    <col min="16147" max="16147" width="9.140625" style="187"/>
    <col min="16148" max="16148" width="10.7109375" style="187" customWidth="1"/>
    <col min="16149" max="16149" width="5.28515625" style="187" customWidth="1"/>
    <col min="16150" max="16150" width="15.42578125" style="187" bestFit="1" customWidth="1"/>
    <col min="16151" max="16151" width="10.42578125" style="187" bestFit="1" customWidth="1"/>
    <col min="16152" max="16384" width="9.140625" style="187"/>
  </cols>
  <sheetData>
    <row r="1" spans="1:30" ht="12.75">
      <c r="A1" s="428" t="s">
        <v>0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430"/>
    </row>
    <row r="2" spans="1:30" ht="12.75">
      <c r="A2" s="431" t="s">
        <v>266</v>
      </c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3"/>
      <c r="Q2" s="188"/>
      <c r="R2" s="189"/>
      <c r="S2" s="190"/>
      <c r="T2" s="190"/>
    </row>
    <row r="3" spans="1:30" ht="12.75">
      <c r="A3" s="38"/>
      <c r="B3" s="39" t="s">
        <v>53</v>
      </c>
      <c r="C3" s="39"/>
      <c r="D3" s="40"/>
      <c r="E3" s="177" t="s">
        <v>275</v>
      </c>
      <c r="F3" s="42" t="s">
        <v>1</v>
      </c>
      <c r="G3" s="43">
        <v>11.93</v>
      </c>
      <c r="H3" s="45"/>
      <c r="I3" s="45"/>
      <c r="J3" s="46"/>
      <c r="K3" s="45"/>
      <c r="L3" s="45"/>
      <c r="M3" s="45"/>
      <c r="N3" s="45"/>
      <c r="O3" s="47"/>
      <c r="Q3" s="191" t="s">
        <v>95</v>
      </c>
      <c r="R3" s="192"/>
      <c r="S3" s="193"/>
      <c r="T3" s="194"/>
      <c r="U3" s="195"/>
      <c r="V3" s="196"/>
      <c r="W3" s="493"/>
      <c r="X3" s="493"/>
      <c r="Y3" s="493"/>
      <c r="Z3" s="196"/>
      <c r="AA3" s="196"/>
      <c r="AB3" s="196"/>
      <c r="AC3" s="196"/>
    </row>
    <row r="4" spans="1:30" ht="13.5" thickBot="1">
      <c r="A4" s="48"/>
      <c r="B4" s="49" t="s">
        <v>54</v>
      </c>
      <c r="C4" s="50"/>
      <c r="D4" s="49"/>
      <c r="E4" s="197" t="s">
        <v>257</v>
      </c>
      <c r="F4" s="49" t="s">
        <v>343</v>
      </c>
      <c r="G4" s="49"/>
      <c r="H4" s="39"/>
      <c r="I4" s="49"/>
      <c r="J4" s="49"/>
      <c r="K4" s="52" t="s">
        <v>2</v>
      </c>
      <c r="L4" s="52"/>
      <c r="M4" s="52"/>
      <c r="N4" s="52">
        <v>15</v>
      </c>
      <c r="O4" s="198" t="s">
        <v>3</v>
      </c>
      <c r="Q4" s="199"/>
      <c r="R4" s="192"/>
      <c r="S4" s="193"/>
      <c r="T4" s="194"/>
      <c r="U4" s="195"/>
      <c r="V4" s="196"/>
      <c r="W4" s="491"/>
      <c r="X4" s="200"/>
      <c r="Y4" s="196"/>
      <c r="Z4" s="491"/>
      <c r="AA4" s="200"/>
      <c r="AB4" s="196"/>
      <c r="AC4" s="196"/>
    </row>
    <row r="5" spans="1:30" ht="14.25" thickTop="1" thickBot="1">
      <c r="A5" s="48"/>
      <c r="B5" s="39" t="s">
        <v>4</v>
      </c>
      <c r="C5" s="39"/>
      <c r="D5" s="49"/>
      <c r="E5" s="197" t="s">
        <v>276</v>
      </c>
      <c r="F5" s="49"/>
      <c r="G5" s="49"/>
      <c r="H5" s="49"/>
      <c r="I5" s="49"/>
      <c r="J5" s="49"/>
      <c r="K5" s="234" t="s">
        <v>2</v>
      </c>
      <c r="L5" s="235"/>
      <c r="M5" s="235"/>
      <c r="N5" s="235">
        <v>25</v>
      </c>
      <c r="O5" s="236" t="s">
        <v>3</v>
      </c>
      <c r="Q5" s="187" t="s">
        <v>217</v>
      </c>
      <c r="R5" s="201">
        <f ca="1">'PERFIL BC05'!C16</f>
        <v>3.8793746972531573</v>
      </c>
      <c r="S5" s="202"/>
      <c r="T5" s="203"/>
      <c r="U5" s="196"/>
      <c r="V5" s="196"/>
      <c r="W5" s="491"/>
      <c r="X5" s="200"/>
      <c r="Y5" s="196"/>
      <c r="Z5" s="491"/>
      <c r="AA5" s="200"/>
      <c r="AB5" s="196"/>
      <c r="AC5" s="196"/>
    </row>
    <row r="6" spans="1:30" ht="14.25" thickTop="1" thickBot="1">
      <c r="A6" s="48"/>
      <c r="B6" s="39" t="s">
        <v>55</v>
      </c>
      <c r="C6" s="39"/>
      <c r="D6" s="49"/>
      <c r="E6" s="43">
        <f ca="1">VLOOKUP(F10,'AUX BACIAS'!$A$2:$D$10,3,0)</f>
        <v>6.0556072774047598</v>
      </c>
      <c r="F6" s="49"/>
      <c r="G6" s="49"/>
      <c r="H6" s="49"/>
      <c r="I6" s="49"/>
      <c r="J6" s="49"/>
      <c r="K6" s="150" t="s">
        <v>2</v>
      </c>
      <c r="L6" s="151"/>
      <c r="M6" s="151"/>
      <c r="N6" s="151">
        <v>50</v>
      </c>
      <c r="O6" s="237" t="s">
        <v>3</v>
      </c>
      <c r="Q6" s="187" t="s">
        <v>218</v>
      </c>
      <c r="R6" s="201">
        <f ca="1">100*(E8/(E7*1000))</f>
        <v>10.753252780679794</v>
      </c>
      <c r="S6" s="202"/>
      <c r="T6" s="203"/>
      <c r="U6" s="196"/>
      <c r="V6" s="196"/>
      <c r="W6" s="196"/>
      <c r="X6" s="196"/>
      <c r="Y6" s="196"/>
      <c r="Z6" s="196"/>
      <c r="AA6" s="196"/>
      <c r="AB6" s="196"/>
      <c r="AC6" s="196"/>
    </row>
    <row r="7" spans="1:30" ht="13.5" thickTop="1">
      <c r="A7" s="48"/>
      <c r="B7" s="39" t="s">
        <v>6</v>
      </c>
      <c r="C7" s="39"/>
      <c r="D7" s="49"/>
      <c r="E7" s="43">
        <f ca="1">(VLOOKUP(F10,'AUX BACIAS'!$A$2:$D$10,4,0)/1000)</f>
        <v>4.7334514530757854</v>
      </c>
      <c r="F7" s="49"/>
      <c r="G7" s="49"/>
      <c r="H7" s="49"/>
      <c r="I7" s="49"/>
      <c r="J7" s="49"/>
      <c r="K7" s="49" t="s">
        <v>2</v>
      </c>
      <c r="L7" s="49"/>
      <c r="M7" s="49"/>
      <c r="N7" s="49">
        <v>100</v>
      </c>
      <c r="O7" s="146" t="s">
        <v>3</v>
      </c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</row>
    <row r="8" spans="1:30" ht="12.75">
      <c r="A8" s="48"/>
      <c r="B8" s="39" t="s">
        <v>7</v>
      </c>
      <c r="C8" s="39"/>
      <c r="D8" s="49"/>
      <c r="E8" s="179">
        <f>(INDEX('PERFIL BC05'!$C:$C,MATCH("C",'PERFIL BC05'!$B:$B,0))-INDEX('PERFIL BC05'!$C:$C,MATCH("E",'PERFIL BC05'!$B:$B,0)))</f>
        <v>509</v>
      </c>
      <c r="F8" s="49"/>
      <c r="G8" s="49"/>
      <c r="H8" s="49"/>
      <c r="I8" s="49"/>
      <c r="J8" s="49"/>
      <c r="K8" s="49" t="s">
        <v>56</v>
      </c>
      <c r="L8" s="49"/>
      <c r="M8" s="49"/>
      <c r="N8" s="50"/>
      <c r="O8" s="53">
        <f>H24</f>
        <v>0.34358</v>
      </c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96"/>
      <c r="AC8" s="196"/>
    </row>
    <row r="9" spans="1:30" ht="12.75">
      <c r="A9" s="48"/>
      <c r="B9" s="39" t="s">
        <v>267</v>
      </c>
      <c r="C9" s="39"/>
      <c r="D9" s="49"/>
      <c r="E9" s="125">
        <f ca="1">IF(R5&gt;R6,R6,R5)</f>
        <v>3.8793746972531573</v>
      </c>
      <c r="G9" s="49"/>
      <c r="H9" s="49"/>
      <c r="I9" s="49"/>
      <c r="J9" s="49"/>
      <c r="K9" s="55" t="s">
        <v>5</v>
      </c>
      <c r="L9" s="49"/>
      <c r="M9" s="55"/>
      <c r="N9" s="56"/>
      <c r="O9" s="53">
        <f ca="1">IF(E6&lt;=0.8,0.39*(E7^2/E9)^0.385,0.59*(E7^2/E9)^0.385)</f>
        <v>1.1589528026460847</v>
      </c>
      <c r="Q9" s="204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</row>
    <row r="10" spans="1:30" ht="12.75">
      <c r="A10" s="38"/>
      <c r="B10" s="57"/>
      <c r="C10" s="57"/>
      <c r="D10" s="57"/>
      <c r="E10" s="101" t="s">
        <v>98</v>
      </c>
      <c r="F10" s="241" t="str" cm="1">
        <f t="array" aca="1" ref="F10" ca="1">MID(RIGHT(CELL("nome.arquivo",A1),LEN(CELL("nome.arquivo",A1)) - SEARCH("]",CELL("nome.arquivo",A1))),1,4)</f>
        <v>BC05</v>
      </c>
      <c r="G10" s="59"/>
      <c r="H10" s="60"/>
      <c r="I10" s="61"/>
      <c r="J10" s="45"/>
      <c r="K10" s="55" t="s">
        <v>268</v>
      </c>
      <c r="L10" s="45"/>
      <c r="M10" s="62"/>
      <c r="N10" s="63"/>
      <c r="O10" s="64">
        <f ca="1">MAX(0.5,MIN(1,4.38/(E6^0.2*E7)))</f>
        <v>0.64545302833651952</v>
      </c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</row>
    <row r="11" spans="1:30" ht="12.75">
      <c r="A11" s="38"/>
      <c r="B11" s="39" t="s">
        <v>215</v>
      </c>
      <c r="C11" s="205" t="s">
        <v>207</v>
      </c>
      <c r="D11" s="57"/>
      <c r="E11" s="101"/>
      <c r="F11" s="58"/>
      <c r="G11" s="59"/>
      <c r="H11" s="60"/>
      <c r="I11" s="61"/>
      <c r="J11" s="45"/>
      <c r="K11" s="45"/>
      <c r="L11" s="45"/>
      <c r="M11" s="45"/>
      <c r="N11" s="45"/>
      <c r="O11" s="47"/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96"/>
      <c r="AC11" s="196"/>
    </row>
    <row r="12" spans="1:30" ht="24" customHeight="1">
      <c r="A12" s="38"/>
      <c r="B12" s="45" t="s">
        <v>205</v>
      </c>
      <c r="C12" s="136" t="s">
        <v>210</v>
      </c>
      <c r="D12" s="45"/>
      <c r="E12" s="44"/>
      <c r="F12" s="44"/>
      <c r="G12" s="44"/>
      <c r="H12" s="44"/>
      <c r="I12" s="45"/>
      <c r="J12" s="427" t="s">
        <v>57</v>
      </c>
      <c r="K12" s="427"/>
      <c r="L12" s="427"/>
      <c r="M12" s="427"/>
      <c r="N12" s="427"/>
      <c r="O12" s="65"/>
      <c r="Q12" s="112" t="s">
        <v>141</v>
      </c>
      <c r="R12" s="206"/>
      <c r="S12" s="206"/>
      <c r="T12" s="206"/>
      <c r="U12" s="206"/>
      <c r="V12" s="206"/>
      <c r="W12" s="196"/>
      <c r="X12" s="196"/>
      <c r="Y12" s="196"/>
      <c r="Z12" s="196"/>
      <c r="AA12" s="196"/>
      <c r="AB12" s="196"/>
      <c r="AC12" s="196"/>
    </row>
    <row r="13" spans="1:30" ht="15" customHeight="1">
      <c r="A13" s="38"/>
      <c r="B13" s="45" t="s">
        <v>220</v>
      </c>
      <c r="C13" s="45"/>
      <c r="D13" s="45"/>
      <c r="E13" s="45"/>
      <c r="F13" s="45"/>
      <c r="G13" s="45"/>
      <c r="H13" s="45"/>
      <c r="I13" s="45"/>
      <c r="J13" s="66" t="s">
        <v>58</v>
      </c>
      <c r="K13" s="207" t="s">
        <v>59</v>
      </c>
      <c r="L13" s="494" t="s">
        <v>60</v>
      </c>
      <c r="M13" s="495"/>
      <c r="N13" s="66" t="s">
        <v>61</v>
      </c>
      <c r="O13" s="67"/>
      <c r="Q13" s="112" t="str" cm="1">
        <f t="array" aca="1" ref="Q13" ca="1">IFERROR(_xlfn.LET(
_xlpm.Q,M20,
_xlpm.Tipos,[3]Base_Bueiros!$C$2:$C$10,
_xlpm.Dims,[3]Base_Bueiros!$D$2:$D$10,
_xlpm.Vazoes,[3]Base_Bueiros!$F$2:$F$10,
_xlpm.Diam,VALUE(_xlpm.Dims),
_xlpm.MenorDiam,_xlfn.AGGREGATE(15,6,_xlpm.Diam/(_xlpm.Vazoes&gt;=_xlpm.Q),1),
_xlpm.MenorVazao,_xlfn.AGGREGATE(15,6,_xlpm.Vazoes/((_xlpm.Vazoes&gt;=_xlpm.Q)*(_xlpm.Diam=_xlpm.MenorDiam)),1),
_xlpm.Linha,MATCH(_xlpm.MenorVazao,_xlpm.Vazoes,0),
INDEX(_xlpm.Tipos,_xlpm.Linha)&amp;" d="&amp;INDEX(_xlpm.Dims,_xlpm.Linha)&amp;"m"
),"Não atende em canal 15 anos. Dimensionar para 25 anos")</f>
        <v>Não atende em canal 15 anos. Dimensionar para 25 anos</v>
      </c>
      <c r="R13" s="206"/>
      <c r="S13" s="45">
        <f ca="1">IF(Q13="Não atende em canal 15 anos. Dimensionar para 25 anos",25,15)</f>
        <v>25</v>
      </c>
      <c r="T13" s="206"/>
      <c r="U13" s="206"/>
      <c r="V13" s="206"/>
      <c r="W13" s="196"/>
      <c r="X13" s="94" t="s">
        <v>269</v>
      </c>
      <c r="Y13" s="94" t="s">
        <v>1</v>
      </c>
      <c r="Z13" s="94" t="s">
        <v>270</v>
      </c>
      <c r="AA13" s="44"/>
      <c r="AB13" s="196" t="str">
        <f>'BC01 (RAC)'!AB13</f>
        <v>ax (1-24h)</v>
      </c>
      <c r="AC13" s="425" t="s">
        <v>216</v>
      </c>
      <c r="AD13" s="425"/>
    </row>
    <row r="14" spans="1:30" ht="15.75" thickBot="1">
      <c r="A14" s="38"/>
      <c r="B14" s="45"/>
      <c r="C14" s="45"/>
      <c r="D14" s="45"/>
      <c r="E14" s="45"/>
      <c r="F14" s="45"/>
      <c r="G14" s="45"/>
      <c r="H14" s="45"/>
      <c r="I14" s="45"/>
      <c r="J14" s="208" t="s">
        <v>62</v>
      </c>
      <c r="K14" s="209">
        <f ca="1">$O$9*60</f>
        <v>69.537168158765084</v>
      </c>
      <c r="L14" s="486">
        <f ca="1">IF($O$9&lt;=1,(X14*LN((K14/60)))+Z14,(AB14*LN((K14/60)))+Z14)</f>
        <v>86.9480512894566</v>
      </c>
      <c r="M14" s="486"/>
      <c r="N14" s="210">
        <f ca="1">L14/K14</f>
        <v>1.2503824011202114</v>
      </c>
      <c r="O14" s="67"/>
      <c r="Q14" s="112" t="str" cm="1">
        <f t="array" aca="1" ref="Q14" ca="1">IFERROR(_xlfn.LET(
_xlpm.Q,M21,
_xlpm.Tipos,[3]Base_Bueiros!$C$20:$C$28,
_xlpm.Dims,[3]Base_Bueiros!$D$20:$D$28,
_xlpm.Vazoes,[3]Base_Bueiros!$F$20:$F$28,
_xlpm.Diam,VALUE(_xlpm.Dims),
_xlpm.MenorDiam,_xlfn.AGGREGATE(15,6,_xlpm.Diam/(_xlpm.Vazoes&gt;=_xlpm.Q),1),
_xlpm.MenorVazao,_xlfn.AGGREGATE(15,6,_xlpm.Vazoes/((_xlpm.Vazoes&gt;=_xlpm.Q)*(_xlpm.Diam=_xlpm.MenorDiam)),1),
_xlpm.Linha,MATCH(_xlpm.MenorVazao,_xlpm.Vazoes,0),
_xlpm.Tipo,TRIM(IFERROR(LEFT(INDEX(_xlpm.Tipos,_xlpm.Linha),FIND(" OU ",INDEX(_xlpm.Tipos,_xlpm.Linha))-1),INDEX(_xlpm.Tipos,_xlpm.Linha))),
_xlpm.Tipo&amp;" d="&amp;INDEX(_xlpm.Dims,_xlpm.Linha)&amp;"m"
),"Não atende em orifício 25 anos. Dimensionar para 50 anos")</f>
        <v>Não atende em orifício 25 anos. Dimensionar para 50 anos</v>
      </c>
      <c r="R14" s="206"/>
      <c r="S14" s="45">
        <f ca="1">IF(Q14="Não atende em orifício 25 anos. Dimensionar para 50 anos",50,25)</f>
        <v>50</v>
      </c>
      <c r="T14" s="206"/>
      <c r="U14" s="206"/>
      <c r="V14" s="206"/>
      <c r="W14" s="196"/>
      <c r="X14" s="145">
        <f>'BC01 (RAC)'!X14</f>
        <v>26.41505980258199</v>
      </c>
      <c r="Y14" s="145"/>
      <c r="Z14" s="145">
        <f>'BC01 (RAC)'!Z14</f>
        <v>83.379768522636454</v>
      </c>
      <c r="AA14" s="145"/>
      <c r="AB14" s="145">
        <f>'BC01 (RAC)'!AB14</f>
        <v>24.188985755464877</v>
      </c>
      <c r="AC14" s="487" t="str">
        <f>IF(C11="Plano","Tabelado",IF(C11="Ondulado","Tabelado",IF(C11="Montanhoso","Tabelado","Ponderado")))</f>
        <v>Tabelado</v>
      </c>
      <c r="AD14" s="487"/>
    </row>
    <row r="15" spans="1:30" ht="16.5" thickTop="1" thickBot="1">
      <c r="A15" s="38"/>
      <c r="B15" s="45"/>
      <c r="C15" s="45"/>
      <c r="D15" s="45"/>
      <c r="E15" s="45"/>
      <c r="F15" s="45"/>
      <c r="G15" s="45"/>
      <c r="H15" s="45"/>
      <c r="I15" s="45"/>
      <c r="J15" s="238" t="s">
        <v>63</v>
      </c>
      <c r="K15" s="239">
        <f ca="1">$O$9*60</f>
        <v>69.537168158765084</v>
      </c>
      <c r="L15" s="489">
        <f ca="1">IF($O$9&lt;=1,(X15*LN((K15/60)))+Z15,(AB15*LN((K15/60)))+Z15)</f>
        <v>95.844351758765214</v>
      </c>
      <c r="M15" s="489"/>
      <c r="N15" s="240">
        <f ca="1">L15/K15</f>
        <v>1.3783183051103891</v>
      </c>
      <c r="O15" s="67"/>
      <c r="Q15" s="206"/>
      <c r="R15" s="214"/>
      <c r="S15" s="206"/>
      <c r="T15" s="206"/>
      <c r="U15" s="206"/>
      <c r="V15" s="206"/>
      <c r="W15" s="196"/>
      <c r="X15" s="145">
        <f>'BC01 (RAC)'!X15</f>
        <v>29.043206617627984</v>
      </c>
      <c r="Y15" s="145"/>
      <c r="Z15" s="145">
        <f>'BC01 (RAC)'!Z15</f>
        <v>91.924417541518196</v>
      </c>
      <c r="AA15" s="145"/>
      <c r="AB15" s="145">
        <f>'BC01 (RAC)'!AB15</f>
        <v>26.572791210671088</v>
      </c>
      <c r="AC15" s="488"/>
      <c r="AD15" s="488"/>
    </row>
    <row r="16" spans="1:30" ht="16.5" thickTop="1" thickBot="1">
      <c r="A16" s="38"/>
      <c r="B16" s="45"/>
      <c r="C16" s="45"/>
      <c r="D16" s="45"/>
      <c r="E16" s="45"/>
      <c r="F16" s="45"/>
      <c r="G16" s="45"/>
      <c r="H16" s="45"/>
      <c r="I16" s="45"/>
      <c r="J16" s="211" t="s">
        <v>64</v>
      </c>
      <c r="K16" s="212">
        <f ca="1">$O$9*60</f>
        <v>69.537168158765084</v>
      </c>
      <c r="L16" s="492">
        <f ca="1">IF($O$9&lt;=1,(X16*LN((K16/60)))+Z16,(AB16*LN((K16/60)))+Z16)</f>
        <v>107.4389856939213</v>
      </c>
      <c r="M16" s="492"/>
      <c r="N16" s="213">
        <f ca="1">L16/K16</f>
        <v>1.5450583988209006</v>
      </c>
      <c r="O16" s="67"/>
      <c r="Q16" s="206"/>
      <c r="R16" s="218"/>
      <c r="S16" s="196"/>
      <c r="T16" s="196"/>
      <c r="U16" s="196"/>
      <c r="V16" s="196"/>
      <c r="W16" s="196"/>
      <c r="X16" s="145">
        <f>'BC01 (RAC)'!X16</f>
        <v>32.437160263037789</v>
      </c>
      <c r="Y16" s="145"/>
      <c r="Z16" s="145">
        <f>'BC01 (RAC)'!Z16</f>
        <v>103.0459455052778</v>
      </c>
      <c r="AA16" s="145"/>
      <c r="AB16" s="145">
        <f>'BC01 (RAC)'!AB16</f>
        <v>29.77992314240781</v>
      </c>
      <c r="AC16" s="45"/>
      <c r="AD16" s="45"/>
    </row>
    <row r="17" spans="1:29" ht="15.75" thickTop="1">
      <c r="A17" s="38"/>
      <c r="B17" s="45"/>
      <c r="C17" s="45"/>
      <c r="D17" s="45"/>
      <c r="E17" s="45"/>
      <c r="F17" s="45"/>
      <c r="G17" s="45"/>
      <c r="H17" s="45"/>
      <c r="I17" s="68"/>
      <c r="J17" s="215" t="s">
        <v>65</v>
      </c>
      <c r="K17" s="216">
        <f ca="1">$O$9*60</f>
        <v>69.537168158765084</v>
      </c>
      <c r="L17" s="490">
        <f ca="1">IF($O$9&lt;=1,(X17*LN((K17/60)))+Z17,(AB17*LN((K17/60)))+Z17)</f>
        <v>118.72443676276649</v>
      </c>
      <c r="M17" s="490"/>
      <c r="N17" s="217">
        <f ca="1">L17/K17</f>
        <v>1.7073521960471352</v>
      </c>
      <c r="O17" s="67"/>
      <c r="Q17" s="206"/>
      <c r="R17" s="218"/>
      <c r="S17" s="196"/>
      <c r="T17" s="196"/>
      <c r="U17" s="196"/>
      <c r="V17" s="196"/>
      <c r="W17" s="196"/>
      <c r="X17" s="145">
        <f>'BC01 (RAC)'!X17</f>
        <v>37.177212539092373</v>
      </c>
      <c r="Y17" s="145"/>
      <c r="Z17" s="145">
        <f>'BC01 (RAC)'!Z17</f>
        <v>113.85574007527696</v>
      </c>
      <c r="AA17" s="145"/>
      <c r="AB17" s="145">
        <f>'BC01 (RAC)'!AB17</f>
        <v>33.004344811583479</v>
      </c>
      <c r="AC17" s="196"/>
    </row>
    <row r="18" spans="1:29" ht="15">
      <c r="A18" s="38"/>
      <c r="B18" s="475" t="s">
        <v>66</v>
      </c>
      <c r="C18" s="476"/>
      <c r="D18" s="476"/>
      <c r="E18" s="476"/>
      <c r="F18" s="476"/>
      <c r="G18" s="476"/>
      <c r="H18" s="477"/>
      <c r="I18" s="45"/>
      <c r="J18" s="45"/>
      <c r="K18" s="45"/>
      <c r="L18" s="45"/>
      <c r="M18" s="45"/>
      <c r="N18" s="45"/>
      <c r="O18" s="47"/>
      <c r="Q18" s="206"/>
      <c r="R18" s="218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</row>
    <row r="19" spans="1:29" ht="15">
      <c r="A19" s="38"/>
      <c r="B19" s="478"/>
      <c r="C19" s="479"/>
      <c r="D19" s="69" t="s">
        <v>67</v>
      </c>
      <c r="E19" s="69" t="s">
        <v>68</v>
      </c>
      <c r="F19" s="69" t="s">
        <v>44</v>
      </c>
      <c r="G19" s="69" t="s">
        <v>51</v>
      </c>
      <c r="H19" s="69"/>
      <c r="I19" s="45"/>
      <c r="J19" s="440" t="s">
        <v>9</v>
      </c>
      <c r="K19" s="442" t="s">
        <v>10</v>
      </c>
      <c r="L19" s="442"/>
      <c r="M19" s="442" t="s">
        <v>11</v>
      </c>
      <c r="N19" s="442"/>
      <c r="O19" s="47"/>
      <c r="Q19" s="206"/>
      <c r="R19" s="206"/>
      <c r="S19" s="196"/>
      <c r="T19" s="196"/>
      <c r="U19" s="196"/>
      <c r="V19" s="196"/>
      <c r="W19" s="196"/>
      <c r="X19" s="196"/>
      <c r="Y19" s="196"/>
      <c r="Z19" s="196"/>
      <c r="AA19" s="196"/>
      <c r="AB19" s="196"/>
      <c r="AC19" s="196"/>
    </row>
    <row r="20" spans="1:29" ht="15.75" thickBot="1">
      <c r="A20" s="38"/>
      <c r="B20" s="446" t="s">
        <v>69</v>
      </c>
      <c r="C20" s="446"/>
      <c r="D20" s="71">
        <f ca="1">E20*10^6</f>
        <v>6055607.27740476</v>
      </c>
      <c r="E20" s="70">
        <f ca="1">E6</f>
        <v>6.0556072774047598</v>
      </c>
      <c r="F20" s="70" t="s">
        <v>25</v>
      </c>
      <c r="G20" s="70" t="s">
        <v>25</v>
      </c>
      <c r="H20" s="70" t="s">
        <v>25</v>
      </c>
      <c r="I20" s="45"/>
      <c r="J20" s="441"/>
      <c r="K20" s="483" t="s">
        <v>12</v>
      </c>
      <c r="L20" s="483"/>
      <c r="M20" s="404">
        <f ca="1">0.278*$O$8*(N14*60)*$E$6*$O$10</f>
        <v>28.008452815197852</v>
      </c>
      <c r="N20" s="405" t="s">
        <v>13</v>
      </c>
      <c r="O20" s="47"/>
      <c r="Q20" s="206"/>
      <c r="R20" s="206"/>
      <c r="S20" s="196"/>
      <c r="T20" s="196"/>
      <c r="U20" s="196"/>
      <c r="V20" s="196"/>
      <c r="W20" s="196"/>
      <c r="X20" s="196"/>
      <c r="Y20" s="196"/>
      <c r="Z20" s="196"/>
      <c r="AA20" s="196"/>
      <c r="AB20" s="196"/>
      <c r="AC20" s="196"/>
    </row>
    <row r="21" spans="1:29" ht="17.25" customHeight="1" thickTop="1" thickBot="1">
      <c r="A21" s="38"/>
      <c r="B21" s="446" t="s">
        <v>70</v>
      </c>
      <c r="C21" s="446"/>
      <c r="D21" s="220">
        <f ca="1">$D$20*G21</f>
        <v>3671514.6922905059</v>
      </c>
      <c r="E21" s="221">
        <f ca="1">D21/10^6</f>
        <v>3.671514692290506</v>
      </c>
      <c r="F21" s="221" cm="1">
        <f t="array" ref="F21">_xlfn.LET(
_xlpm.superficie,B21,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_xlpm.col,MATCH(_xlpm.terreno,C_CN_IP03!$D$2:$I$2,0),
INDEX(C_CN_IP03!$D$4:$I$19,_xlpm.lin,_xlpm.col)
),
IF(
_xlpm.metodo="Ponderado",
IF(
_xlpm.terreno="Levemente ondulado",
AVERAGE(
INDEX(C_CN_IP03!$D$4:$I$19,_xlpm.lin,1),
INDEX(C_CN_IP03!$D$4:$I$19,_xlpm.lin,3)
),
IF(
_xlpm.terreno="Muito ondulado",
AVERAGE(
INDEX(C_CN_IP03!$D$4:$I$19,_xlpm.lin,3),
INDEX(C_CN_IP03!$D$4:$I$19,_xlpm.lin,5)
),
"Condição de terreno não reconhecida"
)
),
"Método não reconhecido"
)
)
)</f>
        <v>0.35</v>
      </c>
      <c r="G21" s="233">
        <v>0.60629999999999995</v>
      </c>
      <c r="H21" s="221">
        <f>(G21*(F21))</f>
        <v>0.21220499999999998</v>
      </c>
      <c r="I21" s="45"/>
      <c r="J21" s="441"/>
      <c r="K21" s="484" t="s">
        <v>14</v>
      </c>
      <c r="L21" s="485"/>
      <c r="M21" s="239">
        <f ca="1">0.278*$O$8*(N15*60)*$E$6*$O$10</f>
        <v>30.874205505789412</v>
      </c>
      <c r="N21" s="409" t="s">
        <v>13</v>
      </c>
      <c r="O21" s="47"/>
      <c r="Q21" s="219"/>
      <c r="R21" s="219"/>
    </row>
    <row r="22" spans="1:29" ht="17.25" customHeight="1" thickTop="1" thickBot="1">
      <c r="A22" s="38"/>
      <c r="B22" s="446" t="s">
        <v>71</v>
      </c>
      <c r="C22" s="446"/>
      <c r="D22" s="220">
        <f t="shared" ref="D22:D23" ca="1" si="0">$D$20*G22</f>
        <v>1606552.6106954827</v>
      </c>
      <c r="E22" s="221">
        <f ca="1">D22*(10^-6)</f>
        <v>1.6065526106954826</v>
      </c>
      <c r="F22" s="221" cm="1">
        <f t="array" ref="F22">_xlfn.LET(
_xlpm.superficie,B22,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_xlpm.col,MATCH(_xlpm.terreno,C_CN_IP03!$D$2:$I$2,0),
INDEX(C_CN_IP03!$D$4:$I$19,_xlpm.lin,_xlpm.col)
),
IF(
_xlpm.metodo="Ponderado",
IF(
_xlpm.terreno="Levemente ondulado",
AVERAGE(
INDEX(C_CN_IP03!$D$4:$I$19,_xlpm.lin,1),
INDEX(C_CN_IP03!$D$4:$I$19,_xlpm.lin,3)
),
IF(
_xlpm.terreno="Muito ondulado",
AVERAGE(
INDEX(C_CN_IP03!$D$4:$I$19,_xlpm.lin,3),
INDEX(C_CN_IP03!$D$4:$I$19,_xlpm.lin,5)
),
"Condição de terreno não reconhecida"
)
),
"Método não reconhecido"
)
)
)</f>
        <v>0.35</v>
      </c>
      <c r="G22" s="233">
        <v>0.26529999999999998</v>
      </c>
      <c r="H22" s="221">
        <f>(G22*(F22))</f>
        <v>9.2854999999999993E-2</v>
      </c>
      <c r="I22" s="72"/>
      <c r="J22" s="441"/>
      <c r="K22" s="480" t="s">
        <v>75</v>
      </c>
      <c r="L22" s="481"/>
      <c r="M22" s="412">
        <f ca="1">0.278*$O$8*(N16*60)*$E$6*$O$10</f>
        <v>34.609168540224786</v>
      </c>
      <c r="N22" s="408" t="s">
        <v>13</v>
      </c>
      <c r="O22" s="47"/>
      <c r="Q22" s="219"/>
      <c r="R22" s="219"/>
    </row>
    <row r="23" spans="1:29" s="225" customFormat="1" ht="17.25" customHeight="1" thickTop="1">
      <c r="A23" s="222"/>
      <c r="B23" s="446" t="s">
        <v>214</v>
      </c>
      <c r="C23" s="446"/>
      <c r="D23" s="220">
        <f t="shared" ca="1" si="0"/>
        <v>777539.9744187711</v>
      </c>
      <c r="E23" s="221">
        <f ca="1">D23*(10^-6)</f>
        <v>0.7775399744187711</v>
      </c>
      <c r="F23" s="221" cm="1">
        <f t="array" ref="F23">_xlfn.LET(
_xlpm.superficie,B23,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_xlpm.col,MATCH(_xlpm.terreno,C_CN_IP03!$D$2:$I$2,0),
INDEX(C_CN_IP03!$D$4:$I$19,_xlpm.lin,_xlpm.col)
),
IF(
_xlpm.metodo="Ponderado",
IF(
_xlpm.terreno="Levemente ondulado",
AVERAGE(
INDEX(C_CN_IP03!$D$4:$I$19,_xlpm.lin,1),
INDEX(C_CN_IP03!$D$4:$I$19,_xlpm.lin,3)
),
IF(
_xlpm.terreno="Muito ondulado",
AVERAGE(
INDEX(C_CN_IP03!$D$4:$I$19,_xlpm.lin,3),
INDEX(C_CN_IP03!$D$4:$I$19,_xlpm.lin,5)
),
"Condição de terreno não reconhecida"
)
),
"Método não reconhecido"
)
)
)</f>
        <v>0.3</v>
      </c>
      <c r="G23" s="233">
        <v>0.12839999999999999</v>
      </c>
      <c r="H23" s="221">
        <f>(G23*(F23))</f>
        <v>3.8519999999999992E-2</v>
      </c>
      <c r="I23" s="223"/>
      <c r="J23" s="440"/>
      <c r="K23" s="482" t="s">
        <v>15</v>
      </c>
      <c r="L23" s="482"/>
      <c r="M23" s="410">
        <f ca="1">0.278*$O$8*(N17*60)*$E$6*$O$10</f>
        <v>38.244534935127575</v>
      </c>
      <c r="N23" s="411" t="s">
        <v>13</v>
      </c>
      <c r="O23" s="224"/>
      <c r="Q23" s="226"/>
      <c r="R23" s="226"/>
      <c r="S23" s="226"/>
      <c r="T23" s="226"/>
      <c r="U23" s="226"/>
      <c r="V23" s="226"/>
    </row>
    <row r="24" spans="1:29" ht="15">
      <c r="A24" s="38"/>
      <c r="B24" s="457" t="s">
        <v>72</v>
      </c>
      <c r="C24" s="457"/>
      <c r="D24" s="457"/>
      <c r="E24" s="457"/>
      <c r="F24" s="457"/>
      <c r="G24" s="457"/>
      <c r="H24" s="73">
        <f>(SUM(H21:H23))</f>
        <v>0.34358</v>
      </c>
      <c r="I24" s="72"/>
      <c r="J24" s="45"/>
      <c r="K24" s="45"/>
      <c r="L24" s="45"/>
      <c r="M24" s="45"/>
      <c r="N24" s="45"/>
      <c r="O24" s="47"/>
      <c r="Q24" s="219"/>
      <c r="R24" s="219"/>
      <c r="S24" s="219"/>
      <c r="T24" s="219"/>
      <c r="U24" s="219"/>
      <c r="V24" s="219"/>
    </row>
    <row r="25" spans="1:29" ht="15">
      <c r="A25" s="38"/>
      <c r="B25" s="74" t="s">
        <v>73</v>
      </c>
      <c r="I25" s="72"/>
      <c r="J25" s="459" t="s">
        <v>74</v>
      </c>
      <c r="K25" s="442"/>
      <c r="L25" s="442"/>
      <c r="M25" s="442"/>
      <c r="N25" s="442"/>
      <c r="O25" s="47"/>
      <c r="Q25" s="219"/>
      <c r="R25" s="219"/>
      <c r="S25" s="219"/>
      <c r="T25" s="219"/>
      <c r="U25" s="219"/>
      <c r="V25" s="219"/>
    </row>
    <row r="26" spans="1:29" ht="15">
      <c r="A26" s="38"/>
      <c r="B26" s="45"/>
      <c r="C26" s="45"/>
      <c r="D26" s="45"/>
      <c r="E26" s="45"/>
      <c r="F26" s="45"/>
      <c r="G26" s="45"/>
      <c r="H26" s="45"/>
      <c r="I26" s="76"/>
      <c r="J26" s="461" t="str" cm="1">
        <f t="array" aca="1" ref="J26" ca="1">IFERROR(_xlfn.LET(
_xlpm.Func,"Orif",
_xlpm.Funcs,Base_Bueiros!$A$2:$A$37,
_xlpm.Tipos,Base_Bueiros!$C$2:$C$37,
_xlpm.Dims,Base_Bueiros!$D$2:$D$37,
_xlpm.Vazoes,Base_Bueiros!$F$2:$F$37,
_xlpm.DimNum,IFERROR(VALUE(TRIM(LEFT(_xlpm.Dims,FIND("x",_xlpm.Dims)-1))),VALUE(_xlpm.Dims)),
_xlpm.Linhas,IF(MID(_xlpm.Tipos,2,1)="T",3,IF(MID(_xlpm.Tipos,2,1)="D",2,1)),
_xlpm.EhTubular,MID(_xlpm.Tipos,3,1)="T",
_xlpm.QNec,IF(ISNUMBER(FIND("Orif",_xlpm.Func)),IF(_xlpm.EhTubular,M21,M22),IF(_xlpm.EhTubular,M20,M21)),
_xlpm.FiltroBase,(ISNUMBER(FIND(_xlpm.Func,_xlpm.Funcs)))*(_xlpm.Vazoes&gt;=_xlpm.QNec),
_xlpm.TemTubular,SUM(_xlpm.FiltroBase*_xlpm.EhTubular)&gt;0,
_xlpm.Filtro,_xlpm.FiltroBase*IF(_xlpm.TemTubular,_xlpm.EhTubular,NOT(_xlpm.EhTubular)),
_xlpm.Prior1,IF(_xlpm.EhTubular,_xlpm.DimNum,_xlpm.Linhas),
_xlpm.Prior2,IF(_xlpm.EhTubular,_xlpm.Linhas,_xlpm.DimNum),
_xlpm.MenorPrior1,_xlfn.AGGREGATE(15,6,_xlpm.Prior1/_xlpm.Filtro,1),
_xlpm.MenorPrior2,_xlfn.AGGREGATE(15,6,_xlpm.Prior2/(_xlpm.Filtro*(_xlpm.Prior1=_xlpm.MenorPrior1)),1),
_xlpm.MenorVazao,_xlfn.AGGREGATE(15,6,_xlpm.Vazoes/(_xlpm.Filtro*(_xlpm.Prior1=_xlpm.MenorPrior1)*(_xlpm.Prior2=_xlpm.MenorPrior2)),1),
_xlpm.Linha,MATCH(1,(_xlpm.Vazoes=_xlpm.MenorVazao)*(_xlpm.Filtro&gt;0),0),
_xlpm.Tipo,INDEX(_xlpm.Tipos,_xlpm.Linha),
_xlpm.Dim,INDEX(_xlpm.Dims,_xlpm.Linha),
_xlpm.EhTubularEscolhido,MID(_xlpm.Tipo,3,1)="T",
_xlpm.Tipo&amp;" "&amp;IF(_xlpm.EhTubularEscolhido,_xlpm.Dim&amp;"m",SUBSTITUTE(_xlpm.Dim,"0,00","")&amp;"m")
),"Ponte")</f>
        <v>BSCC 3,00 x 3,00m</v>
      </c>
      <c r="K26" s="461"/>
      <c r="L26" s="461"/>
      <c r="M26" s="461"/>
      <c r="N26" s="461"/>
      <c r="O26" s="47"/>
      <c r="Q26" s="219"/>
      <c r="R26" s="219"/>
      <c r="S26" s="219"/>
      <c r="T26" s="219"/>
      <c r="U26" s="219"/>
      <c r="V26" s="219"/>
    </row>
    <row r="27" spans="1:29" ht="15">
      <c r="A27" s="38"/>
      <c r="B27" s="45"/>
      <c r="C27" s="45"/>
      <c r="D27" s="45"/>
      <c r="E27" s="45"/>
      <c r="F27" s="45"/>
      <c r="G27" s="45"/>
      <c r="H27" s="45"/>
      <c r="I27" s="76"/>
      <c r="J27" s="45" t="s">
        <v>86</v>
      </c>
      <c r="K27" s="77"/>
      <c r="L27" s="77"/>
      <c r="M27" s="77"/>
      <c r="N27" s="77"/>
      <c r="O27" s="47"/>
      <c r="Q27" s="219"/>
      <c r="R27" s="219"/>
      <c r="S27" s="219"/>
      <c r="T27" s="219"/>
      <c r="U27" s="219"/>
      <c r="V27" s="219"/>
    </row>
    <row r="28" spans="1:29" ht="15" customHeight="1">
      <c r="A28" s="38"/>
      <c r="B28"/>
      <c r="C28"/>
      <c r="D28"/>
      <c r="E28"/>
      <c r="F28"/>
      <c r="G28"/>
      <c r="H28"/>
      <c r="I28" s="76"/>
      <c r="J28" s="45" t="s">
        <v>87</v>
      </c>
      <c r="K28" s="77"/>
      <c r="L28" s="77"/>
      <c r="M28" s="77"/>
      <c r="N28" s="77"/>
      <c r="O28" s="47"/>
      <c r="Q28" s="219"/>
      <c r="R28" s="219"/>
      <c r="S28" s="219"/>
      <c r="T28" s="219"/>
      <c r="U28" s="219"/>
      <c r="V28" s="219"/>
    </row>
    <row r="29" spans="1:29" ht="15">
      <c r="A29" s="38"/>
      <c r="B29"/>
      <c r="C29"/>
      <c r="D29"/>
      <c r="E29"/>
      <c r="F29"/>
      <c r="G29"/>
      <c r="H29"/>
      <c r="I29" s="76"/>
      <c r="J29" s="45"/>
      <c r="K29" s="77"/>
      <c r="L29" s="77"/>
      <c r="M29" s="77"/>
      <c r="N29" s="77"/>
      <c r="O29" s="47"/>
      <c r="Q29" s="219"/>
      <c r="R29" s="219"/>
      <c r="S29" s="219"/>
      <c r="T29" s="219"/>
      <c r="U29" s="219"/>
      <c r="V29" s="219"/>
    </row>
    <row r="30" spans="1:29" ht="15">
      <c r="A30" s="38"/>
      <c r="B30"/>
      <c r="C30"/>
      <c r="D30"/>
      <c r="E30"/>
      <c r="F30"/>
      <c r="G30"/>
      <c r="H30"/>
      <c r="I30" s="76"/>
      <c r="J30" s="459" t="s">
        <v>74</v>
      </c>
      <c r="K30" s="459"/>
      <c r="L30" s="459"/>
      <c r="M30" s="459"/>
      <c r="N30" s="459"/>
      <c r="O30" s="47"/>
      <c r="Q30" s="219"/>
      <c r="R30" s="219"/>
      <c r="S30" s="219"/>
      <c r="T30" s="219"/>
      <c r="U30" s="219"/>
      <c r="V30" s="219"/>
    </row>
    <row r="31" spans="1:29" ht="15">
      <c r="A31" s="38"/>
      <c r="B31" s="45"/>
      <c r="C31" s="45"/>
      <c r="D31" s="45"/>
      <c r="E31" s="45"/>
      <c r="F31" s="45"/>
      <c r="G31" s="45"/>
      <c r="H31" s="45"/>
      <c r="I31" s="76"/>
      <c r="J31" s="462" t="str" cm="1">
        <f t="array" aca="1" ref="J31" ca="1">IFERROR(_xlfn.LET(
_xlpm.Func,"Canal",
_xlpm.Funcs,Base_Bueiros!$A$2:$A$37,
_xlpm.Tipos,Base_Bueiros!$C$2:$C$37,
_xlpm.Dims,Base_Bueiros!$D$2:$D$37,
_xlpm.Vazoes,Base_Bueiros!$F$2:$F$37,
_xlpm.DimNum,IFERROR(VALUE(TRIM(LEFT(_xlpm.Dims,FIND("x",_xlpm.Dims)-1))),VALUE(_xlpm.Dims)),
_xlpm.Linhas,IF(MID(_xlpm.Tipos,2,1)="T",3,IF(MID(_xlpm.Tipos,2,1)="D",2,1)),
_xlpm.EhTubular,MID(_xlpm.Tipos,3,1)="T",
_xlpm.QNec,IF(ISNUMBER(FIND("Orif",_xlpm.Func)),IF(_xlpm.EhTubular,M21,M22),IF(_xlpm.EhTubular,M20,M21)),
_xlpm.FiltroBase,(ISNUMBER(FIND(_xlpm.Func,_xlpm.Funcs)))*(_xlpm.Vazoes&gt;=_xlpm.QNec),
_xlpm.TemTubular,SUM(_xlpm.FiltroBase*_xlpm.EhTubular)&gt;0,
_xlpm.Filtro,_xlpm.FiltroBase*IF(_xlpm.TemTubular,_xlpm.EhTubular,NOT(_xlpm.EhTubular)),
_xlpm.Prior1,IF(_xlpm.EhTubular,_xlpm.DimNum,_xlpm.Linhas),
_xlpm.Prior2,IF(_xlpm.EhTubular,_xlpm.Linhas,_xlpm.DimNum),
_xlpm.MenorPrior1,_xlfn.AGGREGATE(15,6,_xlpm.Prior1/_xlpm.Filtro,1),
_xlpm.MenorPrior2,_xlfn.AGGREGATE(15,6,_xlpm.Prior2/(_xlpm.Filtro*(_xlpm.Prior1=_xlpm.MenorPrior1)),1),
_xlpm.MenorVazao,_xlfn.AGGREGATE(15,6,_xlpm.Vazoes/(_xlpm.Filtro*(_xlpm.Prior1=_xlpm.MenorPrior1)*(_xlpm.Prior2=_xlpm.MenorPrior2)),1),
_xlpm.Linha,MATCH(1,(_xlpm.Vazoes=_xlpm.MenorVazao)*(_xlpm.Filtro&gt;0),0),
_xlpm.Tipo,INDEX(_xlpm.Tipos,_xlpm.Linha),
_xlpm.Dim,INDEX(_xlpm.Dims,_xlpm.Linha),
_xlpm.EhTubularEscolhido,MID(_xlpm.Tipo,3,1)="T",
_xlpm.Tipo&amp;" "&amp;IF(_xlpm.EhTubularEscolhido,_xlpm.Dim&amp;"m",SUBSTITUTE(_xlpm.Dim,"0,00","")&amp;"m")
),"Ponte")</f>
        <v>BDCC 2,50 x 2,50m</v>
      </c>
      <c r="K31" s="462"/>
      <c r="L31" s="462"/>
      <c r="M31" s="462"/>
      <c r="N31" s="462"/>
      <c r="O31" s="47"/>
      <c r="Q31" s="219"/>
      <c r="R31" s="219"/>
      <c r="S31" s="219"/>
      <c r="T31" s="219"/>
      <c r="U31" s="219"/>
      <c r="V31" s="219"/>
    </row>
    <row r="32" spans="1:29" ht="15">
      <c r="A32" s="38"/>
      <c r="B32" s="45"/>
      <c r="C32" s="45"/>
      <c r="D32" s="45"/>
      <c r="E32" s="45"/>
      <c r="F32" s="45"/>
      <c r="G32" s="45"/>
      <c r="H32" s="45"/>
      <c r="I32" s="76"/>
      <c r="J32" s="45" t="s">
        <v>88</v>
      </c>
      <c r="K32" s="77"/>
      <c r="L32" s="77"/>
      <c r="M32" s="77"/>
      <c r="N32" s="77"/>
      <c r="O32" s="47"/>
      <c r="Q32" s="219"/>
      <c r="R32" s="219"/>
      <c r="S32" s="219"/>
      <c r="T32" s="219"/>
      <c r="U32" s="219"/>
      <c r="V32" s="219"/>
    </row>
    <row r="33" spans="1:22" ht="15">
      <c r="A33" s="38"/>
      <c r="B33" s="45"/>
      <c r="C33" s="45"/>
      <c r="D33" s="45"/>
      <c r="E33" s="45"/>
      <c r="F33" s="45"/>
      <c r="G33" s="45"/>
      <c r="H33" s="45"/>
      <c r="I33" s="76"/>
      <c r="J33" s="77"/>
      <c r="K33" s="77"/>
      <c r="L33" s="77"/>
      <c r="M33" s="77"/>
      <c r="N33" s="77"/>
      <c r="O33" s="47"/>
      <c r="Q33" s="219"/>
      <c r="R33" s="219"/>
      <c r="S33" s="219"/>
      <c r="T33" s="219"/>
      <c r="U33" s="219"/>
      <c r="V33" s="219"/>
    </row>
    <row r="34" spans="1:22" ht="15">
      <c r="A34" s="38"/>
      <c r="B34" s="45"/>
      <c r="C34" s="45"/>
      <c r="D34" s="45"/>
      <c r="E34" s="45"/>
      <c r="F34" s="45"/>
      <c r="G34" s="45"/>
      <c r="H34" s="45"/>
      <c r="I34" s="76"/>
      <c r="J34" s="459" t="s">
        <v>408</v>
      </c>
      <c r="K34" s="459"/>
      <c r="L34" s="459"/>
      <c r="M34" s="459"/>
      <c r="N34" s="459"/>
      <c r="O34" s="47"/>
      <c r="Q34" s="219"/>
      <c r="R34" s="219"/>
      <c r="S34" s="219"/>
      <c r="T34" s="219"/>
      <c r="U34" s="219"/>
      <c r="V34" s="219"/>
    </row>
    <row r="35" spans="1:22" ht="15">
      <c r="A35" s="38"/>
      <c r="B35" s="45"/>
      <c r="C35" s="45"/>
      <c r="D35" s="45"/>
      <c r="E35" s="45"/>
      <c r="F35" s="45"/>
      <c r="G35" s="45"/>
      <c r="H35" s="45"/>
      <c r="I35" s="76"/>
      <c r="J35" s="452" t="str">
        <f>'Apresentação  - Est. Hid.'!AK23</f>
        <v>Ponte existente 11,50x3,80m</v>
      </c>
      <c r="K35" s="453"/>
      <c r="L35" s="453"/>
      <c r="M35" s="453"/>
      <c r="N35" s="453"/>
      <c r="O35" s="47"/>
      <c r="Q35" s="219"/>
      <c r="R35" s="219"/>
      <c r="S35" s="219"/>
      <c r="T35" s="219"/>
      <c r="U35" s="219"/>
      <c r="V35" s="219"/>
    </row>
    <row r="36" spans="1:22" ht="15">
      <c r="A36" s="38"/>
      <c r="B36" s="45"/>
      <c r="C36" s="45"/>
      <c r="D36" s="45"/>
      <c r="E36" s="45"/>
      <c r="F36" s="45"/>
      <c r="G36" s="45"/>
      <c r="H36" s="45"/>
      <c r="I36" s="76"/>
      <c r="J36"/>
      <c r="K36"/>
      <c r="L36"/>
      <c r="M36"/>
      <c r="N36"/>
      <c r="O36" s="47"/>
      <c r="Q36" s="219"/>
      <c r="R36" s="219"/>
      <c r="S36" s="219"/>
      <c r="T36" s="219"/>
      <c r="U36" s="219"/>
      <c r="V36" s="219"/>
    </row>
    <row r="37" spans="1:22" ht="15.75" thickBot="1">
      <c r="A37" s="79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1"/>
      <c r="Q37" s="219"/>
      <c r="R37" s="219"/>
      <c r="S37" s="219"/>
      <c r="T37" s="219"/>
      <c r="U37" s="219"/>
      <c r="V37" s="219"/>
    </row>
    <row r="38" spans="1:22" ht="15">
      <c r="Q38" s="219"/>
      <c r="R38" s="219"/>
      <c r="S38" s="219"/>
      <c r="T38" s="219"/>
      <c r="U38" s="219"/>
      <c r="V38" s="219"/>
    </row>
    <row r="40" spans="1:22">
      <c r="C40" s="196"/>
      <c r="D40" s="196"/>
      <c r="E40" s="196"/>
      <c r="F40" s="196"/>
      <c r="G40" s="196"/>
    </row>
    <row r="41" spans="1:22">
      <c r="C41" s="472"/>
      <c r="D41" s="472"/>
      <c r="E41" s="472"/>
      <c r="F41" s="473"/>
      <c r="G41" s="474"/>
      <c r="K41" s="227"/>
    </row>
    <row r="42" spans="1:22">
      <c r="C42" s="228"/>
      <c r="D42" s="229"/>
      <c r="E42" s="230"/>
      <c r="F42" s="229"/>
      <c r="G42" s="231"/>
    </row>
    <row r="43" spans="1:22">
      <c r="C43" s="228"/>
      <c r="D43" s="229"/>
      <c r="E43" s="230"/>
      <c r="F43" s="229"/>
      <c r="G43" s="231"/>
    </row>
    <row r="44" spans="1:22">
      <c r="C44" s="228"/>
      <c r="D44" s="229"/>
      <c r="E44" s="230"/>
      <c r="F44" s="229"/>
      <c r="G44" s="231"/>
    </row>
    <row r="45" spans="1:22">
      <c r="C45" s="228"/>
      <c r="D45" s="229"/>
      <c r="E45" s="230"/>
      <c r="F45" s="229"/>
      <c r="G45" s="231"/>
    </row>
    <row r="46" spans="1:22">
      <c r="C46" s="196"/>
      <c r="D46" s="196"/>
      <c r="E46" s="196"/>
      <c r="F46" s="196"/>
      <c r="G46" s="196"/>
    </row>
    <row r="47" spans="1:22">
      <c r="C47" s="196"/>
      <c r="D47" s="196"/>
      <c r="E47" s="196"/>
      <c r="F47" s="196"/>
      <c r="G47" s="196"/>
    </row>
    <row r="48" spans="1:22">
      <c r="C48" s="196"/>
      <c r="D48" s="196"/>
      <c r="E48" s="196"/>
      <c r="F48" s="196"/>
      <c r="G48" s="196"/>
    </row>
  </sheetData>
  <mergeCells count="35">
    <mergeCell ref="Z4:Z5"/>
    <mergeCell ref="J12:N12"/>
    <mergeCell ref="L16:M16"/>
    <mergeCell ref="A1:O1"/>
    <mergeCell ref="A2:O2"/>
    <mergeCell ref="W3:Y3"/>
    <mergeCell ref="W4:W5"/>
    <mergeCell ref="L13:M13"/>
    <mergeCell ref="AC13:AD13"/>
    <mergeCell ref="L14:M14"/>
    <mergeCell ref="AC14:AD15"/>
    <mergeCell ref="L15:M15"/>
    <mergeCell ref="L17:M17"/>
    <mergeCell ref="B18:H18"/>
    <mergeCell ref="B19:C19"/>
    <mergeCell ref="J19:J23"/>
    <mergeCell ref="K19:L19"/>
    <mergeCell ref="M19:N19"/>
    <mergeCell ref="B20:C20"/>
    <mergeCell ref="K20:L20"/>
    <mergeCell ref="B21:C21"/>
    <mergeCell ref="K21:L21"/>
    <mergeCell ref="J30:N30"/>
    <mergeCell ref="J31:N31"/>
    <mergeCell ref="C41:E41"/>
    <mergeCell ref="F41:G41"/>
    <mergeCell ref="B22:C22"/>
    <mergeCell ref="K22:L22"/>
    <mergeCell ref="B24:G24"/>
    <mergeCell ref="K23:L23"/>
    <mergeCell ref="J25:N25"/>
    <mergeCell ref="J26:N26"/>
    <mergeCell ref="B23:C23"/>
    <mergeCell ref="J34:N34"/>
    <mergeCell ref="J35:N35"/>
  </mergeCells>
  <conditionalFormatting sqref="K4:O4">
    <cfRule type="expression" dxfId="103" priority="1">
      <formula>AND($M$22&lt;=79.73,OR($S$13=15,$S$13=25),$N$4=$S$13)</formula>
    </cfRule>
  </conditionalFormatting>
  <conditionalFormatting sqref="K5:O5">
    <cfRule type="expression" dxfId="102" priority="2">
      <formula>AND($M$22&lt;=79.73,OR($S$13=15,$S$13=25),$N$5=$S$13)</formula>
    </cfRule>
    <cfRule type="expression" dxfId="101" priority="3">
      <formula>AND($M$22&lt;=79.73,OR($S$14=25,$S$14=50),$N$5=$S$14)</formula>
    </cfRule>
  </conditionalFormatting>
  <conditionalFormatting sqref="K6:O6">
    <cfRule type="expression" dxfId="100" priority="4">
      <formula>AND($M$22&lt;=79.73,OR($S$14=25,$S$14=50),$N$6=$S$14)</formula>
    </cfRule>
  </conditionalFormatting>
  <conditionalFormatting sqref="K7:O7">
    <cfRule type="expression" dxfId="99" priority="5">
      <formula>AND($M$22&gt;79.73,$N$7=100)</formula>
    </cfRule>
  </conditionalFormatting>
  <conditionalFormatting sqref="J14:N14">
    <cfRule type="expression" dxfId="98" priority="6">
      <formula>AND($M$22&lt;=79.73,OR($S$13=15,$S$13=25),$S$13=15)</formula>
    </cfRule>
  </conditionalFormatting>
  <conditionalFormatting sqref="J15:N15">
    <cfRule type="expression" dxfId="97" priority="7">
      <formula>AND($M$22&lt;=79.73,OR($S$13=15,$S$13=25),$S$13=25)</formula>
    </cfRule>
    <cfRule type="expression" dxfId="96" priority="8">
      <formula>AND($M$22&lt;=79.73,OR($S$14=25,$S$14=50),$S$14=25)</formula>
    </cfRule>
  </conditionalFormatting>
  <conditionalFormatting sqref="J16:N16">
    <cfRule type="expression" dxfId="95" priority="9">
      <formula>AND($M$22&lt;=79.73,OR($S$14=25,$S$14=50),$S$14=50)</formula>
    </cfRule>
  </conditionalFormatting>
  <conditionalFormatting sqref="J17:N17">
    <cfRule type="expression" dxfId="94" priority="10">
      <formula>$M$22&gt;79.73</formula>
    </cfRule>
  </conditionalFormatting>
  <conditionalFormatting sqref="K20:N20">
    <cfRule type="expression" dxfId="93" priority="11">
      <formula>AND($M$22&lt;=79.73,OR($S$13=15,$S$13=25),$S$13=15)</formula>
    </cfRule>
  </conditionalFormatting>
  <conditionalFormatting sqref="K21:N21">
    <cfRule type="expression" dxfId="92" priority="12">
      <formula>AND($M$22&lt;=79.73,OR($S$13=15,$S$13=25),$S$13=25)</formula>
    </cfRule>
    <cfRule type="expression" dxfId="91" priority="13">
      <formula>AND($M$22&lt;=79.73,OR($S$14=25,$S$14=50),$S$14=25)</formula>
    </cfRule>
  </conditionalFormatting>
  <conditionalFormatting sqref="K22:N22">
    <cfRule type="expression" dxfId="90" priority="14">
      <formula>AND($M$22&lt;=79.73,OR($S$14=25,$S$14=50),$S$14=50)</formula>
    </cfRule>
  </conditionalFormatting>
  <conditionalFormatting sqref="K23:N23">
    <cfRule type="expression" dxfId="89" priority="15">
      <formula>$M$22&gt;79.73</formula>
    </cfRule>
  </conditionalFormatting>
  <dataValidations disablePrompts="1" count="3">
    <dataValidation type="list" allowBlank="1" showInputMessage="1" showErrorMessage="1" sqref="C11" xr:uid="{622D9DC9-E00C-460B-BDE4-37BE9960E96B}">
      <formula1>"Plano,Levemente ondulado,Ondulado,Muito ondulado,Montanhoso,Muito montanhoso,Escarpado"</formula1>
    </dataValidation>
    <dataValidation type="list" allowBlank="1" showInputMessage="1" showErrorMessage="1" sqref="C12" xr:uid="{18EE623C-43D9-4FDD-9416-1F6733AC10EC}">
      <formula1>"A,B,C,D"</formula1>
    </dataValidation>
    <dataValidation type="list" allowBlank="1" showInputMessage="1" showErrorMessage="1" sqref="AC14" xr:uid="{E0D7DD07-57A0-425A-9852-5C11DF01E64F}">
      <formula1>"Tabelado,Ponderado"</formula1>
    </dataValidation>
  </dataValidations>
  <printOptions horizontalCentered="1" verticalCentered="1"/>
  <pageMargins left="0.39370078740157483" right="0.39370078740157483" top="0.74803149606299213" bottom="0.39370078740157483" header="0.23622047244094491" footer="0.31496062992125984"/>
  <pageSetup paperSize="9" scale="90" orientation="landscape" r:id="rId1"/>
  <headerFooter>
    <oddHeader xml:space="preserve">&amp;L&amp;"Times New Roman,Normal"&amp;12&amp;G&amp;C
&amp;R&amp;"Times New Roman,Negrito"&amp;12ANTEPROJETO DE ENGENHARIA RODOVIA GO-188
TRECHO: Entr. BR-070 (Ponte Alta) / GO-188
 (Div. GO/MT-Registro do Araguaia)
</oddHeader>
  </headerFooter>
  <colBreaks count="1" manualBreakCount="1">
    <brk id="15" max="1048575" man="1"/>
  </colBreaks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9078E-A65F-4A6D-A0F2-0CC893283D6E}">
  <sheetPr codeName="Planilha18">
    <tabColor rgb="FF0070C0"/>
  </sheetPr>
  <dimension ref="B2:K22"/>
  <sheetViews>
    <sheetView showGridLines="0" zoomScaleNormal="100" zoomScaleSheetLayoutView="100" workbookViewId="0">
      <selection activeCell="V11" sqref="V11"/>
    </sheetView>
  </sheetViews>
  <sheetFormatPr defaultRowHeight="15"/>
  <cols>
    <col min="3" max="3" width="8.5703125" bestFit="1" customWidth="1"/>
    <col min="4" max="4" width="12.5703125" bestFit="1" customWidth="1"/>
    <col min="5" max="5" width="10.85546875" bestFit="1" customWidth="1"/>
    <col min="6" max="9" width="8.5703125" customWidth="1"/>
    <col min="10" max="10" width="11" bestFit="1" customWidth="1"/>
    <col min="14" max="14" width="10.42578125" customWidth="1"/>
  </cols>
  <sheetData>
    <row r="2" spans="2:11" ht="45.75" thickBot="1">
      <c r="B2" s="1" t="s">
        <v>37</v>
      </c>
      <c r="C2" s="1" t="s">
        <v>38</v>
      </c>
      <c r="D2" s="1" t="s">
        <v>39</v>
      </c>
      <c r="E2" s="1" t="s">
        <v>40</v>
      </c>
      <c r="F2" s="2" t="s">
        <v>41</v>
      </c>
      <c r="G2" s="2" t="s">
        <v>42</v>
      </c>
      <c r="H2" s="1" t="s">
        <v>43</v>
      </c>
      <c r="I2" s="3"/>
      <c r="J2" s="3"/>
    </row>
    <row r="3" spans="2:11" ht="15.75" thickBot="1">
      <c r="B3" s="14" t="s">
        <v>44</v>
      </c>
      <c r="C3" s="232">
        <v>1151</v>
      </c>
      <c r="D3" s="14">
        <v>0</v>
      </c>
      <c r="E3" s="13">
        <f>D3/1000</f>
        <v>0</v>
      </c>
      <c r="F3" s="13">
        <v>0</v>
      </c>
      <c r="G3" s="13">
        <v>0</v>
      </c>
      <c r="H3" s="13">
        <v>0</v>
      </c>
      <c r="J3" s="464" t="s">
        <v>198</v>
      </c>
      <c r="K3" s="465"/>
    </row>
    <row r="4" spans="2:11">
      <c r="B4" s="14">
        <v>2</v>
      </c>
      <c r="C4" s="232">
        <v>918</v>
      </c>
      <c r="D4" s="14">
        <v>500</v>
      </c>
      <c r="E4" s="12">
        <f>D4/1000</f>
        <v>0.5</v>
      </c>
      <c r="F4" s="13">
        <f>C3-C4</f>
        <v>233</v>
      </c>
      <c r="G4" s="12">
        <f>E4-E3</f>
        <v>0.5</v>
      </c>
      <c r="H4" s="12">
        <f t="shared" ref="H4:H11" si="0">F4/G4</f>
        <v>466</v>
      </c>
      <c r="J4" s="120" t="s">
        <v>199</v>
      </c>
      <c r="K4" s="124">
        <f ca="1">(((E12/((G4/SQRT(H4))+(G5/SQRT(H5))+(G6/SQRT(H6))+(G7/SQRT(H7))+(G8/SQRT(H8))+(G9/SQRT(H9))+(G10/SQRT(H10))+(G11/SQRT(H11))+(G12/SQRT(H12))))^2)/1000)*1000</f>
        <v>38.793746972531572</v>
      </c>
    </row>
    <row r="5" spans="2:11" ht="15.75" thickBot="1">
      <c r="B5" s="14">
        <v>3</v>
      </c>
      <c r="C5" s="232">
        <v>806</v>
      </c>
      <c r="D5" s="14">
        <f>D4+500</f>
        <v>1000</v>
      </c>
      <c r="E5" s="12">
        <f t="shared" ref="E5:E12" si="1">D5/1000</f>
        <v>1</v>
      </c>
      <c r="F5" s="13">
        <f t="shared" ref="F5:F11" si="2">C4-C5</f>
        <v>112</v>
      </c>
      <c r="G5" s="12">
        <f t="shared" ref="G5:G11" si="3">E5-E4</f>
        <v>0.5</v>
      </c>
      <c r="H5" s="12">
        <f t="shared" si="0"/>
        <v>224</v>
      </c>
      <c r="J5" s="121" t="s">
        <v>200</v>
      </c>
      <c r="K5" s="123">
        <f ca="1">((E12/((G4/SQRT(H4))+(G5/SQRT(H5))+(G6/SQRT(H6))+(G7/SQRT(H7))+(G8/SQRT(H8))+(G9/SQRT(H9))+(G10/SQRT(H10))+(G11/SQRT(H11))+(G12/SQRT(H12))))^2)/1000</f>
        <v>3.8793746972531573E-2</v>
      </c>
    </row>
    <row r="6" spans="2:11" ht="15.75" thickBot="1">
      <c r="B6" s="14">
        <v>4</v>
      </c>
      <c r="C6" s="232">
        <v>746</v>
      </c>
      <c r="D6" s="14">
        <f t="shared" ref="D6:D11" si="4">D5+500</f>
        <v>1500</v>
      </c>
      <c r="E6" s="12">
        <f t="shared" si="1"/>
        <v>1.5</v>
      </c>
      <c r="F6" s="13">
        <f t="shared" si="2"/>
        <v>60</v>
      </c>
      <c r="G6" s="12">
        <f t="shared" si="3"/>
        <v>0.5</v>
      </c>
      <c r="H6" s="12">
        <f t="shared" si="0"/>
        <v>120</v>
      </c>
      <c r="J6" s="119" t="s">
        <v>201</v>
      </c>
      <c r="K6" s="122">
        <f ca="1">(((E12/((G4/SQRT(H4))+(G5/SQRT(H5))+(G6/SQRT(H6))+(G7/SQRT(H7))+(G8/SQRT(H8))+(G9/SQRT(H9))+(G10/SQRT(H10))+(G11/SQRT(H11))+(G12/SQRT(H12))))^2)/1000)*100</f>
        <v>3.8793746972531573</v>
      </c>
    </row>
    <row r="7" spans="2:11">
      <c r="B7" s="14">
        <v>5</v>
      </c>
      <c r="C7" s="232">
        <v>707</v>
      </c>
      <c r="D7" s="14">
        <f t="shared" si="4"/>
        <v>2000</v>
      </c>
      <c r="E7" s="12">
        <f t="shared" si="1"/>
        <v>2</v>
      </c>
      <c r="F7" s="13">
        <f t="shared" si="2"/>
        <v>39</v>
      </c>
      <c r="G7" s="12">
        <f t="shared" si="3"/>
        <v>0.5</v>
      </c>
      <c r="H7" s="12">
        <f t="shared" si="0"/>
        <v>78</v>
      </c>
    </row>
    <row r="8" spans="2:11">
      <c r="B8" s="14">
        <v>6</v>
      </c>
      <c r="C8" s="232">
        <v>685</v>
      </c>
      <c r="D8" s="14">
        <f t="shared" si="4"/>
        <v>2500</v>
      </c>
      <c r="E8" s="12">
        <f t="shared" si="1"/>
        <v>2.5</v>
      </c>
      <c r="F8" s="13">
        <f t="shared" si="2"/>
        <v>22</v>
      </c>
      <c r="G8" s="12">
        <f t="shared" si="3"/>
        <v>0.5</v>
      </c>
      <c r="H8" s="12">
        <f t="shared" si="0"/>
        <v>44</v>
      </c>
    </row>
    <row r="9" spans="2:11">
      <c r="B9" s="14">
        <v>7</v>
      </c>
      <c r="C9" s="232">
        <v>672</v>
      </c>
      <c r="D9" s="14">
        <f t="shared" si="4"/>
        <v>3000</v>
      </c>
      <c r="E9" s="12">
        <f t="shared" si="1"/>
        <v>3</v>
      </c>
      <c r="F9" s="13">
        <f t="shared" si="2"/>
        <v>13</v>
      </c>
      <c r="G9" s="12">
        <f t="shared" si="3"/>
        <v>0.5</v>
      </c>
      <c r="H9" s="12">
        <f t="shared" si="0"/>
        <v>26</v>
      </c>
    </row>
    <row r="10" spans="2:11">
      <c r="B10" s="14">
        <v>8</v>
      </c>
      <c r="C10" s="232">
        <v>656</v>
      </c>
      <c r="D10" s="14">
        <f t="shared" si="4"/>
        <v>3500</v>
      </c>
      <c r="E10" s="12">
        <f t="shared" si="1"/>
        <v>3.5</v>
      </c>
      <c r="F10" s="13">
        <f t="shared" si="2"/>
        <v>16</v>
      </c>
      <c r="G10" s="12">
        <f t="shared" si="3"/>
        <v>0.5</v>
      </c>
      <c r="H10" s="12">
        <f t="shared" si="0"/>
        <v>32</v>
      </c>
    </row>
    <row r="11" spans="2:11">
      <c r="B11" s="14">
        <v>9</v>
      </c>
      <c r="C11" s="232">
        <v>645</v>
      </c>
      <c r="D11" s="14">
        <f t="shared" si="4"/>
        <v>4000</v>
      </c>
      <c r="E11" s="12">
        <f t="shared" si="1"/>
        <v>4</v>
      </c>
      <c r="F11" s="13">
        <f t="shared" si="2"/>
        <v>11</v>
      </c>
      <c r="G11" s="12">
        <f t="shared" si="3"/>
        <v>0.5</v>
      </c>
      <c r="H11" s="12">
        <f t="shared" si="0"/>
        <v>22</v>
      </c>
    </row>
    <row r="12" spans="2:11">
      <c r="B12" s="14" t="s">
        <v>33</v>
      </c>
      <c r="C12" s="232">
        <v>642</v>
      </c>
      <c r="D12" s="37">
        <f ca="1">'BC03 (RAC-MOD)'!E7*1000</f>
        <v>4480.061213554116</v>
      </c>
      <c r="E12" s="12">
        <f t="shared" ca="1" si="1"/>
        <v>4.4800612135541158</v>
      </c>
      <c r="F12" s="13">
        <f>C11-C12</f>
        <v>3</v>
      </c>
      <c r="G12" s="12">
        <f ca="1">E12-E11</f>
        <v>0.4800612135541158</v>
      </c>
      <c r="H12" s="12">
        <f ca="1">F12/G12</f>
        <v>6.2492030501477274</v>
      </c>
    </row>
    <row r="13" spans="2:11" ht="15.75" thickBot="1">
      <c r="B13" s="3"/>
      <c r="C13" s="93"/>
      <c r="D13" s="106"/>
      <c r="E13" s="107"/>
      <c r="F13" s="106"/>
      <c r="G13" s="107"/>
      <c r="H13" s="107"/>
    </row>
    <row r="14" spans="2:11" ht="15.75" thickBot="1">
      <c r="B14" s="4" t="s">
        <v>48</v>
      </c>
      <c r="C14" s="5">
        <f ca="1">(((E12/((G4/SQRT(H4))+(G5/SQRT(H5))+(G6/SQRT(H6))+(G7/SQRT(H7))+(G8/SQRT(H8))+(G9/SQRT(H9))+(G10/SQRT(H10))+(G11/SQRT(H11))+(G12/SQRT(H12))))^2)/1000)*1000</f>
        <v>38.793746972531572</v>
      </c>
      <c r="D14" s="6" t="s">
        <v>45</v>
      </c>
      <c r="E14" s="6" t="s">
        <v>49</v>
      </c>
      <c r="F14" s="6"/>
      <c r="G14" s="6"/>
      <c r="H14" s="7"/>
    </row>
    <row r="15" spans="2:11" ht="15.75" thickBot="1">
      <c r="B15" s="4" t="s">
        <v>48</v>
      </c>
      <c r="C15" s="8">
        <f ca="1">C14/1000</f>
        <v>3.8793746972531573E-2</v>
      </c>
      <c r="D15" s="6" t="s">
        <v>46</v>
      </c>
      <c r="E15" s="6" t="s">
        <v>50</v>
      </c>
      <c r="F15" s="6"/>
      <c r="G15" s="6"/>
      <c r="H15" s="7"/>
    </row>
    <row r="16" spans="2:11" ht="15.75" thickBot="1">
      <c r="B16" s="9" t="s">
        <v>48</v>
      </c>
      <c r="C16" s="108">
        <f ca="1">C15*100</f>
        <v>3.8793746972531573</v>
      </c>
      <c r="D16" s="10" t="s">
        <v>47</v>
      </c>
      <c r="E16" s="10" t="s">
        <v>51</v>
      </c>
      <c r="F16" s="10"/>
      <c r="G16" s="10"/>
      <c r="H16" s="11"/>
    </row>
    <row r="21" ht="13.5" customHeight="1"/>
    <row r="22" hidden="1"/>
  </sheetData>
  <mergeCells count="1">
    <mergeCell ref="J3:K3"/>
  </mergeCells>
  <pageMargins left="0.51181102362204722" right="0.51181102362204722" top="0.78740157480314965" bottom="0.78740157480314965" header="0.23622047244094491" footer="0.31496062992125984"/>
  <pageSetup paperSize="9" orientation="portrait" r:id="rId1"/>
  <headerFooter>
    <oddHeader xml:space="preserve">&amp;L&amp;G&amp;R&amp;"Times New Roman,Negrito"&amp;12ANTEPROJETO DE ENGENHARIA RODOVIA GO-188
TRECHO: Entr. BR-070 (Ponte Alta) / GO-188
 (Div. GO/MT-Registro do Araguaia)
</oddHead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15AC1-225A-4D78-BC98-6FC6F9072FD3}">
  <sheetPr codeName="Planilha3">
    <tabColor rgb="FFFFFF00"/>
    <pageSetUpPr fitToPage="1"/>
  </sheetPr>
  <dimension ref="A1:AD175"/>
  <sheetViews>
    <sheetView showGridLines="0" view="pageBreakPreview" topLeftCell="A150" zoomScaleNormal="100" zoomScaleSheetLayoutView="100" workbookViewId="0">
      <selection activeCell="V11" sqref="V11"/>
    </sheetView>
  </sheetViews>
  <sheetFormatPr defaultColWidth="9.140625" defaultRowHeight="15"/>
  <cols>
    <col min="1" max="1" width="6.5703125" bestFit="1" customWidth="1"/>
    <col min="2" max="2" width="8.42578125" customWidth="1"/>
    <col min="3" max="3" width="25.140625" customWidth="1"/>
    <col min="4" max="4" width="12.42578125" bestFit="1" customWidth="1"/>
    <col min="5" max="17" width="8.7109375" customWidth="1"/>
    <col min="18" max="18" width="6.5703125" bestFit="1" customWidth="1"/>
    <col min="19" max="19" width="8.7109375" customWidth="1"/>
    <col min="20" max="20" width="9.85546875" customWidth="1"/>
    <col min="21" max="21" width="12.28515625" bestFit="1" customWidth="1"/>
    <col min="22" max="22" width="14" customWidth="1"/>
    <col min="23" max="28" width="14" bestFit="1" customWidth="1"/>
  </cols>
  <sheetData>
    <row r="1" spans="1:30" ht="24" customHeight="1">
      <c r="A1" s="497" t="s">
        <v>328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  <c r="P1" s="497"/>
      <c r="Q1" s="497"/>
      <c r="R1" s="497"/>
    </row>
    <row r="2" spans="1:30">
      <c r="A2" s="498" t="s">
        <v>0</v>
      </c>
      <c r="B2" s="499"/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500"/>
    </row>
    <row r="3" spans="1:30">
      <c r="A3" s="501" t="s">
        <v>277</v>
      </c>
      <c r="B3" s="502"/>
      <c r="C3" s="502"/>
      <c r="D3" s="502"/>
      <c r="E3" s="502"/>
      <c r="F3" s="502"/>
      <c r="G3" s="502"/>
      <c r="H3" s="502"/>
      <c r="I3" s="502"/>
      <c r="J3" s="502"/>
      <c r="K3" s="503"/>
      <c r="L3" s="503"/>
      <c r="M3" s="503"/>
      <c r="N3" s="503"/>
      <c r="O3" s="503"/>
      <c r="P3" s="502"/>
      <c r="Q3" s="502"/>
      <c r="R3" s="504"/>
    </row>
    <row r="4" spans="1:30">
      <c r="A4" s="242"/>
      <c r="B4" s="505" t="s">
        <v>278</v>
      </c>
      <c r="C4" s="505"/>
      <c r="D4" s="505"/>
      <c r="E4" s="315" t="s">
        <v>329</v>
      </c>
      <c r="F4" s="243" t="s">
        <v>1</v>
      </c>
      <c r="G4" s="259">
        <v>4.42</v>
      </c>
      <c r="H4" s="244"/>
      <c r="I4" s="245"/>
      <c r="J4" s="245"/>
      <c r="K4" s="413"/>
      <c r="L4" s="413"/>
      <c r="M4" s="250"/>
      <c r="N4" s="250"/>
      <c r="O4" s="250"/>
      <c r="P4" s="246"/>
      <c r="Q4" s="246"/>
      <c r="R4" s="247"/>
    </row>
    <row r="5" spans="1:30">
      <c r="A5" s="248"/>
      <c r="B5" s="506" t="s">
        <v>279</v>
      </c>
      <c r="C5" s="496"/>
      <c r="D5" s="496"/>
      <c r="E5" s="316" t="s">
        <v>257</v>
      </c>
      <c r="F5" s="249" t="s">
        <v>343</v>
      </c>
      <c r="I5" s="250"/>
      <c r="J5" s="250"/>
      <c r="K5" s="250"/>
      <c r="L5" s="250"/>
      <c r="M5" s="331" t="s">
        <v>2</v>
      </c>
      <c r="N5" s="331"/>
      <c r="O5" s="331"/>
      <c r="P5" s="331">
        <v>25</v>
      </c>
      <c r="Q5" s="251" t="s">
        <v>3</v>
      </c>
      <c r="R5" s="252"/>
      <c r="T5" t="s">
        <v>26</v>
      </c>
    </row>
    <row r="6" spans="1:30">
      <c r="A6" s="248"/>
      <c r="B6" s="496" t="s">
        <v>4</v>
      </c>
      <c r="C6" s="496"/>
      <c r="D6" s="496"/>
      <c r="E6" s="316" t="s">
        <v>330</v>
      </c>
      <c r="F6" s="249"/>
      <c r="G6" s="249"/>
      <c r="H6" s="249"/>
      <c r="I6" s="250"/>
      <c r="J6" s="250"/>
      <c r="K6" s="250"/>
      <c r="L6" s="250"/>
      <c r="M6" s="250" t="s">
        <v>280</v>
      </c>
      <c r="N6" s="414">
        <f>H19</f>
        <v>59</v>
      </c>
      <c r="O6" s="250"/>
      <c r="P6" s="337" t="s">
        <v>281</v>
      </c>
      <c r="Q6" s="285">
        <f>25400/N6-254</f>
        <v>176.50847457627117</v>
      </c>
      <c r="R6" s="252"/>
      <c r="T6" t="str">
        <f ca="1">IF(AND(E7&gt;=10,E7&lt;=20),"Hidrograma Sintético Triangular","Hidrograma Unitário Triangular")</f>
        <v>Hidrograma Sintético Triangular</v>
      </c>
      <c r="AA6" s="187" t="s">
        <v>217</v>
      </c>
      <c r="AC6" s="36">
        <f ca="1">'PERFIL BC06 (HUT)'!C23</f>
        <v>3.3974950615021733</v>
      </c>
    </row>
    <row r="7" spans="1:30">
      <c r="A7" s="248"/>
      <c r="B7" s="496" t="s">
        <v>283</v>
      </c>
      <c r="C7" s="496"/>
      <c r="D7" s="496"/>
      <c r="E7" s="259">
        <f ca="1">VLOOKUP(F11,'AUX BACIAS'!$A$2:$D$10,3,0)</f>
        <v>17.228540401840885</v>
      </c>
      <c r="F7" s="253"/>
      <c r="G7" s="254"/>
      <c r="H7" s="255"/>
      <c r="I7" s="250"/>
      <c r="J7" s="250"/>
      <c r="K7" s="250"/>
      <c r="L7" s="250"/>
      <c r="M7" s="256" t="s">
        <v>5</v>
      </c>
      <c r="N7" s="250"/>
      <c r="O7" s="332"/>
      <c r="P7" s="257"/>
      <c r="Q7" s="347">
        <f ca="1">IF(E7&lt;0.8,0.39*(E8^2/E10)^0.385,0.59*(E8^2/E10)^0.385)</f>
        <v>2.0375059202816321</v>
      </c>
      <c r="R7" s="252"/>
      <c r="AA7" s="187" t="s">
        <v>218</v>
      </c>
      <c r="AC7" s="36">
        <f ca="1">100*(E9/(E8*1000))</f>
        <v>6.3250976043236466</v>
      </c>
    </row>
    <row r="8" spans="1:30">
      <c r="A8" s="248"/>
      <c r="B8" s="496" t="s">
        <v>6</v>
      </c>
      <c r="C8" s="496"/>
      <c r="D8" s="496"/>
      <c r="E8" s="259">
        <f ca="1">(VLOOKUP(F11,'AUX BACIAS'!$A$2:$D$10,4,0)/1000)</f>
        <v>9.217249068243289</v>
      </c>
      <c r="F8" s="253"/>
      <c r="G8" s="254"/>
      <c r="H8" s="255"/>
      <c r="I8" s="250"/>
      <c r="J8" s="250"/>
      <c r="K8" s="250"/>
      <c r="L8" s="250"/>
      <c r="M8" s="256" t="s">
        <v>284</v>
      </c>
      <c r="N8" s="250"/>
      <c r="O8" s="250"/>
      <c r="P8" s="257"/>
      <c r="Q8" s="347">
        <f ca="1">Q7/4</f>
        <v>0.50937648007040803</v>
      </c>
      <c r="R8" s="258"/>
      <c r="T8" t="s">
        <v>285</v>
      </c>
    </row>
    <row r="9" spans="1:30">
      <c r="A9" s="248"/>
      <c r="B9" s="496" t="s">
        <v>7</v>
      </c>
      <c r="C9" s="496"/>
      <c r="D9" s="496"/>
      <c r="E9" s="259">
        <f>(INDEX('PERFIL BC06 (HUT)'!$C:$C,MATCH("C",'PERFIL BC06 (HUT)'!$B:$B,0))-INDEX('PERFIL BC06 (HUT)'!$C:$C,MATCH("E",'PERFIL BC06 (HUT)'!$B:$B,0)))</f>
        <v>583</v>
      </c>
      <c r="F9" s="259"/>
      <c r="G9" s="254"/>
      <c r="H9" s="255"/>
      <c r="I9" s="250"/>
      <c r="J9" s="250"/>
      <c r="K9" s="250"/>
      <c r="L9" s="250"/>
      <c r="M9" s="256" t="s">
        <v>286</v>
      </c>
      <c r="N9" s="250"/>
      <c r="O9" s="250"/>
      <c r="P9" s="257"/>
      <c r="Q9" s="347">
        <f ca="1">((Q7/6)/2)+(0.6*Q7)</f>
        <v>1.3922957121924486</v>
      </c>
      <c r="R9" s="260"/>
    </row>
    <row r="10" spans="1:30" ht="20.100000000000001" customHeight="1">
      <c r="A10" s="248"/>
      <c r="B10" s="508" t="s">
        <v>287</v>
      </c>
      <c r="C10" s="508"/>
      <c r="D10" s="508"/>
      <c r="E10" s="259">
        <f ca="1">IF(AC6&gt;AC7,AC7,AC6)</f>
        <v>3.3974950615021733</v>
      </c>
      <c r="F10" s="261"/>
      <c r="G10" s="254"/>
      <c r="H10" s="262"/>
      <c r="I10" s="250"/>
      <c r="J10" s="250"/>
      <c r="K10" s="250"/>
      <c r="L10" s="250"/>
      <c r="M10" s="256" t="s">
        <v>288</v>
      </c>
      <c r="N10" s="250"/>
      <c r="O10" s="250"/>
      <c r="P10" s="257"/>
      <c r="Q10" s="347">
        <f ca="1">2.67*Q9</f>
        <v>3.7174295515538378</v>
      </c>
      <c r="R10" s="263"/>
    </row>
    <row r="11" spans="1:30">
      <c r="A11" s="248"/>
      <c r="B11" s="39" t="s">
        <v>215</v>
      </c>
      <c r="C11" s="205" t="s">
        <v>207</v>
      </c>
      <c r="D11" s="346"/>
      <c r="E11" s="264" t="s">
        <v>98</v>
      </c>
      <c r="F11" s="265" t="str" cm="1">
        <f t="array" aca="1" ref="F11" ca="1">MID(RIGHT(CELL("nome.arquivo",A1),LEN(CELL("nome.arquivo",A1)) - SEARCH("]",CELL("nome.arquivo",A1))),1,4)</f>
        <v>BC06</v>
      </c>
      <c r="G11" s="266"/>
      <c r="H11" s="267"/>
      <c r="I11" s="268"/>
      <c r="J11" s="250"/>
      <c r="K11" s="250"/>
      <c r="L11" s="250"/>
      <c r="M11" s="256" t="s">
        <v>289</v>
      </c>
      <c r="N11" s="250"/>
      <c r="O11" s="250"/>
      <c r="P11" s="257"/>
      <c r="Q11" s="347">
        <f ca="1">1.67*Q9</f>
        <v>2.325133839361389</v>
      </c>
      <c r="R11" s="263"/>
    </row>
    <row r="12" spans="1:30">
      <c r="A12" s="248"/>
      <c r="B12" s="45" t="s">
        <v>205</v>
      </c>
      <c r="C12" s="136" t="s">
        <v>210</v>
      </c>
      <c r="D12" s="250"/>
      <c r="E12" s="269"/>
      <c r="F12" s="261"/>
      <c r="G12" s="266"/>
      <c r="H12" s="270"/>
      <c r="I12" s="257"/>
      <c r="J12" s="250"/>
      <c r="K12" s="250"/>
      <c r="L12" s="250"/>
      <c r="M12" s="323" t="s">
        <v>290</v>
      </c>
      <c r="N12" s="256" t="s">
        <v>291</v>
      </c>
      <c r="O12" s="250"/>
      <c r="P12" s="257"/>
      <c r="Q12" s="285">
        <f ca="1">(2.08/Q9)*E7</f>
        <v>25.738328231578823</v>
      </c>
      <c r="R12" s="263"/>
    </row>
    <row r="13" spans="1:30">
      <c r="A13" s="248"/>
      <c r="B13" s="512" t="s">
        <v>292</v>
      </c>
      <c r="C13" s="513"/>
      <c r="D13" s="513"/>
      <c r="E13" s="513"/>
      <c r="F13" s="513"/>
      <c r="G13" s="513"/>
      <c r="H13" s="514"/>
      <c r="I13" s="257"/>
      <c r="J13" s="250"/>
      <c r="K13" s="250"/>
      <c r="L13" s="250"/>
      <c r="R13" s="263"/>
      <c r="AC13" s="425" t="s">
        <v>216</v>
      </c>
      <c r="AD13" s="425"/>
    </row>
    <row r="14" spans="1:30">
      <c r="A14" s="248"/>
      <c r="B14" s="515"/>
      <c r="C14" s="516"/>
      <c r="D14" s="271" t="s">
        <v>67</v>
      </c>
      <c r="E14" s="271" t="s">
        <v>68</v>
      </c>
      <c r="F14" s="271" t="s">
        <v>99</v>
      </c>
      <c r="G14" s="271" t="s">
        <v>51</v>
      </c>
      <c r="H14" s="271"/>
      <c r="I14" s="257"/>
      <c r="R14" s="263"/>
      <c r="AC14" s="426" t="str">
        <f>IF(C11="Plano","Tabelado",IF(C11="Ondulado","Tabelado",IF(C11="Montanhoso","Tabelado","Ponderado")))</f>
        <v>Tabelado</v>
      </c>
      <c r="AD14" s="426"/>
    </row>
    <row r="15" spans="1:30">
      <c r="A15" s="248"/>
      <c r="B15" s="509" t="s">
        <v>69</v>
      </c>
      <c r="C15" s="510"/>
      <c r="D15" s="273">
        <f ca="1">E7*10^6</f>
        <v>17228540.401840884</v>
      </c>
      <c r="E15" s="273">
        <f ca="1">E7</f>
        <v>17.228540401840885</v>
      </c>
      <c r="F15" s="273" t="s">
        <v>25</v>
      </c>
      <c r="G15" s="273" t="s">
        <v>25</v>
      </c>
      <c r="H15" s="273" t="s">
        <v>25</v>
      </c>
      <c r="I15" s="257"/>
      <c r="R15" s="263"/>
      <c r="AC15" s="426"/>
      <c r="AD15" s="426"/>
    </row>
    <row r="16" spans="1:30" ht="15" customHeight="1">
      <c r="A16" s="248"/>
      <c r="B16" s="509" t="s">
        <v>376</v>
      </c>
      <c r="C16" s="510"/>
      <c r="D16" s="273">
        <f ca="1">($D$15*G16)</f>
        <v>14073994.654263817</v>
      </c>
      <c r="E16" s="273">
        <f ca="1">D16*(10^-6)</f>
        <v>14.073994654263815</v>
      </c>
      <c r="F16" s="318" cm="1">
        <f t="array" ref="F16">_xlfn.LET(
_xlpm.superficie,B16,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_xlpm.col,MATCH(_xlpm.terreno,C_CN_IP03!$D$2:$I$2,0)+1,
INDEX(C_CN_IP03!$D$4:$I$19,_xlpm.lin,_xlpm.col)
),
IF(
_xlpm.metodo="Ponderado",
IF(
_xlpm.terreno="Levemente ondulado",
AVERAGE(
INDEX(C_CN_IP03!$D$4:$I$19,_xlpm.lin,2),
INDEX(C_CN_IP03!$D$4:$I$19,_xlpm.lin,4)
),
IF(
_xlpm.terreno="Muito ondulado",
AVERAGE(
INDEX(C_CN_IP03!$D$4:$I$19,_xlpm.lin,4),
INDEX(C_CN_IP03!$D$4:$I$19,_xlpm.lin,6)
),
"Condição de terreno não reconhecida"
)
),
"Método não reconhecido"
)
)
)</f>
        <v>60</v>
      </c>
      <c r="G16" s="317">
        <v>0.81689999999999996</v>
      </c>
      <c r="H16" s="273">
        <f>(G16*(F16))</f>
        <v>49.013999999999996</v>
      </c>
      <c r="I16" s="257"/>
      <c r="R16" s="263"/>
    </row>
    <row r="17" spans="1:24" ht="15" customHeight="1">
      <c r="A17" s="248"/>
      <c r="B17" s="511" t="s">
        <v>70</v>
      </c>
      <c r="C17" s="511"/>
      <c r="D17" s="273">
        <f ca="1">($D$15*G17)</f>
        <v>1893416.5901623131</v>
      </c>
      <c r="E17" s="273">
        <f ca="1">D17*(10^-6)</f>
        <v>1.893416590162313</v>
      </c>
      <c r="F17" s="318" cm="1">
        <f t="array" ref="F17">_xlfn.LET(
_xlpm.superficie,B17,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_xlpm.col,MATCH(_xlpm.terreno,C_CN_IP03!$D$2:$I$2,0)+1,
INDEX(C_CN_IP03!$D$4:$I$19,_xlpm.lin,_xlpm.col)
),
IF(
_xlpm.metodo="Ponderado",
IF(
_xlpm.terreno="Levemente ondulado",
AVERAGE(
INDEX(C_CN_IP03!$D$4:$I$19,_xlpm.lin,2),
INDEX(C_CN_IP03!$D$4:$I$19,_xlpm.lin,4)
),
IF(
_xlpm.terreno="Muito ondulado",
AVERAGE(
INDEX(C_CN_IP03!$D$4:$I$19,_xlpm.lin,4),
INDEX(C_CN_IP03!$D$4:$I$19,_xlpm.lin,6)
),
"Condição de terreno não reconhecida"
)
),
"Método não reconhecido"
)
)
)</f>
        <v>50</v>
      </c>
      <c r="G17" s="317">
        <v>0.1099</v>
      </c>
      <c r="H17" s="273">
        <f>(G17*(F17))</f>
        <v>5.4950000000000001</v>
      </c>
      <c r="I17" s="257"/>
      <c r="R17" s="263"/>
    </row>
    <row r="18" spans="1:24" ht="15" customHeight="1">
      <c r="A18" s="248"/>
      <c r="B18" s="511" t="s">
        <v>214</v>
      </c>
      <c r="C18" s="511"/>
      <c r="D18" s="273">
        <f ca="1">($D$15*G18)</f>
        <v>1261129.1574147528</v>
      </c>
      <c r="E18" s="273">
        <f ca="1">D18*(10^-6)</f>
        <v>1.2611291574147527</v>
      </c>
      <c r="F18" s="318" cm="1">
        <f t="array" ref="F18">_xlfn.LET(
_xlpm.superficie,B18,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_xlpm.col,MATCH(_xlpm.terreno,C_CN_IP03!$D$2:$I$2,0)+1,
INDEX(C_CN_IP03!$D$4:$I$19,_xlpm.lin,_xlpm.col)
),
IF(
_xlpm.metodo="Ponderado",
IF(
_xlpm.terreno="Levemente ondulado",
AVERAGE(
INDEX(C_CN_IP03!$D$4:$I$19,_xlpm.lin,2),
INDEX(C_CN_IP03!$D$4:$I$19,_xlpm.lin,4)
),
IF(
_xlpm.terreno="Muito ondulado",
AVERAGE(
INDEX(C_CN_IP03!$D$4:$I$19,_xlpm.lin,4),
INDEX(C_CN_IP03!$D$4:$I$19,_xlpm.lin,6)
),
"Condição de terreno não reconhecida"
)
),
"Método não reconhecido"
)
)
)</f>
        <v>50</v>
      </c>
      <c r="G18" s="317">
        <v>7.3200000000000001E-2</v>
      </c>
      <c r="H18" s="273">
        <f>(G18*(F18))</f>
        <v>3.66</v>
      </c>
      <c r="I18" s="257"/>
      <c r="J18" s="250"/>
      <c r="R18" s="263"/>
      <c r="T18" t="s">
        <v>293</v>
      </c>
    </row>
    <row r="19" spans="1:24">
      <c r="A19" s="248"/>
      <c r="B19" s="507" t="s">
        <v>294</v>
      </c>
      <c r="C19" s="507"/>
      <c r="D19" s="507"/>
      <c r="E19" s="507"/>
      <c r="F19" s="507"/>
      <c r="G19" s="507"/>
      <c r="H19" s="274">
        <f>ROUNDUP(H16+H17+H18,0)</f>
        <v>59</v>
      </c>
      <c r="I19" s="319"/>
      <c r="J19" s="250"/>
      <c r="R19" s="263"/>
      <c r="X19" t="s">
        <v>295</v>
      </c>
    </row>
    <row r="20" spans="1:24">
      <c r="A20" s="248"/>
      <c r="B20" s="275"/>
      <c r="C20" s="187"/>
      <c r="D20" s="187"/>
      <c r="E20" s="187"/>
      <c r="F20" s="187"/>
      <c r="G20" s="187"/>
      <c r="H20" s="187"/>
      <c r="I20" s="257"/>
      <c r="J20" s="250"/>
      <c r="R20" s="263"/>
    </row>
    <row r="21" spans="1:24">
      <c r="A21" s="248"/>
      <c r="B21" s="517" t="s">
        <v>331</v>
      </c>
      <c r="C21" s="518"/>
      <c r="D21" s="518"/>
      <c r="E21" s="518"/>
      <c r="F21" s="518"/>
      <c r="G21" s="518"/>
      <c r="H21" s="518"/>
      <c r="I21" s="518"/>
      <c r="J21" s="519"/>
      <c r="K21" s="250"/>
      <c r="L21" s="250"/>
      <c r="R21" s="263"/>
    </row>
    <row r="22" spans="1:24" ht="15" customHeight="1">
      <c r="A22" s="248"/>
      <c r="B22" s="520" t="s">
        <v>339</v>
      </c>
      <c r="C22" s="521"/>
      <c r="D22" s="524" t="s">
        <v>332</v>
      </c>
      <c r="E22" s="525"/>
      <c r="F22" s="525"/>
      <c r="G22" s="525"/>
      <c r="H22" s="525"/>
      <c r="I22" s="525"/>
      <c r="J22" s="526"/>
      <c r="K22" s="250"/>
      <c r="L22" s="250"/>
      <c r="P22" s="276"/>
      <c r="Q22" s="277"/>
      <c r="R22" s="260"/>
    </row>
    <row r="23" spans="1:24">
      <c r="A23" s="248"/>
      <c r="B23" s="522"/>
      <c r="C23" s="523"/>
      <c r="D23" s="278" t="s">
        <v>333</v>
      </c>
      <c r="E23" s="279" t="s">
        <v>334</v>
      </c>
      <c r="F23" s="280" t="s">
        <v>62</v>
      </c>
      <c r="G23" s="280" t="s">
        <v>335</v>
      </c>
      <c r="H23" s="280" t="s">
        <v>63</v>
      </c>
      <c r="I23" s="279" t="s">
        <v>64</v>
      </c>
      <c r="J23" s="279" t="s">
        <v>65</v>
      </c>
      <c r="K23" s="250"/>
      <c r="L23" s="250"/>
      <c r="M23" s="281"/>
      <c r="N23" s="281"/>
      <c r="O23" s="281"/>
      <c r="P23" s="281"/>
      <c r="Q23" s="282"/>
      <c r="R23" s="283"/>
    </row>
    <row r="24" spans="1:24">
      <c r="A24" s="248"/>
      <c r="B24" s="293" t="s">
        <v>338</v>
      </c>
      <c r="C24" s="324">
        <v>6</v>
      </c>
      <c r="D24" s="293">
        <f>'[2]Ven Te Chow'!B10</f>
        <v>17.061490105709488</v>
      </c>
      <c r="E24" s="293">
        <f>'[2]Ven Te Chow'!C10</f>
        <v>20.588595058804103</v>
      </c>
      <c r="F24" s="293">
        <f>'[2]Ven Te Chow'!D10</f>
        <v>22.556845590664935</v>
      </c>
      <c r="G24" s="293">
        <f>'[2]Ven Te Chow'!E10</f>
        <v>23.97398597360473</v>
      </c>
      <c r="H24" s="293">
        <f>'[2]Ven Te Chow'!F10</f>
        <v>25.049962931021987</v>
      </c>
      <c r="I24" s="293">
        <f>'[2]Ven Te Chow'!G10</f>
        <v>28.356623824548187</v>
      </c>
      <c r="J24" s="293">
        <f>'[2]Ven Te Chow'!H10</f>
        <v>28.252044683691555</v>
      </c>
      <c r="K24" s="281"/>
      <c r="L24" s="281"/>
      <c r="M24" s="281"/>
      <c r="N24" s="281"/>
      <c r="O24" s="250"/>
      <c r="P24" s="257"/>
      <c r="Q24" s="277"/>
      <c r="R24" s="260"/>
    </row>
    <row r="25" spans="1:24">
      <c r="A25" s="248"/>
      <c r="B25" s="293" t="s">
        <v>337</v>
      </c>
      <c r="C25" s="324">
        <v>60</v>
      </c>
      <c r="D25" s="293">
        <f>'[2]Ven Te Chow'!B9</f>
        <v>63.980587896410583</v>
      </c>
      <c r="E25" s="293">
        <f>'[2]Ven Te Chow'!C9</f>
        <v>76.471924504129532</v>
      </c>
      <c r="F25" s="293">
        <f>'[2]Ven Te Chow'!D9</f>
        <v>83.379768522636454</v>
      </c>
      <c r="G25" s="293">
        <f>'[2]Ven Te Chow'!E9</f>
        <v>88.190019831474558</v>
      </c>
      <c r="H25" s="293">
        <f>'[2]Ven Te Chow'!F9</f>
        <v>91.924417541518196</v>
      </c>
      <c r="I25" s="293">
        <f>'[2]Ven Te Chow'!G9</f>
        <v>103.0459455052778</v>
      </c>
      <c r="J25" s="293">
        <f>'[2]Ven Te Chow'!H9</f>
        <v>113.85574007527696</v>
      </c>
      <c r="K25" s="281"/>
      <c r="L25" s="281"/>
      <c r="M25" s="281"/>
      <c r="N25" s="281"/>
      <c r="O25" s="250"/>
      <c r="P25" s="257"/>
      <c r="Q25" s="285"/>
      <c r="R25" s="260"/>
    </row>
    <row r="26" spans="1:24">
      <c r="A26" s="248"/>
      <c r="B26" s="293" t="s">
        <v>336</v>
      </c>
      <c r="C26" s="324">
        <v>1440</v>
      </c>
      <c r="D26" s="293">
        <f>'[2]Ven Te Chow'!B8</f>
        <v>152.33473308669187</v>
      </c>
      <c r="E26" s="293">
        <f>'[2]Ven Te Chow'!C8</f>
        <v>183.82674159646521</v>
      </c>
      <c r="F26" s="293">
        <f>'[2]Ven Te Chow'!D8</f>
        <v>201.40040705950835</v>
      </c>
      <c r="G26" s="293">
        <f>'[2]Ven Te Chow'!E8</f>
        <v>214.0534461928994</v>
      </c>
      <c r="H26" s="293">
        <f>'[2]Ven Te Chow'!F8</f>
        <v>223.66038331269633</v>
      </c>
      <c r="I26" s="293">
        <f>'[2]Ven Te Chow'!G8</f>
        <v>253.18414129060884</v>
      </c>
      <c r="J26" s="293">
        <f>'[2]Ven Te Chow'!H8</f>
        <v>282.52044683691554</v>
      </c>
      <c r="K26" s="281"/>
      <c r="L26" s="281"/>
      <c r="M26" s="281"/>
      <c r="N26" s="281"/>
      <c r="O26" s="250"/>
      <c r="P26" s="257"/>
      <c r="Q26" s="285"/>
      <c r="R26" s="260"/>
      <c r="W26" t="s">
        <v>282</v>
      </c>
    </row>
    <row r="27" spans="1:24" ht="15" customHeight="1">
      <c r="A27" s="248"/>
      <c r="K27" s="281"/>
      <c r="L27" s="286" t="s">
        <v>296</v>
      </c>
      <c r="M27" s="286" t="s">
        <v>297</v>
      </c>
      <c r="N27" s="286" t="s">
        <v>298</v>
      </c>
      <c r="O27" s="286" t="s">
        <v>299</v>
      </c>
      <c r="P27" s="286" t="s">
        <v>300</v>
      </c>
      <c r="Q27" s="286" t="s">
        <v>301</v>
      </c>
      <c r="R27" s="260"/>
    </row>
    <row r="28" spans="1:24" ht="22.5">
      <c r="A28" s="248"/>
      <c r="B28" s="287" t="s">
        <v>302</v>
      </c>
      <c r="C28" s="287" t="s">
        <v>303</v>
      </c>
      <c r="D28" s="288" t="s">
        <v>304</v>
      </c>
      <c r="E28" s="288" t="s">
        <v>305</v>
      </c>
      <c r="F28" s="288" t="s">
        <v>306</v>
      </c>
      <c r="G28" s="288" t="s">
        <v>307</v>
      </c>
      <c r="H28" s="288" t="s">
        <v>308</v>
      </c>
      <c r="I28" s="288" t="s">
        <v>309</v>
      </c>
      <c r="J28" s="288" t="s">
        <v>310</v>
      </c>
      <c r="K28" s="281"/>
      <c r="L28" s="286" t="s">
        <v>311</v>
      </c>
      <c r="M28" s="286" t="s">
        <v>311</v>
      </c>
      <c r="N28" s="286" t="s">
        <v>312</v>
      </c>
      <c r="O28" s="286" t="s">
        <v>312</v>
      </c>
      <c r="P28" s="286" t="s">
        <v>313</v>
      </c>
      <c r="Q28" s="286" t="s">
        <v>313</v>
      </c>
      <c r="R28" s="260"/>
      <c r="S28" s="289"/>
    </row>
    <row r="29" spans="1:24">
      <c r="A29" s="290"/>
      <c r="B29" s="291">
        <f ca="1">(Q7*60)/4</f>
        <v>30.562588804224482</v>
      </c>
      <c r="C29" s="291">
        <f t="shared" ref="C29:C34" ca="1" si="0">B29/60</f>
        <v>0.50937648007040803</v>
      </c>
      <c r="D29" s="291">
        <f t="shared" ref="D29:J34" ca="1" si="1">IF($C29&lt;=$C$25/60,((D$25-D$24)/LN(($C$25/60)/($C$24/60)))*LN($C29/($C$25/60))+D$25,((D$26-D$25)/LN(($C$26/60)/($C$25/60)))*LN($C29/($C$25/60))+D$25)</f>
        <v>50.2351168333375</v>
      </c>
      <c r="E29" s="291">
        <f t="shared" ca="1" si="1"/>
        <v>60.100282167240032</v>
      </c>
      <c r="F29" s="291">
        <f t="shared" ca="1" si="1"/>
        <v>65.561017385042462</v>
      </c>
      <c r="G29" s="291">
        <f t="shared" ca="1" si="1"/>
        <v>69.377219143870335</v>
      </c>
      <c r="H29" s="291">
        <f t="shared" ca="1" si="1"/>
        <v>72.332802954045235</v>
      </c>
      <c r="I29" s="291">
        <f t="shared" ca="1" si="1"/>
        <v>81.164878770731676</v>
      </c>
      <c r="J29" s="291">
        <f t="shared" ca="1" si="1"/>
        <v>88.777186281551565</v>
      </c>
      <c r="K29" s="282"/>
      <c r="L29" s="284">
        <f t="shared" ref="L29:L34" ca="1" si="2">N29/B29</f>
        <v>2.3667106022133542</v>
      </c>
      <c r="M29" s="284">
        <f ca="1">Q8</f>
        <v>0.50937648007040803</v>
      </c>
      <c r="N29" s="292">
        <f t="shared" ref="N29:N34" ca="1" si="3">(IF($P$5=15,(F29),IF($P$5=25,(H29),IF($P$5=50,(I29),IF($P$5=100,(J29))))))</f>
        <v>72.332802954045235</v>
      </c>
      <c r="O29" s="292">
        <f t="shared" ref="O29:O34" ca="1" si="4">N29*(1-0.1*LOG(E$7/25))</f>
        <v>73.502363061285422</v>
      </c>
      <c r="P29" s="292">
        <f t="shared" ref="P29:P34" ca="1" si="5">((O29-(5080/(ROUND($N$6,0)))+50.8)^2)/(O29+(20320/(ROUND($N$6,0)))-203.2)/10</f>
        <v>0.67965948179980351</v>
      </c>
      <c r="Q29" s="292">
        <f ca="1">P29</f>
        <v>0.67965948179980351</v>
      </c>
      <c r="R29" s="260"/>
      <c r="S29" s="272"/>
    </row>
    <row r="30" spans="1:24">
      <c r="A30" s="290"/>
      <c r="B30" s="293">
        <f ca="1">B29+$B$29</f>
        <v>61.125177608448965</v>
      </c>
      <c r="C30" s="291">
        <f t="shared" ca="1" si="0"/>
        <v>1.0187529601408161</v>
      </c>
      <c r="D30" s="291">
        <f t="shared" ca="1" si="1"/>
        <v>64.497117031018661</v>
      </c>
      <c r="E30" s="291">
        <f t="shared" ca="1" si="1"/>
        <v>77.099533889623459</v>
      </c>
      <c r="F30" s="291">
        <f t="shared" ca="1" si="1"/>
        <v>84.069731604255963</v>
      </c>
      <c r="G30" s="291">
        <f t="shared" ca="1" si="1"/>
        <v>88.925832809544389</v>
      </c>
      <c r="H30" s="291">
        <f t="shared" ca="1" si="1"/>
        <v>92.694562102930703</v>
      </c>
      <c r="I30" s="291">
        <f t="shared" ca="1" si="1"/>
        <v>103.92367175313636</v>
      </c>
      <c r="J30" s="291">
        <f ca="1">IF($C30&lt;=$C$25/60,((J$25-J$24)/LN(($C$25/60)/($C$24/60)))*LN($C30/($C$25/60))+J$25,((J$26-J$25)/LN(($C$26/60)/($C$25/60)))*LN($C30/($C$25/60))+J$25)</f>
        <v>114.84177457128041</v>
      </c>
      <c r="K30" s="282"/>
      <c r="L30" s="284">
        <f t="shared" ca="1" si="2"/>
        <v>1.5164710472778749</v>
      </c>
      <c r="M30" s="284">
        <f ca="1">Q$8+M29</f>
        <v>1.0187529601408161</v>
      </c>
      <c r="N30" s="292">
        <f t="shared" ca="1" si="3"/>
        <v>92.694562102930703</v>
      </c>
      <c r="O30" s="292">
        <f t="shared" ca="1" si="4"/>
        <v>94.193354594942406</v>
      </c>
      <c r="P30" s="292">
        <f t="shared" ca="1" si="5"/>
        <v>1.473332880964747</v>
      </c>
      <c r="Q30" s="292">
        <f ca="1">P30-P29</f>
        <v>0.7936733991649435</v>
      </c>
      <c r="R30" s="260"/>
      <c r="S30" s="272"/>
    </row>
    <row r="31" spans="1:24">
      <c r="A31" s="290"/>
      <c r="B31" s="293">
        <f ca="1">B30+$B$29</f>
        <v>91.687766412673454</v>
      </c>
      <c r="C31" s="291">
        <f t="shared" ca="1" si="0"/>
        <v>1.5281294402112242</v>
      </c>
      <c r="D31" s="291">
        <f t="shared" ca="1" si="1"/>
        <v>75.769589098447312</v>
      </c>
      <c r="E31" s="291">
        <f t="shared" ca="1" si="1"/>
        <v>90.796165489318668</v>
      </c>
      <c r="F31" s="291">
        <f t="shared" ca="1" si="1"/>
        <v>99.127138910068709</v>
      </c>
      <c r="G31" s="291">
        <f t="shared" ca="1" si="1"/>
        <v>104.98384519724262</v>
      </c>
      <c r="H31" s="291">
        <f t="shared" ca="1" si="1"/>
        <v>109.50180969989674</v>
      </c>
      <c r="I31" s="291">
        <f t="shared" ca="1" si="1"/>
        <v>123.07872797148842</v>
      </c>
      <c r="J31" s="291">
        <f ca="1">IF($C31&lt;=$C$25/60,((J$25-J$24)/LN(($C$25/60)/($C$24/60)))*LN($C31/($C$25/60))+J$25,((J$26-J$25)/LN(($C$26/60)/($C$25/60)))*LN($C31/($C$25/60))+J$25)</f>
        <v>136.36049552814106</v>
      </c>
      <c r="K31" s="282"/>
      <c r="L31" s="284">
        <f t="shared" ca="1" si="2"/>
        <v>1.1942902961235291</v>
      </c>
      <c r="M31" s="284">
        <f ca="1">Q$8+M30</f>
        <v>1.5281294402112242</v>
      </c>
      <c r="N31" s="292">
        <f t="shared" ca="1" si="3"/>
        <v>109.50180969989674</v>
      </c>
      <c r="O31" s="292">
        <f t="shared" ca="1" si="4"/>
        <v>111.27236113804535</v>
      </c>
      <c r="P31" s="292">
        <f t="shared" ca="1" si="5"/>
        <v>2.2859481017198426</v>
      </c>
      <c r="Q31" s="292">
        <f ca="1">P31-P30</f>
        <v>0.81261522075509562</v>
      </c>
      <c r="R31" s="260"/>
      <c r="S31" s="272"/>
    </row>
    <row r="32" spans="1:24">
      <c r="A32" s="290"/>
      <c r="B32" s="293">
        <f ca="1">B31+$B$29</f>
        <v>122.25035521689793</v>
      </c>
      <c r="C32" s="291">
        <f t="shared" ca="1" si="0"/>
        <v>2.0375059202816321</v>
      </c>
      <c r="D32" s="291">
        <f t="shared" ca="1" si="1"/>
        <v>83.76753531173182</v>
      </c>
      <c r="E32" s="291">
        <f t="shared" ca="1" si="1"/>
        <v>100.51408026278357</v>
      </c>
      <c r="F32" s="291">
        <f t="shared" ca="1" si="1"/>
        <v>109.81053941202074</v>
      </c>
      <c r="G32" s="291">
        <f t="shared" ca="1" si="1"/>
        <v>116.37718630297604</v>
      </c>
      <c r="H32" s="291">
        <f t="shared" ca="1" si="1"/>
        <v>121.42674164648373</v>
      </c>
      <c r="I32" s="291">
        <f t="shared" ca="1" si="1"/>
        <v>136.66945664488111</v>
      </c>
      <c r="J32" s="291">
        <f ca="1">IF($C32&lt;=$C$25/60,((J$25-J$24)/LN(($C$25/60)/($C$24/60)))*LN($C32/($C$25/60))+J$25,((J$26-J$25)/LN(($C$26/60)/($C$25/60)))*LN($C32/($C$25/60))+J$25)</f>
        <v>151.62827102247488</v>
      </c>
      <c r="K32" s="282"/>
      <c r="L32" s="284">
        <f t="shared" ca="1" si="2"/>
        <v>0.99326289425537506</v>
      </c>
      <c r="M32" s="284">
        <f ca="1">Q$8+M31</f>
        <v>2.0375059202816321</v>
      </c>
      <c r="N32" s="292">
        <f t="shared" ca="1" si="3"/>
        <v>121.42674164648373</v>
      </c>
      <c r="O32" s="292">
        <f t="shared" ca="1" si="4"/>
        <v>123.39010912544225</v>
      </c>
      <c r="P32" s="292">
        <f t="shared" ca="1" si="5"/>
        <v>2.9326001351164597</v>
      </c>
      <c r="Q32" s="292">
        <f ca="1">P32-P31</f>
        <v>0.64665203339661703</v>
      </c>
      <c r="R32" s="260"/>
      <c r="S32" s="272"/>
    </row>
    <row r="33" spans="1:23">
      <c r="A33" s="290"/>
      <c r="B33" s="293">
        <f ca="1">B32+$B$29</f>
        <v>152.81294402112241</v>
      </c>
      <c r="C33" s="291">
        <f t="shared" ca="1" si="0"/>
        <v>2.5468824003520401</v>
      </c>
      <c r="D33" s="291">
        <f t="shared" ca="1" si="1"/>
        <v>89.971224356524402</v>
      </c>
      <c r="E33" s="291">
        <f t="shared" ca="1" si="1"/>
        <v>108.05188056934679</v>
      </c>
      <c r="F33" s="291">
        <f t="shared" ca="1" si="1"/>
        <v>118.09722863043621</v>
      </c>
      <c r="G33" s="291">
        <f t="shared" ca="1" si="1"/>
        <v>125.21454823519602</v>
      </c>
      <c r="H33" s="291">
        <f t="shared" ca="1" si="1"/>
        <v>130.67643746890138</v>
      </c>
      <c r="I33" s="291">
        <f t="shared" ca="1" si="1"/>
        <v>147.21124479067186</v>
      </c>
      <c r="J33" s="291">
        <f ca="1">IF($C33&lt;=$C$25/60,((J$25-J$24)/LN(($C$25/60)/($C$24/60)))*LN($C33/($C$25/60))+J$25,((J$26-J$25)/LN(($C$26/60)/($C$25/60)))*LN($C33/($C$25/60))+J$25)</f>
        <v>163.47087774258864</v>
      </c>
      <c r="K33" s="282"/>
      <c r="L33" s="284">
        <f t="shared" ca="1" si="2"/>
        <v>0.85513984633944862</v>
      </c>
      <c r="M33" s="284">
        <f ca="1">Q$8+M32</f>
        <v>2.5468824003520401</v>
      </c>
      <c r="N33" s="292">
        <f t="shared" ca="1" si="3"/>
        <v>130.67643746890138</v>
      </c>
      <c r="O33" s="292">
        <f t="shared" ca="1" si="4"/>
        <v>132.78936468834002</v>
      </c>
      <c r="P33" s="292">
        <f t="shared" ca="1" si="5"/>
        <v>3.4686056551468858</v>
      </c>
      <c r="Q33" s="292">
        <f ca="1">P33-P32</f>
        <v>0.53600552003042612</v>
      </c>
      <c r="R33" s="260"/>
      <c r="S33" s="272"/>
    </row>
    <row r="34" spans="1:23">
      <c r="A34" s="290"/>
      <c r="B34" s="293">
        <f ca="1">B33+$B$29</f>
        <v>183.37553282534688</v>
      </c>
      <c r="C34" s="291">
        <f t="shared" ca="1" si="0"/>
        <v>3.056258880422448</v>
      </c>
      <c r="D34" s="291">
        <f ca="1">IF($C34&lt;=$C$25/60,((D$25-D$24)/LN(($C$25/60)/($C$24/60)))*LN($C34/($C$25/60))+D$25,((D$26-D$25)/LN(($C$26/60)/($C$25/60)))*LN($C34/($C$25/60))+D$25)</f>
        <v>95.040007379160471</v>
      </c>
      <c r="E34" s="291">
        <f t="shared" ca="1" si="1"/>
        <v>114.21071186247879</v>
      </c>
      <c r="F34" s="291">
        <f t="shared" ca="1" si="1"/>
        <v>124.86794671783349</v>
      </c>
      <c r="G34" s="291">
        <f t="shared" ca="1" si="1"/>
        <v>132.43519869067427</v>
      </c>
      <c r="H34" s="291">
        <f t="shared" ca="1" si="1"/>
        <v>138.23398924344974</v>
      </c>
      <c r="I34" s="291">
        <f t="shared" ca="1" si="1"/>
        <v>155.82451286323317</v>
      </c>
      <c r="J34" s="291">
        <f ca="1">IF($C34&lt;=$C$25/60,((J$25-J$24)/LN(($C$25/60)/($C$24/60)))*LN($C34/($C$25/60))+J$25,((J$26-J$25)/LN(($C$26/60)/($C$25/60)))*LN($C34/($C$25/60))+J$25)</f>
        <v>173.14699197933555</v>
      </c>
      <c r="K34" s="282"/>
      <c r="L34" s="284">
        <f t="shared" ca="1" si="2"/>
        <v>0.75383006180605627</v>
      </c>
      <c r="M34" s="284">
        <f ca="1">Q$8+M33</f>
        <v>3.056258880422448</v>
      </c>
      <c r="N34" s="292">
        <f t="shared" ca="1" si="3"/>
        <v>138.23398924344974</v>
      </c>
      <c r="O34" s="292">
        <f t="shared" ca="1" si="4"/>
        <v>140.46911566854516</v>
      </c>
      <c r="P34" s="292">
        <f t="shared" ca="1" si="5"/>
        <v>3.9265647402875046</v>
      </c>
      <c r="Q34" s="292">
        <f ca="1">P34-P33</f>
        <v>0.45795908514061878</v>
      </c>
      <c r="R34" s="260"/>
      <c r="S34" s="272"/>
    </row>
    <row r="35" spans="1:23">
      <c r="A35" s="290"/>
      <c r="B35" s="294" t="s">
        <v>314</v>
      </c>
      <c r="C35" s="295"/>
      <c r="D35" s="295"/>
      <c r="E35" s="295"/>
      <c r="F35" s="295"/>
      <c r="G35" s="295"/>
      <c r="H35" s="295"/>
      <c r="I35" s="295"/>
      <c r="K35" s="282"/>
      <c r="L35" s="294" t="s">
        <v>315</v>
      </c>
      <c r="M35" s="296"/>
      <c r="N35" s="297"/>
      <c r="O35" s="297"/>
      <c r="P35" s="297"/>
      <c r="Q35" s="297"/>
      <c r="R35" s="260"/>
      <c r="S35" s="272"/>
    </row>
    <row r="36" spans="1:23">
      <c r="A36" s="290"/>
      <c r="B36" s="281"/>
      <c r="C36" s="281"/>
      <c r="D36" s="281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50"/>
      <c r="P36" s="257"/>
      <c r="Q36" s="285"/>
      <c r="R36" s="260"/>
      <c r="U36" s="112" t="s">
        <v>141</v>
      </c>
    </row>
    <row r="37" spans="1:23">
      <c r="A37" s="290"/>
      <c r="B37" s="527" t="s">
        <v>9</v>
      </c>
      <c r="C37" s="529" t="s">
        <v>10</v>
      </c>
      <c r="D37" s="529"/>
      <c r="E37" s="529" t="s">
        <v>11</v>
      </c>
      <c r="F37" s="529"/>
      <c r="G37" s="281"/>
      <c r="Q37" s="281"/>
      <c r="R37" s="260"/>
      <c r="U37" s="112" t="str" cm="1">
        <f t="array" ref="U37">IFERROR(_xlfn.LET(
_xlpm.Q,E38,
_xlpm.Tipos,[4]Base_Bueiros!$C$2:$C$10,
_xlpm.Dims,[4]Base_Bueiros!$D$2:$D$10,
_xlpm.Vazoes,[4]Base_Bueiros!$F$2:$F$10,
_xlpm.Diam,VALUE(_xlpm.Dims),
_xlpm.MenorDiam,_xlfn.AGGREGATE(15,6,_xlpm.Diam/(_xlpm.Vazoes&gt;=_xlpm.Q),1),
_xlpm.MenorVazao,_xlfn.AGGREGATE(15,6,_xlpm.Vazoes/((_xlpm.Vazoes&gt;=_xlpm.Q)*(_xlpm.Diam=_xlpm.MenorDiam)),1),
_xlpm.Linha,MATCH(_xlpm.MenorVazao,_xlpm.Vazoes,0),
INDEX(_xlpm.Tipos,_xlpm.Linha)&amp;" d="&amp;INDEX(_xlpm.Dims,_xlpm.Linha)&amp;"m"
),"Não atende em canal 15 anos. Dimensionar para 25 anos")</f>
        <v>Não atende em canal 15 anos. Dimensionar para 25 anos</v>
      </c>
      <c r="W37" s="45">
        <f>IF(U37="Não atende em canal 15 anos. Dimensionar para 25 anos",25,15)</f>
        <v>25</v>
      </c>
    </row>
    <row r="38" spans="1:23">
      <c r="A38" s="290"/>
      <c r="B38" s="527"/>
      <c r="C38" s="530" t="s">
        <v>12</v>
      </c>
      <c r="D38" s="531"/>
      <c r="E38" s="298">
        <v>44.990923236834263</v>
      </c>
      <c r="F38" s="299" t="s">
        <v>13</v>
      </c>
      <c r="G38" s="281"/>
      <c r="Q38" s="281"/>
      <c r="R38" s="260"/>
      <c r="U38" s="112" t="str" cm="1">
        <f t="array" aca="1" ref="U38" ca="1">IFERROR(_xlfn.LET(
_xlpm.Q,E39,
_xlpm.Tipos,[4]Base_Bueiros!$C$20:$C$28,
_xlpm.Dims,[4]Base_Bueiros!$D$20:$D$28,
_xlpm.Vazoes,[4]Base_Bueiros!$F$20:$F$28,
_xlpm.Diam,VALUE(_xlpm.Dims),
_xlpm.MenorDiam,_xlfn.AGGREGATE(15,6,_xlpm.Diam/(_xlpm.Vazoes&gt;=_xlpm.Q),1),
_xlpm.MenorVazao,_xlfn.AGGREGATE(15,6,_xlpm.Vazoes/((_xlpm.Vazoes&gt;=_xlpm.Q)*(_xlpm.Diam=_xlpm.MenorDiam)),1),
_xlpm.Linha,MATCH(_xlpm.MenorVazao,_xlpm.Vazoes,0),
_xlpm.Tipo,TRIM(IFERROR(LEFT(INDEX(_xlpm.Tipos,_xlpm.Linha),FIND(" OU ",INDEX(_xlpm.Tipos,_xlpm.Linha))-1),INDEX(_xlpm.Tipos,_xlpm.Linha))),
_xlpm.Tipo&amp;" d="&amp;INDEX(_xlpm.Dims,_xlpm.Linha)&amp;"m"
),"Não atende em orifício 25 anos. Dimensionar para 50 anos")</f>
        <v>Não atende em orifício 25 anos. Dimensionar para 50 anos</v>
      </c>
      <c r="W38" s="45">
        <f ca="1">IF(U38="Não atende em orifício 25 anos. Dimensionar para 50 anos",50,25)</f>
        <v>50</v>
      </c>
    </row>
    <row r="39" spans="1:23">
      <c r="A39" s="290"/>
      <c r="B39" s="527"/>
      <c r="C39" s="532" t="s">
        <v>14</v>
      </c>
      <c r="D39" s="533"/>
      <c r="E39" s="298">
        <f t="shared" ref="E39" ca="1" si="6">MAX(O55:O157)</f>
        <v>56.797830531936128</v>
      </c>
      <c r="F39" s="300" t="s">
        <v>13</v>
      </c>
      <c r="G39" s="281"/>
      <c r="I39" s="187"/>
      <c r="M39" s="281"/>
      <c r="N39" s="281"/>
      <c r="O39" s="281"/>
      <c r="P39" s="281"/>
      <c r="Q39" s="281"/>
      <c r="R39" s="260"/>
    </row>
    <row r="40" spans="1:23">
      <c r="A40" s="248"/>
      <c r="B40" s="527"/>
      <c r="C40" s="532" t="s">
        <v>75</v>
      </c>
      <c r="D40" s="533"/>
      <c r="E40" s="298">
        <v>73.480912212061355</v>
      </c>
      <c r="F40" s="300" t="s">
        <v>13</v>
      </c>
      <c r="G40" s="281"/>
      <c r="I40" s="534" t="s">
        <v>316</v>
      </c>
      <c r="J40" s="534"/>
      <c r="K40" s="534"/>
      <c r="L40" s="534"/>
      <c r="M40" s="534"/>
      <c r="N40" s="534"/>
      <c r="O40" s="534"/>
      <c r="P40" s="534"/>
      <c r="Q40" s="281"/>
      <c r="R40" s="260"/>
    </row>
    <row r="41" spans="1:23">
      <c r="A41" s="248"/>
      <c r="B41" s="528"/>
      <c r="C41" s="530" t="s">
        <v>15</v>
      </c>
      <c r="D41" s="531"/>
      <c r="E41" s="298">
        <v>91.21534250026329</v>
      </c>
      <c r="F41" s="299" t="s">
        <v>13</v>
      </c>
      <c r="G41" s="281"/>
      <c r="H41" s="301"/>
      <c r="I41" s="535" t="str" cm="1">
        <f t="array" aca="1" ref="I41" ca="1">IFERROR(_xlfn.LET(
_xlpm.Func,"Canal",
_xlpm.Funcs,Base_Bueiros!$A$2:$A$37,
_xlpm.Tipos,Base_Bueiros!$C$2:$C$37,
_xlpm.Dims,Base_Bueiros!$D$2:$D$37,
_xlpm.Vazoes,Base_Bueiros!$F$2:$F$37,
_xlpm.DimNum,IFERROR(VALUE(TRIM(LEFT(_xlpm.Dims,FIND("x",_xlpm.Dims)-1))),VALUE(_xlpm.Dims)),
_xlpm.Linhas,IF(MID(_xlpm.Tipos,2,1)="T",3,IF(MID(_xlpm.Tipos,2,1)="D",2,1)),
_xlpm.EhTubular,MID(_xlpm.Tipos,3,1)="T",
_xlpm.QNec,IF(ISNUMBER(FIND("Orif",_xlpm.Func)),IF(_xlpm.EhTubular,E39,E40),IF(_xlpm.EhTubular,E38,E39)),
_xlpm.FiltroBase,(ISNUMBER(FIND(_xlpm.Func,_xlpm.Funcs)))*(_xlpm.Vazoes&gt;=_xlpm.QNec),
_xlpm.TemTubular,SUM(_xlpm.FiltroBase*_xlpm.EhTubular)&gt;0,
_xlpm.Filtro,_xlpm.FiltroBase*IF(_xlpm.TemTubular,_xlpm.EhTubular,NOT(_xlpm.EhTubular)),
_xlpm.Prior1,IF(_xlpm.EhTubular,_xlpm.DimNum,_xlpm.Linhas),
_xlpm.Prior2,IF(_xlpm.EhTubular,_xlpm.Linhas,_xlpm.DimNum),
_xlpm.MenorPrior1,_xlfn.AGGREGATE(15,6,_xlpm.Prior1/_xlpm.Filtro,1),
_xlpm.MenorPrior2,_xlfn.AGGREGATE(15,6,_xlpm.Prior2/(_xlpm.Filtro*(_xlpm.Prior1=_xlpm.MenorPrior1)),1),
_xlpm.MenorVazao,_xlfn.AGGREGATE(15,6,_xlpm.Vazoes/(_xlpm.Filtro*(_xlpm.Prior1=_xlpm.MenorPrior1)*(_xlpm.Prior2=_xlpm.MenorPrior2)),1),
_xlpm.Linha,MATCH(1,(_xlpm.Vazoes=_xlpm.MenorVazao)*(_xlpm.Filtro&gt;0),0),
_xlpm.Tipo,INDEX(_xlpm.Tipos,_xlpm.Linha),
_xlpm.Dim,INDEX(_xlpm.Dims,_xlpm.Linha),
_xlpm.EhTubularEscolhido,MID(_xlpm.Tipo,3,1)="T",
_xlpm.Tipo&amp;" "&amp;IF(_xlpm.EhTubularEscolhido,_xlpm.Dim&amp;"m",SUBSTITUTE(_xlpm.Dim,"0,00","")&amp;"m")
),"Ponte")</f>
        <v>BTCC 3,00 x 3,00m</v>
      </c>
      <c r="J41" s="535"/>
      <c r="K41" s="535"/>
      <c r="L41" s="535"/>
      <c r="M41" s="535"/>
      <c r="N41" s="535"/>
      <c r="O41" s="535"/>
      <c r="P41" s="535"/>
      <c r="Q41" s="281"/>
      <c r="R41" s="260"/>
    </row>
    <row r="42" spans="1:23">
      <c r="A42" s="248"/>
      <c r="B42" s="302"/>
      <c r="C42" s="303"/>
      <c r="D42" s="303"/>
      <c r="E42" s="304"/>
      <c r="F42" s="249"/>
      <c r="G42" s="281"/>
      <c r="H42" s="301"/>
      <c r="I42" s="187" t="s">
        <v>317</v>
      </c>
      <c r="M42" s="281"/>
      <c r="N42" s="281"/>
      <c r="O42" s="281"/>
      <c r="P42" s="281"/>
      <c r="Q42" s="281"/>
      <c r="R42" s="260"/>
    </row>
    <row r="43" spans="1:23">
      <c r="A43" s="248"/>
      <c r="B43" s="302"/>
      <c r="C43" s="303"/>
      <c r="D43" s="303"/>
      <c r="E43" s="304"/>
      <c r="F43" s="249"/>
      <c r="G43" s="281"/>
      <c r="H43" s="301"/>
      <c r="I43" s="187"/>
      <c r="M43" s="281"/>
      <c r="N43" s="281"/>
      <c r="O43" s="281"/>
      <c r="P43" s="281"/>
      <c r="Q43" s="281"/>
      <c r="R43" s="260"/>
    </row>
    <row r="44" spans="1:23">
      <c r="A44" s="248"/>
      <c r="B44" s="302"/>
      <c r="C44" s="303"/>
      <c r="D44" s="303"/>
      <c r="E44" s="304"/>
      <c r="F44" s="249"/>
      <c r="G44" s="281"/>
      <c r="H44" s="301"/>
      <c r="I44" s="534" t="s">
        <v>316</v>
      </c>
      <c r="J44" s="534"/>
      <c r="K44" s="534"/>
      <c r="L44" s="534"/>
      <c r="M44" s="534"/>
      <c r="N44" s="534"/>
      <c r="O44" s="534"/>
      <c r="P44" s="534"/>
      <c r="Q44" s="281"/>
      <c r="R44" s="260"/>
    </row>
    <row r="45" spans="1:23">
      <c r="A45" s="248"/>
      <c r="B45" s="302"/>
      <c r="C45" s="303"/>
      <c r="D45" s="303"/>
      <c r="E45" s="304"/>
      <c r="F45" s="249"/>
      <c r="G45" s="281"/>
      <c r="H45" s="301"/>
      <c r="I45" s="535" t="str" cm="1">
        <f t="array" aca="1" ref="I45" ca="1">IFERROR(_xlfn.LET(
_xlpm.Func,"Orif",
_xlpm.Funcs,Base_Bueiros!$A$2:$A$37,
_xlpm.Tipos,Base_Bueiros!$C$2:$C$37,
_xlpm.Dims,Base_Bueiros!$D$2:$D$37,
_xlpm.Vazoes,Base_Bueiros!$F$2:$F$37,
_xlpm.DimNum,IFERROR(VALUE(TRIM(LEFT(_xlpm.Dims,FIND("x",_xlpm.Dims)-1))),VALUE(_xlpm.Dims)),
_xlpm.Linhas,IF(MID(_xlpm.Tipos,2,1)="T",3,IF(MID(_xlpm.Tipos,2,1)="D",2,1)),
_xlpm.EhTubular,MID(_xlpm.Tipos,3,1)="T",
_xlpm.QNec,IF(ISNUMBER(FIND("Orif",_xlpm.Func)),IF(_xlpm.EhTubular,E39,E40),IF(_xlpm.EhTubular,E38,E39)),
_xlpm.FiltroBase,(ISNUMBER(FIND(_xlpm.Func,_xlpm.Funcs)))*(_xlpm.Vazoes&gt;=_xlpm.QNec),
_xlpm.TemTubular,SUM(_xlpm.FiltroBase*_xlpm.EhTubular)&gt;0,
_xlpm.Filtro,_xlpm.FiltroBase*IF(_xlpm.TemTubular,_xlpm.EhTubular,NOT(_xlpm.EhTubular)),
_xlpm.Prior1,IF(_xlpm.EhTubular,_xlpm.DimNum,_xlpm.Linhas),
_xlpm.Prior2,IF(_xlpm.EhTubular,_xlpm.Linhas,_xlpm.DimNum),
_xlpm.MenorPrior1,_xlfn.AGGREGATE(15,6,_xlpm.Prior1/_xlpm.Filtro,1),
_xlpm.MenorPrior2,_xlfn.AGGREGATE(15,6,_xlpm.Prior2/(_xlpm.Filtro*(_xlpm.Prior1=_xlpm.MenorPrior1)),1),
_xlpm.MenorVazao,_xlfn.AGGREGATE(15,6,_xlpm.Vazoes/(_xlpm.Filtro*(_xlpm.Prior1=_xlpm.MenorPrior1)*(_xlpm.Prior2=_xlpm.MenorPrior2)),1),
_xlpm.Linha,MATCH(1,(_xlpm.Vazoes=_xlpm.MenorVazao)*(_xlpm.Filtro&gt;0),0),
_xlpm.Tipo,INDEX(_xlpm.Tipos,_xlpm.Linha),
_xlpm.Dim,INDEX(_xlpm.Dims,_xlpm.Linha),
_xlpm.EhTubularEscolhido,MID(_xlpm.Tipo,3,1)="T",
_xlpm.Tipo&amp;" "&amp;IF(_xlpm.EhTubularEscolhido,_xlpm.Dim&amp;"m",SUBSTITUTE(_xlpm.Dim,"0,00","")&amp;"m")
),"Ponte")</f>
        <v>BDCC 3,00 x 3,00m</v>
      </c>
      <c r="J45" s="535"/>
      <c r="K45" s="535"/>
      <c r="L45" s="535"/>
      <c r="M45" s="535"/>
      <c r="N45" s="535"/>
      <c r="O45" s="535"/>
      <c r="P45" s="535"/>
      <c r="Q45" s="281"/>
      <c r="R45" s="260"/>
    </row>
    <row r="46" spans="1:23">
      <c r="A46" s="248"/>
      <c r="B46" s="302"/>
      <c r="C46" s="303"/>
      <c r="D46" s="303"/>
      <c r="E46" s="304"/>
      <c r="F46" s="249"/>
      <c r="G46" s="281"/>
      <c r="H46" s="301"/>
      <c r="I46" s="187" t="s">
        <v>86</v>
      </c>
      <c r="M46" s="281"/>
      <c r="N46" s="281"/>
      <c r="O46" s="281"/>
      <c r="P46" s="281"/>
      <c r="Q46" s="281"/>
      <c r="R46" s="260"/>
    </row>
    <row r="47" spans="1:23">
      <c r="A47" s="248"/>
      <c r="B47" s="302"/>
      <c r="C47" s="303"/>
      <c r="D47" s="303"/>
      <c r="E47" s="304"/>
      <c r="F47" s="249"/>
      <c r="G47" s="281"/>
      <c r="H47" s="301"/>
      <c r="I47" s="187"/>
      <c r="M47" s="281"/>
      <c r="N47" s="281"/>
      <c r="O47" s="281"/>
      <c r="P47" s="281"/>
      <c r="Q47" s="281"/>
      <c r="R47" s="260"/>
    </row>
    <row r="48" spans="1:23" ht="19.5" customHeight="1">
      <c r="A48" s="248"/>
      <c r="B48" s="302"/>
      <c r="C48" s="303"/>
      <c r="D48" s="303"/>
      <c r="E48" s="304"/>
      <c r="F48" s="249"/>
      <c r="G48" s="281"/>
      <c r="H48" s="301"/>
      <c r="I48" s="539" t="s">
        <v>408</v>
      </c>
      <c r="J48" s="442"/>
      <c r="K48" s="442"/>
      <c r="L48" s="442"/>
      <c r="M48" s="442"/>
      <c r="N48" s="442"/>
      <c r="O48" s="442"/>
      <c r="P48" s="442"/>
      <c r="Q48" s="281"/>
      <c r="R48" s="260"/>
    </row>
    <row r="49" spans="1:26">
      <c r="A49" s="248"/>
      <c r="B49" s="302"/>
      <c r="C49" s="303"/>
      <c r="D49" s="303"/>
      <c r="E49" s="304"/>
      <c r="F49" s="249"/>
      <c r="G49" s="281"/>
      <c r="H49" s="301"/>
      <c r="I49" s="452" t="str">
        <f>'Apresentação  - Est. Hid.'!AK24</f>
        <v>Ponte existente 12,00x3,80m</v>
      </c>
      <c r="J49" s="453"/>
      <c r="K49" s="453"/>
      <c r="L49" s="453"/>
      <c r="M49" s="453"/>
      <c r="N49" s="453"/>
      <c r="O49" s="453"/>
      <c r="P49" s="453"/>
      <c r="Q49" s="281"/>
      <c r="R49" s="260"/>
    </row>
    <row r="50" spans="1:26">
      <c r="A50" s="305"/>
      <c r="B50" s="306"/>
      <c r="C50" s="306"/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6"/>
      <c r="P50" s="306"/>
      <c r="Q50" s="306"/>
      <c r="R50" s="307"/>
    </row>
    <row r="51" spans="1:26" ht="15" customHeight="1">
      <c r="R51" s="308"/>
      <c r="S51" s="308"/>
      <c r="U51" s="309"/>
      <c r="V51" s="277"/>
      <c r="X51" s="36"/>
      <c r="Z51" s="36"/>
    </row>
    <row r="52" spans="1:26" ht="15" customHeight="1">
      <c r="D52" s="536" t="s">
        <v>318</v>
      </c>
      <c r="E52" s="536" t="s">
        <v>319</v>
      </c>
      <c r="F52" s="536" t="s">
        <v>320</v>
      </c>
      <c r="G52" s="537" t="s">
        <v>321</v>
      </c>
      <c r="H52" s="538" t="s">
        <v>322</v>
      </c>
      <c r="I52" s="538"/>
      <c r="J52" s="538"/>
      <c r="K52" s="538"/>
      <c r="L52" s="538"/>
      <c r="M52" s="538"/>
      <c r="N52" s="538"/>
      <c r="O52" s="538" t="s">
        <v>323</v>
      </c>
      <c r="R52" s="308"/>
      <c r="S52" s="308"/>
      <c r="U52" s="309"/>
      <c r="V52" s="277"/>
      <c r="X52" s="36"/>
      <c r="Z52" s="36"/>
    </row>
    <row r="53" spans="1:26" ht="15" customHeight="1">
      <c r="D53" s="536"/>
      <c r="E53" s="536"/>
      <c r="F53" s="536"/>
      <c r="G53" s="537"/>
      <c r="H53" s="292">
        <f ca="1">Q29</f>
        <v>0.67965948179980351</v>
      </c>
      <c r="I53" s="292">
        <f ca="1">Q30</f>
        <v>0.7936733991649435</v>
      </c>
      <c r="J53" s="292">
        <f ca="1">Q31</f>
        <v>0.81261522075509562</v>
      </c>
      <c r="K53" s="292">
        <f ca="1">Q32</f>
        <v>0.64665203339661703</v>
      </c>
      <c r="L53" s="292"/>
      <c r="M53" s="292"/>
      <c r="N53" s="292"/>
      <c r="O53" s="538"/>
      <c r="R53" s="308"/>
      <c r="S53" s="308"/>
      <c r="U53" s="309"/>
      <c r="V53" s="277"/>
      <c r="X53" s="36"/>
      <c r="Z53" s="36"/>
    </row>
    <row r="54" spans="1:26">
      <c r="D54" s="310">
        <v>0</v>
      </c>
      <c r="E54" s="284">
        <f t="shared" ref="E54:E117" ca="1" si="7">IF(F54&lt;=$Q$9,F54/$Q$9,IF(F54&lt;=$Q$10,($Q$10-F54)/$Q$11,0))</f>
        <v>0</v>
      </c>
      <c r="F54" s="284">
        <f t="shared" ref="F54:F117" ca="1" si="8">D54*$Q$8</f>
        <v>0</v>
      </c>
      <c r="G54" s="284">
        <f t="shared" ref="G54:G117" ca="1" si="9">E54*$Q$12</f>
        <v>0</v>
      </c>
      <c r="H54" s="284">
        <f ca="1">$G54*H$53</f>
        <v>0</v>
      </c>
      <c r="I54" s="284"/>
      <c r="J54" s="284"/>
      <c r="K54" s="284"/>
      <c r="L54" s="284"/>
      <c r="M54" s="284"/>
      <c r="N54" s="284"/>
      <c r="O54" s="284">
        <f ca="1">SUM(H54:N54)</f>
        <v>0</v>
      </c>
      <c r="Q54" s="296"/>
      <c r="R54" s="296"/>
      <c r="S54" s="308"/>
      <c r="U54" s="309"/>
      <c r="V54" s="277"/>
      <c r="X54" s="36"/>
      <c r="Z54" s="36"/>
    </row>
    <row r="55" spans="1:26">
      <c r="D55" s="310">
        <v>0.2</v>
      </c>
      <c r="E55" s="284">
        <f t="shared" ca="1" si="7"/>
        <v>7.3170731707317083E-2</v>
      </c>
      <c r="F55" s="284">
        <f t="shared" ca="1" si="8"/>
        <v>0.10187529601408161</v>
      </c>
      <c r="G55" s="284">
        <f t="shared" ca="1" si="9"/>
        <v>1.883292309627719</v>
      </c>
      <c r="H55" s="284">
        <f t="shared" ref="H55:H118" ca="1" si="10">$G55*H$53</f>
        <v>1.2799974752391305</v>
      </c>
      <c r="I55" s="284"/>
      <c r="J55" s="284"/>
      <c r="K55" s="284"/>
      <c r="L55" s="284"/>
      <c r="M55" s="284"/>
      <c r="N55" s="284"/>
      <c r="O55" s="284">
        <f t="shared" ref="O55:O118" ca="1" si="11">SUM(H55:N55)</f>
        <v>1.2799974752391305</v>
      </c>
      <c r="Q55" s="296"/>
      <c r="R55" s="296"/>
      <c r="S55" s="308"/>
      <c r="U55" s="309"/>
      <c r="V55" s="277"/>
      <c r="X55" s="36"/>
    </row>
    <row r="56" spans="1:26">
      <c r="D56" s="310">
        <v>0.4</v>
      </c>
      <c r="E56" s="284">
        <f t="shared" ca="1" si="7"/>
        <v>0.14634146341463417</v>
      </c>
      <c r="F56" s="284">
        <f t="shared" ca="1" si="8"/>
        <v>0.20375059202816323</v>
      </c>
      <c r="G56" s="284">
        <f t="shared" ca="1" si="9"/>
        <v>3.766584619255438</v>
      </c>
      <c r="H56" s="284">
        <f t="shared" ca="1" si="10"/>
        <v>2.5599949504782611</v>
      </c>
      <c r="I56" s="284"/>
      <c r="J56" s="284"/>
      <c r="K56" s="284"/>
      <c r="L56" s="284"/>
      <c r="M56" s="284"/>
      <c r="N56" s="284"/>
      <c r="O56" s="284">
        <f t="shared" ca="1" si="11"/>
        <v>2.5599949504782611</v>
      </c>
      <c r="Q56" s="296"/>
      <c r="R56" s="296"/>
      <c r="S56" s="308"/>
      <c r="U56" s="309"/>
      <c r="V56" s="277"/>
    </row>
    <row r="57" spans="1:26">
      <c r="D57" s="310">
        <v>0.6</v>
      </c>
      <c r="E57" s="284">
        <f t="shared" ca="1" si="7"/>
        <v>0.21951219512195122</v>
      </c>
      <c r="F57" s="284">
        <f t="shared" ca="1" si="8"/>
        <v>0.30562588804224483</v>
      </c>
      <c r="G57" s="284">
        <f t="shared" ca="1" si="9"/>
        <v>5.6498769288831561</v>
      </c>
      <c r="H57" s="284">
        <f t="shared" ca="1" si="10"/>
        <v>3.8399924257173912</v>
      </c>
      <c r="I57" s="284"/>
      <c r="J57" s="284"/>
      <c r="K57" s="284"/>
      <c r="L57" s="284"/>
      <c r="M57" s="284"/>
      <c r="N57" s="284"/>
      <c r="O57" s="284">
        <f t="shared" ca="1" si="11"/>
        <v>3.8399924257173912</v>
      </c>
      <c r="Q57" s="296"/>
      <c r="R57" s="296"/>
      <c r="S57" s="308"/>
      <c r="U57" s="309"/>
      <c r="V57" s="277"/>
    </row>
    <row r="58" spans="1:26">
      <c r="D58" s="310">
        <v>0.8</v>
      </c>
      <c r="E58" s="284">
        <f t="shared" ca="1" si="7"/>
        <v>0.29268292682926833</v>
      </c>
      <c r="F58" s="284">
        <f t="shared" ca="1" si="8"/>
        <v>0.40750118405632646</v>
      </c>
      <c r="G58" s="284">
        <f t="shared" ca="1" si="9"/>
        <v>7.5331692385108759</v>
      </c>
      <c r="H58" s="284">
        <f t="shared" ca="1" si="10"/>
        <v>5.1199899009565222</v>
      </c>
      <c r="I58" s="284"/>
      <c r="J58" s="284"/>
      <c r="K58" s="284"/>
      <c r="L58" s="284"/>
      <c r="M58" s="284"/>
      <c r="N58" s="284"/>
      <c r="O58" s="284">
        <f ca="1">SUM(H58:N58)</f>
        <v>5.1199899009565222</v>
      </c>
      <c r="Q58" s="296"/>
      <c r="R58" s="296"/>
    </row>
    <row r="59" spans="1:26">
      <c r="D59" s="310">
        <v>1</v>
      </c>
      <c r="E59" s="284">
        <f t="shared" ca="1" si="7"/>
        <v>0.36585365853658536</v>
      </c>
      <c r="F59" s="284">
        <f t="shared" ca="1" si="8"/>
        <v>0.50937648007040803</v>
      </c>
      <c r="G59" s="284">
        <f t="shared" ca="1" si="9"/>
        <v>9.416461548138594</v>
      </c>
      <c r="H59" s="284">
        <f t="shared" ca="1" si="10"/>
        <v>6.3999873761956527</v>
      </c>
      <c r="I59" s="284">
        <f ca="1">$G54*I$53</f>
        <v>0</v>
      </c>
      <c r="J59" s="284"/>
      <c r="K59" s="284"/>
      <c r="L59" s="284"/>
      <c r="M59" s="284"/>
      <c r="N59" s="284"/>
      <c r="O59" s="284">
        <f t="shared" ca="1" si="11"/>
        <v>6.3999873761956527</v>
      </c>
      <c r="Q59" s="296"/>
      <c r="R59" s="296"/>
    </row>
    <row r="60" spans="1:26">
      <c r="D60" s="310">
        <v>1.2</v>
      </c>
      <c r="E60" s="284">
        <f t="shared" ca="1" si="7"/>
        <v>0.43902439024390244</v>
      </c>
      <c r="F60" s="284">
        <f t="shared" ca="1" si="8"/>
        <v>0.61125177608448966</v>
      </c>
      <c r="G60" s="284">
        <f t="shared" ca="1" si="9"/>
        <v>11.299753857766312</v>
      </c>
      <c r="H60" s="284">
        <f t="shared" ca="1" si="10"/>
        <v>7.6799848514347824</v>
      </c>
      <c r="I60" s="284">
        <f t="shared" ref="I60:I123" ca="1" si="12">$G55*I$53</f>
        <v>1.494719009003429</v>
      </c>
      <c r="J60" s="284"/>
      <c r="K60" s="284"/>
      <c r="L60" s="284"/>
      <c r="M60" s="284"/>
      <c r="N60" s="284"/>
      <c r="O60" s="284">
        <f t="shared" ca="1" si="11"/>
        <v>9.1747038604382105</v>
      </c>
      <c r="Q60" s="296"/>
      <c r="R60" s="296"/>
    </row>
    <row r="61" spans="1:26" ht="15" customHeight="1">
      <c r="D61" s="310">
        <v>1.4</v>
      </c>
      <c r="E61" s="284">
        <f t="shared" ca="1" si="7"/>
        <v>0.51219512195121941</v>
      </c>
      <c r="F61" s="284">
        <f t="shared" ca="1" si="8"/>
        <v>0.71312707209857118</v>
      </c>
      <c r="G61" s="284">
        <f t="shared" ca="1" si="9"/>
        <v>13.183046167394028</v>
      </c>
      <c r="H61" s="284">
        <f t="shared" ca="1" si="10"/>
        <v>8.9599823266739111</v>
      </c>
      <c r="I61" s="284">
        <f t="shared" ca="1" si="12"/>
        <v>2.989438018006858</v>
      </c>
      <c r="J61" s="284"/>
      <c r="K61" s="284"/>
      <c r="L61" s="284"/>
      <c r="M61" s="284"/>
      <c r="N61" s="284"/>
      <c r="O61" s="284">
        <f t="shared" ca="1" si="11"/>
        <v>11.949420344680769</v>
      </c>
      <c r="Q61" s="296"/>
      <c r="R61" s="296"/>
    </row>
    <row r="62" spans="1:26" ht="15" customHeight="1">
      <c r="D62" s="310">
        <v>1.6</v>
      </c>
      <c r="E62" s="284">
        <f t="shared" ca="1" si="7"/>
        <v>0.58536585365853666</v>
      </c>
      <c r="F62" s="284">
        <f t="shared" ca="1" si="8"/>
        <v>0.81500236811265292</v>
      </c>
      <c r="G62" s="284">
        <f t="shared" ca="1" si="9"/>
        <v>15.066338477021752</v>
      </c>
      <c r="H62" s="284">
        <f t="shared" ca="1" si="10"/>
        <v>10.239979801913044</v>
      </c>
      <c r="I62" s="284">
        <f t="shared" ca="1" si="12"/>
        <v>4.4841570270102862</v>
      </c>
      <c r="J62" s="284"/>
      <c r="K62" s="284"/>
      <c r="L62" s="284"/>
      <c r="M62" s="284"/>
      <c r="N62" s="284"/>
      <c r="O62" s="284">
        <f t="shared" ca="1" si="11"/>
        <v>14.724136828923331</v>
      </c>
      <c r="Q62" s="296"/>
      <c r="R62" s="296"/>
    </row>
    <row r="63" spans="1:26" ht="15" customHeight="1">
      <c r="D63" s="310">
        <v>1.8</v>
      </c>
      <c r="E63" s="284">
        <f t="shared" ca="1" si="7"/>
        <v>0.65853658536585369</v>
      </c>
      <c r="F63" s="284">
        <f t="shared" ca="1" si="8"/>
        <v>0.91687766412673444</v>
      </c>
      <c r="G63" s="284">
        <f t="shared" ca="1" si="9"/>
        <v>16.949630786649468</v>
      </c>
      <c r="H63" s="284">
        <f t="shared" ca="1" si="10"/>
        <v>11.519977277152174</v>
      </c>
      <c r="I63" s="284">
        <f t="shared" ca="1" si="12"/>
        <v>5.9788760360137161</v>
      </c>
      <c r="J63" s="284"/>
      <c r="K63" s="284"/>
      <c r="L63" s="284"/>
      <c r="M63" s="284"/>
      <c r="N63" s="284"/>
      <c r="O63" s="284">
        <f t="shared" ca="1" si="11"/>
        <v>17.498853313165888</v>
      </c>
      <c r="Q63" s="296"/>
      <c r="R63" s="296"/>
    </row>
    <row r="64" spans="1:26" ht="15" customHeight="1">
      <c r="D64" s="310">
        <v>2</v>
      </c>
      <c r="E64" s="284">
        <f t="shared" ca="1" si="7"/>
        <v>0.73170731707317072</v>
      </c>
      <c r="F64" s="284">
        <f t="shared" ca="1" si="8"/>
        <v>1.0187529601408161</v>
      </c>
      <c r="G64" s="284">
        <f t="shared" ca="1" si="9"/>
        <v>18.832923096277188</v>
      </c>
      <c r="H64" s="284">
        <f t="shared" ca="1" si="10"/>
        <v>12.799974752391305</v>
      </c>
      <c r="I64" s="284">
        <f t="shared" ca="1" si="12"/>
        <v>7.4735950450171442</v>
      </c>
      <c r="J64" s="284">
        <f ca="1">$G54*J$53</f>
        <v>0</v>
      </c>
      <c r="K64" s="284"/>
      <c r="L64" s="284"/>
      <c r="M64" s="284"/>
      <c r="N64" s="284"/>
      <c r="O64" s="284">
        <f t="shared" ca="1" si="11"/>
        <v>20.273569797408449</v>
      </c>
      <c r="Q64" s="296"/>
      <c r="R64" s="296"/>
    </row>
    <row r="65" spans="4:18" ht="15" customHeight="1">
      <c r="D65" s="310">
        <v>2.2000000000000002</v>
      </c>
      <c r="E65" s="284">
        <f t="shared" ca="1" si="7"/>
        <v>0.80487804878048785</v>
      </c>
      <c r="F65" s="284">
        <f t="shared" ca="1" si="8"/>
        <v>1.1206282561548977</v>
      </c>
      <c r="G65" s="284">
        <f t="shared" ca="1" si="9"/>
        <v>20.716215405904908</v>
      </c>
      <c r="H65" s="284">
        <f t="shared" ca="1" si="10"/>
        <v>14.079972227630435</v>
      </c>
      <c r="I65" s="284">
        <f t="shared" ca="1" si="12"/>
        <v>8.9683140540205724</v>
      </c>
      <c r="J65" s="284">
        <f t="shared" ref="J65:J128" ca="1" si="13">$G55*J$53</f>
        <v>1.5303919959345027</v>
      </c>
      <c r="K65" s="284"/>
      <c r="L65" s="284"/>
      <c r="M65" s="284"/>
      <c r="N65" s="284"/>
      <c r="O65" s="284">
        <f t="shared" ca="1" si="11"/>
        <v>24.57867827758551</v>
      </c>
      <c r="Q65" s="296"/>
      <c r="R65" s="296"/>
    </row>
    <row r="66" spans="4:18">
      <c r="D66" s="310">
        <v>2.4</v>
      </c>
      <c r="E66" s="284">
        <f t="shared" ca="1" si="7"/>
        <v>0.87804878048780488</v>
      </c>
      <c r="F66" s="284">
        <f t="shared" ca="1" si="8"/>
        <v>1.2225035521689793</v>
      </c>
      <c r="G66" s="284">
        <f t="shared" ca="1" si="9"/>
        <v>22.599507715532624</v>
      </c>
      <c r="H66" s="284">
        <f t="shared" ca="1" si="10"/>
        <v>15.359969702869565</v>
      </c>
      <c r="I66" s="284">
        <f t="shared" ca="1" si="12"/>
        <v>10.463033063024</v>
      </c>
      <c r="J66" s="284">
        <f t="shared" ca="1" si="13"/>
        <v>3.0607839918690054</v>
      </c>
      <c r="K66" s="284"/>
      <c r="L66" s="284"/>
      <c r="M66" s="284"/>
      <c r="N66" s="284"/>
      <c r="O66" s="284">
        <f t="shared" ca="1" si="11"/>
        <v>28.883786757762568</v>
      </c>
      <c r="Q66" s="296"/>
      <c r="R66" s="296"/>
    </row>
    <row r="67" spans="4:18">
      <c r="D67" s="310">
        <v>2.6</v>
      </c>
      <c r="E67" s="284">
        <f t="shared" ca="1" si="7"/>
        <v>0.95121951219512202</v>
      </c>
      <c r="F67" s="284">
        <f t="shared" ca="1" si="8"/>
        <v>1.324378848183061</v>
      </c>
      <c r="G67" s="284">
        <f t="shared" ca="1" si="9"/>
        <v>24.482800025160344</v>
      </c>
      <c r="H67" s="284">
        <f t="shared" ca="1" si="10"/>
        <v>16.639967178108694</v>
      </c>
      <c r="I67" s="284">
        <f t="shared" ca="1" si="12"/>
        <v>11.957752072027432</v>
      </c>
      <c r="J67" s="284">
        <f t="shared" ca="1" si="13"/>
        <v>4.5911759878035072</v>
      </c>
      <c r="K67" s="284"/>
      <c r="L67" s="284"/>
      <c r="M67" s="284"/>
      <c r="N67" s="284"/>
      <c r="O67" s="284">
        <f t="shared" ca="1" si="11"/>
        <v>33.188895237939633</v>
      </c>
      <c r="Q67" s="296"/>
      <c r="R67" s="296"/>
    </row>
    <row r="68" spans="4:18">
      <c r="D68" s="310">
        <v>2.8</v>
      </c>
      <c r="E68" s="284">
        <f t="shared" ca="1" si="7"/>
        <v>0.98539506353147377</v>
      </c>
      <c r="F68" s="284">
        <f t="shared" ca="1" si="8"/>
        <v>1.4262541441971424</v>
      </c>
      <c r="G68" s="284">
        <f t="shared" ca="1" si="9"/>
        <v>25.362421582950539</v>
      </c>
      <c r="H68" s="284">
        <f t="shared" ca="1" si="10"/>
        <v>17.237810310256314</v>
      </c>
      <c r="I68" s="284">
        <f t="shared" ca="1" si="12"/>
        <v>13.452471081030859</v>
      </c>
      <c r="J68" s="284">
        <f t="shared" ca="1" si="13"/>
        <v>6.1215679837380108</v>
      </c>
      <c r="K68" s="284"/>
      <c r="L68" s="284"/>
      <c r="M68" s="284"/>
      <c r="N68" s="284"/>
      <c r="O68" s="284">
        <f t="shared" ca="1" si="11"/>
        <v>36.811849375025183</v>
      </c>
      <c r="Q68" s="296"/>
      <c r="R68" s="296"/>
    </row>
    <row r="69" spans="4:18">
      <c r="D69" s="310">
        <v>3</v>
      </c>
      <c r="E69" s="284">
        <f t="shared" ca="1" si="7"/>
        <v>0.94158025412589463</v>
      </c>
      <c r="F69" s="284">
        <f t="shared" ca="1" si="8"/>
        <v>1.5281294402112242</v>
      </c>
      <c r="G69" s="284">
        <f t="shared" ca="1" si="9"/>
        <v>24.234701637065676</v>
      </c>
      <c r="H69" s="284">
        <f t="shared" ca="1" si="10"/>
        <v>16.471344756220908</v>
      </c>
      <c r="I69" s="284">
        <f t="shared" ca="1" si="12"/>
        <v>14.947190090034288</v>
      </c>
      <c r="J69" s="284">
        <f t="shared" ca="1" si="13"/>
        <v>7.6519599796725135</v>
      </c>
      <c r="K69" s="284">
        <f ca="1">$G54*K$53</f>
        <v>0</v>
      </c>
      <c r="L69" s="284"/>
      <c r="M69" s="284"/>
      <c r="N69" s="284"/>
      <c r="O69" s="284">
        <f t="shared" ca="1" si="11"/>
        <v>39.07049482592771</v>
      </c>
      <c r="Q69" s="296"/>
      <c r="R69" s="296"/>
    </row>
    <row r="70" spans="4:18">
      <c r="D70" s="310">
        <v>3.2</v>
      </c>
      <c r="E70" s="284">
        <f t="shared" ca="1" si="7"/>
        <v>0.89776544472031561</v>
      </c>
      <c r="F70" s="284">
        <f t="shared" ca="1" si="8"/>
        <v>1.6300047362253058</v>
      </c>
      <c r="G70" s="284">
        <f t="shared" ca="1" si="9"/>
        <v>23.106981691180817</v>
      </c>
      <c r="H70" s="284">
        <f t="shared" ca="1" si="10"/>
        <v>15.704879202185502</v>
      </c>
      <c r="I70" s="284">
        <f t="shared" ca="1" si="12"/>
        <v>16.441909099037719</v>
      </c>
      <c r="J70" s="284">
        <f t="shared" ca="1" si="13"/>
        <v>9.1823519756070144</v>
      </c>
      <c r="K70" s="284">
        <f t="shared" ref="K70:K133" ca="1" si="14">$G55*K$53</f>
        <v>1.2178348015009757</v>
      </c>
      <c r="L70" s="284"/>
      <c r="M70" s="284"/>
      <c r="N70" s="284"/>
      <c r="O70" s="284">
        <f t="shared" ca="1" si="11"/>
        <v>42.546975078331215</v>
      </c>
      <c r="Q70" s="296"/>
      <c r="R70" s="296"/>
    </row>
    <row r="71" spans="4:18">
      <c r="D71" s="310">
        <v>3.4</v>
      </c>
      <c r="E71" s="284">
        <f t="shared" ca="1" si="7"/>
        <v>0.85395063531473647</v>
      </c>
      <c r="F71" s="284">
        <f t="shared" ca="1" si="8"/>
        <v>1.7318800322393872</v>
      </c>
      <c r="G71" s="284">
        <f t="shared" ca="1" si="9"/>
        <v>21.979261745295954</v>
      </c>
      <c r="H71" s="284">
        <f t="shared" ca="1" si="10"/>
        <v>14.938413648150092</v>
      </c>
      <c r="I71" s="284">
        <f t="shared" ca="1" si="12"/>
        <v>17.936628108041145</v>
      </c>
      <c r="J71" s="284">
        <f t="shared" ca="1" si="13"/>
        <v>10.712743971541515</v>
      </c>
      <c r="K71" s="284">
        <f t="shared" ca="1" si="14"/>
        <v>2.4356696030019513</v>
      </c>
      <c r="L71" s="284"/>
      <c r="M71" s="284"/>
      <c r="N71" s="284"/>
      <c r="O71" s="284">
        <f t="shared" ca="1" si="11"/>
        <v>46.023455330734706</v>
      </c>
      <c r="Q71" s="296"/>
      <c r="R71" s="296"/>
    </row>
    <row r="72" spans="4:18">
      <c r="D72" s="310">
        <v>3.6</v>
      </c>
      <c r="E72" s="284">
        <f t="shared" ca="1" si="7"/>
        <v>0.81013582590915745</v>
      </c>
      <c r="F72" s="284">
        <f t="shared" ca="1" si="8"/>
        <v>1.8337553282534689</v>
      </c>
      <c r="G72" s="284">
        <f t="shared" ca="1" si="9"/>
        <v>20.851541799411095</v>
      </c>
      <c r="H72" s="284">
        <f t="shared" ca="1" si="10"/>
        <v>14.171948094114686</v>
      </c>
      <c r="I72" s="284">
        <f t="shared" ca="1" si="12"/>
        <v>19.431347117044574</v>
      </c>
      <c r="J72" s="284">
        <f t="shared" ca="1" si="13"/>
        <v>12.243135967476022</v>
      </c>
      <c r="K72" s="284">
        <f t="shared" ca="1" si="14"/>
        <v>3.6535044045029266</v>
      </c>
      <c r="L72" s="284"/>
      <c r="M72" s="284"/>
      <c r="N72" s="284"/>
      <c r="O72" s="284">
        <f t="shared" ca="1" si="11"/>
        <v>49.49993558313821</v>
      </c>
      <c r="Q72" s="296"/>
      <c r="R72" s="296"/>
    </row>
    <row r="73" spans="4:18">
      <c r="D73" s="310">
        <v>3.8</v>
      </c>
      <c r="E73" s="284">
        <f t="shared" ca="1" si="7"/>
        <v>0.76632101650357831</v>
      </c>
      <c r="F73" s="284">
        <f t="shared" ca="1" si="8"/>
        <v>1.9356306242675505</v>
      </c>
      <c r="G73" s="284">
        <f t="shared" ca="1" si="9"/>
        <v>19.723821853526232</v>
      </c>
      <c r="H73" s="284">
        <f t="shared" ca="1" si="10"/>
        <v>13.405482540079278</v>
      </c>
      <c r="I73" s="284">
        <f t="shared" ca="1" si="12"/>
        <v>20.129479348794682</v>
      </c>
      <c r="J73" s="284">
        <f t="shared" ca="1" si="13"/>
        <v>13.773527963410523</v>
      </c>
      <c r="K73" s="284">
        <f t="shared" ca="1" si="14"/>
        <v>4.8713392060039027</v>
      </c>
      <c r="L73" s="284"/>
      <c r="M73" s="284"/>
      <c r="N73" s="284"/>
      <c r="O73" s="284">
        <f t="shared" ca="1" si="11"/>
        <v>52.179829058288384</v>
      </c>
      <c r="Q73" s="296"/>
      <c r="R73" s="296"/>
    </row>
    <row r="74" spans="4:18">
      <c r="D74" s="310">
        <v>4</v>
      </c>
      <c r="E74" s="284">
        <f t="shared" ca="1" si="7"/>
        <v>0.72250620709799918</v>
      </c>
      <c r="F74" s="284">
        <f t="shared" ca="1" si="8"/>
        <v>2.0375059202816321</v>
      </c>
      <c r="G74" s="284">
        <f t="shared" ca="1" si="9"/>
        <v>18.596101907641369</v>
      </c>
      <c r="H74" s="284">
        <f t="shared" ca="1" si="10"/>
        <v>12.63901698604387</v>
      </c>
      <c r="I74" s="284">
        <f t="shared" ca="1" si="12"/>
        <v>19.234438026038138</v>
      </c>
      <c r="J74" s="284">
        <f t="shared" ca="1" si="13"/>
        <v>15.303919959345027</v>
      </c>
      <c r="K74" s="284">
        <f t="shared" ca="1" si="14"/>
        <v>6.0891740075048784</v>
      </c>
      <c r="L74" s="284"/>
      <c r="M74" s="284"/>
      <c r="N74" s="284"/>
      <c r="O74" s="284">
        <f t="shared" ca="1" si="11"/>
        <v>53.266548978931915</v>
      </c>
      <c r="Q74" s="296"/>
      <c r="R74" s="296"/>
    </row>
    <row r="75" spans="4:18">
      <c r="D75" s="310">
        <v>4.2</v>
      </c>
      <c r="E75" s="284">
        <f t="shared" ca="1" si="7"/>
        <v>0.67869139769242004</v>
      </c>
      <c r="F75" s="284">
        <f t="shared" ca="1" si="8"/>
        <v>2.139381216295714</v>
      </c>
      <c r="G75" s="284">
        <f t="shared" ca="1" si="9"/>
        <v>17.468381961756506</v>
      </c>
      <c r="H75" s="284">
        <f t="shared" ca="1" si="10"/>
        <v>11.872551432008462</v>
      </c>
      <c r="I75" s="284">
        <f t="shared" ca="1" si="12"/>
        <v>18.339396703281594</v>
      </c>
      <c r="J75" s="284">
        <f t="shared" ca="1" si="13"/>
        <v>16.834311955279528</v>
      </c>
      <c r="K75" s="284">
        <f t="shared" ca="1" si="14"/>
        <v>7.3070088090058531</v>
      </c>
      <c r="L75" s="284"/>
      <c r="M75" s="284"/>
      <c r="N75" s="284"/>
      <c r="O75" s="284">
        <f t="shared" ca="1" si="11"/>
        <v>54.35326889957544</v>
      </c>
      <c r="Q75" s="296"/>
      <c r="R75" s="296"/>
    </row>
    <row r="76" spans="4:18">
      <c r="D76" s="310">
        <v>4.4000000000000004</v>
      </c>
      <c r="E76" s="284">
        <f t="shared" ca="1" si="7"/>
        <v>0.63487658828684101</v>
      </c>
      <c r="F76" s="284">
        <f t="shared" ca="1" si="8"/>
        <v>2.2412565123097954</v>
      </c>
      <c r="G76" s="284">
        <f t="shared" ca="1" si="9"/>
        <v>16.340662015871644</v>
      </c>
      <c r="H76" s="284">
        <f t="shared" ca="1" si="10"/>
        <v>11.106085877973054</v>
      </c>
      <c r="I76" s="284">
        <f t="shared" ca="1" si="12"/>
        <v>17.44435538052505</v>
      </c>
      <c r="J76" s="284">
        <f t="shared" ca="1" si="13"/>
        <v>18.364703951214029</v>
      </c>
      <c r="K76" s="284">
        <f t="shared" ca="1" si="14"/>
        <v>8.5248436105068279</v>
      </c>
      <c r="L76" s="284"/>
      <c r="M76" s="284"/>
      <c r="N76" s="284"/>
      <c r="O76" s="284">
        <f t="shared" ca="1" si="11"/>
        <v>55.439988820218964</v>
      </c>
      <c r="Q76" s="296"/>
      <c r="R76" s="296"/>
    </row>
    <row r="77" spans="4:18">
      <c r="D77" s="310">
        <v>4.5999999999999996</v>
      </c>
      <c r="E77" s="284">
        <f t="shared" ca="1" si="7"/>
        <v>0.59106177888126199</v>
      </c>
      <c r="F77" s="284">
        <f t="shared" ca="1" si="8"/>
        <v>2.3431318083238768</v>
      </c>
      <c r="G77" s="284">
        <f t="shared" ca="1" si="9"/>
        <v>15.212942069986784</v>
      </c>
      <c r="H77" s="284">
        <f t="shared" ca="1" si="10"/>
        <v>10.339620323937648</v>
      </c>
      <c r="I77" s="284">
        <f t="shared" ca="1" si="12"/>
        <v>16.549314057768505</v>
      </c>
      <c r="J77" s="284">
        <f t="shared" ca="1" si="13"/>
        <v>19.895095947148533</v>
      </c>
      <c r="K77" s="284">
        <f t="shared" ca="1" si="14"/>
        <v>9.7426784120078054</v>
      </c>
      <c r="L77" s="284"/>
      <c r="M77" s="284"/>
      <c r="N77" s="284"/>
      <c r="O77" s="284">
        <f t="shared" ca="1" si="11"/>
        <v>56.526708740862489</v>
      </c>
      <c r="Q77" s="296"/>
      <c r="R77" s="296"/>
    </row>
    <row r="78" spans="4:18">
      <c r="D78" s="310">
        <v>4.8</v>
      </c>
      <c r="E78" s="284">
        <f t="shared" ca="1" si="7"/>
        <v>0.54724696947568274</v>
      </c>
      <c r="F78" s="284">
        <f t="shared" ca="1" si="8"/>
        <v>2.4450071043379586</v>
      </c>
      <c r="G78" s="284">
        <f t="shared" ca="1" si="9"/>
        <v>14.08522212410192</v>
      </c>
      <c r="H78" s="284">
        <f t="shared" ca="1" si="10"/>
        <v>9.5731547699022386</v>
      </c>
      <c r="I78" s="284">
        <f t="shared" ca="1" si="12"/>
        <v>15.654272735011961</v>
      </c>
      <c r="J78" s="284">
        <f t="shared" ca="1" si="13"/>
        <v>20.609889813513153</v>
      </c>
      <c r="K78" s="284">
        <f t="shared" ca="1" si="14"/>
        <v>10.960513213508779</v>
      </c>
      <c r="L78" s="284"/>
      <c r="M78" s="284"/>
      <c r="N78" s="284"/>
      <c r="O78" s="284">
        <f t="shared" ca="1" si="11"/>
        <v>56.797830531936128</v>
      </c>
      <c r="Q78" s="296"/>
      <c r="R78" s="296"/>
    </row>
    <row r="79" spans="4:18">
      <c r="D79" s="310">
        <v>5</v>
      </c>
      <c r="E79" s="284">
        <f t="shared" ca="1" si="7"/>
        <v>0.50343216007010383</v>
      </c>
      <c r="F79" s="284">
        <f t="shared" ca="1" si="8"/>
        <v>2.5468824003520401</v>
      </c>
      <c r="G79" s="284">
        <f t="shared" ca="1" si="9"/>
        <v>12.957502178217062</v>
      </c>
      <c r="H79" s="284">
        <f t="shared" ca="1" si="10"/>
        <v>8.8066892158668342</v>
      </c>
      <c r="I79" s="284">
        <f t="shared" ca="1" si="12"/>
        <v>14.759231412255415</v>
      </c>
      <c r="J79" s="284">
        <f t="shared" ca="1" si="13"/>
        <v>19.693487420738002</v>
      </c>
      <c r="K79" s="284">
        <f t="shared" ca="1" si="14"/>
        <v>12.178348015009757</v>
      </c>
      <c r="L79" s="284"/>
      <c r="M79" s="284"/>
      <c r="N79" s="284"/>
      <c r="O79" s="284">
        <f t="shared" ca="1" si="11"/>
        <v>55.437756063870012</v>
      </c>
      <c r="Q79" s="296"/>
      <c r="R79" s="296"/>
    </row>
    <row r="80" spans="4:18">
      <c r="D80" s="310">
        <v>5.2</v>
      </c>
      <c r="E80" s="284">
        <f t="shared" ca="1" si="7"/>
        <v>0.45961735066452458</v>
      </c>
      <c r="F80" s="284">
        <f t="shared" ca="1" si="8"/>
        <v>2.6487576963661219</v>
      </c>
      <c r="G80" s="284">
        <f t="shared" ca="1" si="9"/>
        <v>11.829782232332196</v>
      </c>
      <c r="H80" s="284">
        <f t="shared" ca="1" si="10"/>
        <v>8.0402236618314227</v>
      </c>
      <c r="I80" s="284">
        <f t="shared" ca="1" si="12"/>
        <v>13.864190089498871</v>
      </c>
      <c r="J80" s="284">
        <f t="shared" ca="1" si="13"/>
        <v>18.777085027962851</v>
      </c>
      <c r="K80" s="284">
        <f t="shared" ca="1" si="14"/>
        <v>13.396182816510732</v>
      </c>
      <c r="L80" s="284"/>
      <c r="M80" s="284"/>
      <c r="N80" s="284"/>
      <c r="O80" s="284">
        <f t="shared" ca="1" si="11"/>
        <v>54.077681595803881</v>
      </c>
      <c r="Q80" s="296"/>
      <c r="R80" s="296"/>
    </row>
    <row r="81" spans="4:18">
      <c r="D81" s="310">
        <v>5.4</v>
      </c>
      <c r="E81" s="284">
        <f t="shared" ca="1" si="7"/>
        <v>0.41580254125894539</v>
      </c>
      <c r="F81" s="284">
        <f t="shared" ca="1" si="8"/>
        <v>2.7506329923802038</v>
      </c>
      <c r="G81" s="284">
        <f t="shared" ca="1" si="9"/>
        <v>10.702062286447333</v>
      </c>
      <c r="H81" s="284">
        <f t="shared" ca="1" si="10"/>
        <v>7.2737581077960147</v>
      </c>
      <c r="I81" s="284">
        <f t="shared" ca="1" si="12"/>
        <v>12.969148766742325</v>
      </c>
      <c r="J81" s="284">
        <f t="shared" ca="1" si="13"/>
        <v>17.8606826351877</v>
      </c>
      <c r="K81" s="284">
        <f t="shared" ca="1" si="14"/>
        <v>14.614017618011706</v>
      </c>
      <c r="L81" s="284"/>
      <c r="M81" s="284"/>
      <c r="N81" s="284"/>
      <c r="O81" s="284">
        <f t="shared" ca="1" si="11"/>
        <v>52.71760712773775</v>
      </c>
      <c r="Q81" s="296"/>
      <c r="R81" s="296"/>
    </row>
    <row r="82" spans="4:18">
      <c r="D82" s="310">
        <v>5.6</v>
      </c>
      <c r="E82" s="284">
        <f t="shared" ca="1" si="7"/>
        <v>0.37198773185336659</v>
      </c>
      <c r="F82" s="284">
        <f t="shared" ca="1" si="8"/>
        <v>2.8525082883942847</v>
      </c>
      <c r="G82" s="284">
        <f t="shared" ca="1" si="9"/>
        <v>9.5743423405624775</v>
      </c>
      <c r="H82" s="284">
        <f t="shared" ca="1" si="10"/>
        <v>6.5072925537606112</v>
      </c>
      <c r="I82" s="284">
        <f t="shared" ca="1" si="12"/>
        <v>12.074107443985783</v>
      </c>
      <c r="J82" s="284">
        <f t="shared" ca="1" si="13"/>
        <v>16.94428024241255</v>
      </c>
      <c r="K82" s="284">
        <f t="shared" ca="1" si="14"/>
        <v>15.831852419512684</v>
      </c>
      <c r="L82" s="284"/>
      <c r="M82" s="284"/>
      <c r="N82" s="284"/>
      <c r="O82" s="284">
        <f t="shared" ca="1" si="11"/>
        <v>51.357532659671634</v>
      </c>
      <c r="Q82" s="296"/>
      <c r="R82" s="296"/>
    </row>
    <row r="83" spans="4:18">
      <c r="D83" s="310">
        <v>5.8</v>
      </c>
      <c r="E83" s="284">
        <f t="shared" ca="1" si="7"/>
        <v>0.3281729224477874</v>
      </c>
      <c r="F83" s="284">
        <f t="shared" ca="1" si="8"/>
        <v>2.9543835844083666</v>
      </c>
      <c r="G83" s="284">
        <f t="shared" ca="1" si="9"/>
        <v>8.4466223946776147</v>
      </c>
      <c r="H83" s="284">
        <f t="shared" ca="1" si="10"/>
        <v>5.7408269997252033</v>
      </c>
      <c r="I83" s="284">
        <f t="shared" ca="1" si="12"/>
        <v>11.179066121229237</v>
      </c>
      <c r="J83" s="284">
        <f t="shared" ca="1" si="13"/>
        <v>16.027877849637399</v>
      </c>
      <c r="K83" s="284">
        <f t="shared" ca="1" si="14"/>
        <v>16.400661488477212</v>
      </c>
      <c r="L83" s="284"/>
      <c r="M83" s="284"/>
      <c r="N83" s="284"/>
      <c r="O83" s="284">
        <f t="shared" ca="1" si="11"/>
        <v>49.348432459069052</v>
      </c>
      <c r="Q83" s="296"/>
      <c r="R83" s="296"/>
    </row>
    <row r="84" spans="4:18">
      <c r="D84" s="310">
        <v>6</v>
      </c>
      <c r="E84" s="284">
        <f t="shared" ca="1" si="7"/>
        <v>0.2843581130422082</v>
      </c>
      <c r="F84" s="284">
        <f t="shared" ca="1" si="8"/>
        <v>3.0562588804224484</v>
      </c>
      <c r="G84" s="284">
        <f t="shared" ca="1" si="9"/>
        <v>7.3189024487927501</v>
      </c>
      <c r="H84" s="284">
        <f t="shared" ca="1" si="10"/>
        <v>4.9743614456897935</v>
      </c>
      <c r="I84" s="284">
        <f t="shared" ca="1" si="12"/>
        <v>10.284024798472695</v>
      </c>
      <c r="J84" s="284">
        <f t="shared" ca="1" si="13"/>
        <v>15.111475456862246</v>
      </c>
      <c r="K84" s="284">
        <f t="shared" ca="1" si="14"/>
        <v>15.671419092368843</v>
      </c>
      <c r="L84" s="284"/>
      <c r="M84" s="284"/>
      <c r="N84" s="284"/>
      <c r="O84" s="284">
        <f t="shared" ca="1" si="11"/>
        <v>46.041280793393575</v>
      </c>
      <c r="Q84" s="296"/>
      <c r="R84" s="296"/>
    </row>
    <row r="85" spans="4:18">
      <c r="D85" s="310">
        <v>6.2</v>
      </c>
      <c r="E85" s="284">
        <f t="shared" ca="1" si="7"/>
        <v>0.24054330363662918</v>
      </c>
      <c r="F85" s="284">
        <f t="shared" ca="1" si="8"/>
        <v>3.1581341764365298</v>
      </c>
      <c r="G85" s="284">
        <f t="shared" ca="1" si="9"/>
        <v>6.19118250290789</v>
      </c>
      <c r="H85" s="284">
        <f t="shared" ca="1" si="10"/>
        <v>4.2078958916543874</v>
      </c>
      <c r="I85" s="284">
        <f t="shared" ca="1" si="12"/>
        <v>9.388983475716147</v>
      </c>
      <c r="J85" s="284">
        <f t="shared" ca="1" si="13"/>
        <v>14.195073064087094</v>
      </c>
      <c r="K85" s="284">
        <f t="shared" ca="1" si="14"/>
        <v>14.942176696260477</v>
      </c>
      <c r="L85" s="284"/>
      <c r="M85" s="284"/>
      <c r="N85" s="284"/>
      <c r="O85" s="284">
        <f t="shared" ca="1" si="11"/>
        <v>42.734129127718106</v>
      </c>
      <c r="Q85" s="296"/>
      <c r="R85" s="296"/>
    </row>
    <row r="86" spans="4:18">
      <c r="D86" s="310">
        <v>6.4</v>
      </c>
      <c r="E86" s="284">
        <f t="shared" ca="1" si="7"/>
        <v>0.19672849423104999</v>
      </c>
      <c r="F86" s="284">
        <f t="shared" ca="1" si="8"/>
        <v>3.2600094724506117</v>
      </c>
      <c r="G86" s="284">
        <f t="shared" ca="1" si="9"/>
        <v>5.0634625570230254</v>
      </c>
      <c r="H86" s="284">
        <f t="shared" ca="1" si="10"/>
        <v>3.4414303376189777</v>
      </c>
      <c r="I86" s="284">
        <f t="shared" ca="1" si="12"/>
        <v>8.4939421529596029</v>
      </c>
      <c r="J86" s="284">
        <f t="shared" ca="1" si="13"/>
        <v>13.278670671311941</v>
      </c>
      <c r="K86" s="284">
        <f t="shared" ca="1" si="14"/>
        <v>14.212934300152106</v>
      </c>
      <c r="L86" s="284"/>
      <c r="M86" s="284"/>
      <c r="N86" s="284"/>
      <c r="O86" s="284">
        <f t="shared" ca="1" si="11"/>
        <v>39.426977462042629</v>
      </c>
      <c r="Q86" s="296"/>
      <c r="R86" s="296"/>
    </row>
    <row r="87" spans="4:18">
      <c r="D87" s="310">
        <v>6.6</v>
      </c>
      <c r="E87" s="284">
        <f t="shared" ca="1" si="7"/>
        <v>0.15291368482547119</v>
      </c>
      <c r="F87" s="284">
        <f t="shared" ca="1" si="8"/>
        <v>3.3618847684646926</v>
      </c>
      <c r="G87" s="284">
        <f t="shared" ca="1" si="9"/>
        <v>3.9357426111381715</v>
      </c>
      <c r="H87" s="284">
        <f t="shared" ca="1" si="10"/>
        <v>2.674964783583575</v>
      </c>
      <c r="I87" s="284">
        <f t="shared" ca="1" si="12"/>
        <v>7.5989008302030623</v>
      </c>
      <c r="J87" s="284">
        <f t="shared" ca="1" si="13"/>
        <v>12.362268278536792</v>
      </c>
      <c r="K87" s="284">
        <f t="shared" ca="1" si="14"/>
        <v>13.48369190404374</v>
      </c>
      <c r="L87" s="284"/>
      <c r="M87" s="284"/>
      <c r="N87" s="284"/>
      <c r="O87" s="284">
        <f t="shared" ca="1" si="11"/>
        <v>36.119825796367167</v>
      </c>
      <c r="Q87" s="296"/>
      <c r="R87" s="296"/>
    </row>
    <row r="88" spans="4:18">
      <c r="D88" s="310">
        <v>6.8</v>
      </c>
      <c r="E88" s="284">
        <f t="shared" ca="1" si="7"/>
        <v>0.10909887541989198</v>
      </c>
      <c r="F88" s="284">
        <f t="shared" ca="1" si="8"/>
        <v>3.4637600644787745</v>
      </c>
      <c r="G88" s="284">
        <f t="shared" ca="1" si="9"/>
        <v>2.8080226652533065</v>
      </c>
      <c r="H88" s="284">
        <f t="shared" ca="1" si="10"/>
        <v>1.9084992295481653</v>
      </c>
      <c r="I88" s="284">
        <f t="shared" ca="1" si="12"/>
        <v>6.7038595074465173</v>
      </c>
      <c r="J88" s="284">
        <f t="shared" ca="1" si="13"/>
        <v>11.445865885761638</v>
      </c>
      <c r="K88" s="284">
        <f t="shared" ca="1" si="14"/>
        <v>12.754449507935369</v>
      </c>
      <c r="L88" s="284"/>
      <c r="M88" s="284"/>
      <c r="N88" s="284"/>
      <c r="O88" s="284">
        <f ca="1">SUM(H88:N88)</f>
        <v>32.81267413069169</v>
      </c>
      <c r="Q88" s="296"/>
      <c r="R88" s="296"/>
    </row>
    <row r="89" spans="4:18">
      <c r="D89" s="310">
        <v>7</v>
      </c>
      <c r="E89" s="284">
        <f t="shared" ca="1" si="7"/>
        <v>6.5284066014312789E-2</v>
      </c>
      <c r="F89" s="284">
        <f t="shared" ca="1" si="8"/>
        <v>3.5656353604928563</v>
      </c>
      <c r="G89" s="284">
        <f t="shared" ca="1" si="9"/>
        <v>1.6803027193684423</v>
      </c>
      <c r="H89" s="284">
        <f t="shared" ca="1" si="10"/>
        <v>1.1420336755127563</v>
      </c>
      <c r="I89" s="284">
        <f t="shared" ca="1" si="12"/>
        <v>5.8088181846899705</v>
      </c>
      <c r="J89" s="284">
        <f t="shared" ca="1" si="13"/>
        <v>10.529463492986491</v>
      </c>
      <c r="K89" s="284">
        <f t="shared" ca="1" si="14"/>
        <v>12.025207111827001</v>
      </c>
      <c r="L89" s="284"/>
      <c r="M89" s="284"/>
      <c r="N89" s="284"/>
      <c r="O89" s="284">
        <f t="shared" ca="1" si="11"/>
        <v>29.50552246501622</v>
      </c>
      <c r="Q89" s="296"/>
      <c r="R89" s="296"/>
    </row>
    <row r="90" spans="4:18">
      <c r="D90" s="310">
        <v>7.2</v>
      </c>
      <c r="E90" s="284">
        <f t="shared" ca="1" si="7"/>
        <v>2.1469256608733785E-2</v>
      </c>
      <c r="F90" s="284">
        <f t="shared" ca="1" si="8"/>
        <v>3.6675106565069377</v>
      </c>
      <c r="G90" s="284">
        <f t="shared" ca="1" si="9"/>
        <v>0.55258277348358298</v>
      </c>
      <c r="H90" s="284">
        <f t="shared" ca="1" si="10"/>
        <v>0.37556812147735019</v>
      </c>
      <c r="I90" s="284">
        <f t="shared" ca="1" si="12"/>
        <v>4.9137768619334281</v>
      </c>
      <c r="J90" s="284">
        <f t="shared" ca="1" si="13"/>
        <v>9.6130611002113362</v>
      </c>
      <c r="K90" s="284">
        <f t="shared" ca="1" si="14"/>
        <v>11.295964715718631</v>
      </c>
      <c r="L90" s="284"/>
      <c r="M90" s="284"/>
      <c r="N90" s="284"/>
      <c r="O90" s="284">
        <f t="shared" ca="1" si="11"/>
        <v>26.198370799340744</v>
      </c>
      <c r="Q90" s="296"/>
      <c r="R90" s="296"/>
    </row>
    <row r="91" spans="4:18">
      <c r="D91" s="310">
        <v>7.4</v>
      </c>
      <c r="E91" s="284">
        <f t="shared" ca="1" si="7"/>
        <v>0</v>
      </c>
      <c r="F91" s="284">
        <f t="shared" ca="1" si="8"/>
        <v>3.7693859525210196</v>
      </c>
      <c r="G91" s="284">
        <f t="shared" ca="1" si="9"/>
        <v>0</v>
      </c>
      <c r="H91" s="284">
        <f t="shared" ca="1" si="10"/>
        <v>0</v>
      </c>
      <c r="I91" s="284">
        <f t="shared" ca="1" si="12"/>
        <v>4.0187355391768813</v>
      </c>
      <c r="J91" s="284">
        <f t="shared" ca="1" si="13"/>
        <v>8.6966587074361836</v>
      </c>
      <c r="K91" s="284">
        <f t="shared" ca="1" si="14"/>
        <v>10.566722319610262</v>
      </c>
      <c r="L91" s="284"/>
      <c r="M91" s="284"/>
      <c r="N91" s="284"/>
      <c r="O91" s="284">
        <f t="shared" ca="1" si="11"/>
        <v>23.28211656622333</v>
      </c>
      <c r="Q91" s="296"/>
      <c r="R91" s="296"/>
    </row>
    <row r="92" spans="4:18">
      <c r="D92" s="310">
        <v>7.6</v>
      </c>
      <c r="E92" s="284">
        <f t="shared" ca="1" si="7"/>
        <v>0</v>
      </c>
      <c r="F92" s="284">
        <f t="shared" ca="1" si="8"/>
        <v>3.871261248535101</v>
      </c>
      <c r="G92" s="284">
        <f t="shared" ca="1" si="9"/>
        <v>0</v>
      </c>
      <c r="H92" s="284">
        <f t="shared" ca="1" si="10"/>
        <v>0</v>
      </c>
      <c r="I92" s="284">
        <f t="shared" ca="1" si="12"/>
        <v>3.123694216420343</v>
      </c>
      <c r="J92" s="284">
        <f t="shared" ca="1" si="13"/>
        <v>7.7802563146610364</v>
      </c>
      <c r="K92" s="284">
        <f t="shared" ca="1" si="14"/>
        <v>9.8374799235018937</v>
      </c>
      <c r="L92" s="284"/>
      <c r="M92" s="284"/>
      <c r="N92" s="284"/>
      <c r="O92" s="284">
        <f t="shared" ca="1" si="11"/>
        <v>20.741430454583274</v>
      </c>
      <c r="Q92" s="296"/>
      <c r="R92" s="296"/>
    </row>
    <row r="93" spans="4:18">
      <c r="D93" s="310">
        <v>7.8</v>
      </c>
      <c r="E93" s="284">
        <f t="shared" ca="1" si="7"/>
        <v>0</v>
      </c>
      <c r="F93" s="284">
        <f t="shared" ca="1" si="8"/>
        <v>3.9731365445491824</v>
      </c>
      <c r="G93" s="284">
        <f t="shared" ca="1" si="9"/>
        <v>0</v>
      </c>
      <c r="H93" s="284">
        <f t="shared" ca="1" si="10"/>
        <v>0</v>
      </c>
      <c r="I93" s="284">
        <f t="shared" ca="1" si="12"/>
        <v>2.2286528936637962</v>
      </c>
      <c r="J93" s="284">
        <f t="shared" ca="1" si="13"/>
        <v>6.8638539218858838</v>
      </c>
      <c r="K93" s="284">
        <f t="shared" ca="1" si="14"/>
        <v>9.1082375273935234</v>
      </c>
      <c r="L93" s="284"/>
      <c r="M93" s="284"/>
      <c r="N93" s="284"/>
      <c r="O93" s="284">
        <f t="shared" ca="1" si="11"/>
        <v>18.200744342943203</v>
      </c>
      <c r="Q93" s="296"/>
      <c r="R93" s="296"/>
    </row>
    <row r="94" spans="4:18">
      <c r="D94" s="310">
        <v>8</v>
      </c>
      <c r="E94" s="284">
        <f t="shared" ca="1" si="7"/>
        <v>0</v>
      </c>
      <c r="F94" s="284">
        <f t="shared" ca="1" si="8"/>
        <v>4.0750118405632643</v>
      </c>
      <c r="G94" s="284">
        <f t="shared" ca="1" si="9"/>
        <v>0</v>
      </c>
      <c r="H94" s="284">
        <f t="shared" ca="1" si="10"/>
        <v>0</v>
      </c>
      <c r="I94" s="284">
        <f t="shared" ca="1" si="12"/>
        <v>1.3336115709072498</v>
      </c>
      <c r="J94" s="284">
        <f t="shared" ca="1" si="13"/>
        <v>5.9474515291107304</v>
      </c>
      <c r="K94" s="284">
        <f t="shared" ca="1" si="14"/>
        <v>8.3789951312851585</v>
      </c>
      <c r="L94" s="284"/>
      <c r="M94" s="284"/>
      <c r="N94" s="284"/>
      <c r="O94" s="284">
        <f t="shared" ca="1" si="11"/>
        <v>15.66005823130314</v>
      </c>
      <c r="Q94" s="296"/>
      <c r="R94" s="296"/>
    </row>
    <row r="95" spans="4:18">
      <c r="D95" s="310">
        <v>8.1999999999999993</v>
      </c>
      <c r="E95" s="284">
        <f t="shared" ca="1" si="7"/>
        <v>0</v>
      </c>
      <c r="F95" s="284">
        <f t="shared" ca="1" si="8"/>
        <v>4.1768871365773457</v>
      </c>
      <c r="G95" s="284">
        <f t="shared" ca="1" si="9"/>
        <v>0</v>
      </c>
      <c r="H95" s="284">
        <f t="shared" ca="1" si="10"/>
        <v>0</v>
      </c>
      <c r="I95" s="284">
        <f t="shared" ca="1" si="12"/>
        <v>0.43857024815070733</v>
      </c>
      <c r="J95" s="284">
        <f t="shared" ca="1" si="13"/>
        <v>5.0310491363355805</v>
      </c>
      <c r="K95" s="284">
        <f t="shared" ca="1" si="14"/>
        <v>7.6497527351767856</v>
      </c>
      <c r="L95" s="284"/>
      <c r="M95" s="284"/>
      <c r="N95" s="284"/>
      <c r="O95" s="284">
        <f t="shared" ca="1" si="11"/>
        <v>13.119372119663073</v>
      </c>
      <c r="Q95" s="296"/>
      <c r="R95" s="296"/>
    </row>
    <row r="96" spans="4:18">
      <c r="D96" s="310">
        <v>8.4</v>
      </c>
      <c r="E96" s="284">
        <f t="shared" ca="1" si="7"/>
        <v>0</v>
      </c>
      <c r="F96" s="284">
        <f t="shared" ca="1" si="8"/>
        <v>4.278762432591428</v>
      </c>
      <c r="G96" s="284">
        <f t="shared" ca="1" si="9"/>
        <v>0</v>
      </c>
      <c r="H96" s="284">
        <f t="shared" ca="1" si="10"/>
        <v>0</v>
      </c>
      <c r="I96" s="284">
        <f t="shared" ca="1" si="12"/>
        <v>0</v>
      </c>
      <c r="J96" s="284">
        <f t="shared" ca="1" si="13"/>
        <v>4.114646743560427</v>
      </c>
      <c r="K96" s="284">
        <f t="shared" ca="1" si="14"/>
        <v>6.9205103390684162</v>
      </c>
      <c r="L96" s="284"/>
      <c r="M96" s="284"/>
      <c r="N96" s="284"/>
      <c r="O96" s="284">
        <f t="shared" ca="1" si="11"/>
        <v>11.035157082628842</v>
      </c>
      <c r="Q96" s="296"/>
      <c r="R96" s="296"/>
    </row>
    <row r="97" spans="4:18">
      <c r="D97" s="310">
        <v>8.6</v>
      </c>
      <c r="E97" s="284">
        <f t="shared" ca="1" si="7"/>
        <v>0</v>
      </c>
      <c r="F97" s="284">
        <f t="shared" ca="1" si="8"/>
        <v>4.3806377286055085</v>
      </c>
      <c r="G97" s="284">
        <f t="shared" ca="1" si="9"/>
        <v>0</v>
      </c>
      <c r="H97" s="284">
        <f t="shared" ca="1" si="10"/>
        <v>0</v>
      </c>
      <c r="I97" s="284">
        <f t="shared" ca="1" si="12"/>
        <v>0</v>
      </c>
      <c r="J97" s="284">
        <f t="shared" ca="1" si="13"/>
        <v>3.1982443507852816</v>
      </c>
      <c r="K97" s="284">
        <f t="shared" ca="1" si="14"/>
        <v>6.1912679429600512</v>
      </c>
      <c r="L97" s="284"/>
      <c r="M97" s="284"/>
      <c r="N97" s="284"/>
      <c r="O97" s="284">
        <f t="shared" ca="1" si="11"/>
        <v>9.3895122937453337</v>
      </c>
      <c r="Q97" s="296"/>
      <c r="R97" s="296"/>
    </row>
    <row r="98" spans="4:18">
      <c r="D98" s="310">
        <v>8.8000000000000007</v>
      </c>
      <c r="E98" s="284">
        <f t="shared" ca="1" si="7"/>
        <v>0</v>
      </c>
      <c r="F98" s="284">
        <f t="shared" ca="1" si="8"/>
        <v>4.4825130246195908</v>
      </c>
      <c r="G98" s="284">
        <f t="shared" ca="1" si="9"/>
        <v>0</v>
      </c>
      <c r="H98" s="284">
        <f t="shared" ca="1" si="10"/>
        <v>0</v>
      </c>
      <c r="I98" s="284">
        <f t="shared" ca="1" si="12"/>
        <v>0</v>
      </c>
      <c r="J98" s="284">
        <f t="shared" ca="1" si="13"/>
        <v>2.2818419580101277</v>
      </c>
      <c r="K98" s="284">
        <f t="shared" ca="1" si="14"/>
        <v>5.4620255468516818</v>
      </c>
      <c r="L98" s="284"/>
      <c r="M98" s="284"/>
      <c r="N98" s="284"/>
      <c r="O98" s="284">
        <f t="shared" ca="1" si="11"/>
        <v>7.7438675048618091</v>
      </c>
      <c r="Q98" s="296"/>
      <c r="R98" s="296"/>
    </row>
    <row r="99" spans="4:18">
      <c r="D99" s="310">
        <v>9</v>
      </c>
      <c r="E99" s="284">
        <f t="shared" ca="1" si="7"/>
        <v>0</v>
      </c>
      <c r="F99" s="284">
        <f t="shared" ca="1" si="8"/>
        <v>4.5843883206336722</v>
      </c>
      <c r="G99" s="284">
        <f t="shared" ca="1" si="9"/>
        <v>0</v>
      </c>
      <c r="H99" s="284">
        <f t="shared" ca="1" si="10"/>
        <v>0</v>
      </c>
      <c r="I99" s="284">
        <f t="shared" ca="1" si="12"/>
        <v>0</v>
      </c>
      <c r="J99" s="284">
        <f t="shared" ca="1" si="13"/>
        <v>1.3654395652349742</v>
      </c>
      <c r="K99" s="284">
        <f t="shared" ca="1" si="14"/>
        <v>4.7327831507433116</v>
      </c>
      <c r="L99" s="284"/>
      <c r="M99" s="284"/>
      <c r="N99" s="284"/>
      <c r="O99" s="284">
        <f t="shared" ca="1" si="11"/>
        <v>6.0982227159782862</v>
      </c>
      <c r="Q99" s="296"/>
      <c r="R99" s="296"/>
    </row>
    <row r="100" spans="4:18">
      <c r="D100" s="310">
        <v>9.1999999999999993</v>
      </c>
      <c r="E100" s="284">
        <f t="shared" ca="1" si="7"/>
        <v>0</v>
      </c>
      <c r="F100" s="284">
        <f t="shared" ca="1" si="8"/>
        <v>4.6862636166477536</v>
      </c>
      <c r="G100" s="284">
        <f t="shared" ca="1" si="9"/>
        <v>0</v>
      </c>
      <c r="H100" s="284">
        <f t="shared" ca="1" si="10"/>
        <v>0</v>
      </c>
      <c r="I100" s="284">
        <f t="shared" ca="1" si="12"/>
        <v>0</v>
      </c>
      <c r="J100" s="284">
        <f t="shared" ca="1" si="13"/>
        <v>0.44903717245982477</v>
      </c>
      <c r="K100" s="284">
        <f t="shared" ca="1" si="14"/>
        <v>4.003540754634944</v>
      </c>
      <c r="L100" s="284"/>
      <c r="M100" s="284"/>
      <c r="N100" s="284"/>
      <c r="O100" s="284">
        <f t="shared" ca="1" si="11"/>
        <v>4.4525779270947687</v>
      </c>
      <c r="Q100" s="296"/>
      <c r="R100" s="296"/>
    </row>
    <row r="101" spans="4:18">
      <c r="D101" s="310">
        <v>9.4</v>
      </c>
      <c r="E101" s="284">
        <f t="shared" ca="1" si="7"/>
        <v>0</v>
      </c>
      <c r="F101" s="284">
        <f t="shared" ca="1" si="8"/>
        <v>4.7881389126618359</v>
      </c>
      <c r="G101" s="284">
        <f t="shared" ca="1" si="9"/>
        <v>0</v>
      </c>
      <c r="H101" s="284">
        <f t="shared" ca="1" si="10"/>
        <v>0</v>
      </c>
      <c r="I101" s="284">
        <f t="shared" ca="1" si="12"/>
        <v>0</v>
      </c>
      <c r="J101" s="284">
        <f t="shared" ca="1" si="13"/>
        <v>0</v>
      </c>
      <c r="K101" s="284">
        <f t="shared" ca="1" si="14"/>
        <v>3.2742983585265732</v>
      </c>
      <c r="L101" s="284"/>
      <c r="M101" s="284"/>
      <c r="N101" s="284"/>
      <c r="O101" s="284">
        <f t="shared" ca="1" si="11"/>
        <v>3.2742983585265732</v>
      </c>
      <c r="Q101" s="296"/>
      <c r="R101" s="296"/>
    </row>
    <row r="102" spans="4:18">
      <c r="D102" s="310">
        <v>9.6</v>
      </c>
      <c r="E102" s="284">
        <f t="shared" ca="1" si="7"/>
        <v>0</v>
      </c>
      <c r="F102" s="284">
        <f t="shared" ca="1" si="8"/>
        <v>4.8900142086759173</v>
      </c>
      <c r="G102" s="284">
        <f t="shared" ca="1" si="9"/>
        <v>0</v>
      </c>
      <c r="H102" s="284">
        <f t="shared" ca="1" si="10"/>
        <v>0</v>
      </c>
      <c r="I102" s="284">
        <f t="shared" ca="1" si="12"/>
        <v>0</v>
      </c>
      <c r="J102" s="284">
        <f t="shared" ca="1" si="13"/>
        <v>0</v>
      </c>
      <c r="K102" s="284">
        <f t="shared" ca="1" si="14"/>
        <v>2.5450559624182096</v>
      </c>
      <c r="L102" s="284"/>
      <c r="M102" s="284"/>
      <c r="N102" s="284"/>
      <c r="O102" s="284">
        <f t="shared" ca="1" si="11"/>
        <v>2.5450559624182096</v>
      </c>
      <c r="Q102" s="296"/>
      <c r="R102" s="296"/>
    </row>
    <row r="103" spans="4:18">
      <c r="D103" s="310">
        <v>9.8000000000000007</v>
      </c>
      <c r="E103" s="284">
        <f t="shared" ca="1" si="7"/>
        <v>0</v>
      </c>
      <c r="F103" s="284">
        <f t="shared" ca="1" si="8"/>
        <v>4.9918895046899987</v>
      </c>
      <c r="G103" s="284">
        <f t="shared" ca="1" si="9"/>
        <v>0</v>
      </c>
      <c r="H103" s="284">
        <f t="shared" ca="1" si="10"/>
        <v>0</v>
      </c>
      <c r="I103" s="284">
        <f t="shared" ca="1" si="12"/>
        <v>0</v>
      </c>
      <c r="J103" s="284">
        <f t="shared" ca="1" si="13"/>
        <v>0</v>
      </c>
      <c r="K103" s="284">
        <f t="shared" ca="1" si="14"/>
        <v>1.8158135663098387</v>
      </c>
      <c r="L103" s="284"/>
      <c r="M103" s="284"/>
      <c r="N103" s="284"/>
      <c r="O103" s="284">
        <f t="shared" ca="1" si="11"/>
        <v>1.8158135663098387</v>
      </c>
      <c r="Q103" s="296"/>
      <c r="R103" s="296"/>
    </row>
    <row r="104" spans="4:18">
      <c r="D104" s="310">
        <v>10</v>
      </c>
      <c r="E104" s="284">
        <f t="shared" ca="1" si="7"/>
        <v>0</v>
      </c>
      <c r="F104" s="284">
        <f t="shared" ca="1" si="8"/>
        <v>5.0937648007040801</v>
      </c>
      <c r="G104" s="284">
        <f t="shared" ca="1" si="9"/>
        <v>0</v>
      </c>
      <c r="H104" s="284">
        <f t="shared" ca="1" si="10"/>
        <v>0</v>
      </c>
      <c r="I104" s="284">
        <f t="shared" ca="1" si="12"/>
        <v>0</v>
      </c>
      <c r="J104" s="284">
        <f t="shared" ca="1" si="13"/>
        <v>0</v>
      </c>
      <c r="K104" s="284">
        <f t="shared" ca="1" si="14"/>
        <v>1.0865711702014684</v>
      </c>
      <c r="L104" s="284"/>
      <c r="M104" s="284"/>
      <c r="N104" s="284"/>
      <c r="O104" s="284">
        <f t="shared" ca="1" si="11"/>
        <v>1.0865711702014684</v>
      </c>
      <c r="Q104" s="296"/>
      <c r="R104" s="296"/>
    </row>
    <row r="105" spans="4:18">
      <c r="D105" s="310">
        <v>10.199999999999999</v>
      </c>
      <c r="E105" s="284">
        <f t="shared" ca="1" si="7"/>
        <v>0</v>
      </c>
      <c r="F105" s="284">
        <f t="shared" ca="1" si="8"/>
        <v>5.1956400967181615</v>
      </c>
      <c r="G105" s="284">
        <f t="shared" ca="1" si="9"/>
        <v>0</v>
      </c>
      <c r="H105" s="284">
        <f t="shared" ca="1" si="10"/>
        <v>0</v>
      </c>
      <c r="I105" s="284">
        <f t="shared" ca="1" si="12"/>
        <v>0</v>
      </c>
      <c r="J105" s="284">
        <f t="shared" ca="1" si="13"/>
        <v>0</v>
      </c>
      <c r="K105" s="284">
        <f t="shared" ca="1" si="14"/>
        <v>0.35732877409310115</v>
      </c>
      <c r="L105" s="284"/>
      <c r="M105" s="284"/>
      <c r="N105" s="284"/>
      <c r="O105" s="284">
        <f t="shared" ca="1" si="11"/>
        <v>0.35732877409310115</v>
      </c>
      <c r="Q105" s="296"/>
      <c r="R105" s="296"/>
    </row>
    <row r="106" spans="4:18">
      <c r="D106" s="310">
        <v>10.4</v>
      </c>
      <c r="E106" s="284">
        <f t="shared" ca="1" si="7"/>
        <v>0</v>
      </c>
      <c r="F106" s="284">
        <f t="shared" ca="1" si="8"/>
        <v>5.2975153927322438</v>
      </c>
      <c r="G106" s="284">
        <f t="shared" ca="1" si="9"/>
        <v>0</v>
      </c>
      <c r="H106" s="284">
        <f t="shared" ca="1" si="10"/>
        <v>0</v>
      </c>
      <c r="I106" s="284">
        <f t="shared" ca="1" si="12"/>
        <v>0</v>
      </c>
      <c r="J106" s="284">
        <f t="shared" ca="1" si="13"/>
        <v>0</v>
      </c>
      <c r="K106" s="284">
        <f t="shared" ca="1" si="14"/>
        <v>0</v>
      </c>
      <c r="L106" s="284"/>
      <c r="M106" s="284"/>
      <c r="N106" s="284"/>
      <c r="O106" s="284">
        <f t="shared" ca="1" si="11"/>
        <v>0</v>
      </c>
      <c r="Q106" s="296"/>
      <c r="R106" s="296"/>
    </row>
    <row r="107" spans="4:18">
      <c r="D107" s="310">
        <v>10.6</v>
      </c>
      <c r="E107" s="284">
        <f t="shared" ca="1" si="7"/>
        <v>0</v>
      </c>
      <c r="F107" s="284">
        <f t="shared" ca="1" si="8"/>
        <v>5.3993906887463252</v>
      </c>
      <c r="G107" s="284">
        <f t="shared" ca="1" si="9"/>
        <v>0</v>
      </c>
      <c r="H107" s="284">
        <f t="shared" ca="1" si="10"/>
        <v>0</v>
      </c>
      <c r="I107" s="284">
        <f t="shared" ca="1" si="12"/>
        <v>0</v>
      </c>
      <c r="J107" s="284">
        <f t="shared" ca="1" si="13"/>
        <v>0</v>
      </c>
      <c r="K107" s="284">
        <f t="shared" ca="1" si="14"/>
        <v>0</v>
      </c>
      <c r="L107" s="284"/>
      <c r="M107" s="284"/>
      <c r="N107" s="284"/>
      <c r="O107" s="284">
        <f t="shared" ca="1" si="11"/>
        <v>0</v>
      </c>
      <c r="Q107" s="296"/>
      <c r="R107" s="296"/>
    </row>
    <row r="108" spans="4:18">
      <c r="D108" s="310">
        <v>10.8</v>
      </c>
      <c r="E108" s="284">
        <f t="shared" ca="1" si="7"/>
        <v>0</v>
      </c>
      <c r="F108" s="284">
        <f t="shared" ca="1" si="8"/>
        <v>5.5012659847604075</v>
      </c>
      <c r="G108" s="284">
        <f t="shared" ca="1" si="9"/>
        <v>0</v>
      </c>
      <c r="H108" s="284">
        <f t="shared" ca="1" si="10"/>
        <v>0</v>
      </c>
      <c r="I108" s="284">
        <f t="shared" ca="1" si="12"/>
        <v>0</v>
      </c>
      <c r="J108" s="284">
        <f t="shared" ca="1" si="13"/>
        <v>0</v>
      </c>
      <c r="K108" s="284">
        <f t="shared" ca="1" si="14"/>
        <v>0</v>
      </c>
      <c r="L108" s="284"/>
      <c r="M108" s="284"/>
      <c r="N108" s="284"/>
      <c r="O108" s="284">
        <f t="shared" ca="1" si="11"/>
        <v>0</v>
      </c>
      <c r="Q108" s="296"/>
      <c r="R108" s="296"/>
    </row>
    <row r="109" spans="4:18">
      <c r="D109" s="310">
        <v>11</v>
      </c>
      <c r="E109" s="284">
        <f t="shared" ca="1" si="7"/>
        <v>0</v>
      </c>
      <c r="F109" s="284">
        <f t="shared" ca="1" si="8"/>
        <v>5.603141280774488</v>
      </c>
      <c r="G109" s="284">
        <f t="shared" ca="1" si="9"/>
        <v>0</v>
      </c>
      <c r="H109" s="284">
        <f t="shared" ca="1" si="10"/>
        <v>0</v>
      </c>
      <c r="I109" s="284">
        <f t="shared" ca="1" si="12"/>
        <v>0</v>
      </c>
      <c r="J109" s="284">
        <f t="shared" ca="1" si="13"/>
        <v>0</v>
      </c>
      <c r="K109" s="284">
        <f t="shared" ca="1" si="14"/>
        <v>0</v>
      </c>
      <c r="L109" s="284"/>
      <c r="M109" s="284"/>
      <c r="N109" s="284"/>
      <c r="O109" s="284">
        <f t="shared" ca="1" si="11"/>
        <v>0</v>
      </c>
      <c r="Q109" s="296"/>
      <c r="R109" s="296"/>
    </row>
    <row r="110" spans="4:18">
      <c r="D110" s="310">
        <v>11.2</v>
      </c>
      <c r="E110" s="284">
        <f t="shared" ca="1" si="7"/>
        <v>0</v>
      </c>
      <c r="F110" s="284">
        <f t="shared" ca="1" si="8"/>
        <v>5.7050165767885694</v>
      </c>
      <c r="G110" s="284">
        <f t="shared" ca="1" si="9"/>
        <v>0</v>
      </c>
      <c r="H110" s="284">
        <f t="shared" ca="1" si="10"/>
        <v>0</v>
      </c>
      <c r="I110" s="284">
        <f t="shared" ca="1" si="12"/>
        <v>0</v>
      </c>
      <c r="J110" s="284">
        <f t="shared" ca="1" si="13"/>
        <v>0</v>
      </c>
      <c r="K110" s="284">
        <f t="shared" ca="1" si="14"/>
        <v>0</v>
      </c>
      <c r="L110" s="284"/>
      <c r="M110" s="284"/>
      <c r="N110" s="284"/>
      <c r="O110" s="284">
        <f t="shared" ca="1" si="11"/>
        <v>0</v>
      </c>
      <c r="Q110" s="296"/>
      <c r="R110" s="296"/>
    </row>
    <row r="111" spans="4:18">
      <c r="D111" s="310">
        <v>11.4</v>
      </c>
      <c r="E111" s="284">
        <f t="shared" ca="1" si="7"/>
        <v>0</v>
      </c>
      <c r="F111" s="284">
        <f t="shared" ca="1" si="8"/>
        <v>5.8068918728026517</v>
      </c>
      <c r="G111" s="284">
        <f t="shared" ca="1" si="9"/>
        <v>0</v>
      </c>
      <c r="H111" s="284">
        <f t="shared" ca="1" si="10"/>
        <v>0</v>
      </c>
      <c r="I111" s="284">
        <f t="shared" ca="1" si="12"/>
        <v>0</v>
      </c>
      <c r="J111" s="284">
        <f t="shared" ca="1" si="13"/>
        <v>0</v>
      </c>
      <c r="K111" s="284">
        <f t="shared" ca="1" si="14"/>
        <v>0</v>
      </c>
      <c r="L111" s="284"/>
      <c r="M111" s="284"/>
      <c r="N111" s="284"/>
      <c r="O111" s="284">
        <f t="shared" ca="1" si="11"/>
        <v>0</v>
      </c>
      <c r="Q111" s="296"/>
      <c r="R111" s="296"/>
    </row>
    <row r="112" spans="4:18">
      <c r="D112" s="310">
        <v>11.6</v>
      </c>
      <c r="E112" s="284">
        <f t="shared" ca="1" si="7"/>
        <v>0</v>
      </c>
      <c r="F112" s="284">
        <f t="shared" ca="1" si="8"/>
        <v>5.9087671688167331</v>
      </c>
      <c r="G112" s="284">
        <f t="shared" ca="1" si="9"/>
        <v>0</v>
      </c>
      <c r="H112" s="284">
        <f t="shared" ca="1" si="10"/>
        <v>0</v>
      </c>
      <c r="I112" s="284">
        <f t="shared" ca="1" si="12"/>
        <v>0</v>
      </c>
      <c r="J112" s="284">
        <f t="shared" ca="1" si="13"/>
        <v>0</v>
      </c>
      <c r="K112" s="284">
        <f t="shared" ca="1" si="14"/>
        <v>0</v>
      </c>
      <c r="L112" s="284"/>
      <c r="M112" s="284"/>
      <c r="N112" s="284"/>
      <c r="O112" s="284">
        <f t="shared" ca="1" si="11"/>
        <v>0</v>
      </c>
      <c r="Q112" s="296"/>
      <c r="R112" s="296"/>
    </row>
    <row r="113" spans="4:18">
      <c r="D113" s="310">
        <v>11.8</v>
      </c>
      <c r="E113" s="284">
        <f t="shared" ca="1" si="7"/>
        <v>0</v>
      </c>
      <c r="F113" s="284">
        <f t="shared" ca="1" si="8"/>
        <v>6.0106424648308154</v>
      </c>
      <c r="G113" s="284">
        <f t="shared" ca="1" si="9"/>
        <v>0</v>
      </c>
      <c r="H113" s="284">
        <f t="shared" ca="1" si="10"/>
        <v>0</v>
      </c>
      <c r="I113" s="284">
        <f t="shared" ca="1" si="12"/>
        <v>0</v>
      </c>
      <c r="J113" s="284">
        <f t="shared" ca="1" si="13"/>
        <v>0</v>
      </c>
      <c r="K113" s="284">
        <f t="shared" ca="1" si="14"/>
        <v>0</v>
      </c>
      <c r="L113" s="284"/>
      <c r="M113" s="284"/>
      <c r="N113" s="284"/>
      <c r="O113" s="284">
        <f t="shared" ca="1" si="11"/>
        <v>0</v>
      </c>
      <c r="Q113" s="296"/>
      <c r="R113" s="296"/>
    </row>
    <row r="114" spans="4:18">
      <c r="D114" s="310">
        <v>12</v>
      </c>
      <c r="E114" s="284">
        <f t="shared" ca="1" si="7"/>
        <v>0</v>
      </c>
      <c r="F114" s="284">
        <f t="shared" ca="1" si="8"/>
        <v>6.1125177608448968</v>
      </c>
      <c r="G114" s="284">
        <f t="shared" ca="1" si="9"/>
        <v>0</v>
      </c>
      <c r="H114" s="284">
        <f t="shared" ca="1" si="10"/>
        <v>0</v>
      </c>
      <c r="I114" s="284">
        <f t="shared" ca="1" si="12"/>
        <v>0</v>
      </c>
      <c r="J114" s="284">
        <f t="shared" ca="1" si="13"/>
        <v>0</v>
      </c>
      <c r="K114" s="284">
        <f t="shared" ca="1" si="14"/>
        <v>0</v>
      </c>
      <c r="L114" s="284"/>
      <c r="M114" s="284"/>
      <c r="N114" s="284"/>
      <c r="O114" s="284">
        <f t="shared" ca="1" si="11"/>
        <v>0</v>
      </c>
      <c r="Q114" s="296"/>
      <c r="R114" s="296"/>
    </row>
    <row r="115" spans="4:18">
      <c r="D115" s="310">
        <v>12.2</v>
      </c>
      <c r="E115" s="284">
        <f t="shared" ca="1" si="7"/>
        <v>0</v>
      </c>
      <c r="F115" s="284">
        <f t="shared" ca="1" si="8"/>
        <v>6.2143930568589774</v>
      </c>
      <c r="G115" s="284">
        <f t="shared" ca="1" si="9"/>
        <v>0</v>
      </c>
      <c r="H115" s="284">
        <f t="shared" ca="1" si="10"/>
        <v>0</v>
      </c>
      <c r="I115" s="284">
        <f t="shared" ca="1" si="12"/>
        <v>0</v>
      </c>
      <c r="J115" s="284">
        <f t="shared" ca="1" si="13"/>
        <v>0</v>
      </c>
      <c r="K115" s="284">
        <f t="shared" ca="1" si="14"/>
        <v>0</v>
      </c>
      <c r="L115" s="284"/>
      <c r="M115" s="284"/>
      <c r="N115" s="284"/>
      <c r="O115" s="284">
        <f t="shared" ca="1" si="11"/>
        <v>0</v>
      </c>
      <c r="Q115" s="296"/>
      <c r="R115" s="296"/>
    </row>
    <row r="116" spans="4:18">
      <c r="D116" s="310">
        <v>12.4</v>
      </c>
      <c r="E116" s="284">
        <f t="shared" ca="1" si="7"/>
        <v>0</v>
      </c>
      <c r="F116" s="284">
        <f t="shared" ca="1" si="8"/>
        <v>6.3162683528730597</v>
      </c>
      <c r="G116" s="284">
        <f t="shared" ca="1" si="9"/>
        <v>0</v>
      </c>
      <c r="H116" s="284">
        <f t="shared" ca="1" si="10"/>
        <v>0</v>
      </c>
      <c r="I116" s="284">
        <f t="shared" ca="1" si="12"/>
        <v>0</v>
      </c>
      <c r="J116" s="284">
        <f t="shared" ca="1" si="13"/>
        <v>0</v>
      </c>
      <c r="K116" s="284">
        <f t="shared" ca="1" si="14"/>
        <v>0</v>
      </c>
      <c r="L116" s="284"/>
      <c r="M116" s="284"/>
      <c r="N116" s="284"/>
      <c r="O116" s="284">
        <f t="shared" ca="1" si="11"/>
        <v>0</v>
      </c>
      <c r="Q116" s="296"/>
      <c r="R116" s="296"/>
    </row>
    <row r="117" spans="4:18">
      <c r="D117" s="310">
        <v>12.6</v>
      </c>
      <c r="E117" s="284">
        <f t="shared" ca="1" si="7"/>
        <v>0</v>
      </c>
      <c r="F117" s="284">
        <f t="shared" ca="1" si="8"/>
        <v>6.4181436488871411</v>
      </c>
      <c r="G117" s="284">
        <f t="shared" ca="1" si="9"/>
        <v>0</v>
      </c>
      <c r="H117" s="284">
        <f t="shared" ca="1" si="10"/>
        <v>0</v>
      </c>
      <c r="I117" s="284">
        <f t="shared" ca="1" si="12"/>
        <v>0</v>
      </c>
      <c r="J117" s="284">
        <f t="shared" ca="1" si="13"/>
        <v>0</v>
      </c>
      <c r="K117" s="284">
        <f t="shared" ca="1" si="14"/>
        <v>0</v>
      </c>
      <c r="L117" s="284"/>
      <c r="M117" s="284"/>
      <c r="N117" s="284"/>
      <c r="O117" s="284">
        <f t="shared" ca="1" si="11"/>
        <v>0</v>
      </c>
      <c r="Q117" s="296"/>
      <c r="R117" s="296"/>
    </row>
    <row r="118" spans="4:18">
      <c r="D118" s="310">
        <v>12.8</v>
      </c>
      <c r="E118" s="284">
        <f t="shared" ref="E118:E156" ca="1" si="15">IF(F118&lt;=$Q$9,F118/$Q$9,IF(F118&lt;=$Q$10,($Q$10-F118)/$Q$11,0))</f>
        <v>0</v>
      </c>
      <c r="F118" s="284">
        <f t="shared" ref="F118:F156" ca="1" si="16">D118*$Q$8</f>
        <v>6.5200189449012234</v>
      </c>
      <c r="G118" s="284">
        <f t="shared" ref="G118:G156" ca="1" si="17">E118*$Q$12</f>
        <v>0</v>
      </c>
      <c r="H118" s="284">
        <f t="shared" ca="1" si="10"/>
        <v>0</v>
      </c>
      <c r="I118" s="284">
        <f t="shared" ca="1" si="12"/>
        <v>0</v>
      </c>
      <c r="J118" s="284">
        <f t="shared" ca="1" si="13"/>
        <v>0</v>
      </c>
      <c r="K118" s="284">
        <f t="shared" ca="1" si="14"/>
        <v>0</v>
      </c>
      <c r="L118" s="284"/>
      <c r="M118" s="284"/>
      <c r="N118" s="284"/>
      <c r="O118" s="284">
        <f t="shared" ca="1" si="11"/>
        <v>0</v>
      </c>
      <c r="Q118" s="296"/>
      <c r="R118" s="296"/>
    </row>
    <row r="119" spans="4:18">
      <c r="D119" s="310">
        <v>13</v>
      </c>
      <c r="E119" s="284">
        <f t="shared" ca="1" si="15"/>
        <v>0</v>
      </c>
      <c r="F119" s="284">
        <f t="shared" ca="1" si="16"/>
        <v>6.6218942409153048</v>
      </c>
      <c r="G119" s="284">
        <f t="shared" ca="1" si="17"/>
        <v>0</v>
      </c>
      <c r="H119" s="284">
        <f t="shared" ref="H119:H156" ca="1" si="18">$G119*H$53</f>
        <v>0</v>
      </c>
      <c r="I119" s="284">
        <f t="shared" ca="1" si="12"/>
        <v>0</v>
      </c>
      <c r="J119" s="284">
        <f t="shared" ca="1" si="13"/>
        <v>0</v>
      </c>
      <c r="K119" s="284">
        <f t="shared" ca="1" si="14"/>
        <v>0</v>
      </c>
      <c r="L119" s="284"/>
      <c r="M119" s="284"/>
      <c r="N119" s="284"/>
      <c r="O119" s="284">
        <f t="shared" ref="O119:O156" ca="1" si="19">SUM(H119:N119)</f>
        <v>0</v>
      </c>
      <c r="Q119" s="296"/>
      <c r="R119" s="296"/>
    </row>
    <row r="120" spans="4:18">
      <c r="D120" s="310">
        <v>13.2</v>
      </c>
      <c r="E120" s="284">
        <f t="shared" ca="1" si="15"/>
        <v>0</v>
      </c>
      <c r="F120" s="284">
        <f t="shared" ca="1" si="16"/>
        <v>6.7237695369293853</v>
      </c>
      <c r="G120" s="284">
        <f t="shared" ca="1" si="17"/>
        <v>0</v>
      </c>
      <c r="H120" s="284">
        <f t="shared" ca="1" si="18"/>
        <v>0</v>
      </c>
      <c r="I120" s="284">
        <f t="shared" ca="1" si="12"/>
        <v>0</v>
      </c>
      <c r="J120" s="284">
        <f t="shared" ca="1" si="13"/>
        <v>0</v>
      </c>
      <c r="K120" s="284">
        <f t="shared" ca="1" si="14"/>
        <v>0</v>
      </c>
      <c r="L120" s="284"/>
      <c r="M120" s="284"/>
      <c r="N120" s="284"/>
      <c r="O120" s="284">
        <f t="shared" ca="1" si="19"/>
        <v>0</v>
      </c>
      <c r="Q120" s="296"/>
      <c r="R120" s="296"/>
    </row>
    <row r="121" spans="4:18">
      <c r="D121" s="310">
        <v>13.4</v>
      </c>
      <c r="E121" s="284">
        <f t="shared" ca="1" si="15"/>
        <v>0</v>
      </c>
      <c r="F121" s="284">
        <f t="shared" ca="1" si="16"/>
        <v>6.8256448329434676</v>
      </c>
      <c r="G121" s="284">
        <f t="shared" ca="1" si="17"/>
        <v>0</v>
      </c>
      <c r="H121" s="284">
        <f t="shared" ca="1" si="18"/>
        <v>0</v>
      </c>
      <c r="I121" s="284">
        <f t="shared" ca="1" si="12"/>
        <v>0</v>
      </c>
      <c r="J121" s="284">
        <f t="shared" ca="1" si="13"/>
        <v>0</v>
      </c>
      <c r="K121" s="284">
        <f t="shared" ca="1" si="14"/>
        <v>0</v>
      </c>
      <c r="L121" s="284"/>
      <c r="M121" s="284"/>
      <c r="N121" s="284"/>
      <c r="O121" s="284">
        <f t="shared" ca="1" si="19"/>
        <v>0</v>
      </c>
      <c r="Q121" s="296"/>
      <c r="R121" s="296"/>
    </row>
    <row r="122" spans="4:18">
      <c r="D122" s="310">
        <v>13.6</v>
      </c>
      <c r="E122" s="284">
        <f t="shared" ca="1" si="15"/>
        <v>0</v>
      </c>
      <c r="F122" s="284">
        <f t="shared" ca="1" si="16"/>
        <v>6.927520128957549</v>
      </c>
      <c r="G122" s="284">
        <f t="shared" ca="1" si="17"/>
        <v>0</v>
      </c>
      <c r="H122" s="284">
        <f t="shared" ca="1" si="18"/>
        <v>0</v>
      </c>
      <c r="I122" s="284">
        <f t="shared" ca="1" si="12"/>
        <v>0</v>
      </c>
      <c r="J122" s="284">
        <f t="shared" ca="1" si="13"/>
        <v>0</v>
      </c>
      <c r="K122" s="284">
        <f t="shared" ca="1" si="14"/>
        <v>0</v>
      </c>
      <c r="L122" s="284"/>
      <c r="M122" s="284"/>
      <c r="N122" s="284"/>
      <c r="O122" s="284">
        <f t="shared" ca="1" si="19"/>
        <v>0</v>
      </c>
      <c r="Q122" s="296"/>
      <c r="R122" s="296"/>
    </row>
    <row r="123" spans="4:18">
      <c r="D123" s="310">
        <v>13.8</v>
      </c>
      <c r="E123" s="284">
        <f t="shared" ca="1" si="15"/>
        <v>0</v>
      </c>
      <c r="F123" s="284">
        <f t="shared" ca="1" si="16"/>
        <v>7.0293954249716313</v>
      </c>
      <c r="G123" s="284">
        <f t="shared" ca="1" si="17"/>
        <v>0</v>
      </c>
      <c r="H123" s="284">
        <f t="shared" ca="1" si="18"/>
        <v>0</v>
      </c>
      <c r="I123" s="284">
        <f t="shared" ca="1" si="12"/>
        <v>0</v>
      </c>
      <c r="J123" s="284">
        <f t="shared" ca="1" si="13"/>
        <v>0</v>
      </c>
      <c r="K123" s="284">
        <f t="shared" ca="1" si="14"/>
        <v>0</v>
      </c>
      <c r="L123" s="284"/>
      <c r="M123" s="284"/>
      <c r="N123" s="284"/>
      <c r="O123" s="284">
        <f t="shared" ca="1" si="19"/>
        <v>0</v>
      </c>
      <c r="Q123" s="296"/>
      <c r="R123" s="296"/>
    </row>
    <row r="124" spans="4:18">
      <c r="D124" s="310">
        <v>14</v>
      </c>
      <c r="E124" s="284">
        <f t="shared" ca="1" si="15"/>
        <v>0</v>
      </c>
      <c r="F124" s="284">
        <f t="shared" ca="1" si="16"/>
        <v>7.1312707209857127</v>
      </c>
      <c r="G124" s="284">
        <f t="shared" ca="1" si="17"/>
        <v>0</v>
      </c>
      <c r="H124" s="284">
        <f t="shared" ca="1" si="18"/>
        <v>0</v>
      </c>
      <c r="I124" s="284">
        <f t="shared" ref="I124:I156" ca="1" si="20">$G119*I$53</f>
        <v>0</v>
      </c>
      <c r="J124" s="284">
        <f t="shared" ca="1" si="13"/>
        <v>0</v>
      </c>
      <c r="K124" s="284">
        <f t="shared" ca="1" si="14"/>
        <v>0</v>
      </c>
      <c r="L124" s="284"/>
      <c r="M124" s="284"/>
      <c r="N124" s="284"/>
      <c r="O124" s="284">
        <f t="shared" ca="1" si="19"/>
        <v>0</v>
      </c>
      <c r="Q124" s="296"/>
      <c r="R124" s="296"/>
    </row>
    <row r="125" spans="4:18">
      <c r="D125" s="310">
        <v>14.2</v>
      </c>
      <c r="E125" s="284">
        <f t="shared" ca="1" si="15"/>
        <v>0</v>
      </c>
      <c r="F125" s="284">
        <f t="shared" ca="1" si="16"/>
        <v>7.2331460169997941</v>
      </c>
      <c r="G125" s="284">
        <f t="shared" ca="1" si="17"/>
        <v>0</v>
      </c>
      <c r="H125" s="284">
        <f t="shared" ca="1" si="18"/>
        <v>0</v>
      </c>
      <c r="I125" s="284">
        <f t="shared" ca="1" si="20"/>
        <v>0</v>
      </c>
      <c r="J125" s="284">
        <f t="shared" ca="1" si="13"/>
        <v>0</v>
      </c>
      <c r="K125" s="284">
        <f t="shared" ca="1" si="14"/>
        <v>0</v>
      </c>
      <c r="L125" s="284"/>
      <c r="M125" s="284"/>
      <c r="N125" s="284"/>
      <c r="O125" s="284">
        <f t="shared" ca="1" si="19"/>
        <v>0</v>
      </c>
      <c r="Q125" s="296"/>
      <c r="R125" s="296"/>
    </row>
    <row r="126" spans="4:18">
      <c r="D126" s="310">
        <v>14.4</v>
      </c>
      <c r="E126" s="284">
        <f t="shared" ca="1" si="15"/>
        <v>0</v>
      </c>
      <c r="F126" s="284">
        <f t="shared" ca="1" si="16"/>
        <v>7.3350213130138755</v>
      </c>
      <c r="G126" s="284">
        <f t="shared" ca="1" si="17"/>
        <v>0</v>
      </c>
      <c r="H126" s="284">
        <f t="shared" ca="1" si="18"/>
        <v>0</v>
      </c>
      <c r="I126" s="284">
        <f t="shared" ca="1" si="20"/>
        <v>0</v>
      </c>
      <c r="J126" s="284">
        <f t="shared" ca="1" si="13"/>
        <v>0</v>
      </c>
      <c r="K126" s="284">
        <f t="shared" ca="1" si="14"/>
        <v>0</v>
      </c>
      <c r="L126" s="284"/>
      <c r="M126" s="284"/>
      <c r="N126" s="284"/>
      <c r="O126" s="284">
        <f t="shared" ca="1" si="19"/>
        <v>0</v>
      </c>
      <c r="Q126" s="296"/>
      <c r="R126" s="296"/>
    </row>
    <row r="127" spans="4:18">
      <c r="D127" s="310">
        <v>14.6</v>
      </c>
      <c r="E127" s="284">
        <f t="shared" ca="1" si="15"/>
        <v>0</v>
      </c>
      <c r="F127" s="284">
        <f t="shared" ca="1" si="16"/>
        <v>7.4368966090279569</v>
      </c>
      <c r="G127" s="284">
        <f t="shared" ca="1" si="17"/>
        <v>0</v>
      </c>
      <c r="H127" s="284">
        <f t="shared" ca="1" si="18"/>
        <v>0</v>
      </c>
      <c r="I127" s="284">
        <f t="shared" ca="1" si="20"/>
        <v>0</v>
      </c>
      <c r="J127" s="284">
        <f t="shared" ca="1" si="13"/>
        <v>0</v>
      </c>
      <c r="K127" s="284">
        <f t="shared" ca="1" si="14"/>
        <v>0</v>
      </c>
      <c r="L127" s="284"/>
      <c r="M127" s="284"/>
      <c r="N127" s="284"/>
      <c r="O127" s="284">
        <f t="shared" ca="1" si="19"/>
        <v>0</v>
      </c>
      <c r="Q127" s="296"/>
      <c r="R127" s="296"/>
    </row>
    <row r="128" spans="4:18">
      <c r="D128" s="310">
        <v>14.8</v>
      </c>
      <c r="E128" s="284">
        <f t="shared" ca="1" si="15"/>
        <v>0</v>
      </c>
      <c r="F128" s="284">
        <f t="shared" ca="1" si="16"/>
        <v>7.5387719050420392</v>
      </c>
      <c r="G128" s="284">
        <f t="shared" ca="1" si="17"/>
        <v>0</v>
      </c>
      <c r="H128" s="284">
        <f t="shared" ca="1" si="18"/>
        <v>0</v>
      </c>
      <c r="I128" s="284">
        <f t="shared" ca="1" si="20"/>
        <v>0</v>
      </c>
      <c r="J128" s="284">
        <f t="shared" ca="1" si="13"/>
        <v>0</v>
      </c>
      <c r="K128" s="284">
        <f t="shared" ca="1" si="14"/>
        <v>0</v>
      </c>
      <c r="L128" s="284"/>
      <c r="M128" s="284"/>
      <c r="N128" s="284"/>
      <c r="O128" s="284">
        <f t="shared" ca="1" si="19"/>
        <v>0</v>
      </c>
      <c r="Q128" s="296"/>
      <c r="R128" s="296"/>
    </row>
    <row r="129" spans="4:18">
      <c r="D129" s="310">
        <v>15</v>
      </c>
      <c r="E129" s="284">
        <f t="shared" ca="1" si="15"/>
        <v>0</v>
      </c>
      <c r="F129" s="284">
        <f t="shared" ca="1" si="16"/>
        <v>7.6406472010561206</v>
      </c>
      <c r="G129" s="284">
        <f t="shared" ca="1" si="17"/>
        <v>0</v>
      </c>
      <c r="H129" s="284">
        <f t="shared" ca="1" si="18"/>
        <v>0</v>
      </c>
      <c r="I129" s="284">
        <f t="shared" ca="1" si="20"/>
        <v>0</v>
      </c>
      <c r="J129" s="284">
        <f t="shared" ref="J129:J156" ca="1" si="21">$G119*J$53</f>
        <v>0</v>
      </c>
      <c r="K129" s="284">
        <f t="shared" ca="1" si="14"/>
        <v>0</v>
      </c>
      <c r="L129" s="284"/>
      <c r="M129" s="284"/>
      <c r="N129" s="284"/>
      <c r="O129" s="284">
        <f t="shared" ca="1" si="19"/>
        <v>0</v>
      </c>
      <c r="Q129" s="296"/>
      <c r="R129" s="296"/>
    </row>
    <row r="130" spans="4:18">
      <c r="D130" s="310">
        <v>15.2</v>
      </c>
      <c r="E130" s="284">
        <f t="shared" ca="1" si="15"/>
        <v>0</v>
      </c>
      <c r="F130" s="284">
        <f t="shared" ca="1" si="16"/>
        <v>7.742522497070202</v>
      </c>
      <c r="G130" s="284">
        <f t="shared" ca="1" si="17"/>
        <v>0</v>
      </c>
      <c r="H130" s="284">
        <f t="shared" ca="1" si="18"/>
        <v>0</v>
      </c>
      <c r="I130" s="284">
        <f t="shared" ca="1" si="20"/>
        <v>0</v>
      </c>
      <c r="J130" s="284">
        <f t="shared" ca="1" si="21"/>
        <v>0</v>
      </c>
      <c r="K130" s="284">
        <f t="shared" ca="1" si="14"/>
        <v>0</v>
      </c>
      <c r="L130" s="284"/>
      <c r="M130" s="284"/>
      <c r="N130" s="284"/>
      <c r="O130" s="284">
        <f t="shared" ca="1" si="19"/>
        <v>0</v>
      </c>
      <c r="Q130" s="296"/>
      <c r="R130" s="296"/>
    </row>
    <row r="131" spans="4:18">
      <c r="D131" s="310">
        <v>15.4</v>
      </c>
      <c r="E131" s="284">
        <f t="shared" ca="1" si="15"/>
        <v>0</v>
      </c>
      <c r="F131" s="284">
        <f t="shared" ca="1" si="16"/>
        <v>7.8443977930842843</v>
      </c>
      <c r="G131" s="284">
        <f t="shared" ca="1" si="17"/>
        <v>0</v>
      </c>
      <c r="H131" s="284">
        <f t="shared" ca="1" si="18"/>
        <v>0</v>
      </c>
      <c r="I131" s="284">
        <f t="shared" ca="1" si="20"/>
        <v>0</v>
      </c>
      <c r="J131" s="284">
        <f t="shared" ca="1" si="21"/>
        <v>0</v>
      </c>
      <c r="K131" s="284">
        <f t="shared" ca="1" si="14"/>
        <v>0</v>
      </c>
      <c r="L131" s="284"/>
      <c r="M131" s="284"/>
      <c r="N131" s="284"/>
      <c r="O131" s="284">
        <f t="shared" ca="1" si="19"/>
        <v>0</v>
      </c>
      <c r="Q131" s="296"/>
      <c r="R131" s="296"/>
    </row>
    <row r="132" spans="4:18">
      <c r="D132" s="310">
        <v>15.6</v>
      </c>
      <c r="E132" s="284">
        <f t="shared" ca="1" si="15"/>
        <v>0</v>
      </c>
      <c r="F132" s="284">
        <f t="shared" ca="1" si="16"/>
        <v>7.9462730890983648</v>
      </c>
      <c r="G132" s="284">
        <f t="shared" ca="1" si="17"/>
        <v>0</v>
      </c>
      <c r="H132" s="284">
        <f t="shared" ca="1" si="18"/>
        <v>0</v>
      </c>
      <c r="I132" s="284">
        <f t="shared" ca="1" si="20"/>
        <v>0</v>
      </c>
      <c r="J132" s="284">
        <f t="shared" ca="1" si="21"/>
        <v>0</v>
      </c>
      <c r="K132" s="284">
        <f t="shared" ca="1" si="14"/>
        <v>0</v>
      </c>
      <c r="L132" s="284"/>
      <c r="M132" s="284"/>
      <c r="N132" s="284"/>
      <c r="O132" s="284">
        <f t="shared" ca="1" si="19"/>
        <v>0</v>
      </c>
      <c r="Q132" s="296"/>
      <c r="R132" s="296"/>
    </row>
    <row r="133" spans="4:18">
      <c r="D133" s="310">
        <v>15.8</v>
      </c>
      <c r="E133" s="284">
        <f t="shared" ca="1" si="15"/>
        <v>0</v>
      </c>
      <c r="F133" s="284">
        <f t="shared" ca="1" si="16"/>
        <v>8.048148385112448</v>
      </c>
      <c r="G133" s="284">
        <f t="shared" ca="1" si="17"/>
        <v>0</v>
      </c>
      <c r="H133" s="284">
        <f t="shared" ca="1" si="18"/>
        <v>0</v>
      </c>
      <c r="I133" s="284">
        <f t="shared" ca="1" si="20"/>
        <v>0</v>
      </c>
      <c r="J133" s="284">
        <f t="shared" ca="1" si="21"/>
        <v>0</v>
      </c>
      <c r="K133" s="284">
        <f t="shared" ca="1" si="14"/>
        <v>0</v>
      </c>
      <c r="L133" s="284"/>
      <c r="M133" s="284"/>
      <c r="N133" s="284"/>
      <c r="O133" s="284">
        <f t="shared" ca="1" si="19"/>
        <v>0</v>
      </c>
      <c r="Q133" s="296"/>
      <c r="R133" s="296"/>
    </row>
    <row r="134" spans="4:18">
      <c r="D134" s="310">
        <v>16</v>
      </c>
      <c r="E134" s="284">
        <f t="shared" ca="1" si="15"/>
        <v>0</v>
      </c>
      <c r="F134" s="284">
        <f t="shared" ca="1" si="16"/>
        <v>8.1500236811265285</v>
      </c>
      <c r="G134" s="284">
        <f t="shared" ca="1" si="17"/>
        <v>0</v>
      </c>
      <c r="H134" s="284">
        <f t="shared" ca="1" si="18"/>
        <v>0</v>
      </c>
      <c r="I134" s="284">
        <f t="shared" ca="1" si="20"/>
        <v>0</v>
      </c>
      <c r="J134" s="284">
        <f t="shared" ca="1" si="21"/>
        <v>0</v>
      </c>
      <c r="K134" s="284">
        <f t="shared" ref="K134:K156" ca="1" si="22">$G119*K$53</f>
        <v>0</v>
      </c>
      <c r="L134" s="284"/>
      <c r="M134" s="284"/>
      <c r="N134" s="284"/>
      <c r="O134" s="284">
        <f t="shared" ca="1" si="19"/>
        <v>0</v>
      </c>
      <c r="Q134" s="296"/>
      <c r="R134" s="296"/>
    </row>
    <row r="135" spans="4:18">
      <c r="D135" s="310">
        <v>16.2</v>
      </c>
      <c r="E135" s="284">
        <f t="shared" ca="1" si="15"/>
        <v>0</v>
      </c>
      <c r="F135" s="284">
        <f t="shared" ca="1" si="16"/>
        <v>8.251898977140609</v>
      </c>
      <c r="G135" s="284">
        <f t="shared" ca="1" si="17"/>
        <v>0</v>
      </c>
      <c r="H135" s="284">
        <f t="shared" ca="1" si="18"/>
        <v>0</v>
      </c>
      <c r="I135" s="284">
        <f t="shared" ca="1" si="20"/>
        <v>0</v>
      </c>
      <c r="J135" s="284">
        <f t="shared" ca="1" si="21"/>
        <v>0</v>
      </c>
      <c r="K135" s="284">
        <f t="shared" ca="1" si="22"/>
        <v>0</v>
      </c>
      <c r="L135" s="284"/>
      <c r="M135" s="284"/>
      <c r="N135" s="284"/>
      <c r="O135" s="284">
        <f t="shared" ca="1" si="19"/>
        <v>0</v>
      </c>
      <c r="Q135" s="296"/>
      <c r="R135" s="296"/>
    </row>
    <row r="136" spans="4:18">
      <c r="D136" s="310">
        <v>16.399999999999999</v>
      </c>
      <c r="E136" s="284">
        <f t="shared" ca="1" si="15"/>
        <v>0</v>
      </c>
      <c r="F136" s="284">
        <f t="shared" ca="1" si="16"/>
        <v>8.3537742731546913</v>
      </c>
      <c r="G136" s="284">
        <f t="shared" ca="1" si="17"/>
        <v>0</v>
      </c>
      <c r="H136" s="284">
        <f t="shared" ca="1" si="18"/>
        <v>0</v>
      </c>
      <c r="I136" s="284">
        <f t="shared" ca="1" si="20"/>
        <v>0</v>
      </c>
      <c r="J136" s="284">
        <f t="shared" ca="1" si="21"/>
        <v>0</v>
      </c>
      <c r="K136" s="284">
        <f t="shared" ca="1" si="22"/>
        <v>0</v>
      </c>
      <c r="L136" s="284"/>
      <c r="M136" s="284"/>
      <c r="N136" s="284"/>
      <c r="O136" s="284">
        <f t="shared" ca="1" si="19"/>
        <v>0</v>
      </c>
      <c r="Q136" s="296"/>
      <c r="R136" s="296"/>
    </row>
    <row r="137" spans="4:18">
      <c r="D137" s="310">
        <v>16.600000000000001</v>
      </c>
      <c r="E137" s="284">
        <f t="shared" ca="1" si="15"/>
        <v>0</v>
      </c>
      <c r="F137" s="284">
        <f t="shared" ca="1" si="16"/>
        <v>8.4556495691687736</v>
      </c>
      <c r="G137" s="284">
        <f t="shared" ca="1" si="17"/>
        <v>0</v>
      </c>
      <c r="H137" s="284">
        <f t="shared" ca="1" si="18"/>
        <v>0</v>
      </c>
      <c r="I137" s="284">
        <f t="shared" ca="1" si="20"/>
        <v>0</v>
      </c>
      <c r="J137" s="284">
        <f t="shared" ca="1" si="21"/>
        <v>0</v>
      </c>
      <c r="K137" s="284">
        <f t="shared" ca="1" si="22"/>
        <v>0</v>
      </c>
      <c r="L137" s="284"/>
      <c r="M137" s="284"/>
      <c r="N137" s="284"/>
      <c r="O137" s="284">
        <f t="shared" ca="1" si="19"/>
        <v>0</v>
      </c>
      <c r="Q137" s="296"/>
      <c r="R137" s="296"/>
    </row>
    <row r="138" spans="4:18">
      <c r="D138" s="310">
        <v>16.8</v>
      </c>
      <c r="E138" s="284">
        <f t="shared" ca="1" si="15"/>
        <v>0</v>
      </c>
      <c r="F138" s="284">
        <f t="shared" ca="1" si="16"/>
        <v>8.5575248651828559</v>
      </c>
      <c r="G138" s="284">
        <f t="shared" ca="1" si="17"/>
        <v>0</v>
      </c>
      <c r="H138" s="284">
        <f t="shared" ca="1" si="18"/>
        <v>0</v>
      </c>
      <c r="I138" s="284">
        <f t="shared" ca="1" si="20"/>
        <v>0</v>
      </c>
      <c r="J138" s="284">
        <f t="shared" ca="1" si="21"/>
        <v>0</v>
      </c>
      <c r="K138" s="284">
        <f t="shared" ca="1" si="22"/>
        <v>0</v>
      </c>
      <c r="L138" s="284"/>
      <c r="M138" s="284"/>
      <c r="N138" s="284"/>
      <c r="O138" s="284">
        <f t="shared" ca="1" si="19"/>
        <v>0</v>
      </c>
      <c r="Q138" s="296"/>
      <c r="R138" s="296"/>
    </row>
    <row r="139" spans="4:18">
      <c r="D139" s="310">
        <v>17</v>
      </c>
      <c r="E139" s="284">
        <f t="shared" ca="1" si="15"/>
        <v>0</v>
      </c>
      <c r="F139" s="284">
        <f t="shared" ca="1" si="16"/>
        <v>8.6594001611969365</v>
      </c>
      <c r="G139" s="284">
        <f t="shared" ca="1" si="17"/>
        <v>0</v>
      </c>
      <c r="H139" s="284">
        <f t="shared" ca="1" si="18"/>
        <v>0</v>
      </c>
      <c r="I139" s="284">
        <f t="shared" ca="1" si="20"/>
        <v>0</v>
      </c>
      <c r="J139" s="284">
        <f t="shared" ca="1" si="21"/>
        <v>0</v>
      </c>
      <c r="K139" s="284">
        <f t="shared" ca="1" si="22"/>
        <v>0</v>
      </c>
      <c r="L139" s="284"/>
      <c r="M139" s="284"/>
      <c r="N139" s="284"/>
      <c r="O139" s="284">
        <f t="shared" ca="1" si="19"/>
        <v>0</v>
      </c>
      <c r="Q139" s="296"/>
      <c r="R139" s="296"/>
    </row>
    <row r="140" spans="4:18">
      <c r="D140" s="310">
        <v>17.2</v>
      </c>
      <c r="E140" s="284">
        <f t="shared" ca="1" si="15"/>
        <v>0</v>
      </c>
      <c r="F140" s="284">
        <f t="shared" ca="1" si="16"/>
        <v>8.761275457211017</v>
      </c>
      <c r="G140" s="284">
        <f t="shared" ca="1" si="17"/>
        <v>0</v>
      </c>
      <c r="H140" s="284">
        <f t="shared" ca="1" si="18"/>
        <v>0</v>
      </c>
      <c r="I140" s="284">
        <f t="shared" ca="1" si="20"/>
        <v>0</v>
      </c>
      <c r="J140" s="284">
        <f t="shared" ca="1" si="21"/>
        <v>0</v>
      </c>
      <c r="K140" s="284">
        <f t="shared" ca="1" si="22"/>
        <v>0</v>
      </c>
      <c r="L140" s="284"/>
      <c r="M140" s="284"/>
      <c r="N140" s="284"/>
      <c r="O140" s="284">
        <f t="shared" ca="1" si="19"/>
        <v>0</v>
      </c>
      <c r="Q140" s="296"/>
      <c r="R140" s="296"/>
    </row>
    <row r="141" spans="4:18">
      <c r="D141" s="310">
        <v>17.399999999999999</v>
      </c>
      <c r="E141" s="284">
        <f t="shared" ca="1" si="15"/>
        <v>0</v>
      </c>
      <c r="F141" s="284">
        <f t="shared" ca="1" si="16"/>
        <v>8.8631507532250993</v>
      </c>
      <c r="G141" s="284">
        <f t="shared" ca="1" si="17"/>
        <v>0</v>
      </c>
      <c r="H141" s="284">
        <f t="shared" ca="1" si="18"/>
        <v>0</v>
      </c>
      <c r="I141" s="284">
        <f t="shared" ca="1" si="20"/>
        <v>0</v>
      </c>
      <c r="J141" s="284">
        <f t="shared" ca="1" si="21"/>
        <v>0</v>
      </c>
      <c r="K141" s="284">
        <f t="shared" ca="1" si="22"/>
        <v>0</v>
      </c>
      <c r="L141" s="284"/>
      <c r="M141" s="284"/>
      <c r="N141" s="284"/>
      <c r="O141" s="284">
        <f t="shared" ca="1" si="19"/>
        <v>0</v>
      </c>
      <c r="Q141" s="296"/>
      <c r="R141" s="296"/>
    </row>
    <row r="142" spans="4:18">
      <c r="D142" s="310">
        <v>17.600000000000001</v>
      </c>
      <c r="E142" s="284">
        <f t="shared" ca="1" si="15"/>
        <v>0</v>
      </c>
      <c r="F142" s="284">
        <f t="shared" ca="1" si="16"/>
        <v>8.9650260492391816</v>
      </c>
      <c r="G142" s="284">
        <f t="shared" ca="1" si="17"/>
        <v>0</v>
      </c>
      <c r="H142" s="284">
        <f t="shared" ca="1" si="18"/>
        <v>0</v>
      </c>
      <c r="I142" s="284">
        <f t="shared" ca="1" si="20"/>
        <v>0</v>
      </c>
      <c r="J142" s="284">
        <f t="shared" ca="1" si="21"/>
        <v>0</v>
      </c>
      <c r="K142" s="284">
        <f t="shared" ca="1" si="22"/>
        <v>0</v>
      </c>
      <c r="L142" s="284"/>
      <c r="M142" s="284"/>
      <c r="N142" s="284"/>
      <c r="O142" s="284">
        <f t="shared" ca="1" si="19"/>
        <v>0</v>
      </c>
      <c r="Q142" s="296"/>
      <c r="R142" s="296"/>
    </row>
    <row r="143" spans="4:18">
      <c r="D143" s="310">
        <v>17.8</v>
      </c>
      <c r="E143" s="284">
        <f t="shared" ca="1" si="15"/>
        <v>0</v>
      </c>
      <c r="F143" s="284">
        <f t="shared" ca="1" si="16"/>
        <v>9.0669013452532639</v>
      </c>
      <c r="G143" s="284">
        <f t="shared" ca="1" si="17"/>
        <v>0</v>
      </c>
      <c r="H143" s="284">
        <f t="shared" ca="1" si="18"/>
        <v>0</v>
      </c>
      <c r="I143" s="284">
        <f t="shared" ca="1" si="20"/>
        <v>0</v>
      </c>
      <c r="J143" s="284">
        <f t="shared" ca="1" si="21"/>
        <v>0</v>
      </c>
      <c r="K143" s="284">
        <f t="shared" ca="1" si="22"/>
        <v>0</v>
      </c>
      <c r="L143" s="284"/>
      <c r="M143" s="284"/>
      <c r="N143" s="284"/>
      <c r="O143" s="284">
        <f t="shared" ca="1" si="19"/>
        <v>0</v>
      </c>
      <c r="Q143" s="296"/>
      <c r="R143" s="296"/>
    </row>
    <row r="144" spans="4:18">
      <c r="D144" s="310">
        <v>18</v>
      </c>
      <c r="E144" s="284">
        <f t="shared" ca="1" si="15"/>
        <v>0</v>
      </c>
      <c r="F144" s="284">
        <f t="shared" ca="1" si="16"/>
        <v>9.1687766412673444</v>
      </c>
      <c r="G144" s="284">
        <f t="shared" ca="1" si="17"/>
        <v>0</v>
      </c>
      <c r="H144" s="284">
        <f t="shared" ca="1" si="18"/>
        <v>0</v>
      </c>
      <c r="I144" s="284">
        <f t="shared" ca="1" si="20"/>
        <v>0</v>
      </c>
      <c r="J144" s="284">
        <f t="shared" ca="1" si="21"/>
        <v>0</v>
      </c>
      <c r="K144" s="284">
        <f t="shared" ca="1" si="22"/>
        <v>0</v>
      </c>
      <c r="L144" s="284"/>
      <c r="M144" s="284"/>
      <c r="N144" s="284"/>
      <c r="O144" s="284">
        <f t="shared" ca="1" si="19"/>
        <v>0</v>
      </c>
      <c r="Q144" s="296"/>
      <c r="R144" s="296"/>
    </row>
    <row r="145" spans="3:21">
      <c r="D145" s="310">
        <v>18.2</v>
      </c>
      <c r="E145" s="284">
        <f t="shared" ca="1" si="15"/>
        <v>0</v>
      </c>
      <c r="F145" s="284">
        <f t="shared" ca="1" si="16"/>
        <v>9.2706519372814267</v>
      </c>
      <c r="G145" s="284">
        <f t="shared" ca="1" si="17"/>
        <v>0</v>
      </c>
      <c r="H145" s="284">
        <f t="shared" ca="1" si="18"/>
        <v>0</v>
      </c>
      <c r="I145" s="284">
        <f t="shared" ca="1" si="20"/>
        <v>0</v>
      </c>
      <c r="J145" s="284">
        <f t="shared" ca="1" si="21"/>
        <v>0</v>
      </c>
      <c r="K145" s="284">
        <f t="shared" ca="1" si="22"/>
        <v>0</v>
      </c>
      <c r="L145" s="284"/>
      <c r="M145" s="284"/>
      <c r="N145" s="284"/>
      <c r="O145" s="284">
        <f t="shared" ca="1" si="19"/>
        <v>0</v>
      </c>
      <c r="Q145" s="296"/>
      <c r="R145" s="296"/>
    </row>
    <row r="146" spans="3:21">
      <c r="D146" s="310">
        <v>18.399999999999999</v>
      </c>
      <c r="E146" s="284">
        <f t="shared" ca="1" si="15"/>
        <v>0</v>
      </c>
      <c r="F146" s="284">
        <f t="shared" ca="1" si="16"/>
        <v>9.3725272332955072</v>
      </c>
      <c r="G146" s="284">
        <f t="shared" ca="1" si="17"/>
        <v>0</v>
      </c>
      <c r="H146" s="284">
        <f t="shared" ca="1" si="18"/>
        <v>0</v>
      </c>
      <c r="I146" s="284">
        <f t="shared" ca="1" si="20"/>
        <v>0</v>
      </c>
      <c r="J146" s="284">
        <f t="shared" ca="1" si="21"/>
        <v>0</v>
      </c>
      <c r="K146" s="284">
        <f t="shared" ca="1" si="22"/>
        <v>0</v>
      </c>
      <c r="L146" s="284"/>
      <c r="M146" s="284"/>
      <c r="N146" s="284"/>
      <c r="O146" s="284">
        <f t="shared" ca="1" si="19"/>
        <v>0</v>
      </c>
      <c r="Q146" s="296"/>
      <c r="R146" s="296"/>
    </row>
    <row r="147" spans="3:21">
      <c r="D147" s="310">
        <v>18.600000000000001</v>
      </c>
      <c r="E147" s="284">
        <f t="shared" ca="1" si="15"/>
        <v>0</v>
      </c>
      <c r="F147" s="284">
        <f t="shared" ca="1" si="16"/>
        <v>9.4744025293095895</v>
      </c>
      <c r="G147" s="284">
        <f t="shared" ca="1" si="17"/>
        <v>0</v>
      </c>
      <c r="H147" s="284">
        <f t="shared" ca="1" si="18"/>
        <v>0</v>
      </c>
      <c r="I147" s="284">
        <f t="shared" ca="1" si="20"/>
        <v>0</v>
      </c>
      <c r="J147" s="284">
        <f t="shared" ca="1" si="21"/>
        <v>0</v>
      </c>
      <c r="K147" s="284">
        <f t="shared" ca="1" si="22"/>
        <v>0</v>
      </c>
      <c r="L147" s="284"/>
      <c r="M147" s="284"/>
      <c r="N147" s="284"/>
      <c r="O147" s="284">
        <f t="shared" ca="1" si="19"/>
        <v>0</v>
      </c>
      <c r="Q147" s="296"/>
      <c r="R147" s="296"/>
    </row>
    <row r="148" spans="3:21">
      <c r="D148" s="310">
        <v>18.8</v>
      </c>
      <c r="E148" s="284">
        <f t="shared" ca="1" si="15"/>
        <v>0</v>
      </c>
      <c r="F148" s="284">
        <f t="shared" ca="1" si="16"/>
        <v>9.5762778253236718</v>
      </c>
      <c r="G148" s="284">
        <f t="shared" ca="1" si="17"/>
        <v>0</v>
      </c>
      <c r="H148" s="284">
        <f t="shared" ca="1" si="18"/>
        <v>0</v>
      </c>
      <c r="I148" s="284">
        <f t="shared" ca="1" si="20"/>
        <v>0</v>
      </c>
      <c r="J148" s="284">
        <f t="shared" ca="1" si="21"/>
        <v>0</v>
      </c>
      <c r="K148" s="284">
        <f t="shared" ca="1" si="22"/>
        <v>0</v>
      </c>
      <c r="L148" s="284"/>
      <c r="M148" s="284"/>
      <c r="N148" s="284"/>
      <c r="O148" s="284">
        <f t="shared" ca="1" si="19"/>
        <v>0</v>
      </c>
      <c r="Q148" s="296"/>
      <c r="R148" s="296"/>
    </row>
    <row r="149" spans="3:21">
      <c r="D149" s="310">
        <v>19</v>
      </c>
      <c r="E149" s="284">
        <f t="shared" ca="1" si="15"/>
        <v>0</v>
      </c>
      <c r="F149" s="284">
        <f t="shared" ca="1" si="16"/>
        <v>9.6781531213377523</v>
      </c>
      <c r="G149" s="284">
        <f t="shared" ca="1" si="17"/>
        <v>0</v>
      </c>
      <c r="H149" s="284">
        <f t="shared" ca="1" si="18"/>
        <v>0</v>
      </c>
      <c r="I149" s="284">
        <f t="shared" ca="1" si="20"/>
        <v>0</v>
      </c>
      <c r="J149" s="284">
        <f t="shared" ca="1" si="21"/>
        <v>0</v>
      </c>
      <c r="K149" s="284">
        <f t="shared" ca="1" si="22"/>
        <v>0</v>
      </c>
      <c r="L149" s="284"/>
      <c r="M149" s="284"/>
      <c r="N149" s="284"/>
      <c r="O149" s="284">
        <f t="shared" ca="1" si="19"/>
        <v>0</v>
      </c>
      <c r="Q149" s="296"/>
      <c r="R149" s="296"/>
    </row>
    <row r="150" spans="3:21">
      <c r="D150" s="310">
        <v>19.2</v>
      </c>
      <c r="E150" s="284">
        <f t="shared" ca="1" si="15"/>
        <v>0</v>
      </c>
      <c r="F150" s="284">
        <f t="shared" ca="1" si="16"/>
        <v>9.7800284173518346</v>
      </c>
      <c r="G150" s="284">
        <f t="shared" ca="1" si="17"/>
        <v>0</v>
      </c>
      <c r="H150" s="284">
        <f t="shared" ca="1" si="18"/>
        <v>0</v>
      </c>
      <c r="I150" s="284">
        <f t="shared" ca="1" si="20"/>
        <v>0</v>
      </c>
      <c r="J150" s="284">
        <f t="shared" ca="1" si="21"/>
        <v>0</v>
      </c>
      <c r="K150" s="284">
        <f t="shared" ca="1" si="22"/>
        <v>0</v>
      </c>
      <c r="L150" s="284"/>
      <c r="M150" s="284"/>
      <c r="N150" s="284"/>
      <c r="O150" s="284">
        <f t="shared" ca="1" si="19"/>
        <v>0</v>
      </c>
      <c r="Q150" s="296"/>
      <c r="R150" s="296"/>
    </row>
    <row r="151" spans="3:21">
      <c r="D151" s="310">
        <v>19.399999999999999</v>
      </c>
      <c r="E151" s="284">
        <f t="shared" ca="1" si="15"/>
        <v>0</v>
      </c>
      <c r="F151" s="284">
        <f t="shared" ca="1" si="16"/>
        <v>9.8819037133659151</v>
      </c>
      <c r="G151" s="284">
        <f t="shared" ca="1" si="17"/>
        <v>0</v>
      </c>
      <c r="H151" s="284">
        <f t="shared" ca="1" si="18"/>
        <v>0</v>
      </c>
      <c r="I151" s="284">
        <f t="shared" ca="1" si="20"/>
        <v>0</v>
      </c>
      <c r="J151" s="284">
        <f t="shared" ca="1" si="21"/>
        <v>0</v>
      </c>
      <c r="K151" s="284">
        <f t="shared" ca="1" si="22"/>
        <v>0</v>
      </c>
      <c r="L151" s="284"/>
      <c r="M151" s="284"/>
      <c r="N151" s="284"/>
      <c r="O151" s="284">
        <f t="shared" ca="1" si="19"/>
        <v>0</v>
      </c>
      <c r="Q151" s="296"/>
      <c r="R151" s="296"/>
    </row>
    <row r="152" spans="3:21">
      <c r="D152" s="310">
        <v>19.600000000000001</v>
      </c>
      <c r="E152" s="284">
        <f t="shared" ca="1" si="15"/>
        <v>0</v>
      </c>
      <c r="F152" s="284">
        <f t="shared" ca="1" si="16"/>
        <v>9.9837790093799974</v>
      </c>
      <c r="G152" s="284">
        <f t="shared" ca="1" si="17"/>
        <v>0</v>
      </c>
      <c r="H152" s="284">
        <f t="shared" ca="1" si="18"/>
        <v>0</v>
      </c>
      <c r="I152" s="284">
        <f t="shared" ca="1" si="20"/>
        <v>0</v>
      </c>
      <c r="J152" s="284">
        <f t="shared" ca="1" si="21"/>
        <v>0</v>
      </c>
      <c r="K152" s="284">
        <f t="shared" ca="1" si="22"/>
        <v>0</v>
      </c>
      <c r="L152" s="284"/>
      <c r="M152" s="284"/>
      <c r="N152" s="284"/>
      <c r="O152" s="284">
        <f t="shared" ca="1" si="19"/>
        <v>0</v>
      </c>
      <c r="Q152" s="296"/>
      <c r="R152" s="296"/>
    </row>
    <row r="153" spans="3:21">
      <c r="D153" s="310">
        <v>19.8</v>
      </c>
      <c r="E153" s="284">
        <f t="shared" ca="1" si="15"/>
        <v>0</v>
      </c>
      <c r="F153" s="284">
        <f t="shared" ca="1" si="16"/>
        <v>10.08565430539408</v>
      </c>
      <c r="G153" s="284">
        <f t="shared" ca="1" si="17"/>
        <v>0</v>
      </c>
      <c r="H153" s="284">
        <f t="shared" ca="1" si="18"/>
        <v>0</v>
      </c>
      <c r="I153" s="284">
        <f t="shared" ca="1" si="20"/>
        <v>0</v>
      </c>
      <c r="J153" s="284">
        <f t="shared" ca="1" si="21"/>
        <v>0</v>
      </c>
      <c r="K153" s="284">
        <f t="shared" ca="1" si="22"/>
        <v>0</v>
      </c>
      <c r="L153" s="284"/>
      <c r="M153" s="284"/>
      <c r="N153" s="284"/>
      <c r="O153" s="284">
        <f t="shared" ca="1" si="19"/>
        <v>0</v>
      </c>
      <c r="Q153" s="296"/>
      <c r="R153" s="296"/>
    </row>
    <row r="154" spans="3:21">
      <c r="D154" s="310">
        <v>20</v>
      </c>
      <c r="E154" s="284">
        <f t="shared" ca="1" si="15"/>
        <v>0</v>
      </c>
      <c r="F154" s="284">
        <f t="shared" ca="1" si="16"/>
        <v>10.18752960140816</v>
      </c>
      <c r="G154" s="284">
        <f t="shared" ca="1" si="17"/>
        <v>0</v>
      </c>
      <c r="H154" s="284">
        <f t="shared" ca="1" si="18"/>
        <v>0</v>
      </c>
      <c r="I154" s="284">
        <f t="shared" ca="1" si="20"/>
        <v>0</v>
      </c>
      <c r="J154" s="284">
        <f t="shared" ca="1" si="21"/>
        <v>0</v>
      </c>
      <c r="K154" s="284">
        <f t="shared" ca="1" si="22"/>
        <v>0</v>
      </c>
      <c r="L154" s="284"/>
      <c r="M154" s="284"/>
      <c r="N154" s="284"/>
      <c r="O154" s="284">
        <f t="shared" ca="1" si="19"/>
        <v>0</v>
      </c>
      <c r="Q154" s="296"/>
      <c r="R154" s="296"/>
    </row>
    <row r="155" spans="3:21">
      <c r="D155" s="310">
        <v>20.2</v>
      </c>
      <c r="E155" s="284">
        <f t="shared" ca="1" si="15"/>
        <v>0</v>
      </c>
      <c r="F155" s="284">
        <f t="shared" ca="1" si="16"/>
        <v>10.289404897422243</v>
      </c>
      <c r="G155" s="284">
        <f t="shared" ca="1" si="17"/>
        <v>0</v>
      </c>
      <c r="H155" s="284">
        <f t="shared" ca="1" si="18"/>
        <v>0</v>
      </c>
      <c r="I155" s="284">
        <f t="shared" ca="1" si="20"/>
        <v>0</v>
      </c>
      <c r="J155" s="284">
        <f t="shared" ca="1" si="21"/>
        <v>0</v>
      </c>
      <c r="K155" s="284">
        <f t="shared" ca="1" si="22"/>
        <v>0</v>
      </c>
      <c r="L155" s="284"/>
      <c r="M155" s="284"/>
      <c r="N155" s="284"/>
      <c r="O155" s="284">
        <f t="shared" ca="1" si="19"/>
        <v>0</v>
      </c>
      <c r="Q155" s="296"/>
      <c r="R155" s="296"/>
    </row>
    <row r="156" spans="3:21">
      <c r="D156" s="310">
        <v>20.399999999999999</v>
      </c>
      <c r="E156" s="284">
        <f t="shared" ca="1" si="15"/>
        <v>0</v>
      </c>
      <c r="F156" s="284">
        <f t="shared" ca="1" si="16"/>
        <v>10.391280193436323</v>
      </c>
      <c r="G156" s="284">
        <f t="shared" ca="1" si="17"/>
        <v>0</v>
      </c>
      <c r="H156" s="284">
        <f t="shared" ca="1" si="18"/>
        <v>0</v>
      </c>
      <c r="I156" s="284">
        <f t="shared" ca="1" si="20"/>
        <v>0</v>
      </c>
      <c r="J156" s="284">
        <f t="shared" ca="1" si="21"/>
        <v>0</v>
      </c>
      <c r="K156" s="284">
        <f t="shared" ca="1" si="22"/>
        <v>0</v>
      </c>
      <c r="L156" s="284"/>
      <c r="M156" s="284"/>
      <c r="N156" s="284"/>
      <c r="O156" s="284">
        <f t="shared" ca="1" si="19"/>
        <v>0</v>
      </c>
      <c r="Q156" s="296"/>
      <c r="R156" s="296"/>
    </row>
    <row r="157" spans="3:21">
      <c r="C157" s="36"/>
      <c r="D157" s="311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6"/>
    </row>
    <row r="160" spans="3:21">
      <c r="T160" s="312" t="s">
        <v>324</v>
      </c>
      <c r="U160" s="312" t="s">
        <v>325</v>
      </c>
    </row>
    <row r="161" spans="20:21">
      <c r="T161" s="313">
        <v>0</v>
      </c>
      <c r="U161" s="313">
        <v>0</v>
      </c>
    </row>
    <row r="162" spans="20:21">
      <c r="T162" s="313">
        <f ca="1">Q9</f>
        <v>1.3922957121924486</v>
      </c>
      <c r="U162" s="313">
        <f ca="1">E39</f>
        <v>56.797830531936128</v>
      </c>
    </row>
    <row r="163" spans="20:21">
      <c r="T163" s="313">
        <f ca="1">Q10</f>
        <v>3.7174295515538378</v>
      </c>
      <c r="U163" s="313">
        <v>0</v>
      </c>
    </row>
    <row r="171" spans="20:21" ht="23.25" customHeight="1"/>
    <row r="174" spans="20:21" ht="4.5" customHeight="1"/>
    <row r="175" spans="20:21" ht="4.5" customHeight="1"/>
  </sheetData>
  <mergeCells count="41">
    <mergeCell ref="I44:P44"/>
    <mergeCell ref="I45:P45"/>
    <mergeCell ref="D52:D53"/>
    <mergeCell ref="E52:E53"/>
    <mergeCell ref="F52:F53"/>
    <mergeCell ref="G52:G53"/>
    <mergeCell ref="H52:N52"/>
    <mergeCell ref="O52:O53"/>
    <mergeCell ref="I48:P48"/>
    <mergeCell ref="I49:P49"/>
    <mergeCell ref="B21:J21"/>
    <mergeCell ref="B22:C23"/>
    <mergeCell ref="D22:J22"/>
    <mergeCell ref="B37:B41"/>
    <mergeCell ref="C37:D37"/>
    <mergeCell ref="E37:F37"/>
    <mergeCell ref="C38:D38"/>
    <mergeCell ref="C39:D39"/>
    <mergeCell ref="C40:D40"/>
    <mergeCell ref="I40:P40"/>
    <mergeCell ref="C41:D41"/>
    <mergeCell ref="I41:P41"/>
    <mergeCell ref="B19:G19"/>
    <mergeCell ref="B7:D7"/>
    <mergeCell ref="B8:D8"/>
    <mergeCell ref="B9:D9"/>
    <mergeCell ref="B10:D10"/>
    <mergeCell ref="B15:C15"/>
    <mergeCell ref="B16:C16"/>
    <mergeCell ref="B17:C17"/>
    <mergeCell ref="B18:C18"/>
    <mergeCell ref="B13:H13"/>
    <mergeCell ref="B14:C14"/>
    <mergeCell ref="AC13:AD13"/>
    <mergeCell ref="AC14:AD15"/>
    <mergeCell ref="B6:D6"/>
    <mergeCell ref="A1:R1"/>
    <mergeCell ref="A2:R2"/>
    <mergeCell ref="A3:R3"/>
    <mergeCell ref="B4:D4"/>
    <mergeCell ref="B5:D5"/>
  </mergeCells>
  <conditionalFormatting sqref="K4:O4">
    <cfRule type="expression" dxfId="88" priority="1">
      <formula>AND($M$22&lt;=79.73,OR($S$13=15,$S$13=25),$N$4=$S$13)</formula>
    </cfRule>
  </conditionalFormatting>
  <conditionalFormatting sqref="K5:O5">
    <cfRule type="expression" dxfId="87" priority="2">
      <formula>AND($M$22&lt;=79.73,OR($S$13=15,$S$13=25),$N$5=$S$13)</formula>
    </cfRule>
    <cfRule type="expression" dxfId="86" priority="3">
      <formula>AND($M$22&lt;=79.73,OR($S$14=25,$S$14=50),$N$5=$S$14)</formula>
    </cfRule>
  </conditionalFormatting>
  <conditionalFormatting sqref="K6:O6">
    <cfRule type="expression" dxfId="85" priority="4">
      <formula>AND($M$22&lt;=79.73,OR($S$14=25,$S$14=50),$N$6=$S$14)</formula>
    </cfRule>
  </conditionalFormatting>
  <conditionalFormatting sqref="K7:O7">
    <cfRule type="expression" dxfId="84" priority="5">
      <formula>AND($M$22&gt;79.73,$N$7=100)</formula>
    </cfRule>
  </conditionalFormatting>
  <dataValidations disablePrompts="1" count="3">
    <dataValidation type="list" allowBlank="1" showInputMessage="1" showErrorMessage="1" sqref="C12" xr:uid="{C254CE09-01AC-4831-9B23-2FF603A7288C}">
      <formula1>"A,B,C,D"</formula1>
    </dataValidation>
    <dataValidation type="list" allowBlank="1" showInputMessage="1" showErrorMessage="1" sqref="C11" xr:uid="{9F53E5FC-0D11-44ED-B089-ED649D9D46EB}">
      <formula1>"Plano,Levemente ondulado,Ondulado,Muito ondulado,Montanhoso,Muito montanhoso,Escarpado"</formula1>
    </dataValidation>
    <dataValidation type="list" allowBlank="1" showInputMessage="1" showErrorMessage="1" sqref="AC14:AD15" xr:uid="{560A8F1B-0EC7-4F08-BC16-4250D6E5878F}">
      <formula1>"Tabelado,Ponderado"</formula1>
    </dataValidation>
  </dataValidations>
  <printOptions horizontalCentered="1"/>
  <pageMargins left="0.39370078740157483" right="0.39370078740157483" top="0.59055118110236227" bottom="0.39370078740157483" header="0.31496062992125984" footer="0.31496062992125984"/>
  <pageSetup paperSize="9" scale="55" fitToHeight="0" orientation="portrait" r:id="rId1"/>
  <headerFooter>
    <oddHeader>&amp;L&amp;G</oddHeader>
  </headerFooter>
  <rowBreaks count="1" manualBreakCount="1">
    <brk id="83" max="17" man="1"/>
  </rowBreaks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0D1B3-A435-4174-91BD-6406D64656F7}">
  <sheetPr codeName="Planilha14">
    <tabColor rgb="FFFFFF00"/>
  </sheetPr>
  <dimension ref="B2:P27"/>
  <sheetViews>
    <sheetView showGridLines="0" zoomScaleNormal="100" workbookViewId="0">
      <selection activeCell="V11" sqref="V11"/>
    </sheetView>
  </sheetViews>
  <sheetFormatPr defaultRowHeight="15"/>
  <cols>
    <col min="3" max="3" width="8.5703125" bestFit="1" customWidth="1"/>
    <col min="4" max="4" width="12.5703125" bestFit="1" customWidth="1"/>
    <col min="5" max="5" width="10.85546875" bestFit="1" customWidth="1"/>
    <col min="6" max="9" width="8.5703125" customWidth="1"/>
    <col min="10" max="10" width="11.42578125" customWidth="1"/>
    <col min="14" max="14" width="10.42578125" customWidth="1"/>
  </cols>
  <sheetData>
    <row r="2" spans="2:11" ht="45.75" thickBot="1">
      <c r="B2" s="1" t="s">
        <v>37</v>
      </c>
      <c r="C2" s="1" t="s">
        <v>38</v>
      </c>
      <c r="D2" s="1" t="s">
        <v>39</v>
      </c>
      <c r="E2" s="1" t="s">
        <v>40</v>
      </c>
      <c r="F2" s="2" t="s">
        <v>41</v>
      </c>
      <c r="G2" s="2" t="s">
        <v>42</v>
      </c>
      <c r="H2" s="1" t="s">
        <v>43</v>
      </c>
      <c r="I2" s="3"/>
      <c r="J2" s="3"/>
    </row>
    <row r="3" spans="2:11" ht="15.75" thickBot="1">
      <c r="B3" s="14" t="s">
        <v>44</v>
      </c>
      <c r="C3" s="232">
        <v>1222</v>
      </c>
      <c r="D3" s="14">
        <v>0</v>
      </c>
      <c r="E3" s="13">
        <f t="shared" ref="E3:E15" si="0">D3/1000</f>
        <v>0</v>
      </c>
      <c r="F3" s="13">
        <v>0</v>
      </c>
      <c r="G3" s="13">
        <v>0</v>
      </c>
      <c r="H3" s="13">
        <v>0</v>
      </c>
      <c r="J3" s="464" t="s">
        <v>198</v>
      </c>
      <c r="K3" s="465"/>
    </row>
    <row r="4" spans="2:11">
      <c r="B4" s="14">
        <v>1</v>
      </c>
      <c r="C4" s="232">
        <v>1141</v>
      </c>
      <c r="D4" s="37">
        <v>750</v>
      </c>
      <c r="E4" s="12">
        <f>D4/1000</f>
        <v>0.75</v>
      </c>
      <c r="F4" s="13">
        <f t="shared" ref="F4:F16" si="1">C3-C4</f>
        <v>81</v>
      </c>
      <c r="G4" s="12">
        <f>E4-E3</f>
        <v>0.75</v>
      </c>
      <c r="H4" s="12">
        <f t="shared" ref="H4:H16" si="2">F4/G4</f>
        <v>108</v>
      </c>
      <c r="J4" s="120" t="s">
        <v>199</v>
      </c>
      <c r="K4" s="124">
        <f ca="1">(((E16/((G4/SQRT(H4))+(G5/SQRT(H5))+(G6/SQRT(H6))+(G7/SQRT(H7))+(G8/SQRT(H8))+(G9/SQRT(H9))+(G10/SQRT(H10))+(G11/SQRT(H11))+(G12/SQRT(H12))+(G13/SQRT(H13))+(G14/SQRT(H14))+(G15/SQRT(H15))+(G16/SQRT(H16))))^2)/1000)*1000</f>
        <v>33.974950615021733</v>
      </c>
    </row>
    <row r="5" spans="2:11" ht="15.75" thickBot="1">
      <c r="B5" s="14">
        <v>2</v>
      </c>
      <c r="C5" s="232">
        <v>1009</v>
      </c>
      <c r="D5" s="37">
        <f>D4+750</f>
        <v>1500</v>
      </c>
      <c r="E5" s="12">
        <f>D5/1000</f>
        <v>1.5</v>
      </c>
      <c r="F5" s="13">
        <f t="shared" si="1"/>
        <v>132</v>
      </c>
      <c r="G5" s="12">
        <f>E5-E4</f>
        <v>0.75</v>
      </c>
      <c r="H5" s="12">
        <f t="shared" si="2"/>
        <v>176</v>
      </c>
      <c r="J5" s="121" t="s">
        <v>200</v>
      </c>
      <c r="K5" s="123">
        <f ca="1">((E16/((G4/SQRT(H4))+(G5/SQRT(H5))+(G6/SQRT(H6))+(G7/SQRT(H7))+(G8/SQRT(H8))+(G9/SQRT(H9))+(G10/SQRT(H10))+(G11/SQRT(H11))+(G12/SQRT(H12))+(G13/SQRT(H13))+(G14/SQRT(H14))+(G15/SQRT(H15))+(G16/SQRT(H16))))^2)/1000</f>
        <v>3.3974950615021732E-2</v>
      </c>
    </row>
    <row r="6" spans="2:11" ht="15.75" thickBot="1">
      <c r="B6" s="14">
        <v>3</v>
      </c>
      <c r="C6" s="232">
        <v>923</v>
      </c>
      <c r="D6" s="37">
        <f t="shared" ref="D6:D15" si="3">D5+750</f>
        <v>2250</v>
      </c>
      <c r="E6" s="12">
        <f>D6/1000</f>
        <v>2.25</v>
      </c>
      <c r="F6" s="13">
        <f t="shared" si="1"/>
        <v>86</v>
      </c>
      <c r="G6" s="12">
        <f t="shared" ref="G6:G16" si="4">E6-E5</f>
        <v>0.75</v>
      </c>
      <c r="H6" s="12">
        <f t="shared" si="2"/>
        <v>114.66666666666667</v>
      </c>
      <c r="J6" s="119" t="s">
        <v>201</v>
      </c>
      <c r="K6" s="122">
        <f ca="1">(((E16/((G4/SQRT(H4))+(G5/SQRT(H5))+(G6/SQRT(H6))+(G7/SQRT(H7))+(G8/SQRT(H8))+(G9/SQRT(H9))+(G10/SQRT(H10))+(G11/SQRT(H11))+(G12/SQRT(H12))+(G13/SQRT(H13))+(G14/SQRT(H14))+(G15/SQRT(H15))+(G16/SQRT(H16))))^2)/1000)*100</f>
        <v>3.3974950615021733</v>
      </c>
    </row>
    <row r="7" spans="2:11">
      <c r="B7" s="14">
        <v>4</v>
      </c>
      <c r="C7" s="232">
        <v>820</v>
      </c>
      <c r="D7" s="37">
        <f t="shared" si="3"/>
        <v>3000</v>
      </c>
      <c r="E7" s="12">
        <f t="shared" si="0"/>
        <v>3</v>
      </c>
      <c r="F7" s="13">
        <f t="shared" si="1"/>
        <v>103</v>
      </c>
      <c r="G7" s="12">
        <f t="shared" si="4"/>
        <v>0.75</v>
      </c>
      <c r="H7" s="12">
        <f t="shared" si="2"/>
        <v>137.33333333333334</v>
      </c>
    </row>
    <row r="8" spans="2:11">
      <c r="B8" s="14">
        <v>5</v>
      </c>
      <c r="C8" s="232">
        <v>764</v>
      </c>
      <c r="D8" s="37">
        <f t="shared" si="3"/>
        <v>3750</v>
      </c>
      <c r="E8" s="12">
        <f t="shared" si="0"/>
        <v>3.75</v>
      </c>
      <c r="F8" s="13">
        <f t="shared" si="1"/>
        <v>56</v>
      </c>
      <c r="G8" s="12">
        <f t="shared" si="4"/>
        <v>0.75</v>
      </c>
      <c r="H8" s="12">
        <f t="shared" si="2"/>
        <v>74.666666666666671</v>
      </c>
    </row>
    <row r="9" spans="2:11">
      <c r="B9" s="14">
        <v>6</v>
      </c>
      <c r="C9" s="232">
        <v>738</v>
      </c>
      <c r="D9" s="37">
        <f t="shared" si="3"/>
        <v>4500</v>
      </c>
      <c r="E9" s="12">
        <f t="shared" si="0"/>
        <v>4.5</v>
      </c>
      <c r="F9" s="13">
        <f t="shared" si="1"/>
        <v>26</v>
      </c>
      <c r="G9" s="12">
        <f t="shared" si="4"/>
        <v>0.75</v>
      </c>
      <c r="H9" s="12">
        <f t="shared" si="2"/>
        <v>34.666666666666664</v>
      </c>
    </row>
    <row r="10" spans="2:11">
      <c r="B10" s="14">
        <v>7</v>
      </c>
      <c r="C10" s="232">
        <v>716</v>
      </c>
      <c r="D10" s="37">
        <f t="shared" si="3"/>
        <v>5250</v>
      </c>
      <c r="E10" s="12">
        <f t="shared" si="0"/>
        <v>5.25</v>
      </c>
      <c r="F10" s="13">
        <f t="shared" si="1"/>
        <v>22</v>
      </c>
      <c r="G10" s="12">
        <f t="shared" si="4"/>
        <v>0.75</v>
      </c>
      <c r="H10" s="12">
        <f t="shared" si="2"/>
        <v>29.333333333333332</v>
      </c>
    </row>
    <row r="11" spans="2:11">
      <c r="B11" s="14">
        <v>8</v>
      </c>
      <c r="C11" s="232">
        <v>691</v>
      </c>
      <c r="D11" s="37">
        <f t="shared" si="3"/>
        <v>6000</v>
      </c>
      <c r="E11" s="12">
        <f t="shared" si="0"/>
        <v>6</v>
      </c>
      <c r="F11" s="13">
        <f t="shared" si="1"/>
        <v>25</v>
      </c>
      <c r="G11" s="12">
        <f t="shared" si="4"/>
        <v>0.75</v>
      </c>
      <c r="H11" s="12">
        <f t="shared" si="2"/>
        <v>33.333333333333336</v>
      </c>
    </row>
    <row r="12" spans="2:11">
      <c r="B12" s="14">
        <v>9</v>
      </c>
      <c r="C12" s="232">
        <v>676</v>
      </c>
      <c r="D12" s="37">
        <f t="shared" si="3"/>
        <v>6750</v>
      </c>
      <c r="E12" s="12">
        <f t="shared" si="0"/>
        <v>6.75</v>
      </c>
      <c r="F12" s="13">
        <f t="shared" si="1"/>
        <v>15</v>
      </c>
      <c r="G12" s="12">
        <f t="shared" si="4"/>
        <v>0.75</v>
      </c>
      <c r="H12" s="12">
        <f t="shared" si="2"/>
        <v>20</v>
      </c>
    </row>
    <row r="13" spans="2:11">
      <c r="B13" s="14">
        <v>10</v>
      </c>
      <c r="C13" s="232">
        <v>668</v>
      </c>
      <c r="D13" s="37">
        <f t="shared" si="3"/>
        <v>7500</v>
      </c>
      <c r="E13" s="12">
        <f t="shared" si="0"/>
        <v>7.5</v>
      </c>
      <c r="F13" s="13">
        <f t="shared" si="1"/>
        <v>8</v>
      </c>
      <c r="G13" s="12">
        <f t="shared" si="4"/>
        <v>0.75</v>
      </c>
      <c r="H13" s="12">
        <f t="shared" si="2"/>
        <v>10.666666666666666</v>
      </c>
    </row>
    <row r="14" spans="2:11">
      <c r="B14" s="14">
        <v>11</v>
      </c>
      <c r="C14" s="232">
        <v>653</v>
      </c>
      <c r="D14" s="37">
        <f t="shared" si="3"/>
        <v>8250</v>
      </c>
      <c r="E14" s="12">
        <f t="shared" si="0"/>
        <v>8.25</v>
      </c>
      <c r="F14" s="13">
        <f t="shared" si="1"/>
        <v>15</v>
      </c>
      <c r="G14" s="12">
        <f t="shared" si="4"/>
        <v>0.75</v>
      </c>
      <c r="H14" s="12">
        <f t="shared" si="2"/>
        <v>20</v>
      </c>
    </row>
    <row r="15" spans="2:11">
      <c r="B15" s="14">
        <v>12</v>
      </c>
      <c r="C15" s="232">
        <v>645</v>
      </c>
      <c r="D15" s="37">
        <f t="shared" si="3"/>
        <v>9000</v>
      </c>
      <c r="E15" s="12">
        <f t="shared" si="0"/>
        <v>9</v>
      </c>
      <c r="F15" s="13">
        <f t="shared" si="1"/>
        <v>8</v>
      </c>
      <c r="G15" s="12">
        <f t="shared" si="4"/>
        <v>0.75</v>
      </c>
      <c r="H15" s="12">
        <f t="shared" si="2"/>
        <v>10.666666666666666</v>
      </c>
    </row>
    <row r="16" spans="2:11">
      <c r="B16" s="14" t="s">
        <v>33</v>
      </c>
      <c r="C16" s="232">
        <v>639</v>
      </c>
      <c r="D16" s="13">
        <f ca="1">'BC06 (HUT)'!E8*1000</f>
        <v>9217.249068243289</v>
      </c>
      <c r="E16" s="12">
        <f ca="1">D16/1000</f>
        <v>9.217249068243289</v>
      </c>
      <c r="F16" s="13">
        <f t="shared" si="1"/>
        <v>6</v>
      </c>
      <c r="G16" s="12">
        <f t="shared" ca="1" si="4"/>
        <v>0.21724906824328905</v>
      </c>
      <c r="H16" s="12">
        <f t="shared" ca="1" si="2"/>
        <v>27.618070118859272</v>
      </c>
    </row>
    <row r="18" spans="2:16">
      <c r="B18" s="314" t="s">
        <v>326</v>
      </c>
      <c r="G18" s="277"/>
    </row>
    <row r="19" spans="2:16">
      <c r="B19" s="314" t="s">
        <v>327</v>
      </c>
    </row>
    <row r="20" spans="2:16" ht="15.75" thickBot="1"/>
    <row r="21" spans="2:16" ht="15.75" thickBot="1">
      <c r="B21" s="4" t="s">
        <v>48</v>
      </c>
      <c r="C21" s="5">
        <f ca="1">((E16/((G4/(SQRT(H4)))+(G5/(SQRT(H5)))+(G6/(SQRT(H6)))+(G7/(SQRT(H7)))+(G8/(SQRT(H8)))+(G9/(SQRT(H9)))+(G10/(SQRT(H10)))+(G11/(SQRT(H11)))+(G12/(SQRT(H12)))+(G13/(SQRT(H13)))+(G14/(SQRT(H14)))+(G15/(SQRT(H15)))+(G16/(SQRT(H16))))))^2</f>
        <v>33.974950615021733</v>
      </c>
      <c r="D21" s="6" t="s">
        <v>45</v>
      </c>
      <c r="E21" s="6" t="s">
        <v>49</v>
      </c>
      <c r="F21" s="6"/>
      <c r="G21" s="6"/>
      <c r="H21" s="7"/>
    </row>
    <row r="22" spans="2:16" ht="15.75" thickBot="1">
      <c r="B22" s="4" t="s">
        <v>48</v>
      </c>
      <c r="C22" s="8">
        <f ca="1">C21/1000</f>
        <v>3.3974950615021732E-2</v>
      </c>
      <c r="D22" s="6" t="s">
        <v>46</v>
      </c>
      <c r="E22" s="6" t="s">
        <v>50</v>
      </c>
      <c r="F22" s="6"/>
      <c r="G22" s="6"/>
      <c r="H22" s="7"/>
    </row>
    <row r="23" spans="2:16" ht="15.75" thickBot="1">
      <c r="B23" s="9" t="s">
        <v>48</v>
      </c>
      <c r="C23" s="108">
        <f ca="1">C22*100</f>
        <v>3.3974950615021733</v>
      </c>
      <c r="D23" s="10" t="s">
        <v>47</v>
      </c>
      <c r="E23" s="10" t="s">
        <v>51</v>
      </c>
      <c r="F23" s="10"/>
      <c r="G23" s="10"/>
      <c r="H23" s="11"/>
    </row>
    <row r="27" spans="2:16">
      <c r="P27" t="str">
        <f>"Perfil Longitudinal - "&amp;'BC06 (HUT)'!E6</f>
        <v>Perfil Longitudinal - Córrego Palmeira</v>
      </c>
    </row>
  </sheetData>
  <mergeCells count="1">
    <mergeCell ref="J3:K3"/>
  </mergeCell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EC64E-A5E1-4268-9765-96414A1F6979}">
  <sheetPr codeName="Planilha34">
    <tabColor rgb="FF0070C0"/>
  </sheetPr>
  <dimension ref="A1:AD48"/>
  <sheetViews>
    <sheetView showGridLines="0" zoomScaleNormal="100" zoomScaleSheetLayoutView="100" workbookViewId="0">
      <selection activeCell="V11" sqref="V11"/>
    </sheetView>
  </sheetViews>
  <sheetFormatPr defaultRowHeight="11.25"/>
  <cols>
    <col min="1" max="1" width="3.7109375" style="187" customWidth="1"/>
    <col min="2" max="2" width="12.7109375" style="187" customWidth="1"/>
    <col min="3" max="3" width="15.85546875" style="187" customWidth="1"/>
    <col min="4" max="4" width="13.42578125" style="187" customWidth="1"/>
    <col min="5" max="5" width="7.85546875" style="187" customWidth="1"/>
    <col min="6" max="6" width="5.7109375" style="187" customWidth="1"/>
    <col min="7" max="7" width="8.28515625" style="187" bestFit="1" customWidth="1"/>
    <col min="8" max="8" width="8.28515625" style="187" customWidth="1"/>
    <col min="9" max="9" width="9.5703125" style="187" customWidth="1"/>
    <col min="10" max="10" width="9.7109375" style="187" customWidth="1"/>
    <col min="11" max="11" width="15.7109375" style="187" customWidth="1"/>
    <col min="12" max="12" width="8.7109375" style="187" customWidth="1"/>
    <col min="13" max="13" width="6.28515625" style="187" bestFit="1" customWidth="1"/>
    <col min="14" max="14" width="10.42578125" style="187" customWidth="1"/>
    <col min="15" max="15" width="5.7109375" style="187" bestFit="1" customWidth="1"/>
    <col min="16" max="16" width="8.7109375" style="187" customWidth="1"/>
    <col min="17" max="17" width="20.7109375" style="187" customWidth="1"/>
    <col min="18" max="18" width="8.42578125" style="187" customWidth="1"/>
    <col min="19" max="19" width="12.5703125" style="187" bestFit="1" customWidth="1"/>
    <col min="20" max="20" width="12.28515625" style="187" bestFit="1" customWidth="1"/>
    <col min="21" max="21" width="5.28515625" style="187" customWidth="1"/>
    <col min="22" max="22" width="15.42578125" style="187" bestFit="1" customWidth="1"/>
    <col min="23" max="23" width="10.42578125" style="187" bestFit="1" customWidth="1"/>
    <col min="24" max="257" width="9.140625" style="187"/>
    <col min="258" max="258" width="8.7109375" style="187" customWidth="1"/>
    <col min="259" max="259" width="17" style="187" customWidth="1"/>
    <col min="260" max="260" width="14.42578125" style="187" customWidth="1"/>
    <col min="261" max="261" width="10.28515625" style="187" customWidth="1"/>
    <col min="262" max="272" width="8.7109375" style="187" customWidth="1"/>
    <col min="273" max="273" width="9.7109375" style="187" customWidth="1"/>
    <col min="274" max="274" width="8.42578125" style="187" customWidth="1"/>
    <col min="275" max="275" width="9.140625" style="187"/>
    <col min="276" max="276" width="10.7109375" style="187" customWidth="1"/>
    <col min="277" max="277" width="5.28515625" style="187" customWidth="1"/>
    <col min="278" max="278" width="15.42578125" style="187" bestFit="1" customWidth="1"/>
    <col min="279" max="279" width="10.42578125" style="187" bestFit="1" customWidth="1"/>
    <col min="280" max="513" width="9.140625" style="187"/>
    <col min="514" max="514" width="8.7109375" style="187" customWidth="1"/>
    <col min="515" max="515" width="17" style="187" customWidth="1"/>
    <col min="516" max="516" width="14.42578125" style="187" customWidth="1"/>
    <col min="517" max="517" width="10.28515625" style="187" customWidth="1"/>
    <col min="518" max="528" width="8.7109375" style="187" customWidth="1"/>
    <col min="529" max="529" width="9.7109375" style="187" customWidth="1"/>
    <col min="530" max="530" width="8.42578125" style="187" customWidth="1"/>
    <col min="531" max="531" width="9.140625" style="187"/>
    <col min="532" max="532" width="10.7109375" style="187" customWidth="1"/>
    <col min="533" max="533" width="5.28515625" style="187" customWidth="1"/>
    <col min="534" max="534" width="15.42578125" style="187" bestFit="1" customWidth="1"/>
    <col min="535" max="535" width="10.42578125" style="187" bestFit="1" customWidth="1"/>
    <col min="536" max="769" width="9.140625" style="187"/>
    <col min="770" max="770" width="8.7109375" style="187" customWidth="1"/>
    <col min="771" max="771" width="17" style="187" customWidth="1"/>
    <col min="772" max="772" width="14.42578125" style="187" customWidth="1"/>
    <col min="773" max="773" width="10.28515625" style="187" customWidth="1"/>
    <col min="774" max="784" width="8.7109375" style="187" customWidth="1"/>
    <col min="785" max="785" width="9.7109375" style="187" customWidth="1"/>
    <col min="786" max="786" width="8.42578125" style="187" customWidth="1"/>
    <col min="787" max="787" width="9.140625" style="187"/>
    <col min="788" max="788" width="10.7109375" style="187" customWidth="1"/>
    <col min="789" max="789" width="5.28515625" style="187" customWidth="1"/>
    <col min="790" max="790" width="15.42578125" style="187" bestFit="1" customWidth="1"/>
    <col min="791" max="791" width="10.42578125" style="187" bestFit="1" customWidth="1"/>
    <col min="792" max="1025" width="9.140625" style="187"/>
    <col min="1026" max="1026" width="8.7109375" style="187" customWidth="1"/>
    <col min="1027" max="1027" width="17" style="187" customWidth="1"/>
    <col min="1028" max="1028" width="14.42578125" style="187" customWidth="1"/>
    <col min="1029" max="1029" width="10.28515625" style="187" customWidth="1"/>
    <col min="1030" max="1040" width="8.7109375" style="187" customWidth="1"/>
    <col min="1041" max="1041" width="9.7109375" style="187" customWidth="1"/>
    <col min="1042" max="1042" width="8.42578125" style="187" customWidth="1"/>
    <col min="1043" max="1043" width="9.140625" style="187"/>
    <col min="1044" max="1044" width="10.7109375" style="187" customWidth="1"/>
    <col min="1045" max="1045" width="5.28515625" style="187" customWidth="1"/>
    <col min="1046" max="1046" width="15.42578125" style="187" bestFit="1" customWidth="1"/>
    <col min="1047" max="1047" width="10.42578125" style="187" bestFit="1" customWidth="1"/>
    <col min="1048" max="1281" width="9.140625" style="187"/>
    <col min="1282" max="1282" width="8.7109375" style="187" customWidth="1"/>
    <col min="1283" max="1283" width="17" style="187" customWidth="1"/>
    <col min="1284" max="1284" width="14.42578125" style="187" customWidth="1"/>
    <col min="1285" max="1285" width="10.28515625" style="187" customWidth="1"/>
    <col min="1286" max="1296" width="8.7109375" style="187" customWidth="1"/>
    <col min="1297" max="1297" width="9.7109375" style="187" customWidth="1"/>
    <col min="1298" max="1298" width="8.42578125" style="187" customWidth="1"/>
    <col min="1299" max="1299" width="9.140625" style="187"/>
    <col min="1300" max="1300" width="10.7109375" style="187" customWidth="1"/>
    <col min="1301" max="1301" width="5.28515625" style="187" customWidth="1"/>
    <col min="1302" max="1302" width="15.42578125" style="187" bestFit="1" customWidth="1"/>
    <col min="1303" max="1303" width="10.42578125" style="187" bestFit="1" customWidth="1"/>
    <col min="1304" max="1537" width="9.140625" style="187"/>
    <col min="1538" max="1538" width="8.7109375" style="187" customWidth="1"/>
    <col min="1539" max="1539" width="17" style="187" customWidth="1"/>
    <col min="1540" max="1540" width="14.42578125" style="187" customWidth="1"/>
    <col min="1541" max="1541" width="10.28515625" style="187" customWidth="1"/>
    <col min="1542" max="1552" width="8.7109375" style="187" customWidth="1"/>
    <col min="1553" max="1553" width="9.7109375" style="187" customWidth="1"/>
    <col min="1554" max="1554" width="8.42578125" style="187" customWidth="1"/>
    <col min="1555" max="1555" width="9.140625" style="187"/>
    <col min="1556" max="1556" width="10.7109375" style="187" customWidth="1"/>
    <col min="1557" max="1557" width="5.28515625" style="187" customWidth="1"/>
    <col min="1558" max="1558" width="15.42578125" style="187" bestFit="1" customWidth="1"/>
    <col min="1559" max="1559" width="10.42578125" style="187" bestFit="1" customWidth="1"/>
    <col min="1560" max="1793" width="9.140625" style="187"/>
    <col min="1794" max="1794" width="8.7109375" style="187" customWidth="1"/>
    <col min="1795" max="1795" width="17" style="187" customWidth="1"/>
    <col min="1796" max="1796" width="14.42578125" style="187" customWidth="1"/>
    <col min="1797" max="1797" width="10.28515625" style="187" customWidth="1"/>
    <col min="1798" max="1808" width="8.7109375" style="187" customWidth="1"/>
    <col min="1809" max="1809" width="9.7109375" style="187" customWidth="1"/>
    <col min="1810" max="1810" width="8.42578125" style="187" customWidth="1"/>
    <col min="1811" max="1811" width="9.140625" style="187"/>
    <col min="1812" max="1812" width="10.7109375" style="187" customWidth="1"/>
    <col min="1813" max="1813" width="5.28515625" style="187" customWidth="1"/>
    <col min="1814" max="1814" width="15.42578125" style="187" bestFit="1" customWidth="1"/>
    <col min="1815" max="1815" width="10.42578125" style="187" bestFit="1" customWidth="1"/>
    <col min="1816" max="2049" width="9.140625" style="187"/>
    <col min="2050" max="2050" width="8.7109375" style="187" customWidth="1"/>
    <col min="2051" max="2051" width="17" style="187" customWidth="1"/>
    <col min="2052" max="2052" width="14.42578125" style="187" customWidth="1"/>
    <col min="2053" max="2053" width="10.28515625" style="187" customWidth="1"/>
    <col min="2054" max="2064" width="8.7109375" style="187" customWidth="1"/>
    <col min="2065" max="2065" width="9.7109375" style="187" customWidth="1"/>
    <col min="2066" max="2066" width="8.42578125" style="187" customWidth="1"/>
    <col min="2067" max="2067" width="9.140625" style="187"/>
    <col min="2068" max="2068" width="10.7109375" style="187" customWidth="1"/>
    <col min="2069" max="2069" width="5.28515625" style="187" customWidth="1"/>
    <col min="2070" max="2070" width="15.42578125" style="187" bestFit="1" customWidth="1"/>
    <col min="2071" max="2071" width="10.42578125" style="187" bestFit="1" customWidth="1"/>
    <col min="2072" max="2305" width="9.140625" style="187"/>
    <col min="2306" max="2306" width="8.7109375" style="187" customWidth="1"/>
    <col min="2307" max="2307" width="17" style="187" customWidth="1"/>
    <col min="2308" max="2308" width="14.42578125" style="187" customWidth="1"/>
    <col min="2309" max="2309" width="10.28515625" style="187" customWidth="1"/>
    <col min="2310" max="2320" width="8.7109375" style="187" customWidth="1"/>
    <col min="2321" max="2321" width="9.7109375" style="187" customWidth="1"/>
    <col min="2322" max="2322" width="8.42578125" style="187" customWidth="1"/>
    <col min="2323" max="2323" width="9.140625" style="187"/>
    <col min="2324" max="2324" width="10.7109375" style="187" customWidth="1"/>
    <col min="2325" max="2325" width="5.28515625" style="187" customWidth="1"/>
    <col min="2326" max="2326" width="15.42578125" style="187" bestFit="1" customWidth="1"/>
    <col min="2327" max="2327" width="10.42578125" style="187" bestFit="1" customWidth="1"/>
    <col min="2328" max="2561" width="9.140625" style="187"/>
    <col min="2562" max="2562" width="8.7109375" style="187" customWidth="1"/>
    <col min="2563" max="2563" width="17" style="187" customWidth="1"/>
    <col min="2564" max="2564" width="14.42578125" style="187" customWidth="1"/>
    <col min="2565" max="2565" width="10.28515625" style="187" customWidth="1"/>
    <col min="2566" max="2576" width="8.7109375" style="187" customWidth="1"/>
    <col min="2577" max="2577" width="9.7109375" style="187" customWidth="1"/>
    <col min="2578" max="2578" width="8.42578125" style="187" customWidth="1"/>
    <col min="2579" max="2579" width="9.140625" style="187"/>
    <col min="2580" max="2580" width="10.7109375" style="187" customWidth="1"/>
    <col min="2581" max="2581" width="5.28515625" style="187" customWidth="1"/>
    <col min="2582" max="2582" width="15.42578125" style="187" bestFit="1" customWidth="1"/>
    <col min="2583" max="2583" width="10.42578125" style="187" bestFit="1" customWidth="1"/>
    <col min="2584" max="2817" width="9.140625" style="187"/>
    <col min="2818" max="2818" width="8.7109375" style="187" customWidth="1"/>
    <col min="2819" max="2819" width="17" style="187" customWidth="1"/>
    <col min="2820" max="2820" width="14.42578125" style="187" customWidth="1"/>
    <col min="2821" max="2821" width="10.28515625" style="187" customWidth="1"/>
    <col min="2822" max="2832" width="8.7109375" style="187" customWidth="1"/>
    <col min="2833" max="2833" width="9.7109375" style="187" customWidth="1"/>
    <col min="2834" max="2834" width="8.42578125" style="187" customWidth="1"/>
    <col min="2835" max="2835" width="9.140625" style="187"/>
    <col min="2836" max="2836" width="10.7109375" style="187" customWidth="1"/>
    <col min="2837" max="2837" width="5.28515625" style="187" customWidth="1"/>
    <col min="2838" max="2838" width="15.42578125" style="187" bestFit="1" customWidth="1"/>
    <col min="2839" max="2839" width="10.42578125" style="187" bestFit="1" customWidth="1"/>
    <col min="2840" max="3073" width="9.140625" style="187"/>
    <col min="3074" max="3074" width="8.7109375" style="187" customWidth="1"/>
    <col min="3075" max="3075" width="17" style="187" customWidth="1"/>
    <col min="3076" max="3076" width="14.42578125" style="187" customWidth="1"/>
    <col min="3077" max="3077" width="10.28515625" style="187" customWidth="1"/>
    <col min="3078" max="3088" width="8.7109375" style="187" customWidth="1"/>
    <col min="3089" max="3089" width="9.7109375" style="187" customWidth="1"/>
    <col min="3090" max="3090" width="8.42578125" style="187" customWidth="1"/>
    <col min="3091" max="3091" width="9.140625" style="187"/>
    <col min="3092" max="3092" width="10.7109375" style="187" customWidth="1"/>
    <col min="3093" max="3093" width="5.28515625" style="187" customWidth="1"/>
    <col min="3094" max="3094" width="15.42578125" style="187" bestFit="1" customWidth="1"/>
    <col min="3095" max="3095" width="10.42578125" style="187" bestFit="1" customWidth="1"/>
    <col min="3096" max="3329" width="9.140625" style="187"/>
    <col min="3330" max="3330" width="8.7109375" style="187" customWidth="1"/>
    <col min="3331" max="3331" width="17" style="187" customWidth="1"/>
    <col min="3332" max="3332" width="14.42578125" style="187" customWidth="1"/>
    <col min="3333" max="3333" width="10.28515625" style="187" customWidth="1"/>
    <col min="3334" max="3344" width="8.7109375" style="187" customWidth="1"/>
    <col min="3345" max="3345" width="9.7109375" style="187" customWidth="1"/>
    <col min="3346" max="3346" width="8.42578125" style="187" customWidth="1"/>
    <col min="3347" max="3347" width="9.140625" style="187"/>
    <col min="3348" max="3348" width="10.7109375" style="187" customWidth="1"/>
    <col min="3349" max="3349" width="5.28515625" style="187" customWidth="1"/>
    <col min="3350" max="3350" width="15.42578125" style="187" bestFit="1" customWidth="1"/>
    <col min="3351" max="3351" width="10.42578125" style="187" bestFit="1" customWidth="1"/>
    <col min="3352" max="3585" width="9.140625" style="187"/>
    <col min="3586" max="3586" width="8.7109375" style="187" customWidth="1"/>
    <col min="3587" max="3587" width="17" style="187" customWidth="1"/>
    <col min="3588" max="3588" width="14.42578125" style="187" customWidth="1"/>
    <col min="3589" max="3589" width="10.28515625" style="187" customWidth="1"/>
    <col min="3590" max="3600" width="8.7109375" style="187" customWidth="1"/>
    <col min="3601" max="3601" width="9.7109375" style="187" customWidth="1"/>
    <col min="3602" max="3602" width="8.42578125" style="187" customWidth="1"/>
    <col min="3603" max="3603" width="9.140625" style="187"/>
    <col min="3604" max="3604" width="10.7109375" style="187" customWidth="1"/>
    <col min="3605" max="3605" width="5.28515625" style="187" customWidth="1"/>
    <col min="3606" max="3606" width="15.42578125" style="187" bestFit="1" customWidth="1"/>
    <col min="3607" max="3607" width="10.42578125" style="187" bestFit="1" customWidth="1"/>
    <col min="3608" max="3841" width="9.140625" style="187"/>
    <col min="3842" max="3842" width="8.7109375" style="187" customWidth="1"/>
    <col min="3843" max="3843" width="17" style="187" customWidth="1"/>
    <col min="3844" max="3844" width="14.42578125" style="187" customWidth="1"/>
    <col min="3845" max="3845" width="10.28515625" style="187" customWidth="1"/>
    <col min="3846" max="3856" width="8.7109375" style="187" customWidth="1"/>
    <col min="3857" max="3857" width="9.7109375" style="187" customWidth="1"/>
    <col min="3858" max="3858" width="8.42578125" style="187" customWidth="1"/>
    <col min="3859" max="3859" width="9.140625" style="187"/>
    <col min="3860" max="3860" width="10.7109375" style="187" customWidth="1"/>
    <col min="3861" max="3861" width="5.28515625" style="187" customWidth="1"/>
    <col min="3862" max="3862" width="15.42578125" style="187" bestFit="1" customWidth="1"/>
    <col min="3863" max="3863" width="10.42578125" style="187" bestFit="1" customWidth="1"/>
    <col min="3864" max="4097" width="9.140625" style="187"/>
    <col min="4098" max="4098" width="8.7109375" style="187" customWidth="1"/>
    <col min="4099" max="4099" width="17" style="187" customWidth="1"/>
    <col min="4100" max="4100" width="14.42578125" style="187" customWidth="1"/>
    <col min="4101" max="4101" width="10.28515625" style="187" customWidth="1"/>
    <col min="4102" max="4112" width="8.7109375" style="187" customWidth="1"/>
    <col min="4113" max="4113" width="9.7109375" style="187" customWidth="1"/>
    <col min="4114" max="4114" width="8.42578125" style="187" customWidth="1"/>
    <col min="4115" max="4115" width="9.140625" style="187"/>
    <col min="4116" max="4116" width="10.7109375" style="187" customWidth="1"/>
    <col min="4117" max="4117" width="5.28515625" style="187" customWidth="1"/>
    <col min="4118" max="4118" width="15.42578125" style="187" bestFit="1" customWidth="1"/>
    <col min="4119" max="4119" width="10.42578125" style="187" bestFit="1" customWidth="1"/>
    <col min="4120" max="4353" width="9.140625" style="187"/>
    <col min="4354" max="4354" width="8.7109375" style="187" customWidth="1"/>
    <col min="4355" max="4355" width="17" style="187" customWidth="1"/>
    <col min="4356" max="4356" width="14.42578125" style="187" customWidth="1"/>
    <col min="4357" max="4357" width="10.28515625" style="187" customWidth="1"/>
    <col min="4358" max="4368" width="8.7109375" style="187" customWidth="1"/>
    <col min="4369" max="4369" width="9.7109375" style="187" customWidth="1"/>
    <col min="4370" max="4370" width="8.42578125" style="187" customWidth="1"/>
    <col min="4371" max="4371" width="9.140625" style="187"/>
    <col min="4372" max="4372" width="10.7109375" style="187" customWidth="1"/>
    <col min="4373" max="4373" width="5.28515625" style="187" customWidth="1"/>
    <col min="4374" max="4374" width="15.42578125" style="187" bestFit="1" customWidth="1"/>
    <col min="4375" max="4375" width="10.42578125" style="187" bestFit="1" customWidth="1"/>
    <col min="4376" max="4609" width="9.140625" style="187"/>
    <col min="4610" max="4610" width="8.7109375" style="187" customWidth="1"/>
    <col min="4611" max="4611" width="17" style="187" customWidth="1"/>
    <col min="4612" max="4612" width="14.42578125" style="187" customWidth="1"/>
    <col min="4613" max="4613" width="10.28515625" style="187" customWidth="1"/>
    <col min="4614" max="4624" width="8.7109375" style="187" customWidth="1"/>
    <col min="4625" max="4625" width="9.7109375" style="187" customWidth="1"/>
    <col min="4626" max="4626" width="8.42578125" style="187" customWidth="1"/>
    <col min="4627" max="4627" width="9.140625" style="187"/>
    <col min="4628" max="4628" width="10.7109375" style="187" customWidth="1"/>
    <col min="4629" max="4629" width="5.28515625" style="187" customWidth="1"/>
    <col min="4630" max="4630" width="15.42578125" style="187" bestFit="1" customWidth="1"/>
    <col min="4631" max="4631" width="10.42578125" style="187" bestFit="1" customWidth="1"/>
    <col min="4632" max="4865" width="9.140625" style="187"/>
    <col min="4866" max="4866" width="8.7109375" style="187" customWidth="1"/>
    <col min="4867" max="4867" width="17" style="187" customWidth="1"/>
    <col min="4868" max="4868" width="14.42578125" style="187" customWidth="1"/>
    <col min="4869" max="4869" width="10.28515625" style="187" customWidth="1"/>
    <col min="4870" max="4880" width="8.7109375" style="187" customWidth="1"/>
    <col min="4881" max="4881" width="9.7109375" style="187" customWidth="1"/>
    <col min="4882" max="4882" width="8.42578125" style="187" customWidth="1"/>
    <col min="4883" max="4883" width="9.140625" style="187"/>
    <col min="4884" max="4884" width="10.7109375" style="187" customWidth="1"/>
    <col min="4885" max="4885" width="5.28515625" style="187" customWidth="1"/>
    <col min="4886" max="4886" width="15.42578125" style="187" bestFit="1" customWidth="1"/>
    <col min="4887" max="4887" width="10.42578125" style="187" bestFit="1" customWidth="1"/>
    <col min="4888" max="5121" width="9.140625" style="187"/>
    <col min="5122" max="5122" width="8.7109375" style="187" customWidth="1"/>
    <col min="5123" max="5123" width="17" style="187" customWidth="1"/>
    <col min="5124" max="5124" width="14.42578125" style="187" customWidth="1"/>
    <col min="5125" max="5125" width="10.28515625" style="187" customWidth="1"/>
    <col min="5126" max="5136" width="8.7109375" style="187" customWidth="1"/>
    <col min="5137" max="5137" width="9.7109375" style="187" customWidth="1"/>
    <col min="5138" max="5138" width="8.42578125" style="187" customWidth="1"/>
    <col min="5139" max="5139" width="9.140625" style="187"/>
    <col min="5140" max="5140" width="10.7109375" style="187" customWidth="1"/>
    <col min="5141" max="5141" width="5.28515625" style="187" customWidth="1"/>
    <col min="5142" max="5142" width="15.42578125" style="187" bestFit="1" customWidth="1"/>
    <col min="5143" max="5143" width="10.42578125" style="187" bestFit="1" customWidth="1"/>
    <col min="5144" max="5377" width="9.140625" style="187"/>
    <col min="5378" max="5378" width="8.7109375" style="187" customWidth="1"/>
    <col min="5379" max="5379" width="17" style="187" customWidth="1"/>
    <col min="5380" max="5380" width="14.42578125" style="187" customWidth="1"/>
    <col min="5381" max="5381" width="10.28515625" style="187" customWidth="1"/>
    <col min="5382" max="5392" width="8.7109375" style="187" customWidth="1"/>
    <col min="5393" max="5393" width="9.7109375" style="187" customWidth="1"/>
    <col min="5394" max="5394" width="8.42578125" style="187" customWidth="1"/>
    <col min="5395" max="5395" width="9.140625" style="187"/>
    <col min="5396" max="5396" width="10.7109375" style="187" customWidth="1"/>
    <col min="5397" max="5397" width="5.28515625" style="187" customWidth="1"/>
    <col min="5398" max="5398" width="15.42578125" style="187" bestFit="1" customWidth="1"/>
    <col min="5399" max="5399" width="10.42578125" style="187" bestFit="1" customWidth="1"/>
    <col min="5400" max="5633" width="9.140625" style="187"/>
    <col min="5634" max="5634" width="8.7109375" style="187" customWidth="1"/>
    <col min="5635" max="5635" width="17" style="187" customWidth="1"/>
    <col min="5636" max="5636" width="14.42578125" style="187" customWidth="1"/>
    <col min="5637" max="5637" width="10.28515625" style="187" customWidth="1"/>
    <col min="5638" max="5648" width="8.7109375" style="187" customWidth="1"/>
    <col min="5649" max="5649" width="9.7109375" style="187" customWidth="1"/>
    <col min="5650" max="5650" width="8.42578125" style="187" customWidth="1"/>
    <col min="5651" max="5651" width="9.140625" style="187"/>
    <col min="5652" max="5652" width="10.7109375" style="187" customWidth="1"/>
    <col min="5653" max="5653" width="5.28515625" style="187" customWidth="1"/>
    <col min="5654" max="5654" width="15.42578125" style="187" bestFit="1" customWidth="1"/>
    <col min="5655" max="5655" width="10.42578125" style="187" bestFit="1" customWidth="1"/>
    <col min="5656" max="5889" width="9.140625" style="187"/>
    <col min="5890" max="5890" width="8.7109375" style="187" customWidth="1"/>
    <col min="5891" max="5891" width="17" style="187" customWidth="1"/>
    <col min="5892" max="5892" width="14.42578125" style="187" customWidth="1"/>
    <col min="5893" max="5893" width="10.28515625" style="187" customWidth="1"/>
    <col min="5894" max="5904" width="8.7109375" style="187" customWidth="1"/>
    <col min="5905" max="5905" width="9.7109375" style="187" customWidth="1"/>
    <col min="5906" max="5906" width="8.42578125" style="187" customWidth="1"/>
    <col min="5907" max="5907" width="9.140625" style="187"/>
    <col min="5908" max="5908" width="10.7109375" style="187" customWidth="1"/>
    <col min="5909" max="5909" width="5.28515625" style="187" customWidth="1"/>
    <col min="5910" max="5910" width="15.42578125" style="187" bestFit="1" customWidth="1"/>
    <col min="5911" max="5911" width="10.42578125" style="187" bestFit="1" customWidth="1"/>
    <col min="5912" max="6145" width="9.140625" style="187"/>
    <col min="6146" max="6146" width="8.7109375" style="187" customWidth="1"/>
    <col min="6147" max="6147" width="17" style="187" customWidth="1"/>
    <col min="6148" max="6148" width="14.42578125" style="187" customWidth="1"/>
    <col min="6149" max="6149" width="10.28515625" style="187" customWidth="1"/>
    <col min="6150" max="6160" width="8.7109375" style="187" customWidth="1"/>
    <col min="6161" max="6161" width="9.7109375" style="187" customWidth="1"/>
    <col min="6162" max="6162" width="8.42578125" style="187" customWidth="1"/>
    <col min="6163" max="6163" width="9.140625" style="187"/>
    <col min="6164" max="6164" width="10.7109375" style="187" customWidth="1"/>
    <col min="6165" max="6165" width="5.28515625" style="187" customWidth="1"/>
    <col min="6166" max="6166" width="15.42578125" style="187" bestFit="1" customWidth="1"/>
    <col min="6167" max="6167" width="10.42578125" style="187" bestFit="1" customWidth="1"/>
    <col min="6168" max="6401" width="9.140625" style="187"/>
    <col min="6402" max="6402" width="8.7109375" style="187" customWidth="1"/>
    <col min="6403" max="6403" width="17" style="187" customWidth="1"/>
    <col min="6404" max="6404" width="14.42578125" style="187" customWidth="1"/>
    <col min="6405" max="6405" width="10.28515625" style="187" customWidth="1"/>
    <col min="6406" max="6416" width="8.7109375" style="187" customWidth="1"/>
    <col min="6417" max="6417" width="9.7109375" style="187" customWidth="1"/>
    <col min="6418" max="6418" width="8.42578125" style="187" customWidth="1"/>
    <col min="6419" max="6419" width="9.140625" style="187"/>
    <col min="6420" max="6420" width="10.7109375" style="187" customWidth="1"/>
    <col min="6421" max="6421" width="5.28515625" style="187" customWidth="1"/>
    <col min="6422" max="6422" width="15.42578125" style="187" bestFit="1" customWidth="1"/>
    <col min="6423" max="6423" width="10.42578125" style="187" bestFit="1" customWidth="1"/>
    <col min="6424" max="6657" width="9.140625" style="187"/>
    <col min="6658" max="6658" width="8.7109375" style="187" customWidth="1"/>
    <col min="6659" max="6659" width="17" style="187" customWidth="1"/>
    <col min="6660" max="6660" width="14.42578125" style="187" customWidth="1"/>
    <col min="6661" max="6661" width="10.28515625" style="187" customWidth="1"/>
    <col min="6662" max="6672" width="8.7109375" style="187" customWidth="1"/>
    <col min="6673" max="6673" width="9.7109375" style="187" customWidth="1"/>
    <col min="6674" max="6674" width="8.42578125" style="187" customWidth="1"/>
    <col min="6675" max="6675" width="9.140625" style="187"/>
    <col min="6676" max="6676" width="10.7109375" style="187" customWidth="1"/>
    <col min="6677" max="6677" width="5.28515625" style="187" customWidth="1"/>
    <col min="6678" max="6678" width="15.42578125" style="187" bestFit="1" customWidth="1"/>
    <col min="6679" max="6679" width="10.42578125" style="187" bestFit="1" customWidth="1"/>
    <col min="6680" max="6913" width="9.140625" style="187"/>
    <col min="6914" max="6914" width="8.7109375" style="187" customWidth="1"/>
    <col min="6915" max="6915" width="17" style="187" customWidth="1"/>
    <col min="6916" max="6916" width="14.42578125" style="187" customWidth="1"/>
    <col min="6917" max="6917" width="10.28515625" style="187" customWidth="1"/>
    <col min="6918" max="6928" width="8.7109375" style="187" customWidth="1"/>
    <col min="6929" max="6929" width="9.7109375" style="187" customWidth="1"/>
    <col min="6930" max="6930" width="8.42578125" style="187" customWidth="1"/>
    <col min="6931" max="6931" width="9.140625" style="187"/>
    <col min="6932" max="6932" width="10.7109375" style="187" customWidth="1"/>
    <col min="6933" max="6933" width="5.28515625" style="187" customWidth="1"/>
    <col min="6934" max="6934" width="15.42578125" style="187" bestFit="1" customWidth="1"/>
    <col min="6935" max="6935" width="10.42578125" style="187" bestFit="1" customWidth="1"/>
    <col min="6936" max="7169" width="9.140625" style="187"/>
    <col min="7170" max="7170" width="8.7109375" style="187" customWidth="1"/>
    <col min="7171" max="7171" width="17" style="187" customWidth="1"/>
    <col min="7172" max="7172" width="14.42578125" style="187" customWidth="1"/>
    <col min="7173" max="7173" width="10.28515625" style="187" customWidth="1"/>
    <col min="7174" max="7184" width="8.7109375" style="187" customWidth="1"/>
    <col min="7185" max="7185" width="9.7109375" style="187" customWidth="1"/>
    <col min="7186" max="7186" width="8.42578125" style="187" customWidth="1"/>
    <col min="7187" max="7187" width="9.140625" style="187"/>
    <col min="7188" max="7188" width="10.7109375" style="187" customWidth="1"/>
    <col min="7189" max="7189" width="5.28515625" style="187" customWidth="1"/>
    <col min="7190" max="7190" width="15.42578125" style="187" bestFit="1" customWidth="1"/>
    <col min="7191" max="7191" width="10.42578125" style="187" bestFit="1" customWidth="1"/>
    <col min="7192" max="7425" width="9.140625" style="187"/>
    <col min="7426" max="7426" width="8.7109375" style="187" customWidth="1"/>
    <col min="7427" max="7427" width="17" style="187" customWidth="1"/>
    <col min="7428" max="7428" width="14.42578125" style="187" customWidth="1"/>
    <col min="7429" max="7429" width="10.28515625" style="187" customWidth="1"/>
    <col min="7430" max="7440" width="8.7109375" style="187" customWidth="1"/>
    <col min="7441" max="7441" width="9.7109375" style="187" customWidth="1"/>
    <col min="7442" max="7442" width="8.42578125" style="187" customWidth="1"/>
    <col min="7443" max="7443" width="9.140625" style="187"/>
    <col min="7444" max="7444" width="10.7109375" style="187" customWidth="1"/>
    <col min="7445" max="7445" width="5.28515625" style="187" customWidth="1"/>
    <col min="7446" max="7446" width="15.42578125" style="187" bestFit="1" customWidth="1"/>
    <col min="7447" max="7447" width="10.42578125" style="187" bestFit="1" customWidth="1"/>
    <col min="7448" max="7681" width="9.140625" style="187"/>
    <col min="7682" max="7682" width="8.7109375" style="187" customWidth="1"/>
    <col min="7683" max="7683" width="17" style="187" customWidth="1"/>
    <col min="7684" max="7684" width="14.42578125" style="187" customWidth="1"/>
    <col min="7685" max="7685" width="10.28515625" style="187" customWidth="1"/>
    <col min="7686" max="7696" width="8.7109375" style="187" customWidth="1"/>
    <col min="7697" max="7697" width="9.7109375" style="187" customWidth="1"/>
    <col min="7698" max="7698" width="8.42578125" style="187" customWidth="1"/>
    <col min="7699" max="7699" width="9.140625" style="187"/>
    <col min="7700" max="7700" width="10.7109375" style="187" customWidth="1"/>
    <col min="7701" max="7701" width="5.28515625" style="187" customWidth="1"/>
    <col min="7702" max="7702" width="15.42578125" style="187" bestFit="1" customWidth="1"/>
    <col min="7703" max="7703" width="10.42578125" style="187" bestFit="1" customWidth="1"/>
    <col min="7704" max="7937" width="9.140625" style="187"/>
    <col min="7938" max="7938" width="8.7109375" style="187" customWidth="1"/>
    <col min="7939" max="7939" width="17" style="187" customWidth="1"/>
    <col min="7940" max="7940" width="14.42578125" style="187" customWidth="1"/>
    <col min="7941" max="7941" width="10.28515625" style="187" customWidth="1"/>
    <col min="7942" max="7952" width="8.7109375" style="187" customWidth="1"/>
    <col min="7953" max="7953" width="9.7109375" style="187" customWidth="1"/>
    <col min="7954" max="7954" width="8.42578125" style="187" customWidth="1"/>
    <col min="7955" max="7955" width="9.140625" style="187"/>
    <col min="7956" max="7956" width="10.7109375" style="187" customWidth="1"/>
    <col min="7957" max="7957" width="5.28515625" style="187" customWidth="1"/>
    <col min="7958" max="7958" width="15.42578125" style="187" bestFit="1" customWidth="1"/>
    <col min="7959" max="7959" width="10.42578125" style="187" bestFit="1" customWidth="1"/>
    <col min="7960" max="8193" width="9.140625" style="187"/>
    <col min="8194" max="8194" width="8.7109375" style="187" customWidth="1"/>
    <col min="8195" max="8195" width="17" style="187" customWidth="1"/>
    <col min="8196" max="8196" width="14.42578125" style="187" customWidth="1"/>
    <col min="8197" max="8197" width="10.28515625" style="187" customWidth="1"/>
    <col min="8198" max="8208" width="8.7109375" style="187" customWidth="1"/>
    <col min="8209" max="8209" width="9.7109375" style="187" customWidth="1"/>
    <col min="8210" max="8210" width="8.42578125" style="187" customWidth="1"/>
    <col min="8211" max="8211" width="9.140625" style="187"/>
    <col min="8212" max="8212" width="10.7109375" style="187" customWidth="1"/>
    <col min="8213" max="8213" width="5.28515625" style="187" customWidth="1"/>
    <col min="8214" max="8214" width="15.42578125" style="187" bestFit="1" customWidth="1"/>
    <col min="8215" max="8215" width="10.42578125" style="187" bestFit="1" customWidth="1"/>
    <col min="8216" max="8449" width="9.140625" style="187"/>
    <col min="8450" max="8450" width="8.7109375" style="187" customWidth="1"/>
    <col min="8451" max="8451" width="17" style="187" customWidth="1"/>
    <col min="8452" max="8452" width="14.42578125" style="187" customWidth="1"/>
    <col min="8453" max="8453" width="10.28515625" style="187" customWidth="1"/>
    <col min="8454" max="8464" width="8.7109375" style="187" customWidth="1"/>
    <col min="8465" max="8465" width="9.7109375" style="187" customWidth="1"/>
    <col min="8466" max="8466" width="8.42578125" style="187" customWidth="1"/>
    <col min="8467" max="8467" width="9.140625" style="187"/>
    <col min="8468" max="8468" width="10.7109375" style="187" customWidth="1"/>
    <col min="8469" max="8469" width="5.28515625" style="187" customWidth="1"/>
    <col min="8470" max="8470" width="15.42578125" style="187" bestFit="1" customWidth="1"/>
    <col min="8471" max="8471" width="10.42578125" style="187" bestFit="1" customWidth="1"/>
    <col min="8472" max="8705" width="9.140625" style="187"/>
    <col min="8706" max="8706" width="8.7109375" style="187" customWidth="1"/>
    <col min="8707" max="8707" width="17" style="187" customWidth="1"/>
    <col min="8708" max="8708" width="14.42578125" style="187" customWidth="1"/>
    <col min="8709" max="8709" width="10.28515625" style="187" customWidth="1"/>
    <col min="8710" max="8720" width="8.7109375" style="187" customWidth="1"/>
    <col min="8721" max="8721" width="9.7109375" style="187" customWidth="1"/>
    <col min="8722" max="8722" width="8.42578125" style="187" customWidth="1"/>
    <col min="8723" max="8723" width="9.140625" style="187"/>
    <col min="8724" max="8724" width="10.7109375" style="187" customWidth="1"/>
    <col min="8725" max="8725" width="5.28515625" style="187" customWidth="1"/>
    <col min="8726" max="8726" width="15.42578125" style="187" bestFit="1" customWidth="1"/>
    <col min="8727" max="8727" width="10.42578125" style="187" bestFit="1" customWidth="1"/>
    <col min="8728" max="8961" width="9.140625" style="187"/>
    <col min="8962" max="8962" width="8.7109375" style="187" customWidth="1"/>
    <col min="8963" max="8963" width="17" style="187" customWidth="1"/>
    <col min="8964" max="8964" width="14.42578125" style="187" customWidth="1"/>
    <col min="8965" max="8965" width="10.28515625" style="187" customWidth="1"/>
    <col min="8966" max="8976" width="8.7109375" style="187" customWidth="1"/>
    <col min="8977" max="8977" width="9.7109375" style="187" customWidth="1"/>
    <col min="8978" max="8978" width="8.42578125" style="187" customWidth="1"/>
    <col min="8979" max="8979" width="9.140625" style="187"/>
    <col min="8980" max="8980" width="10.7109375" style="187" customWidth="1"/>
    <col min="8981" max="8981" width="5.28515625" style="187" customWidth="1"/>
    <col min="8982" max="8982" width="15.42578125" style="187" bestFit="1" customWidth="1"/>
    <col min="8983" max="8983" width="10.42578125" style="187" bestFit="1" customWidth="1"/>
    <col min="8984" max="9217" width="9.140625" style="187"/>
    <col min="9218" max="9218" width="8.7109375" style="187" customWidth="1"/>
    <col min="9219" max="9219" width="17" style="187" customWidth="1"/>
    <col min="9220" max="9220" width="14.42578125" style="187" customWidth="1"/>
    <col min="9221" max="9221" width="10.28515625" style="187" customWidth="1"/>
    <col min="9222" max="9232" width="8.7109375" style="187" customWidth="1"/>
    <col min="9233" max="9233" width="9.7109375" style="187" customWidth="1"/>
    <col min="9234" max="9234" width="8.42578125" style="187" customWidth="1"/>
    <col min="9235" max="9235" width="9.140625" style="187"/>
    <col min="9236" max="9236" width="10.7109375" style="187" customWidth="1"/>
    <col min="9237" max="9237" width="5.28515625" style="187" customWidth="1"/>
    <col min="9238" max="9238" width="15.42578125" style="187" bestFit="1" customWidth="1"/>
    <col min="9239" max="9239" width="10.42578125" style="187" bestFit="1" customWidth="1"/>
    <col min="9240" max="9473" width="9.140625" style="187"/>
    <col min="9474" max="9474" width="8.7109375" style="187" customWidth="1"/>
    <col min="9475" max="9475" width="17" style="187" customWidth="1"/>
    <col min="9476" max="9476" width="14.42578125" style="187" customWidth="1"/>
    <col min="9477" max="9477" width="10.28515625" style="187" customWidth="1"/>
    <col min="9478" max="9488" width="8.7109375" style="187" customWidth="1"/>
    <col min="9489" max="9489" width="9.7109375" style="187" customWidth="1"/>
    <col min="9490" max="9490" width="8.42578125" style="187" customWidth="1"/>
    <col min="9491" max="9491" width="9.140625" style="187"/>
    <col min="9492" max="9492" width="10.7109375" style="187" customWidth="1"/>
    <col min="9493" max="9493" width="5.28515625" style="187" customWidth="1"/>
    <col min="9494" max="9494" width="15.42578125" style="187" bestFit="1" customWidth="1"/>
    <col min="9495" max="9495" width="10.42578125" style="187" bestFit="1" customWidth="1"/>
    <col min="9496" max="9729" width="9.140625" style="187"/>
    <col min="9730" max="9730" width="8.7109375" style="187" customWidth="1"/>
    <col min="9731" max="9731" width="17" style="187" customWidth="1"/>
    <col min="9732" max="9732" width="14.42578125" style="187" customWidth="1"/>
    <col min="9733" max="9733" width="10.28515625" style="187" customWidth="1"/>
    <col min="9734" max="9744" width="8.7109375" style="187" customWidth="1"/>
    <col min="9745" max="9745" width="9.7109375" style="187" customWidth="1"/>
    <col min="9746" max="9746" width="8.42578125" style="187" customWidth="1"/>
    <col min="9747" max="9747" width="9.140625" style="187"/>
    <col min="9748" max="9748" width="10.7109375" style="187" customWidth="1"/>
    <col min="9749" max="9749" width="5.28515625" style="187" customWidth="1"/>
    <col min="9750" max="9750" width="15.42578125" style="187" bestFit="1" customWidth="1"/>
    <col min="9751" max="9751" width="10.42578125" style="187" bestFit="1" customWidth="1"/>
    <col min="9752" max="9985" width="9.140625" style="187"/>
    <col min="9986" max="9986" width="8.7109375" style="187" customWidth="1"/>
    <col min="9987" max="9987" width="17" style="187" customWidth="1"/>
    <col min="9988" max="9988" width="14.42578125" style="187" customWidth="1"/>
    <col min="9989" max="9989" width="10.28515625" style="187" customWidth="1"/>
    <col min="9990" max="10000" width="8.7109375" style="187" customWidth="1"/>
    <col min="10001" max="10001" width="9.7109375" style="187" customWidth="1"/>
    <col min="10002" max="10002" width="8.42578125" style="187" customWidth="1"/>
    <col min="10003" max="10003" width="9.140625" style="187"/>
    <col min="10004" max="10004" width="10.7109375" style="187" customWidth="1"/>
    <col min="10005" max="10005" width="5.28515625" style="187" customWidth="1"/>
    <col min="10006" max="10006" width="15.42578125" style="187" bestFit="1" customWidth="1"/>
    <col min="10007" max="10007" width="10.42578125" style="187" bestFit="1" customWidth="1"/>
    <col min="10008" max="10241" width="9.140625" style="187"/>
    <col min="10242" max="10242" width="8.7109375" style="187" customWidth="1"/>
    <col min="10243" max="10243" width="17" style="187" customWidth="1"/>
    <col min="10244" max="10244" width="14.42578125" style="187" customWidth="1"/>
    <col min="10245" max="10245" width="10.28515625" style="187" customWidth="1"/>
    <col min="10246" max="10256" width="8.7109375" style="187" customWidth="1"/>
    <col min="10257" max="10257" width="9.7109375" style="187" customWidth="1"/>
    <col min="10258" max="10258" width="8.42578125" style="187" customWidth="1"/>
    <col min="10259" max="10259" width="9.140625" style="187"/>
    <col min="10260" max="10260" width="10.7109375" style="187" customWidth="1"/>
    <col min="10261" max="10261" width="5.28515625" style="187" customWidth="1"/>
    <col min="10262" max="10262" width="15.42578125" style="187" bestFit="1" customWidth="1"/>
    <col min="10263" max="10263" width="10.42578125" style="187" bestFit="1" customWidth="1"/>
    <col min="10264" max="10497" width="9.140625" style="187"/>
    <col min="10498" max="10498" width="8.7109375" style="187" customWidth="1"/>
    <col min="10499" max="10499" width="17" style="187" customWidth="1"/>
    <col min="10500" max="10500" width="14.42578125" style="187" customWidth="1"/>
    <col min="10501" max="10501" width="10.28515625" style="187" customWidth="1"/>
    <col min="10502" max="10512" width="8.7109375" style="187" customWidth="1"/>
    <col min="10513" max="10513" width="9.7109375" style="187" customWidth="1"/>
    <col min="10514" max="10514" width="8.42578125" style="187" customWidth="1"/>
    <col min="10515" max="10515" width="9.140625" style="187"/>
    <col min="10516" max="10516" width="10.7109375" style="187" customWidth="1"/>
    <col min="10517" max="10517" width="5.28515625" style="187" customWidth="1"/>
    <col min="10518" max="10518" width="15.42578125" style="187" bestFit="1" customWidth="1"/>
    <col min="10519" max="10519" width="10.42578125" style="187" bestFit="1" customWidth="1"/>
    <col min="10520" max="10753" width="9.140625" style="187"/>
    <col min="10754" max="10754" width="8.7109375" style="187" customWidth="1"/>
    <col min="10755" max="10755" width="17" style="187" customWidth="1"/>
    <col min="10756" max="10756" width="14.42578125" style="187" customWidth="1"/>
    <col min="10757" max="10757" width="10.28515625" style="187" customWidth="1"/>
    <col min="10758" max="10768" width="8.7109375" style="187" customWidth="1"/>
    <col min="10769" max="10769" width="9.7109375" style="187" customWidth="1"/>
    <col min="10770" max="10770" width="8.42578125" style="187" customWidth="1"/>
    <col min="10771" max="10771" width="9.140625" style="187"/>
    <col min="10772" max="10772" width="10.7109375" style="187" customWidth="1"/>
    <col min="10773" max="10773" width="5.28515625" style="187" customWidth="1"/>
    <col min="10774" max="10774" width="15.42578125" style="187" bestFit="1" customWidth="1"/>
    <col min="10775" max="10775" width="10.42578125" style="187" bestFit="1" customWidth="1"/>
    <col min="10776" max="11009" width="9.140625" style="187"/>
    <col min="11010" max="11010" width="8.7109375" style="187" customWidth="1"/>
    <col min="11011" max="11011" width="17" style="187" customWidth="1"/>
    <col min="11012" max="11012" width="14.42578125" style="187" customWidth="1"/>
    <col min="11013" max="11013" width="10.28515625" style="187" customWidth="1"/>
    <col min="11014" max="11024" width="8.7109375" style="187" customWidth="1"/>
    <col min="11025" max="11025" width="9.7109375" style="187" customWidth="1"/>
    <col min="11026" max="11026" width="8.42578125" style="187" customWidth="1"/>
    <col min="11027" max="11027" width="9.140625" style="187"/>
    <col min="11028" max="11028" width="10.7109375" style="187" customWidth="1"/>
    <col min="11029" max="11029" width="5.28515625" style="187" customWidth="1"/>
    <col min="11030" max="11030" width="15.42578125" style="187" bestFit="1" customWidth="1"/>
    <col min="11031" max="11031" width="10.42578125" style="187" bestFit="1" customWidth="1"/>
    <col min="11032" max="11265" width="9.140625" style="187"/>
    <col min="11266" max="11266" width="8.7109375" style="187" customWidth="1"/>
    <col min="11267" max="11267" width="17" style="187" customWidth="1"/>
    <col min="11268" max="11268" width="14.42578125" style="187" customWidth="1"/>
    <col min="11269" max="11269" width="10.28515625" style="187" customWidth="1"/>
    <col min="11270" max="11280" width="8.7109375" style="187" customWidth="1"/>
    <col min="11281" max="11281" width="9.7109375" style="187" customWidth="1"/>
    <col min="11282" max="11282" width="8.42578125" style="187" customWidth="1"/>
    <col min="11283" max="11283" width="9.140625" style="187"/>
    <col min="11284" max="11284" width="10.7109375" style="187" customWidth="1"/>
    <col min="11285" max="11285" width="5.28515625" style="187" customWidth="1"/>
    <col min="11286" max="11286" width="15.42578125" style="187" bestFit="1" customWidth="1"/>
    <col min="11287" max="11287" width="10.42578125" style="187" bestFit="1" customWidth="1"/>
    <col min="11288" max="11521" width="9.140625" style="187"/>
    <col min="11522" max="11522" width="8.7109375" style="187" customWidth="1"/>
    <col min="11523" max="11523" width="17" style="187" customWidth="1"/>
    <col min="11524" max="11524" width="14.42578125" style="187" customWidth="1"/>
    <col min="11525" max="11525" width="10.28515625" style="187" customWidth="1"/>
    <col min="11526" max="11536" width="8.7109375" style="187" customWidth="1"/>
    <col min="11537" max="11537" width="9.7109375" style="187" customWidth="1"/>
    <col min="11538" max="11538" width="8.42578125" style="187" customWidth="1"/>
    <col min="11539" max="11539" width="9.140625" style="187"/>
    <col min="11540" max="11540" width="10.7109375" style="187" customWidth="1"/>
    <col min="11541" max="11541" width="5.28515625" style="187" customWidth="1"/>
    <col min="11542" max="11542" width="15.42578125" style="187" bestFit="1" customWidth="1"/>
    <col min="11543" max="11543" width="10.42578125" style="187" bestFit="1" customWidth="1"/>
    <col min="11544" max="11777" width="9.140625" style="187"/>
    <col min="11778" max="11778" width="8.7109375" style="187" customWidth="1"/>
    <col min="11779" max="11779" width="17" style="187" customWidth="1"/>
    <col min="11780" max="11780" width="14.42578125" style="187" customWidth="1"/>
    <col min="11781" max="11781" width="10.28515625" style="187" customWidth="1"/>
    <col min="11782" max="11792" width="8.7109375" style="187" customWidth="1"/>
    <col min="11793" max="11793" width="9.7109375" style="187" customWidth="1"/>
    <col min="11794" max="11794" width="8.42578125" style="187" customWidth="1"/>
    <col min="11795" max="11795" width="9.140625" style="187"/>
    <col min="11796" max="11796" width="10.7109375" style="187" customWidth="1"/>
    <col min="11797" max="11797" width="5.28515625" style="187" customWidth="1"/>
    <col min="11798" max="11798" width="15.42578125" style="187" bestFit="1" customWidth="1"/>
    <col min="11799" max="11799" width="10.42578125" style="187" bestFit="1" customWidth="1"/>
    <col min="11800" max="12033" width="9.140625" style="187"/>
    <col min="12034" max="12034" width="8.7109375" style="187" customWidth="1"/>
    <col min="12035" max="12035" width="17" style="187" customWidth="1"/>
    <col min="12036" max="12036" width="14.42578125" style="187" customWidth="1"/>
    <col min="12037" max="12037" width="10.28515625" style="187" customWidth="1"/>
    <col min="12038" max="12048" width="8.7109375" style="187" customWidth="1"/>
    <col min="12049" max="12049" width="9.7109375" style="187" customWidth="1"/>
    <col min="12050" max="12050" width="8.42578125" style="187" customWidth="1"/>
    <col min="12051" max="12051" width="9.140625" style="187"/>
    <col min="12052" max="12052" width="10.7109375" style="187" customWidth="1"/>
    <col min="12053" max="12053" width="5.28515625" style="187" customWidth="1"/>
    <col min="12054" max="12054" width="15.42578125" style="187" bestFit="1" customWidth="1"/>
    <col min="12055" max="12055" width="10.42578125" style="187" bestFit="1" customWidth="1"/>
    <col min="12056" max="12289" width="9.140625" style="187"/>
    <col min="12290" max="12290" width="8.7109375" style="187" customWidth="1"/>
    <col min="12291" max="12291" width="17" style="187" customWidth="1"/>
    <col min="12292" max="12292" width="14.42578125" style="187" customWidth="1"/>
    <col min="12293" max="12293" width="10.28515625" style="187" customWidth="1"/>
    <col min="12294" max="12304" width="8.7109375" style="187" customWidth="1"/>
    <col min="12305" max="12305" width="9.7109375" style="187" customWidth="1"/>
    <col min="12306" max="12306" width="8.42578125" style="187" customWidth="1"/>
    <col min="12307" max="12307" width="9.140625" style="187"/>
    <col min="12308" max="12308" width="10.7109375" style="187" customWidth="1"/>
    <col min="12309" max="12309" width="5.28515625" style="187" customWidth="1"/>
    <col min="12310" max="12310" width="15.42578125" style="187" bestFit="1" customWidth="1"/>
    <col min="12311" max="12311" width="10.42578125" style="187" bestFit="1" customWidth="1"/>
    <col min="12312" max="12545" width="9.140625" style="187"/>
    <col min="12546" max="12546" width="8.7109375" style="187" customWidth="1"/>
    <col min="12547" max="12547" width="17" style="187" customWidth="1"/>
    <col min="12548" max="12548" width="14.42578125" style="187" customWidth="1"/>
    <col min="12549" max="12549" width="10.28515625" style="187" customWidth="1"/>
    <col min="12550" max="12560" width="8.7109375" style="187" customWidth="1"/>
    <col min="12561" max="12561" width="9.7109375" style="187" customWidth="1"/>
    <col min="12562" max="12562" width="8.42578125" style="187" customWidth="1"/>
    <col min="12563" max="12563" width="9.140625" style="187"/>
    <col min="12564" max="12564" width="10.7109375" style="187" customWidth="1"/>
    <col min="12565" max="12565" width="5.28515625" style="187" customWidth="1"/>
    <col min="12566" max="12566" width="15.42578125" style="187" bestFit="1" customWidth="1"/>
    <col min="12567" max="12567" width="10.42578125" style="187" bestFit="1" customWidth="1"/>
    <col min="12568" max="12801" width="9.140625" style="187"/>
    <col min="12802" max="12802" width="8.7109375" style="187" customWidth="1"/>
    <col min="12803" max="12803" width="17" style="187" customWidth="1"/>
    <col min="12804" max="12804" width="14.42578125" style="187" customWidth="1"/>
    <col min="12805" max="12805" width="10.28515625" style="187" customWidth="1"/>
    <col min="12806" max="12816" width="8.7109375" style="187" customWidth="1"/>
    <col min="12817" max="12817" width="9.7109375" style="187" customWidth="1"/>
    <col min="12818" max="12818" width="8.42578125" style="187" customWidth="1"/>
    <col min="12819" max="12819" width="9.140625" style="187"/>
    <col min="12820" max="12820" width="10.7109375" style="187" customWidth="1"/>
    <col min="12821" max="12821" width="5.28515625" style="187" customWidth="1"/>
    <col min="12822" max="12822" width="15.42578125" style="187" bestFit="1" customWidth="1"/>
    <col min="12823" max="12823" width="10.42578125" style="187" bestFit="1" customWidth="1"/>
    <col min="12824" max="13057" width="9.140625" style="187"/>
    <col min="13058" max="13058" width="8.7109375" style="187" customWidth="1"/>
    <col min="13059" max="13059" width="17" style="187" customWidth="1"/>
    <col min="13060" max="13060" width="14.42578125" style="187" customWidth="1"/>
    <col min="13061" max="13061" width="10.28515625" style="187" customWidth="1"/>
    <col min="13062" max="13072" width="8.7109375" style="187" customWidth="1"/>
    <col min="13073" max="13073" width="9.7109375" style="187" customWidth="1"/>
    <col min="13074" max="13074" width="8.42578125" style="187" customWidth="1"/>
    <col min="13075" max="13075" width="9.140625" style="187"/>
    <col min="13076" max="13076" width="10.7109375" style="187" customWidth="1"/>
    <col min="13077" max="13077" width="5.28515625" style="187" customWidth="1"/>
    <col min="13078" max="13078" width="15.42578125" style="187" bestFit="1" customWidth="1"/>
    <col min="13079" max="13079" width="10.42578125" style="187" bestFit="1" customWidth="1"/>
    <col min="13080" max="13313" width="9.140625" style="187"/>
    <col min="13314" max="13314" width="8.7109375" style="187" customWidth="1"/>
    <col min="13315" max="13315" width="17" style="187" customWidth="1"/>
    <col min="13316" max="13316" width="14.42578125" style="187" customWidth="1"/>
    <col min="13317" max="13317" width="10.28515625" style="187" customWidth="1"/>
    <col min="13318" max="13328" width="8.7109375" style="187" customWidth="1"/>
    <col min="13329" max="13329" width="9.7109375" style="187" customWidth="1"/>
    <col min="13330" max="13330" width="8.42578125" style="187" customWidth="1"/>
    <col min="13331" max="13331" width="9.140625" style="187"/>
    <col min="13332" max="13332" width="10.7109375" style="187" customWidth="1"/>
    <col min="13333" max="13333" width="5.28515625" style="187" customWidth="1"/>
    <col min="13334" max="13334" width="15.42578125" style="187" bestFit="1" customWidth="1"/>
    <col min="13335" max="13335" width="10.42578125" style="187" bestFit="1" customWidth="1"/>
    <col min="13336" max="13569" width="9.140625" style="187"/>
    <col min="13570" max="13570" width="8.7109375" style="187" customWidth="1"/>
    <col min="13571" max="13571" width="17" style="187" customWidth="1"/>
    <col min="13572" max="13572" width="14.42578125" style="187" customWidth="1"/>
    <col min="13573" max="13573" width="10.28515625" style="187" customWidth="1"/>
    <col min="13574" max="13584" width="8.7109375" style="187" customWidth="1"/>
    <col min="13585" max="13585" width="9.7109375" style="187" customWidth="1"/>
    <col min="13586" max="13586" width="8.42578125" style="187" customWidth="1"/>
    <col min="13587" max="13587" width="9.140625" style="187"/>
    <col min="13588" max="13588" width="10.7109375" style="187" customWidth="1"/>
    <col min="13589" max="13589" width="5.28515625" style="187" customWidth="1"/>
    <col min="13590" max="13590" width="15.42578125" style="187" bestFit="1" customWidth="1"/>
    <col min="13591" max="13591" width="10.42578125" style="187" bestFit="1" customWidth="1"/>
    <col min="13592" max="13825" width="9.140625" style="187"/>
    <col min="13826" max="13826" width="8.7109375" style="187" customWidth="1"/>
    <col min="13827" max="13827" width="17" style="187" customWidth="1"/>
    <col min="13828" max="13828" width="14.42578125" style="187" customWidth="1"/>
    <col min="13829" max="13829" width="10.28515625" style="187" customWidth="1"/>
    <col min="13830" max="13840" width="8.7109375" style="187" customWidth="1"/>
    <col min="13841" max="13841" width="9.7109375" style="187" customWidth="1"/>
    <col min="13842" max="13842" width="8.42578125" style="187" customWidth="1"/>
    <col min="13843" max="13843" width="9.140625" style="187"/>
    <col min="13844" max="13844" width="10.7109375" style="187" customWidth="1"/>
    <col min="13845" max="13845" width="5.28515625" style="187" customWidth="1"/>
    <col min="13846" max="13846" width="15.42578125" style="187" bestFit="1" customWidth="1"/>
    <col min="13847" max="13847" width="10.42578125" style="187" bestFit="1" customWidth="1"/>
    <col min="13848" max="14081" width="9.140625" style="187"/>
    <col min="14082" max="14082" width="8.7109375" style="187" customWidth="1"/>
    <col min="14083" max="14083" width="17" style="187" customWidth="1"/>
    <col min="14084" max="14084" width="14.42578125" style="187" customWidth="1"/>
    <col min="14085" max="14085" width="10.28515625" style="187" customWidth="1"/>
    <col min="14086" max="14096" width="8.7109375" style="187" customWidth="1"/>
    <col min="14097" max="14097" width="9.7109375" style="187" customWidth="1"/>
    <col min="14098" max="14098" width="8.42578125" style="187" customWidth="1"/>
    <col min="14099" max="14099" width="9.140625" style="187"/>
    <col min="14100" max="14100" width="10.7109375" style="187" customWidth="1"/>
    <col min="14101" max="14101" width="5.28515625" style="187" customWidth="1"/>
    <col min="14102" max="14102" width="15.42578125" style="187" bestFit="1" customWidth="1"/>
    <col min="14103" max="14103" width="10.42578125" style="187" bestFit="1" customWidth="1"/>
    <col min="14104" max="14337" width="9.140625" style="187"/>
    <col min="14338" max="14338" width="8.7109375" style="187" customWidth="1"/>
    <col min="14339" max="14339" width="17" style="187" customWidth="1"/>
    <col min="14340" max="14340" width="14.42578125" style="187" customWidth="1"/>
    <col min="14341" max="14341" width="10.28515625" style="187" customWidth="1"/>
    <col min="14342" max="14352" width="8.7109375" style="187" customWidth="1"/>
    <col min="14353" max="14353" width="9.7109375" style="187" customWidth="1"/>
    <col min="14354" max="14354" width="8.42578125" style="187" customWidth="1"/>
    <col min="14355" max="14355" width="9.140625" style="187"/>
    <col min="14356" max="14356" width="10.7109375" style="187" customWidth="1"/>
    <col min="14357" max="14357" width="5.28515625" style="187" customWidth="1"/>
    <col min="14358" max="14358" width="15.42578125" style="187" bestFit="1" customWidth="1"/>
    <col min="14359" max="14359" width="10.42578125" style="187" bestFit="1" customWidth="1"/>
    <col min="14360" max="14593" width="9.140625" style="187"/>
    <col min="14594" max="14594" width="8.7109375" style="187" customWidth="1"/>
    <col min="14595" max="14595" width="17" style="187" customWidth="1"/>
    <col min="14596" max="14596" width="14.42578125" style="187" customWidth="1"/>
    <col min="14597" max="14597" width="10.28515625" style="187" customWidth="1"/>
    <col min="14598" max="14608" width="8.7109375" style="187" customWidth="1"/>
    <col min="14609" max="14609" width="9.7109375" style="187" customWidth="1"/>
    <col min="14610" max="14610" width="8.42578125" style="187" customWidth="1"/>
    <col min="14611" max="14611" width="9.140625" style="187"/>
    <col min="14612" max="14612" width="10.7109375" style="187" customWidth="1"/>
    <col min="14613" max="14613" width="5.28515625" style="187" customWidth="1"/>
    <col min="14614" max="14614" width="15.42578125" style="187" bestFit="1" customWidth="1"/>
    <col min="14615" max="14615" width="10.42578125" style="187" bestFit="1" customWidth="1"/>
    <col min="14616" max="14849" width="9.140625" style="187"/>
    <col min="14850" max="14850" width="8.7109375" style="187" customWidth="1"/>
    <col min="14851" max="14851" width="17" style="187" customWidth="1"/>
    <col min="14852" max="14852" width="14.42578125" style="187" customWidth="1"/>
    <col min="14853" max="14853" width="10.28515625" style="187" customWidth="1"/>
    <col min="14854" max="14864" width="8.7109375" style="187" customWidth="1"/>
    <col min="14865" max="14865" width="9.7109375" style="187" customWidth="1"/>
    <col min="14866" max="14866" width="8.42578125" style="187" customWidth="1"/>
    <col min="14867" max="14867" width="9.140625" style="187"/>
    <col min="14868" max="14868" width="10.7109375" style="187" customWidth="1"/>
    <col min="14869" max="14869" width="5.28515625" style="187" customWidth="1"/>
    <col min="14870" max="14870" width="15.42578125" style="187" bestFit="1" customWidth="1"/>
    <col min="14871" max="14871" width="10.42578125" style="187" bestFit="1" customWidth="1"/>
    <col min="14872" max="15105" width="9.140625" style="187"/>
    <col min="15106" max="15106" width="8.7109375" style="187" customWidth="1"/>
    <col min="15107" max="15107" width="17" style="187" customWidth="1"/>
    <col min="15108" max="15108" width="14.42578125" style="187" customWidth="1"/>
    <col min="15109" max="15109" width="10.28515625" style="187" customWidth="1"/>
    <col min="15110" max="15120" width="8.7109375" style="187" customWidth="1"/>
    <col min="15121" max="15121" width="9.7109375" style="187" customWidth="1"/>
    <col min="15122" max="15122" width="8.42578125" style="187" customWidth="1"/>
    <col min="15123" max="15123" width="9.140625" style="187"/>
    <col min="15124" max="15124" width="10.7109375" style="187" customWidth="1"/>
    <col min="15125" max="15125" width="5.28515625" style="187" customWidth="1"/>
    <col min="15126" max="15126" width="15.42578125" style="187" bestFit="1" customWidth="1"/>
    <col min="15127" max="15127" width="10.42578125" style="187" bestFit="1" customWidth="1"/>
    <col min="15128" max="15361" width="9.140625" style="187"/>
    <col min="15362" max="15362" width="8.7109375" style="187" customWidth="1"/>
    <col min="15363" max="15363" width="17" style="187" customWidth="1"/>
    <col min="15364" max="15364" width="14.42578125" style="187" customWidth="1"/>
    <col min="15365" max="15365" width="10.28515625" style="187" customWidth="1"/>
    <col min="15366" max="15376" width="8.7109375" style="187" customWidth="1"/>
    <col min="15377" max="15377" width="9.7109375" style="187" customWidth="1"/>
    <col min="15378" max="15378" width="8.42578125" style="187" customWidth="1"/>
    <col min="15379" max="15379" width="9.140625" style="187"/>
    <col min="15380" max="15380" width="10.7109375" style="187" customWidth="1"/>
    <col min="15381" max="15381" width="5.28515625" style="187" customWidth="1"/>
    <col min="15382" max="15382" width="15.42578125" style="187" bestFit="1" customWidth="1"/>
    <col min="15383" max="15383" width="10.42578125" style="187" bestFit="1" customWidth="1"/>
    <col min="15384" max="15617" width="9.140625" style="187"/>
    <col min="15618" max="15618" width="8.7109375" style="187" customWidth="1"/>
    <col min="15619" max="15619" width="17" style="187" customWidth="1"/>
    <col min="15620" max="15620" width="14.42578125" style="187" customWidth="1"/>
    <col min="15621" max="15621" width="10.28515625" style="187" customWidth="1"/>
    <col min="15622" max="15632" width="8.7109375" style="187" customWidth="1"/>
    <col min="15633" max="15633" width="9.7109375" style="187" customWidth="1"/>
    <col min="15634" max="15634" width="8.42578125" style="187" customWidth="1"/>
    <col min="15635" max="15635" width="9.140625" style="187"/>
    <col min="15636" max="15636" width="10.7109375" style="187" customWidth="1"/>
    <col min="15637" max="15637" width="5.28515625" style="187" customWidth="1"/>
    <col min="15638" max="15638" width="15.42578125" style="187" bestFit="1" customWidth="1"/>
    <col min="15639" max="15639" width="10.42578125" style="187" bestFit="1" customWidth="1"/>
    <col min="15640" max="15873" width="9.140625" style="187"/>
    <col min="15874" max="15874" width="8.7109375" style="187" customWidth="1"/>
    <col min="15875" max="15875" width="17" style="187" customWidth="1"/>
    <col min="15876" max="15876" width="14.42578125" style="187" customWidth="1"/>
    <col min="15877" max="15877" width="10.28515625" style="187" customWidth="1"/>
    <col min="15878" max="15888" width="8.7109375" style="187" customWidth="1"/>
    <col min="15889" max="15889" width="9.7109375" style="187" customWidth="1"/>
    <col min="15890" max="15890" width="8.42578125" style="187" customWidth="1"/>
    <col min="15891" max="15891" width="9.140625" style="187"/>
    <col min="15892" max="15892" width="10.7109375" style="187" customWidth="1"/>
    <col min="15893" max="15893" width="5.28515625" style="187" customWidth="1"/>
    <col min="15894" max="15894" width="15.42578125" style="187" bestFit="1" customWidth="1"/>
    <col min="15895" max="15895" width="10.42578125" style="187" bestFit="1" customWidth="1"/>
    <col min="15896" max="16129" width="9.140625" style="187"/>
    <col min="16130" max="16130" width="8.7109375" style="187" customWidth="1"/>
    <col min="16131" max="16131" width="17" style="187" customWidth="1"/>
    <col min="16132" max="16132" width="14.42578125" style="187" customWidth="1"/>
    <col min="16133" max="16133" width="10.28515625" style="187" customWidth="1"/>
    <col min="16134" max="16144" width="8.7109375" style="187" customWidth="1"/>
    <col min="16145" max="16145" width="9.7109375" style="187" customWidth="1"/>
    <col min="16146" max="16146" width="8.42578125" style="187" customWidth="1"/>
    <col min="16147" max="16147" width="9.140625" style="187"/>
    <col min="16148" max="16148" width="10.7109375" style="187" customWidth="1"/>
    <col min="16149" max="16149" width="5.28515625" style="187" customWidth="1"/>
    <col min="16150" max="16150" width="15.42578125" style="187" bestFit="1" customWidth="1"/>
    <col min="16151" max="16151" width="10.42578125" style="187" bestFit="1" customWidth="1"/>
    <col min="16152" max="16384" width="9.140625" style="187"/>
  </cols>
  <sheetData>
    <row r="1" spans="1:30" ht="12.75">
      <c r="A1" s="428" t="s">
        <v>0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430"/>
    </row>
    <row r="2" spans="1:30" ht="12.75">
      <c r="A2" s="431" t="s">
        <v>266</v>
      </c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3"/>
      <c r="Q2" s="188"/>
      <c r="R2" s="189"/>
      <c r="S2" s="190"/>
      <c r="T2" s="190"/>
    </row>
    <row r="3" spans="1:30" ht="12.75">
      <c r="A3" s="38"/>
      <c r="B3" s="39" t="s">
        <v>53</v>
      </c>
      <c r="C3" s="39"/>
      <c r="D3" s="40"/>
      <c r="E3" s="177" t="s">
        <v>377</v>
      </c>
      <c r="F3" s="42" t="s">
        <v>1</v>
      </c>
      <c r="G3" s="43">
        <v>14.93</v>
      </c>
      <c r="H3" s="45"/>
      <c r="I3" s="45"/>
      <c r="J3" s="46"/>
      <c r="K3" s="45"/>
      <c r="L3" s="45"/>
      <c r="M3" s="45"/>
      <c r="N3" s="45"/>
      <c r="O3" s="47"/>
      <c r="Q3" s="191" t="s">
        <v>95</v>
      </c>
      <c r="R3" s="192"/>
      <c r="S3" s="193"/>
      <c r="T3" s="194"/>
      <c r="U3" s="195"/>
      <c r="V3" s="196"/>
      <c r="W3" s="493"/>
      <c r="X3" s="493"/>
      <c r="Y3" s="493"/>
      <c r="Z3" s="196"/>
      <c r="AA3" s="196"/>
      <c r="AB3" s="196"/>
      <c r="AC3" s="196"/>
    </row>
    <row r="4" spans="1:30" ht="13.5" thickBot="1">
      <c r="A4" s="48"/>
      <c r="B4" s="49" t="s">
        <v>54</v>
      </c>
      <c r="C4" s="50"/>
      <c r="D4" s="49"/>
      <c r="E4" s="197" t="s">
        <v>257</v>
      </c>
      <c r="F4" s="49" t="s">
        <v>343</v>
      </c>
      <c r="G4" s="49"/>
      <c r="H4" s="39"/>
      <c r="I4" s="49"/>
      <c r="J4" s="49"/>
      <c r="K4" s="52" t="s">
        <v>2</v>
      </c>
      <c r="L4" s="52"/>
      <c r="M4" s="52"/>
      <c r="N4" s="52">
        <v>15</v>
      </c>
      <c r="O4" s="198" t="s">
        <v>3</v>
      </c>
      <c r="Q4" s="199"/>
      <c r="R4" s="192"/>
      <c r="S4" s="193"/>
      <c r="T4" s="194"/>
      <c r="U4" s="195"/>
      <c r="V4" s="196"/>
      <c r="W4" s="491"/>
      <c r="X4" s="200"/>
      <c r="Y4" s="196"/>
      <c r="Z4" s="491"/>
      <c r="AA4" s="200"/>
      <c r="AB4" s="196"/>
      <c r="AC4" s="196"/>
    </row>
    <row r="5" spans="1:30" ht="14.25" thickTop="1" thickBot="1">
      <c r="A5" s="48"/>
      <c r="B5" s="39" t="s">
        <v>4</v>
      </c>
      <c r="C5" s="39"/>
      <c r="D5" s="49"/>
      <c r="E5" s="197" t="s">
        <v>340</v>
      </c>
      <c r="F5" s="49"/>
      <c r="G5" s="49"/>
      <c r="H5" s="49"/>
      <c r="I5" s="49"/>
      <c r="J5" s="49"/>
      <c r="K5" s="234" t="s">
        <v>2</v>
      </c>
      <c r="L5" s="235"/>
      <c r="M5" s="235"/>
      <c r="N5" s="235">
        <v>25</v>
      </c>
      <c r="O5" s="236" t="s">
        <v>3</v>
      </c>
      <c r="Q5" s="187" t="s">
        <v>217</v>
      </c>
      <c r="R5" s="201">
        <f ca="1">'PERFIL BC07'!C18</f>
        <v>3.6580516944386825</v>
      </c>
      <c r="S5" s="202"/>
      <c r="T5" s="203"/>
      <c r="U5" s="196"/>
      <c r="V5" s="196"/>
      <c r="W5" s="491"/>
      <c r="X5" s="200"/>
      <c r="Y5" s="196"/>
      <c r="Z5" s="491"/>
      <c r="AA5" s="200"/>
      <c r="AB5" s="196"/>
      <c r="AC5" s="196"/>
    </row>
    <row r="6" spans="1:30" ht="14.25" thickTop="1" thickBot="1">
      <c r="A6" s="48"/>
      <c r="B6" s="39" t="s">
        <v>55</v>
      </c>
      <c r="C6" s="39"/>
      <c r="D6" s="49"/>
      <c r="E6" s="43">
        <f ca="1">VLOOKUP(F10,'AUX BACIAS'!$A$2:$D$10,3,0)</f>
        <v>7.6303087891945394</v>
      </c>
      <c r="F6" s="49"/>
      <c r="G6" s="49"/>
      <c r="H6" s="49"/>
      <c r="I6" s="49"/>
      <c r="J6" s="49"/>
      <c r="K6" s="150" t="s">
        <v>2</v>
      </c>
      <c r="L6" s="151"/>
      <c r="M6" s="151"/>
      <c r="N6" s="151">
        <v>50</v>
      </c>
      <c r="O6" s="237" t="s">
        <v>3</v>
      </c>
      <c r="Q6" s="187" t="s">
        <v>218</v>
      </c>
      <c r="R6" s="201">
        <f ca="1">100*(E8/(E7*1000))</f>
        <v>8.4176061455821216</v>
      </c>
      <c r="S6" s="202"/>
      <c r="T6" s="203"/>
      <c r="U6" s="196"/>
      <c r="V6" s="196"/>
      <c r="W6" s="196"/>
      <c r="X6" s="196"/>
      <c r="Y6" s="196"/>
      <c r="Z6" s="196"/>
      <c r="AA6" s="196"/>
      <c r="AB6" s="196"/>
      <c r="AC6" s="196"/>
    </row>
    <row r="7" spans="1:30" ht="13.5" thickTop="1">
      <c r="A7" s="48"/>
      <c r="B7" s="39" t="s">
        <v>6</v>
      </c>
      <c r="C7" s="39"/>
      <c r="D7" s="49"/>
      <c r="E7" s="43">
        <f ca="1">(VLOOKUP(F10,'AUX BACIAS'!$A$2:$D$10,4,0)/1000)</f>
        <v>5.0370615192364543</v>
      </c>
      <c r="F7" s="49"/>
      <c r="G7" s="49"/>
      <c r="H7" s="49"/>
      <c r="I7" s="49"/>
      <c r="J7" s="49"/>
      <c r="K7" s="49" t="s">
        <v>2</v>
      </c>
      <c r="L7" s="49"/>
      <c r="M7" s="49"/>
      <c r="N7" s="49">
        <v>100</v>
      </c>
      <c r="O7" s="146" t="s">
        <v>3</v>
      </c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</row>
    <row r="8" spans="1:30" ht="12.75">
      <c r="A8" s="48"/>
      <c r="B8" s="39" t="s">
        <v>7</v>
      </c>
      <c r="C8" s="39"/>
      <c r="D8" s="49"/>
      <c r="E8" s="179">
        <f>(INDEX('PERFIL BC07'!$C:$C,MATCH("C",'PERFIL BC07'!$B:$B,0))-INDEX('PERFIL BC07'!$C:$C,MATCH("E",'PERFIL BC07'!$B:$B,0)))</f>
        <v>424</v>
      </c>
      <c r="F8" s="49"/>
      <c r="G8" s="49"/>
      <c r="H8" s="49"/>
      <c r="I8" s="49"/>
      <c r="J8" s="49"/>
      <c r="K8" s="49" t="s">
        <v>56</v>
      </c>
      <c r="L8" s="49"/>
      <c r="M8" s="49"/>
      <c r="N8" s="50"/>
      <c r="O8" s="53">
        <f>H23</f>
        <v>0.35</v>
      </c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96"/>
      <c r="AC8" s="196"/>
    </row>
    <row r="9" spans="1:30" ht="12.75">
      <c r="A9" s="48"/>
      <c r="B9" s="39" t="s">
        <v>267</v>
      </c>
      <c r="C9" s="39"/>
      <c r="D9" s="49"/>
      <c r="E9" s="125">
        <f ca="1">IF(R5&gt;R6,R6,R5)</f>
        <v>3.6580516944386825</v>
      </c>
      <c r="G9" s="49"/>
      <c r="H9" s="49"/>
      <c r="I9" s="49"/>
      <c r="J9" s="49"/>
      <c r="K9" s="55" t="s">
        <v>5</v>
      </c>
      <c r="L9" s="49"/>
      <c r="M9" s="55"/>
      <c r="N9" s="56"/>
      <c r="O9" s="53">
        <f ca="1">IF(E6&lt;=0.8,0.39*(E7^2/E9)^0.385,0.59*(E7^2/E9)^0.385)</f>
        <v>1.2435902551390159</v>
      </c>
      <c r="Q9" s="204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</row>
    <row r="10" spans="1:30" ht="12.75">
      <c r="A10" s="38"/>
      <c r="B10" s="57"/>
      <c r="C10" s="57"/>
      <c r="D10" s="57"/>
      <c r="E10" s="101" t="s">
        <v>98</v>
      </c>
      <c r="F10" s="241" t="str" cm="1">
        <f t="array" aca="1" ref="F10" ca="1">MID(RIGHT(CELL("nome.arquivo",A1),LEN(CELL("nome.arquivo",A1)) - SEARCH("]",CELL("nome.arquivo",A1))),1,4)</f>
        <v>BC07</v>
      </c>
      <c r="G10" s="59"/>
      <c r="H10" s="60"/>
      <c r="I10" s="61"/>
      <c r="J10" s="45"/>
      <c r="K10" s="55" t="s">
        <v>268</v>
      </c>
      <c r="L10" s="45"/>
      <c r="M10" s="62"/>
      <c r="N10" s="63"/>
      <c r="O10" s="64">
        <f ca="1">MAX(0.5,MIN(1,4.38/(E6^0.2*E7)))</f>
        <v>0.57914649549227526</v>
      </c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</row>
    <row r="11" spans="1:30" ht="12.75">
      <c r="A11" s="38"/>
      <c r="B11" s="39" t="s">
        <v>215</v>
      </c>
      <c r="C11" s="205" t="s">
        <v>207</v>
      </c>
      <c r="D11" s="57"/>
      <c r="E11" s="101"/>
      <c r="F11" s="58"/>
      <c r="G11" s="59"/>
      <c r="H11" s="60"/>
      <c r="I11" s="61"/>
      <c r="J11" s="45"/>
      <c r="K11" s="45"/>
      <c r="L11" s="45"/>
      <c r="M11" s="45"/>
      <c r="N11" s="45"/>
      <c r="O11" s="47"/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96"/>
      <c r="AC11" s="196"/>
    </row>
    <row r="12" spans="1:30" ht="24" customHeight="1">
      <c r="A12" s="38"/>
      <c r="B12" s="45" t="s">
        <v>205</v>
      </c>
      <c r="C12" s="136" t="s">
        <v>210</v>
      </c>
      <c r="D12" s="45"/>
      <c r="E12" s="44"/>
      <c r="F12" s="44"/>
      <c r="G12" s="44"/>
      <c r="H12" s="44"/>
      <c r="I12" s="45"/>
      <c r="J12" s="427" t="s">
        <v>57</v>
      </c>
      <c r="K12" s="427"/>
      <c r="L12" s="427"/>
      <c r="M12" s="427"/>
      <c r="N12" s="427"/>
      <c r="O12" s="65"/>
      <c r="Q12" s="112" t="s">
        <v>141</v>
      </c>
      <c r="R12" s="206"/>
      <c r="S12" s="206"/>
      <c r="T12" s="206"/>
      <c r="U12" s="206"/>
      <c r="V12" s="206"/>
      <c r="W12" s="196"/>
      <c r="X12" s="196"/>
      <c r="Y12" s="196"/>
      <c r="Z12" s="196"/>
      <c r="AA12" s="196"/>
      <c r="AB12" s="196"/>
      <c r="AC12" s="196"/>
    </row>
    <row r="13" spans="1:30" ht="15" customHeight="1">
      <c r="A13" s="38"/>
      <c r="B13" s="45" t="s">
        <v>220</v>
      </c>
      <c r="C13" s="45"/>
      <c r="D13" s="45"/>
      <c r="E13" s="45"/>
      <c r="F13" s="45"/>
      <c r="G13" s="45"/>
      <c r="H13" s="45"/>
      <c r="I13" s="45"/>
      <c r="J13" s="66" t="s">
        <v>58</v>
      </c>
      <c r="K13" s="207" t="s">
        <v>59</v>
      </c>
      <c r="L13" s="494" t="s">
        <v>60</v>
      </c>
      <c r="M13" s="495"/>
      <c r="N13" s="66" t="s">
        <v>61</v>
      </c>
      <c r="O13" s="67"/>
      <c r="Q13" s="112" t="str" cm="1">
        <f t="array" aca="1" ref="Q13" ca="1">IFERROR(_xlfn.LET(
_xlpm.Q,M20,
_xlpm.Tipos,[3]Base_Bueiros!$C$2:$C$10,
_xlpm.Dims,[3]Base_Bueiros!$D$2:$D$10,
_xlpm.Vazoes,[3]Base_Bueiros!$F$2:$F$10,
_xlpm.Diam,VALUE(_xlpm.Dims),
_xlpm.MenorDiam,_xlfn.AGGREGATE(15,6,_xlpm.Diam/(_xlpm.Vazoes&gt;=_xlpm.Q),1),
_xlpm.MenorVazao,_xlfn.AGGREGATE(15,6,_xlpm.Vazoes/((_xlpm.Vazoes&gt;=_xlpm.Q)*(_xlpm.Diam=_xlpm.MenorDiam)),1),
_xlpm.Linha,MATCH(_xlpm.MenorVazao,_xlpm.Vazoes,0),
INDEX(_xlpm.Tipos,_xlpm.Linha)&amp;" d="&amp;INDEX(_xlpm.Dims,_xlpm.Linha)&amp;"m"
),"Não atende em canal 15 anos. Dimensionar para 25 anos")</f>
        <v>Não atende em canal 15 anos. Dimensionar para 25 anos</v>
      </c>
      <c r="R13" s="206"/>
      <c r="S13" s="45">
        <f ca="1">IF(Q13="Não atende em canal 15 anos. Dimensionar para 25 anos",25,15)</f>
        <v>25</v>
      </c>
      <c r="T13" s="206"/>
      <c r="U13" s="206"/>
      <c r="V13" s="206"/>
      <c r="W13" s="196"/>
      <c r="X13" s="94" t="s">
        <v>269</v>
      </c>
      <c r="Y13" s="94" t="s">
        <v>1</v>
      </c>
      <c r="Z13" s="94" t="s">
        <v>270</v>
      </c>
      <c r="AA13" s="44"/>
      <c r="AB13" s="196" t="str">
        <f>'BC01 (RAC)'!AB13</f>
        <v>ax (1-24h)</v>
      </c>
      <c r="AC13" s="425" t="s">
        <v>216</v>
      </c>
      <c r="AD13" s="425"/>
    </row>
    <row r="14" spans="1:30" ht="15.75" thickBot="1">
      <c r="A14" s="38"/>
      <c r="B14" s="45"/>
      <c r="C14" s="45"/>
      <c r="D14" s="45"/>
      <c r="E14" s="45"/>
      <c r="F14" s="45"/>
      <c r="G14" s="45"/>
      <c r="H14" s="45"/>
      <c r="I14" s="45"/>
      <c r="J14" s="208" t="s">
        <v>62</v>
      </c>
      <c r="K14" s="209">
        <f ca="1">$O$9*60</f>
        <v>74.615415308340957</v>
      </c>
      <c r="L14" s="486">
        <f ca="1">IF($O$9&lt;=1,(X14*LN((K14/60)))+Z14,(AB14*LN((K14/60)))+Z14)</f>
        <v>88.653029417631558</v>
      </c>
      <c r="M14" s="486"/>
      <c r="N14" s="210">
        <f ca="1">L14/K14</f>
        <v>1.1881328952104806</v>
      </c>
      <c r="O14" s="67"/>
      <c r="Q14" s="112" t="str" cm="1">
        <f t="array" aca="1" ref="Q14" ca="1">IFERROR(_xlfn.LET(
_xlpm.Q,M21,
_xlpm.Tipos,[3]Base_Bueiros!$C$20:$C$28,
_xlpm.Dims,[3]Base_Bueiros!$D$20:$D$28,
_xlpm.Vazoes,[3]Base_Bueiros!$F$20:$F$28,
_xlpm.Diam,VALUE(_xlpm.Dims),
_xlpm.MenorDiam,_xlfn.AGGREGATE(15,6,_xlpm.Diam/(_xlpm.Vazoes&gt;=_xlpm.Q),1),
_xlpm.MenorVazao,_xlfn.AGGREGATE(15,6,_xlpm.Vazoes/((_xlpm.Vazoes&gt;=_xlpm.Q)*(_xlpm.Diam=_xlpm.MenorDiam)),1),
_xlpm.Linha,MATCH(_xlpm.MenorVazao,_xlpm.Vazoes,0),
_xlpm.Tipo,TRIM(IFERROR(LEFT(INDEX(_xlpm.Tipos,_xlpm.Linha),FIND(" OU ",INDEX(_xlpm.Tipos,_xlpm.Linha))-1),INDEX(_xlpm.Tipos,_xlpm.Linha))),
_xlpm.Tipo&amp;" d="&amp;INDEX(_xlpm.Dims,_xlpm.Linha)&amp;"m"
),"Não atende em orifício 25 anos. Dimensionar para 50 anos")</f>
        <v>Não atende em orifício 25 anos. Dimensionar para 50 anos</v>
      </c>
      <c r="R14" s="206"/>
      <c r="S14" s="45">
        <f ca="1">IF(Q14="Não atende em orifício 25 anos. Dimensionar para 50 anos",50,25)</f>
        <v>50</v>
      </c>
      <c r="T14" s="206"/>
      <c r="U14" s="206"/>
      <c r="V14" s="206"/>
      <c r="W14" s="196"/>
      <c r="X14" s="145">
        <f>'BC01 (RAC)'!X14</f>
        <v>26.41505980258199</v>
      </c>
      <c r="Y14" s="145"/>
      <c r="Z14" s="145">
        <f>'BC01 (RAC)'!Z14</f>
        <v>83.379768522636454</v>
      </c>
      <c r="AA14" s="145"/>
      <c r="AB14" s="145">
        <f>'BC01 (RAC)'!AB14</f>
        <v>24.188985755464877</v>
      </c>
      <c r="AC14" s="487" t="str">
        <f>IF(C11="Plano","Tabelado",IF(C11="Ondulado","Tabelado",IF(C11="Montanhoso","Tabelado","Ponderado")))</f>
        <v>Tabelado</v>
      </c>
      <c r="AD14" s="487"/>
    </row>
    <row r="15" spans="1:30" ht="16.5" thickTop="1" thickBot="1">
      <c r="A15" s="38"/>
      <c r="B15" s="45"/>
      <c r="C15" s="45"/>
      <c r="D15" s="45"/>
      <c r="E15" s="45"/>
      <c r="F15" s="45"/>
      <c r="G15" s="45"/>
      <c r="H15" s="45"/>
      <c r="I15" s="45"/>
      <c r="J15" s="238" t="s">
        <v>63</v>
      </c>
      <c r="K15" s="239">
        <f ca="1">$O$9*60</f>
        <v>74.615415308340957</v>
      </c>
      <c r="L15" s="489">
        <f ca="1">IF($O$9&lt;=1,(X15*LN((K15/60)))+Z15,(AB15*LN((K15/60)))+Z15)</f>
        <v>97.717354135829254</v>
      </c>
      <c r="M15" s="489"/>
      <c r="N15" s="240">
        <f ca="1">L15/K15</f>
        <v>1.3096134857927384</v>
      </c>
      <c r="O15" s="67"/>
      <c r="Q15" s="206"/>
      <c r="R15" s="214"/>
      <c r="S15" s="206"/>
      <c r="T15" s="206"/>
      <c r="U15" s="206"/>
      <c r="V15" s="206"/>
      <c r="W15" s="196"/>
      <c r="X15" s="145">
        <f>'BC01 (RAC)'!X15</f>
        <v>29.043206617627984</v>
      </c>
      <c r="Y15" s="145"/>
      <c r="Z15" s="145">
        <f>'BC01 (RAC)'!Z15</f>
        <v>91.924417541518196</v>
      </c>
      <c r="AA15" s="145"/>
      <c r="AB15" s="145">
        <f>'BC01 (RAC)'!AB15</f>
        <v>26.572791210671088</v>
      </c>
      <c r="AC15" s="488"/>
      <c r="AD15" s="488"/>
    </row>
    <row r="16" spans="1:30" ht="16.5" thickTop="1" thickBot="1">
      <c r="A16" s="38"/>
      <c r="B16" s="45"/>
      <c r="C16" s="45"/>
      <c r="D16" s="45"/>
      <c r="E16" s="45"/>
      <c r="F16" s="45"/>
      <c r="G16" s="45"/>
      <c r="H16" s="45"/>
      <c r="I16" s="45"/>
      <c r="J16" s="211" t="s">
        <v>64</v>
      </c>
      <c r="K16" s="212">
        <f ca="1">$O$9*60</f>
        <v>74.615415308340957</v>
      </c>
      <c r="L16" s="492">
        <f ca="1">IF($O$9&lt;=1,(X16*LN((K16/60)))+Z16,(AB16*LN((K16/60)))+Z16)</f>
        <v>109.53804508110811</v>
      </c>
      <c r="M16" s="492"/>
      <c r="N16" s="213">
        <f ca="1">L16/K16</f>
        <v>1.4680350518515883</v>
      </c>
      <c r="O16" s="67"/>
      <c r="Q16" s="206"/>
      <c r="R16" s="218"/>
      <c r="S16" s="196"/>
      <c r="T16" s="196"/>
      <c r="U16" s="196"/>
      <c r="V16" s="196"/>
      <c r="W16" s="196"/>
      <c r="X16" s="145">
        <f>'BC01 (RAC)'!X16</f>
        <v>32.437160263037789</v>
      </c>
      <c r="Y16" s="145"/>
      <c r="Z16" s="145">
        <f>'BC01 (RAC)'!Z16</f>
        <v>103.0459455052778</v>
      </c>
      <c r="AA16" s="145"/>
      <c r="AB16" s="145">
        <f>'BC01 (RAC)'!AB16</f>
        <v>29.77992314240781</v>
      </c>
      <c r="AC16" s="45"/>
      <c r="AD16" s="45"/>
    </row>
    <row r="17" spans="1:29" ht="15.75" thickTop="1">
      <c r="A17" s="38"/>
      <c r="B17" s="45"/>
      <c r="C17" s="45"/>
      <c r="D17" s="45"/>
      <c r="E17" s="45"/>
      <c r="F17" s="45"/>
      <c r="G17" s="45"/>
      <c r="H17" s="45"/>
      <c r="I17" s="68"/>
      <c r="J17" s="215" t="s">
        <v>65</v>
      </c>
      <c r="K17" s="216">
        <f ca="1">$O$9*60</f>
        <v>74.615415308340957</v>
      </c>
      <c r="L17" s="490">
        <f ca="1">IF($O$9&lt;=1,(X17*LN((K17/60)))+Z17,(AB17*LN((K17/60)))+Z17)</f>
        <v>121.05077183970461</v>
      </c>
      <c r="M17" s="490"/>
      <c r="N17" s="217">
        <f ca="1">L17/K17</f>
        <v>1.6223292645289724</v>
      </c>
      <c r="O17" s="67"/>
      <c r="Q17" s="206"/>
      <c r="R17" s="218"/>
      <c r="S17" s="196"/>
      <c r="T17" s="196"/>
      <c r="U17" s="196"/>
      <c r="V17" s="196"/>
      <c r="W17" s="196"/>
      <c r="X17" s="145">
        <f>'BC01 (RAC)'!X17</f>
        <v>37.177212539092373</v>
      </c>
      <c r="Y17" s="145"/>
      <c r="Z17" s="145">
        <f>'BC01 (RAC)'!Z17</f>
        <v>113.85574007527696</v>
      </c>
      <c r="AA17" s="145"/>
      <c r="AB17" s="145">
        <f>'BC01 (RAC)'!AB17</f>
        <v>33.004344811583479</v>
      </c>
      <c r="AC17" s="196"/>
    </row>
    <row r="18" spans="1:29" ht="15">
      <c r="A18" s="38"/>
      <c r="B18" s="475" t="s">
        <v>66</v>
      </c>
      <c r="C18" s="476"/>
      <c r="D18" s="476"/>
      <c r="E18" s="476"/>
      <c r="F18" s="476"/>
      <c r="G18" s="476"/>
      <c r="H18" s="477"/>
      <c r="I18" s="45"/>
      <c r="J18" s="45"/>
      <c r="K18" s="45"/>
      <c r="L18" s="45"/>
      <c r="M18" s="45"/>
      <c r="N18" s="45"/>
      <c r="O18" s="47"/>
      <c r="Q18" s="206"/>
      <c r="R18" s="218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</row>
    <row r="19" spans="1:29" ht="15">
      <c r="A19" s="38"/>
      <c r="B19" s="478"/>
      <c r="C19" s="479"/>
      <c r="D19" s="69" t="s">
        <v>67</v>
      </c>
      <c r="E19" s="69" t="s">
        <v>68</v>
      </c>
      <c r="F19" s="69" t="s">
        <v>44</v>
      </c>
      <c r="G19" s="69" t="s">
        <v>51</v>
      </c>
      <c r="H19" s="69"/>
      <c r="I19" s="45"/>
      <c r="J19" s="440" t="s">
        <v>9</v>
      </c>
      <c r="K19" s="442" t="s">
        <v>10</v>
      </c>
      <c r="L19" s="442"/>
      <c r="M19" s="442" t="s">
        <v>11</v>
      </c>
      <c r="N19" s="442"/>
      <c r="O19" s="47"/>
      <c r="Q19" s="206"/>
      <c r="R19" s="206"/>
      <c r="S19" s="196"/>
      <c r="T19" s="196"/>
      <c r="U19" s="196"/>
      <c r="V19" s="196"/>
      <c r="W19" s="196"/>
      <c r="X19" s="196"/>
      <c r="Y19" s="196"/>
      <c r="Z19" s="196"/>
      <c r="AA19" s="196"/>
      <c r="AB19" s="196"/>
      <c r="AC19" s="196"/>
    </row>
    <row r="20" spans="1:29" ht="15.75" thickBot="1">
      <c r="A20" s="38"/>
      <c r="B20" s="446" t="s">
        <v>69</v>
      </c>
      <c r="C20" s="446"/>
      <c r="D20" s="71">
        <f ca="1">E20*10^6</f>
        <v>7630308.7891945392</v>
      </c>
      <c r="E20" s="70">
        <f ca="1">E6</f>
        <v>7.6303087891945394</v>
      </c>
      <c r="F20" s="70" t="s">
        <v>25</v>
      </c>
      <c r="G20" s="70" t="s">
        <v>25</v>
      </c>
      <c r="H20" s="70" t="s">
        <v>25</v>
      </c>
      <c r="I20" s="45"/>
      <c r="J20" s="441"/>
      <c r="K20" s="483" t="s">
        <v>12</v>
      </c>
      <c r="L20" s="483"/>
      <c r="M20" s="404">
        <f ca="1">0.278*$O$8*(N14*60)*$E$6*$O$10</f>
        <v>30.652059305588189</v>
      </c>
      <c r="N20" s="405" t="s">
        <v>13</v>
      </c>
      <c r="O20" s="47"/>
      <c r="Q20" s="206"/>
      <c r="R20" s="206"/>
      <c r="S20" s="196"/>
      <c r="T20" s="196"/>
      <c r="U20" s="196"/>
      <c r="V20" s="196"/>
      <c r="W20" s="196"/>
      <c r="X20" s="196"/>
      <c r="Y20" s="196"/>
      <c r="Z20" s="196"/>
      <c r="AA20" s="196"/>
      <c r="AB20" s="196"/>
      <c r="AC20" s="196"/>
    </row>
    <row r="21" spans="1:29" ht="17.25" customHeight="1" thickTop="1" thickBot="1">
      <c r="A21" s="38"/>
      <c r="B21" s="446" t="s">
        <v>70</v>
      </c>
      <c r="C21" s="446"/>
      <c r="D21" s="220">
        <f ca="1">$D$20*G21</f>
        <v>5605987.8674212284</v>
      </c>
      <c r="E21" s="221">
        <f ca="1">D21/10^6</f>
        <v>5.605987867421228</v>
      </c>
      <c r="F21" s="221" cm="1">
        <f t="array" ref="F21">_xlfn.LET(
_xlpm.superficie,B21,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_xlpm.col,MATCH(_xlpm.terreno,C_CN_IP03!$D$2:$I$2,0),
INDEX(C_CN_IP03!$D$4:$I$19,_xlpm.lin,_xlpm.col)
),
IF(
_xlpm.metodo="Ponderado",
IF(
_xlpm.terreno="Levemente ondulado",
AVERAGE(
INDEX(C_CN_IP03!$D$4:$I$19,_xlpm.lin,1),
INDEX(C_CN_IP03!$D$4:$I$19,_xlpm.lin,3)
),
IF(
_xlpm.terreno="Muito ondulado",
AVERAGE(
INDEX(C_CN_IP03!$D$4:$I$19,_xlpm.lin,3),
INDEX(C_CN_IP03!$D$4:$I$19,_xlpm.lin,5)
),
"Condição de terreno não reconhecida"
)
),
"Método não reconhecido"
)
)
)</f>
        <v>0.35</v>
      </c>
      <c r="G21" s="233">
        <v>0.73470000000000002</v>
      </c>
      <c r="H21" s="221">
        <f>(G21*(F21))</f>
        <v>0.25714500000000001</v>
      </c>
      <c r="I21" s="45"/>
      <c r="J21" s="441"/>
      <c r="K21" s="484" t="s">
        <v>14</v>
      </c>
      <c r="L21" s="485"/>
      <c r="M21" s="239">
        <f ca="1">0.278*$O$8*(N15*60)*$E$6*$O$10</f>
        <v>33.786077631329086</v>
      </c>
      <c r="N21" s="409" t="s">
        <v>13</v>
      </c>
      <c r="O21" s="47"/>
      <c r="Q21" s="219"/>
      <c r="R21" s="219"/>
    </row>
    <row r="22" spans="1:29" ht="17.25" customHeight="1" thickTop="1" thickBot="1">
      <c r="A22" s="38"/>
      <c r="B22" s="446" t="s">
        <v>71</v>
      </c>
      <c r="C22" s="446"/>
      <c r="D22" s="220">
        <f ca="1">$D$20*G22</f>
        <v>2024320.921773311</v>
      </c>
      <c r="E22" s="221">
        <f ca="1">D22*(10^-6)</f>
        <v>2.0243209217733109</v>
      </c>
      <c r="F22" s="221" cm="1">
        <f t="array" ref="F22">_xlfn.LET(
_xlpm.superficie,B22,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_xlpm.col,MATCH(_xlpm.terreno,C_CN_IP03!$D$2:$I$2,0),
INDEX(C_CN_IP03!$D$4:$I$19,_xlpm.lin,_xlpm.col)
),
IF(
_xlpm.metodo="Ponderado",
IF(
_xlpm.terreno="Levemente ondulado",
AVERAGE(
INDEX(C_CN_IP03!$D$4:$I$19,_xlpm.lin,1),
INDEX(C_CN_IP03!$D$4:$I$19,_xlpm.lin,3)
),
IF(
_xlpm.terreno="Muito ondulado",
AVERAGE(
INDEX(C_CN_IP03!$D$4:$I$19,_xlpm.lin,3),
INDEX(C_CN_IP03!$D$4:$I$19,_xlpm.lin,5)
),
"Condição de terreno não reconhecida"
)
),
"Método não reconhecido"
)
)
)</f>
        <v>0.35</v>
      </c>
      <c r="G22" s="233">
        <v>0.26529999999999998</v>
      </c>
      <c r="H22" s="221">
        <f>(G22*(F22))</f>
        <v>9.2854999999999993E-2</v>
      </c>
      <c r="I22" s="72"/>
      <c r="J22" s="441"/>
      <c r="K22" s="480" t="s">
        <v>75</v>
      </c>
      <c r="L22" s="481"/>
      <c r="M22" s="412">
        <f ca="1">0.278*$O$8*(N16*60)*$E$6*$O$10</f>
        <v>37.873118111139881</v>
      </c>
      <c r="N22" s="408" t="s">
        <v>13</v>
      </c>
      <c r="O22" s="47"/>
      <c r="Q22" s="219"/>
      <c r="R22" s="219"/>
    </row>
    <row r="23" spans="1:29" s="225" customFormat="1" ht="17.25" customHeight="1" thickTop="1">
      <c r="A23" s="222"/>
      <c r="B23" s="457" t="s">
        <v>72</v>
      </c>
      <c r="C23" s="457"/>
      <c r="D23" s="457"/>
      <c r="E23" s="457"/>
      <c r="F23" s="457"/>
      <c r="G23" s="457"/>
      <c r="H23" s="73">
        <f>SUM(H21:H22)</f>
        <v>0.35</v>
      </c>
      <c r="I23" s="223"/>
      <c r="J23" s="440"/>
      <c r="K23" s="482" t="s">
        <v>15</v>
      </c>
      <c r="L23" s="482"/>
      <c r="M23" s="410">
        <f ca="1">0.278*$O$8*(N17*60)*$E$6*$O$10</f>
        <v>41.853679020244556</v>
      </c>
      <c r="N23" s="411" t="s">
        <v>13</v>
      </c>
      <c r="O23" s="224"/>
      <c r="Q23" s="226"/>
      <c r="R23" s="226"/>
      <c r="S23" s="226"/>
      <c r="T23" s="226"/>
      <c r="U23" s="226"/>
      <c r="V23" s="226"/>
    </row>
    <row r="24" spans="1:29" ht="15">
      <c r="A24" s="38"/>
      <c r="B24" s="74" t="s">
        <v>73</v>
      </c>
      <c r="I24" s="72"/>
      <c r="J24" s="45"/>
      <c r="K24" s="45"/>
      <c r="L24" s="45"/>
      <c r="M24" s="45"/>
      <c r="N24" s="45"/>
      <c r="O24" s="47"/>
      <c r="Q24" s="219"/>
      <c r="R24" s="219"/>
      <c r="S24" s="219"/>
      <c r="T24" s="219"/>
      <c r="U24" s="219"/>
      <c r="V24" s="219"/>
    </row>
    <row r="25" spans="1:29" ht="15">
      <c r="A25" s="38"/>
      <c r="C25" s="75"/>
      <c r="D25" s="75"/>
      <c r="E25" s="75"/>
      <c r="F25" s="75"/>
      <c r="G25" s="75"/>
      <c r="H25" s="75"/>
      <c r="I25" s="72"/>
      <c r="J25" s="459" t="s">
        <v>74</v>
      </c>
      <c r="K25" s="442"/>
      <c r="L25" s="442"/>
      <c r="M25" s="442"/>
      <c r="N25" s="442"/>
      <c r="O25" s="47"/>
      <c r="Q25" s="219"/>
      <c r="R25" s="219"/>
      <c r="S25" s="219"/>
      <c r="T25" s="219"/>
      <c r="U25" s="219"/>
      <c r="V25" s="219"/>
    </row>
    <row r="26" spans="1:29" ht="15">
      <c r="A26" s="38"/>
      <c r="B26" s="45"/>
      <c r="C26" s="45"/>
      <c r="D26" s="45"/>
      <c r="E26" s="45"/>
      <c r="F26" s="45"/>
      <c r="G26" s="45"/>
      <c r="H26" s="45"/>
      <c r="I26" s="76"/>
      <c r="J26" s="461" t="str" cm="1">
        <f t="array" aca="1" ref="J26" ca="1">IFERROR(_xlfn.LET(
_xlpm.Func,"Orif",
_xlpm.Funcs,Base_Bueiros!$A$2:$A$37,
_xlpm.Tipos,Base_Bueiros!$C$2:$C$37,
_xlpm.Dims,Base_Bueiros!$D$2:$D$37,
_xlpm.Vazoes,Base_Bueiros!$F$2:$F$37,
_xlpm.DimNum,IFERROR(VALUE(TRIM(LEFT(_xlpm.Dims,FIND("x",_xlpm.Dims)-1))),VALUE(_xlpm.Dims)),
_xlpm.Linhas,IF(MID(_xlpm.Tipos,2,1)="T",3,IF(MID(_xlpm.Tipos,2,1)="D",2,1)),
_xlpm.EhTubular,MID(_xlpm.Tipos,3,1)="T",
_xlpm.QNec,IF(ISNUMBER(FIND("Orif",_xlpm.Func)),IF(_xlpm.EhTubular,M21,M22),IF(_xlpm.EhTubular,M20,M21)),
_xlpm.FiltroBase,(ISNUMBER(FIND(_xlpm.Func,_xlpm.Funcs)))*(_xlpm.Vazoes&gt;=_xlpm.QNec),
_xlpm.TemTubular,SUM(_xlpm.FiltroBase*_xlpm.EhTubular)&gt;0,
_xlpm.Filtro,_xlpm.FiltroBase*IF(_xlpm.TemTubular,_xlpm.EhTubular,NOT(_xlpm.EhTubular)),
_xlpm.Prior1,IF(_xlpm.EhTubular,_xlpm.DimNum,_xlpm.Linhas),
_xlpm.Prior2,IF(_xlpm.EhTubular,_xlpm.Linhas,_xlpm.DimNum),
_xlpm.MenorPrior1,_xlfn.AGGREGATE(15,6,_xlpm.Prior1/_xlpm.Filtro,1),
_xlpm.MenorPrior2,_xlfn.AGGREGATE(15,6,_xlpm.Prior2/(_xlpm.Filtro*(_xlpm.Prior1=_xlpm.MenorPrior1)),1),
_xlpm.MenorVazao,_xlfn.AGGREGATE(15,6,_xlpm.Vazoes/(_xlpm.Filtro*(_xlpm.Prior1=_xlpm.MenorPrior1)*(_xlpm.Prior2=_xlpm.MenorPrior2)),1),
_xlpm.Linha,MATCH(1,(_xlpm.Vazoes=_xlpm.MenorVazao)*(_xlpm.Filtro&gt;0),0),
_xlpm.Tipo,INDEX(_xlpm.Tipos,_xlpm.Linha),
_xlpm.Dim,INDEX(_xlpm.Dims,_xlpm.Linha),
_xlpm.EhTubularEscolhido,MID(_xlpm.Tipo,3,1)="T",
_xlpm.Tipo&amp;" "&amp;IF(_xlpm.EhTubularEscolhido,_xlpm.Dim&amp;"m",SUBSTITUTE(_xlpm.Dim,"0,00","")&amp;"m")
),"Ponte")</f>
        <v>BSCC 3,00 x 3,00m</v>
      </c>
      <c r="K26" s="461"/>
      <c r="L26" s="461"/>
      <c r="M26" s="461"/>
      <c r="N26" s="461"/>
      <c r="O26" s="47"/>
      <c r="Q26" s="219"/>
      <c r="R26" s="219"/>
      <c r="S26" s="219"/>
      <c r="T26" s="219"/>
      <c r="U26" s="219"/>
      <c r="V26" s="219"/>
    </row>
    <row r="27" spans="1:29" ht="15">
      <c r="A27" s="38"/>
      <c r="B27" s="45"/>
      <c r="C27" s="45"/>
      <c r="D27" s="45"/>
      <c r="E27" s="45"/>
      <c r="F27" s="45"/>
      <c r="G27" s="45"/>
      <c r="H27" s="45"/>
      <c r="I27" s="76"/>
      <c r="J27" s="45" t="s">
        <v>86</v>
      </c>
      <c r="K27" s="77"/>
      <c r="L27" s="77"/>
      <c r="M27" s="77"/>
      <c r="N27" s="77"/>
      <c r="O27" s="47"/>
      <c r="Q27" s="219"/>
      <c r="R27" s="219"/>
      <c r="S27" s="219"/>
      <c r="T27" s="219"/>
      <c r="U27" s="219"/>
      <c r="V27" s="219"/>
    </row>
    <row r="28" spans="1:29" ht="15" customHeight="1">
      <c r="A28" s="38"/>
      <c r="B28"/>
      <c r="C28"/>
      <c r="D28"/>
      <c r="E28"/>
      <c r="F28"/>
      <c r="G28"/>
      <c r="H28"/>
      <c r="I28" s="76"/>
      <c r="J28" s="45" t="s">
        <v>87</v>
      </c>
      <c r="K28" s="77"/>
      <c r="L28" s="77"/>
      <c r="M28" s="77"/>
      <c r="N28" s="77"/>
      <c r="O28" s="47"/>
      <c r="Q28" s="219"/>
      <c r="R28" s="219"/>
      <c r="S28" s="219"/>
      <c r="T28" s="219"/>
      <c r="U28" s="219"/>
      <c r="V28" s="219"/>
    </row>
    <row r="29" spans="1:29" ht="15">
      <c r="A29" s="38"/>
      <c r="B29"/>
      <c r="C29"/>
      <c r="D29"/>
      <c r="E29"/>
      <c r="F29"/>
      <c r="G29"/>
      <c r="H29"/>
      <c r="I29" s="76"/>
      <c r="J29" s="45"/>
      <c r="K29" s="77"/>
      <c r="L29" s="77"/>
      <c r="M29" s="77"/>
      <c r="N29" s="77"/>
      <c r="O29" s="47"/>
      <c r="Q29" s="219"/>
      <c r="R29" s="219"/>
      <c r="S29" s="219"/>
      <c r="T29" s="219"/>
      <c r="U29" s="219"/>
      <c r="V29" s="219"/>
    </row>
    <row r="30" spans="1:29" ht="15">
      <c r="A30" s="38"/>
      <c r="B30"/>
      <c r="C30"/>
      <c r="D30"/>
      <c r="E30"/>
      <c r="F30"/>
      <c r="G30"/>
      <c r="H30"/>
      <c r="I30" s="76"/>
      <c r="J30" s="459" t="s">
        <v>74</v>
      </c>
      <c r="K30" s="459"/>
      <c r="L30" s="459"/>
      <c r="M30" s="459"/>
      <c r="N30" s="459"/>
      <c r="O30" s="47"/>
      <c r="Q30" s="219"/>
      <c r="R30" s="219"/>
      <c r="S30" s="219"/>
      <c r="T30" s="219"/>
      <c r="U30" s="219"/>
      <c r="V30" s="219"/>
    </row>
    <row r="31" spans="1:29" ht="15">
      <c r="A31" s="38"/>
      <c r="B31" s="45"/>
      <c r="C31" s="45"/>
      <c r="D31" s="45"/>
      <c r="E31" s="45"/>
      <c r="F31" s="45"/>
      <c r="G31" s="45"/>
      <c r="H31" s="45"/>
      <c r="I31" s="76"/>
      <c r="J31" s="462" t="str" cm="1">
        <f t="array" aca="1" ref="J31" ca="1">IFERROR(_xlfn.LET(
_xlpm.Func,"Canal",
_xlpm.Funcs,Base_Bueiros!$A$2:$A$37,
_xlpm.Tipos,Base_Bueiros!$C$2:$C$37,
_xlpm.Dims,Base_Bueiros!$D$2:$D$37,
_xlpm.Vazoes,Base_Bueiros!$F$2:$F$37,
_xlpm.DimNum,IFERROR(VALUE(TRIM(LEFT(_xlpm.Dims,FIND("x",_xlpm.Dims)-1))),VALUE(_xlpm.Dims)),
_xlpm.Linhas,IF(MID(_xlpm.Tipos,2,1)="T",3,IF(MID(_xlpm.Tipos,2,1)="D",2,1)),
_xlpm.EhTubular,MID(_xlpm.Tipos,3,1)="T",
_xlpm.QNec,IF(ISNUMBER(FIND("Orif",_xlpm.Func)),IF(_xlpm.EhTubular,M21,M22),IF(_xlpm.EhTubular,M20,M21)),
_xlpm.FiltroBase,(ISNUMBER(FIND(_xlpm.Func,_xlpm.Funcs)))*(_xlpm.Vazoes&gt;=_xlpm.QNec),
_xlpm.TemTubular,SUM(_xlpm.FiltroBase*_xlpm.EhTubular)&gt;0,
_xlpm.Filtro,_xlpm.FiltroBase*IF(_xlpm.TemTubular,_xlpm.EhTubular,NOT(_xlpm.EhTubular)),
_xlpm.Prior1,IF(_xlpm.EhTubular,_xlpm.DimNum,_xlpm.Linhas),
_xlpm.Prior2,IF(_xlpm.EhTubular,_xlpm.Linhas,_xlpm.DimNum),
_xlpm.MenorPrior1,_xlfn.AGGREGATE(15,6,_xlpm.Prior1/_xlpm.Filtro,1),
_xlpm.MenorPrior2,_xlfn.AGGREGATE(15,6,_xlpm.Prior2/(_xlpm.Filtro*(_xlpm.Prior1=_xlpm.MenorPrior1)),1),
_xlpm.MenorVazao,_xlfn.AGGREGATE(15,6,_xlpm.Vazoes/(_xlpm.Filtro*(_xlpm.Prior1=_xlpm.MenorPrior1)*(_xlpm.Prior2=_xlpm.MenorPrior2)),1),
_xlpm.Linha,MATCH(1,(_xlpm.Vazoes=_xlpm.MenorVazao)*(_xlpm.Filtro&gt;0),0),
_xlpm.Tipo,INDEX(_xlpm.Tipos,_xlpm.Linha),
_xlpm.Dim,INDEX(_xlpm.Dims,_xlpm.Linha),
_xlpm.EhTubularEscolhido,MID(_xlpm.Tipo,3,1)="T",
_xlpm.Tipo&amp;" "&amp;IF(_xlpm.EhTubularEscolhido,_xlpm.Dim&amp;"m",SUBSTITUTE(_xlpm.Dim,"0,00","")&amp;"m")
),"Ponte")</f>
        <v>BDCC 3,00 x 3,00m</v>
      </c>
      <c r="K31" s="462"/>
      <c r="L31" s="462"/>
      <c r="M31" s="462"/>
      <c r="N31" s="462"/>
      <c r="O31" s="47"/>
      <c r="Q31" s="219"/>
      <c r="R31" s="219"/>
      <c r="S31" s="219"/>
      <c r="T31" s="219"/>
      <c r="U31" s="219"/>
      <c r="V31" s="219"/>
    </row>
    <row r="32" spans="1:29" ht="15">
      <c r="A32" s="38"/>
      <c r="B32" s="45"/>
      <c r="C32" s="45"/>
      <c r="D32" s="45"/>
      <c r="E32" s="45"/>
      <c r="F32" s="45"/>
      <c r="G32" s="45"/>
      <c r="H32" s="45"/>
      <c r="I32" s="76"/>
      <c r="J32" s="45" t="s">
        <v>88</v>
      </c>
      <c r="K32" s="77"/>
      <c r="L32" s="77"/>
      <c r="M32" s="77"/>
      <c r="N32" s="77"/>
      <c r="O32" s="47"/>
      <c r="Q32" s="219"/>
      <c r="R32" s="219"/>
      <c r="S32" s="219"/>
      <c r="T32" s="219"/>
      <c r="U32" s="219"/>
      <c r="V32" s="219"/>
    </row>
    <row r="33" spans="1:22" ht="15">
      <c r="A33" s="38"/>
      <c r="B33" s="45"/>
      <c r="C33" s="45"/>
      <c r="D33" s="45"/>
      <c r="E33" s="45"/>
      <c r="F33" s="45"/>
      <c r="G33" s="45"/>
      <c r="H33" s="45"/>
      <c r="I33" s="76"/>
      <c r="J33" s="77"/>
      <c r="K33" s="77"/>
      <c r="L33" s="77"/>
      <c r="M33" s="77"/>
      <c r="N33" s="77"/>
      <c r="O33" s="47"/>
      <c r="Q33" s="219"/>
      <c r="R33" s="219"/>
      <c r="S33" s="219"/>
      <c r="T33" s="219"/>
      <c r="U33" s="219"/>
      <c r="V33" s="219"/>
    </row>
    <row r="34" spans="1:22" ht="15">
      <c r="A34" s="38"/>
      <c r="B34" s="45"/>
      <c r="C34" s="45"/>
      <c r="D34" s="45"/>
      <c r="E34" s="45"/>
      <c r="F34" s="45"/>
      <c r="G34" s="45"/>
      <c r="H34" s="45"/>
      <c r="I34" s="76"/>
      <c r="J34" s="459" t="s">
        <v>408</v>
      </c>
      <c r="K34" s="459"/>
      <c r="L34" s="459"/>
      <c r="M34" s="459"/>
      <c r="N34" s="459"/>
      <c r="O34" s="47"/>
      <c r="Q34" s="219"/>
      <c r="R34" s="219"/>
      <c r="S34" s="219"/>
      <c r="T34" s="219"/>
      <c r="U34" s="219"/>
      <c r="V34" s="219"/>
    </row>
    <row r="35" spans="1:22" ht="15">
      <c r="A35" s="38"/>
      <c r="B35" s="45"/>
      <c r="C35" s="45"/>
      <c r="D35" s="45"/>
      <c r="E35" s="45"/>
      <c r="F35" s="45"/>
      <c r="G35" s="45"/>
      <c r="H35" s="45"/>
      <c r="I35" s="76"/>
      <c r="J35" s="452" t="str">
        <f>'Apresentação  - Est. Hid.'!AK25</f>
        <v>Ponte existente 15,00x3,50m</v>
      </c>
      <c r="K35" s="453"/>
      <c r="L35" s="453"/>
      <c r="M35" s="453"/>
      <c r="N35" s="453"/>
      <c r="O35" s="47"/>
      <c r="Q35" s="219"/>
      <c r="R35" s="219"/>
      <c r="S35" s="219"/>
      <c r="T35" s="219"/>
      <c r="U35" s="219"/>
      <c r="V35" s="219"/>
    </row>
    <row r="36" spans="1:22" ht="15">
      <c r="A36" s="38"/>
      <c r="B36" s="45"/>
      <c r="C36" s="45"/>
      <c r="D36" s="45"/>
      <c r="E36" s="45"/>
      <c r="F36" s="45"/>
      <c r="G36" s="45"/>
      <c r="H36" s="45"/>
      <c r="I36" s="76"/>
      <c r="J36"/>
      <c r="K36"/>
      <c r="L36"/>
      <c r="M36"/>
      <c r="N36"/>
      <c r="O36" s="47"/>
      <c r="Q36" s="219"/>
      <c r="R36" s="219"/>
      <c r="S36" s="219"/>
      <c r="T36" s="219"/>
      <c r="U36" s="219"/>
      <c r="V36" s="219"/>
    </row>
    <row r="37" spans="1:22" ht="15.75" thickBot="1">
      <c r="A37" s="79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1"/>
      <c r="Q37" s="219"/>
      <c r="R37" s="219"/>
      <c r="S37" s="219"/>
      <c r="T37" s="219"/>
      <c r="U37" s="219"/>
      <c r="V37" s="219"/>
    </row>
    <row r="38" spans="1:22" ht="15">
      <c r="Q38" s="219"/>
      <c r="R38" s="219"/>
      <c r="S38" s="219"/>
      <c r="T38" s="219"/>
      <c r="U38" s="219"/>
      <c r="V38" s="219"/>
    </row>
    <row r="40" spans="1:22">
      <c r="C40" s="196"/>
      <c r="D40" s="196"/>
      <c r="E40" s="196"/>
      <c r="F40" s="196"/>
      <c r="G40" s="196"/>
    </row>
    <row r="41" spans="1:22">
      <c r="C41" s="472"/>
      <c r="D41" s="472"/>
      <c r="E41" s="472"/>
      <c r="F41" s="473"/>
      <c r="G41" s="474"/>
      <c r="K41" s="227"/>
    </row>
    <row r="42" spans="1:22">
      <c r="C42" s="228"/>
      <c r="D42" s="229"/>
      <c r="E42" s="230"/>
      <c r="F42" s="229"/>
      <c r="G42" s="231"/>
    </row>
    <row r="43" spans="1:22">
      <c r="C43" s="228"/>
      <c r="D43" s="229"/>
      <c r="E43" s="230"/>
      <c r="F43" s="229"/>
      <c r="G43" s="231"/>
    </row>
    <row r="44" spans="1:22">
      <c r="C44" s="228"/>
      <c r="D44" s="229"/>
      <c r="E44" s="230"/>
      <c r="F44" s="229"/>
      <c r="G44" s="231"/>
    </row>
    <row r="45" spans="1:22">
      <c r="C45" s="228"/>
      <c r="D45" s="229"/>
      <c r="E45" s="230"/>
      <c r="F45" s="229"/>
      <c r="G45" s="231"/>
    </row>
    <row r="46" spans="1:22">
      <c r="C46" s="196"/>
      <c r="D46" s="196"/>
      <c r="E46" s="196"/>
      <c r="F46" s="196"/>
      <c r="G46" s="196"/>
    </row>
    <row r="47" spans="1:22">
      <c r="C47" s="196"/>
      <c r="D47" s="196"/>
      <c r="E47" s="196"/>
      <c r="F47" s="196"/>
      <c r="G47" s="196"/>
    </row>
    <row r="48" spans="1:22">
      <c r="C48" s="196"/>
      <c r="D48" s="196"/>
      <c r="E48" s="196"/>
      <c r="F48" s="196"/>
      <c r="G48" s="196"/>
    </row>
  </sheetData>
  <mergeCells count="34">
    <mergeCell ref="J30:N30"/>
    <mergeCell ref="J31:N31"/>
    <mergeCell ref="C41:E41"/>
    <mergeCell ref="F41:G41"/>
    <mergeCell ref="B22:C22"/>
    <mergeCell ref="K22:L22"/>
    <mergeCell ref="B23:G23"/>
    <mergeCell ref="K23:L23"/>
    <mergeCell ref="J25:N25"/>
    <mergeCell ref="J26:N26"/>
    <mergeCell ref="J34:N34"/>
    <mergeCell ref="J35:N35"/>
    <mergeCell ref="B18:H18"/>
    <mergeCell ref="B19:C19"/>
    <mergeCell ref="J19:J23"/>
    <mergeCell ref="K19:L19"/>
    <mergeCell ref="M19:N19"/>
    <mergeCell ref="B20:C20"/>
    <mergeCell ref="K20:L20"/>
    <mergeCell ref="B21:C21"/>
    <mergeCell ref="K21:L21"/>
    <mergeCell ref="AC13:AD13"/>
    <mergeCell ref="L14:M14"/>
    <mergeCell ref="AC14:AD15"/>
    <mergeCell ref="L15:M15"/>
    <mergeCell ref="L17:M17"/>
    <mergeCell ref="Z4:Z5"/>
    <mergeCell ref="J12:N12"/>
    <mergeCell ref="L16:M16"/>
    <mergeCell ref="A1:O1"/>
    <mergeCell ref="A2:O2"/>
    <mergeCell ref="W3:Y3"/>
    <mergeCell ref="W4:W5"/>
    <mergeCell ref="L13:M13"/>
  </mergeCells>
  <conditionalFormatting sqref="K4:O4">
    <cfRule type="expression" dxfId="83" priority="1">
      <formula>AND($M$22&lt;=79.73,OR($S$13=15,$S$13=25),$N$4=$S$13)</formula>
    </cfRule>
  </conditionalFormatting>
  <conditionalFormatting sqref="K5:O5">
    <cfRule type="expression" dxfId="82" priority="2">
      <formula>AND($M$22&lt;=79.73,OR($S$13=15,$S$13=25),$N$5=$S$13)</formula>
    </cfRule>
    <cfRule type="expression" dxfId="81" priority="3">
      <formula>AND($M$22&lt;=79.73,OR($S$14=25,$S$14=50),$N$5=$S$14)</formula>
    </cfRule>
  </conditionalFormatting>
  <conditionalFormatting sqref="K6:O6">
    <cfRule type="expression" dxfId="80" priority="4">
      <formula>AND($M$22&lt;=79.73,OR($S$14=25,$S$14=50),$N$6=$S$14)</formula>
    </cfRule>
  </conditionalFormatting>
  <conditionalFormatting sqref="K7:O7">
    <cfRule type="expression" dxfId="79" priority="5">
      <formula>AND($M$22&gt;79.73,$N$7=100)</formula>
    </cfRule>
  </conditionalFormatting>
  <conditionalFormatting sqref="J14:N14">
    <cfRule type="expression" dxfId="78" priority="6">
      <formula>AND($M$22&lt;=79.73,OR($S$13=15,$S$13=25),$S$13=15)</formula>
    </cfRule>
  </conditionalFormatting>
  <conditionalFormatting sqref="J15:N15">
    <cfRule type="expression" dxfId="77" priority="7">
      <formula>AND($M$22&lt;=79.73,OR($S$13=15,$S$13=25),$S$13=25)</formula>
    </cfRule>
    <cfRule type="expression" dxfId="76" priority="8">
      <formula>AND($M$22&lt;=79.73,OR($S$14=25,$S$14=50),$S$14=25)</formula>
    </cfRule>
  </conditionalFormatting>
  <conditionalFormatting sqref="J16:N16">
    <cfRule type="expression" dxfId="75" priority="9">
      <formula>AND($M$22&lt;=79.73,OR($S$14=25,$S$14=50),$S$14=50)</formula>
    </cfRule>
  </conditionalFormatting>
  <conditionalFormatting sqref="J17:N17">
    <cfRule type="expression" dxfId="74" priority="10">
      <formula>$M$22&gt;79.73</formula>
    </cfRule>
  </conditionalFormatting>
  <conditionalFormatting sqref="K20:N20">
    <cfRule type="expression" dxfId="73" priority="11">
      <formula>AND($M$22&lt;=79.73,OR($S$13=15,$S$13=25),$S$13=15)</formula>
    </cfRule>
  </conditionalFormatting>
  <conditionalFormatting sqref="K21:N21">
    <cfRule type="expression" dxfId="72" priority="12">
      <formula>AND($M$22&lt;=79.73,OR($S$13=15,$S$13=25),$S$13=25)</formula>
    </cfRule>
    <cfRule type="expression" dxfId="71" priority="13">
      <formula>AND($M$22&lt;=79.73,OR($S$14=25,$S$14=50),$S$14=25)</formula>
    </cfRule>
  </conditionalFormatting>
  <conditionalFormatting sqref="K22:N22">
    <cfRule type="expression" dxfId="70" priority="14">
      <formula>AND($M$22&lt;=79.73,OR($S$14=25,$S$14=50),$S$14=50)</formula>
    </cfRule>
  </conditionalFormatting>
  <conditionalFormatting sqref="K23:N23">
    <cfRule type="expression" dxfId="69" priority="15">
      <formula>$M$22&gt;79.73</formula>
    </cfRule>
  </conditionalFormatting>
  <dataValidations disablePrompts="1" count="3">
    <dataValidation type="list" allowBlank="1" showInputMessage="1" showErrorMessage="1" sqref="C11" xr:uid="{423C4CA1-79E7-4200-9E98-415C760CCE20}">
      <formula1>"Plano,Levemente ondulado,Ondulado,Muito ondulado,Montanhoso,Muito montanhoso,Escarpado"</formula1>
    </dataValidation>
    <dataValidation type="list" allowBlank="1" showInputMessage="1" showErrorMessage="1" sqref="C12" xr:uid="{C0149C70-5896-4BCB-99CB-AC0F183F357A}">
      <formula1>"A,B,C,D"</formula1>
    </dataValidation>
    <dataValidation type="list" allowBlank="1" showInputMessage="1" showErrorMessage="1" sqref="AC14" xr:uid="{DD729D77-6DFF-432B-8C5A-A21CA6EAA3D3}">
      <formula1>"Tabelado,Ponderado"</formula1>
    </dataValidation>
  </dataValidations>
  <printOptions horizontalCentered="1" verticalCentered="1"/>
  <pageMargins left="0.39370078740157483" right="0.39370078740157483" top="0.74803149606299213" bottom="0.39370078740157483" header="0.23622047244094491" footer="0.31496062992125984"/>
  <pageSetup paperSize="9" scale="90" orientation="landscape" r:id="rId1"/>
  <headerFooter>
    <oddHeader xml:space="preserve">&amp;L&amp;"Times New Roman,Normal"&amp;12&amp;G&amp;C
&amp;R&amp;"Times New Roman,Negrito"&amp;12ANTEPROJETO DE ENGENHARIA RODOVIA GO-188
TRECHO: Entr. BR-070 (Ponte Alta) / GO-188
 (Div. GO/MT-Registro do Araguaia)
</oddHeader>
  </headerFooter>
  <colBreaks count="1" manualBreakCount="1">
    <brk id="15" max="1048575" man="1"/>
  </colBreaks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CC56A-6D6A-4133-869C-6CC960394D63}">
  <sheetPr codeName="Planilha19">
    <tabColor rgb="FF0070C0"/>
  </sheetPr>
  <dimension ref="B2:K34"/>
  <sheetViews>
    <sheetView showGridLines="0" topLeftCell="A2" zoomScaleNormal="100" zoomScaleSheetLayoutView="100" workbookViewId="0">
      <selection activeCell="V11" sqref="V11"/>
    </sheetView>
  </sheetViews>
  <sheetFormatPr defaultRowHeight="15"/>
  <cols>
    <col min="3" max="3" width="8.5703125" bestFit="1" customWidth="1"/>
    <col min="4" max="4" width="12.5703125" bestFit="1" customWidth="1"/>
    <col min="5" max="5" width="10.85546875" bestFit="1" customWidth="1"/>
    <col min="6" max="9" width="8.5703125" customWidth="1"/>
    <col min="10" max="10" width="11" bestFit="1" customWidth="1"/>
    <col min="14" max="14" width="10.42578125" customWidth="1"/>
  </cols>
  <sheetData>
    <row r="2" spans="2:11" ht="45.75" thickBot="1">
      <c r="B2" s="1" t="s">
        <v>37</v>
      </c>
      <c r="C2" s="1" t="s">
        <v>38</v>
      </c>
      <c r="D2" s="1" t="s">
        <v>39</v>
      </c>
      <c r="E2" s="1" t="s">
        <v>40</v>
      </c>
      <c r="F2" s="2" t="s">
        <v>41</v>
      </c>
      <c r="G2" s="2" t="s">
        <v>42</v>
      </c>
      <c r="H2" s="1" t="s">
        <v>43</v>
      </c>
      <c r="I2" s="3"/>
      <c r="J2" s="3"/>
    </row>
    <row r="3" spans="2:11" ht="15.75" thickBot="1">
      <c r="B3" s="14" t="s">
        <v>44</v>
      </c>
      <c r="C3" s="232">
        <v>1047</v>
      </c>
      <c r="D3" s="14">
        <v>0</v>
      </c>
      <c r="E3" s="13">
        <f>D3/1000</f>
        <v>0</v>
      </c>
      <c r="F3" s="13">
        <v>0</v>
      </c>
      <c r="G3" s="13">
        <v>0</v>
      </c>
      <c r="H3" s="13">
        <v>0</v>
      </c>
      <c r="J3" s="464" t="s">
        <v>198</v>
      </c>
      <c r="K3" s="465"/>
    </row>
    <row r="4" spans="2:11">
      <c r="B4" s="14">
        <v>2</v>
      </c>
      <c r="C4" s="232">
        <v>867</v>
      </c>
      <c r="D4" s="14">
        <v>500</v>
      </c>
      <c r="E4" s="12">
        <f>D4/1000</f>
        <v>0.5</v>
      </c>
      <c r="F4" s="13">
        <f>C3-C4</f>
        <v>180</v>
      </c>
      <c r="G4" s="12">
        <f>E4-E3</f>
        <v>0.5</v>
      </c>
      <c r="H4" s="12">
        <f t="shared" ref="H4:H14" si="0">F4/G4</f>
        <v>360</v>
      </c>
      <c r="J4" s="120" t="s">
        <v>199</v>
      </c>
      <c r="K4" s="124">
        <f ca="1">(((E14/((G4/SQRT(H4))+(G5/SQRT(H5))+(G6/SQRT(H6))+(G7/SQRT(H7))+(G8/SQRT(H8))+(G9/SQRT(H9))+(G10/SQRT(H10))+(G11/SQRT(H11))+(G12/SQRT(H12))+(G13/SQRT(H13))+(G14/SQRT(H14))))^2)/1000)*1000</f>
        <v>36.580516944386829</v>
      </c>
    </row>
    <row r="5" spans="2:11" ht="15.75" thickBot="1">
      <c r="B5" s="14">
        <v>3</v>
      </c>
      <c r="C5" s="232">
        <v>798</v>
      </c>
      <c r="D5" s="14">
        <f>D4+500</f>
        <v>1000</v>
      </c>
      <c r="E5" s="12">
        <f t="shared" ref="E5:E14" si="1">D5/1000</f>
        <v>1</v>
      </c>
      <c r="F5" s="13">
        <f t="shared" ref="F5:F14" si="2">C4-C5</f>
        <v>69</v>
      </c>
      <c r="G5" s="12">
        <f t="shared" ref="G5:G14" si="3">E5-E4</f>
        <v>0.5</v>
      </c>
      <c r="H5" s="12">
        <f t="shared" si="0"/>
        <v>138</v>
      </c>
      <c r="J5" s="121" t="s">
        <v>200</v>
      </c>
      <c r="K5" s="123">
        <f ca="1">((E14/((G4/SQRT(H4))+(G5/SQRT(H5))+(G6/SQRT(H6))+(G7/SQRT(H7))+(G8/SQRT(H8))+(G9/SQRT(H9))+(G10/SQRT(H10))+(G11/SQRT(H11))+(G12/SQRT(H12))+(G13/SQRT(H13))+(G14/SQRT(H14))))^2)/1000</f>
        <v>3.6580516944386826E-2</v>
      </c>
    </row>
    <row r="6" spans="2:11" ht="15.75" thickBot="1">
      <c r="B6" s="14">
        <v>4</v>
      </c>
      <c r="C6" s="232">
        <v>732</v>
      </c>
      <c r="D6" s="14">
        <f t="shared" ref="D6:D13" si="4">D5+500</f>
        <v>1500</v>
      </c>
      <c r="E6" s="12">
        <f t="shared" si="1"/>
        <v>1.5</v>
      </c>
      <c r="F6" s="13">
        <f t="shared" si="2"/>
        <v>66</v>
      </c>
      <c r="G6" s="12">
        <f t="shared" si="3"/>
        <v>0.5</v>
      </c>
      <c r="H6" s="12">
        <f t="shared" si="0"/>
        <v>132</v>
      </c>
      <c r="J6" s="119" t="s">
        <v>201</v>
      </c>
      <c r="K6" s="122">
        <f ca="1">(((E14/((G4/SQRT(H4))+(G5/SQRT(H5))+(G6/SQRT(H6))+(G7/SQRT(H7))+(G8/SQRT(H8))+(G9/SQRT(H9))+(G10/SQRT(H10))+(G11/SQRT(H11))+(G12/SQRT(H12))+(G13/SQRT(H13))+(G14/SQRT(H14))))^2)/1000)*100</f>
        <v>3.6580516944386825</v>
      </c>
    </row>
    <row r="7" spans="2:11">
      <c r="B7" s="14">
        <v>5</v>
      </c>
      <c r="C7" s="232">
        <v>699</v>
      </c>
      <c r="D7" s="14">
        <f t="shared" si="4"/>
        <v>2000</v>
      </c>
      <c r="E7" s="12">
        <f t="shared" si="1"/>
        <v>2</v>
      </c>
      <c r="F7" s="13">
        <f t="shared" si="2"/>
        <v>33</v>
      </c>
      <c r="G7" s="12">
        <f t="shared" si="3"/>
        <v>0.5</v>
      </c>
      <c r="H7" s="12">
        <f t="shared" si="0"/>
        <v>66</v>
      </c>
    </row>
    <row r="8" spans="2:11">
      <c r="B8" s="14">
        <v>6</v>
      </c>
      <c r="C8" s="232">
        <v>675</v>
      </c>
      <c r="D8" s="14">
        <f t="shared" si="4"/>
        <v>2500</v>
      </c>
      <c r="E8" s="12">
        <f t="shared" si="1"/>
        <v>2.5</v>
      </c>
      <c r="F8" s="13">
        <f t="shared" si="2"/>
        <v>24</v>
      </c>
      <c r="G8" s="12">
        <f t="shared" si="3"/>
        <v>0.5</v>
      </c>
      <c r="H8" s="12">
        <f t="shared" si="0"/>
        <v>48</v>
      </c>
    </row>
    <row r="9" spans="2:11">
      <c r="B9" s="14">
        <v>7</v>
      </c>
      <c r="C9" s="232">
        <v>658</v>
      </c>
      <c r="D9" s="14">
        <f t="shared" si="4"/>
        <v>3000</v>
      </c>
      <c r="E9" s="12">
        <f t="shared" si="1"/>
        <v>3</v>
      </c>
      <c r="F9" s="13">
        <f t="shared" si="2"/>
        <v>17</v>
      </c>
      <c r="G9" s="12">
        <f t="shared" si="3"/>
        <v>0.5</v>
      </c>
      <c r="H9" s="12">
        <f t="shared" si="0"/>
        <v>34</v>
      </c>
    </row>
    <row r="10" spans="2:11">
      <c r="B10" s="14">
        <v>8</v>
      </c>
      <c r="C10" s="232">
        <v>647</v>
      </c>
      <c r="D10" s="14">
        <f t="shared" si="4"/>
        <v>3500</v>
      </c>
      <c r="E10" s="12">
        <f t="shared" si="1"/>
        <v>3.5</v>
      </c>
      <c r="F10" s="13">
        <f t="shared" si="2"/>
        <v>11</v>
      </c>
      <c r="G10" s="12">
        <f t="shared" si="3"/>
        <v>0.5</v>
      </c>
      <c r="H10" s="12">
        <f t="shared" si="0"/>
        <v>22</v>
      </c>
    </row>
    <row r="11" spans="2:11">
      <c r="B11" s="14">
        <v>9</v>
      </c>
      <c r="C11" s="232">
        <v>639</v>
      </c>
      <c r="D11" s="14">
        <f t="shared" si="4"/>
        <v>4000</v>
      </c>
      <c r="E11" s="12">
        <f t="shared" si="1"/>
        <v>4</v>
      </c>
      <c r="F11" s="13">
        <f t="shared" si="2"/>
        <v>8</v>
      </c>
      <c r="G11" s="12">
        <f t="shared" si="3"/>
        <v>0.5</v>
      </c>
      <c r="H11" s="12">
        <f t="shared" si="0"/>
        <v>16</v>
      </c>
    </row>
    <row r="12" spans="2:11">
      <c r="B12" s="14">
        <v>10</v>
      </c>
      <c r="C12" s="232">
        <v>633</v>
      </c>
      <c r="D12" s="14">
        <f t="shared" si="4"/>
        <v>4500</v>
      </c>
      <c r="E12" s="12">
        <f t="shared" si="1"/>
        <v>4.5</v>
      </c>
      <c r="F12" s="13">
        <f t="shared" si="2"/>
        <v>6</v>
      </c>
      <c r="G12" s="12">
        <f t="shared" si="3"/>
        <v>0.5</v>
      </c>
      <c r="H12" s="12">
        <f t="shared" si="0"/>
        <v>12</v>
      </c>
    </row>
    <row r="13" spans="2:11">
      <c r="B13" s="14">
        <v>11</v>
      </c>
      <c r="C13" s="232">
        <v>624</v>
      </c>
      <c r="D13" s="14">
        <f t="shared" si="4"/>
        <v>5000</v>
      </c>
      <c r="E13" s="12">
        <f t="shared" si="1"/>
        <v>5</v>
      </c>
      <c r="F13" s="13">
        <f t="shared" si="2"/>
        <v>9</v>
      </c>
      <c r="G13" s="12">
        <f t="shared" si="3"/>
        <v>0.5</v>
      </c>
      <c r="H13" s="12">
        <f t="shared" si="0"/>
        <v>18</v>
      </c>
    </row>
    <row r="14" spans="2:11">
      <c r="B14" s="14" t="s">
        <v>33</v>
      </c>
      <c r="C14" s="232">
        <v>623</v>
      </c>
      <c r="D14" s="37">
        <f ca="1">'BC07 (RAC-MOD)'!E7*1000</f>
        <v>5037.0615192364539</v>
      </c>
      <c r="E14" s="12">
        <f t="shared" ca="1" si="1"/>
        <v>5.0370615192364543</v>
      </c>
      <c r="F14" s="13">
        <f t="shared" si="2"/>
        <v>1</v>
      </c>
      <c r="G14" s="12">
        <f t="shared" ca="1" si="3"/>
        <v>3.7061519236454288E-2</v>
      </c>
      <c r="H14" s="12">
        <f t="shared" ca="1" si="0"/>
        <v>26.982164266390473</v>
      </c>
    </row>
    <row r="15" spans="2:11" ht="15.75" thickBot="1">
      <c r="B15" s="3"/>
      <c r="C15" s="93"/>
      <c r="D15" s="106"/>
      <c r="E15" s="107"/>
      <c r="F15" s="106"/>
      <c r="G15" s="107"/>
      <c r="H15" s="107"/>
    </row>
    <row r="16" spans="2:11" ht="15.75" thickBot="1">
      <c r="B16" s="4" t="s">
        <v>48</v>
      </c>
      <c r="C16" s="5">
        <f ca="1">(((E14/((G4/SQRT(H4))+(G5/SQRT(H5))+(G6/SQRT(H6))+(G7/SQRT(H7))+(G8/SQRT(H8))+(G9/SQRT(H9))+(G10/SQRT(H10))+(G11/SQRT(H11))+(G12/SQRT(H12))+(G13/SQRT(H13))+(G14/SQRT(H14))))^2)/1000)*1000</f>
        <v>36.580516944386829</v>
      </c>
      <c r="D16" s="6" t="s">
        <v>45</v>
      </c>
      <c r="E16" s="6" t="s">
        <v>49</v>
      </c>
      <c r="F16" s="6"/>
      <c r="G16" s="6"/>
      <c r="H16" s="7"/>
    </row>
    <row r="17" spans="2:8" ht="15.75" thickBot="1">
      <c r="B17" s="4" t="s">
        <v>48</v>
      </c>
      <c r="C17" s="8">
        <f ca="1">C16/1000</f>
        <v>3.6580516944386826E-2</v>
      </c>
      <c r="D17" s="6" t="s">
        <v>46</v>
      </c>
      <c r="E17" s="6" t="s">
        <v>50</v>
      </c>
      <c r="F17" s="6"/>
      <c r="G17" s="6"/>
      <c r="H17" s="7"/>
    </row>
    <row r="18" spans="2:8" ht="15.75" thickBot="1">
      <c r="B18" s="9" t="s">
        <v>48</v>
      </c>
      <c r="C18" s="108">
        <f ca="1">C17*100</f>
        <v>3.6580516944386825</v>
      </c>
      <c r="D18" s="10" t="s">
        <v>47</v>
      </c>
      <c r="E18" s="10" t="s">
        <v>51</v>
      </c>
      <c r="F18" s="10"/>
      <c r="G18" s="10"/>
      <c r="H18" s="11"/>
    </row>
    <row r="23" spans="2:8" ht="13.5" customHeight="1"/>
    <row r="24" spans="2:8" hidden="1"/>
    <row r="34" spans="2:2">
      <c r="B34" t="str">
        <f>"Perfil Longitudinal - "&amp;'BC07 (RAC-MOD)'!E5</f>
        <v>Perfil Longitudinal - Córrego Barreiro</v>
      </c>
    </row>
  </sheetData>
  <mergeCells count="1">
    <mergeCell ref="J3:K3"/>
  </mergeCells>
  <pageMargins left="0.51181102362204722" right="0.51181102362204722" top="0.78740157480314965" bottom="0.78740157480314965" header="0.23622047244094491" footer="0.31496062992125984"/>
  <pageSetup paperSize="9" orientation="portrait" r:id="rId1"/>
  <headerFooter>
    <oddHeader xml:space="preserve">&amp;L&amp;G&amp;R&amp;"Times New Roman,Negrito"&amp;12ANTEPROJETO DE ENGENHARIA RODOVIA GO-188
TRECHO: Entr. BR-070 (Ponte Alta) / GO-188
 (Div. GO/MT-Registro do Araguaia)
</oddHead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5B839-BC7F-4991-9376-696E09EAEAFA}">
  <sheetPr codeName="Planilha35">
    <tabColor rgb="FF0070C0"/>
  </sheetPr>
  <dimension ref="A1:AD48"/>
  <sheetViews>
    <sheetView showGridLines="0" zoomScaleNormal="100" zoomScaleSheetLayoutView="100" workbookViewId="0">
      <selection activeCell="V11" sqref="V11"/>
    </sheetView>
  </sheetViews>
  <sheetFormatPr defaultRowHeight="11.25"/>
  <cols>
    <col min="1" max="1" width="3.7109375" style="187" customWidth="1"/>
    <col min="2" max="2" width="12.7109375" style="187" customWidth="1"/>
    <col min="3" max="3" width="15.85546875" style="187" customWidth="1"/>
    <col min="4" max="4" width="13.42578125" style="187" customWidth="1"/>
    <col min="5" max="5" width="7.85546875" style="187" customWidth="1"/>
    <col min="6" max="6" width="5.7109375" style="187" customWidth="1"/>
    <col min="7" max="7" width="8.28515625" style="187" bestFit="1" customWidth="1"/>
    <col min="8" max="8" width="8.28515625" style="187" customWidth="1"/>
    <col min="9" max="9" width="9.5703125" style="187" customWidth="1"/>
    <col min="10" max="10" width="9.7109375" style="187" customWidth="1"/>
    <col min="11" max="11" width="15.7109375" style="187" customWidth="1"/>
    <col min="12" max="12" width="8.7109375" style="187" customWidth="1"/>
    <col min="13" max="13" width="6.28515625" style="187" bestFit="1" customWidth="1"/>
    <col min="14" max="14" width="10.42578125" style="187" customWidth="1"/>
    <col min="15" max="15" width="5.7109375" style="187" bestFit="1" customWidth="1"/>
    <col min="16" max="16" width="8.7109375" style="187" customWidth="1"/>
    <col min="17" max="17" width="20.7109375" style="187" customWidth="1"/>
    <col min="18" max="18" width="8.42578125" style="187" customWidth="1"/>
    <col min="19" max="19" width="12.5703125" style="187" bestFit="1" customWidth="1"/>
    <col min="20" max="20" width="12.28515625" style="187" bestFit="1" customWidth="1"/>
    <col min="21" max="21" width="5.28515625" style="187" customWidth="1"/>
    <col min="22" max="22" width="15.42578125" style="187" bestFit="1" customWidth="1"/>
    <col min="23" max="23" width="10.42578125" style="187" bestFit="1" customWidth="1"/>
    <col min="24" max="257" width="9.140625" style="187"/>
    <col min="258" max="258" width="8.7109375" style="187" customWidth="1"/>
    <col min="259" max="259" width="17" style="187" customWidth="1"/>
    <col min="260" max="260" width="14.42578125" style="187" customWidth="1"/>
    <col min="261" max="261" width="10.28515625" style="187" customWidth="1"/>
    <col min="262" max="272" width="8.7109375" style="187" customWidth="1"/>
    <col min="273" max="273" width="9.7109375" style="187" customWidth="1"/>
    <col min="274" max="274" width="8.42578125" style="187" customWidth="1"/>
    <col min="275" max="275" width="9.140625" style="187"/>
    <col min="276" max="276" width="10.7109375" style="187" customWidth="1"/>
    <col min="277" max="277" width="5.28515625" style="187" customWidth="1"/>
    <col min="278" max="278" width="15.42578125" style="187" bestFit="1" customWidth="1"/>
    <col min="279" max="279" width="10.42578125" style="187" bestFit="1" customWidth="1"/>
    <col min="280" max="513" width="9.140625" style="187"/>
    <col min="514" max="514" width="8.7109375" style="187" customWidth="1"/>
    <col min="515" max="515" width="17" style="187" customWidth="1"/>
    <col min="516" max="516" width="14.42578125" style="187" customWidth="1"/>
    <col min="517" max="517" width="10.28515625" style="187" customWidth="1"/>
    <col min="518" max="528" width="8.7109375" style="187" customWidth="1"/>
    <col min="529" max="529" width="9.7109375" style="187" customWidth="1"/>
    <col min="530" max="530" width="8.42578125" style="187" customWidth="1"/>
    <col min="531" max="531" width="9.140625" style="187"/>
    <col min="532" max="532" width="10.7109375" style="187" customWidth="1"/>
    <col min="533" max="533" width="5.28515625" style="187" customWidth="1"/>
    <col min="534" max="534" width="15.42578125" style="187" bestFit="1" customWidth="1"/>
    <col min="535" max="535" width="10.42578125" style="187" bestFit="1" customWidth="1"/>
    <col min="536" max="769" width="9.140625" style="187"/>
    <col min="770" max="770" width="8.7109375" style="187" customWidth="1"/>
    <col min="771" max="771" width="17" style="187" customWidth="1"/>
    <col min="772" max="772" width="14.42578125" style="187" customWidth="1"/>
    <col min="773" max="773" width="10.28515625" style="187" customWidth="1"/>
    <col min="774" max="784" width="8.7109375" style="187" customWidth="1"/>
    <col min="785" max="785" width="9.7109375" style="187" customWidth="1"/>
    <col min="786" max="786" width="8.42578125" style="187" customWidth="1"/>
    <col min="787" max="787" width="9.140625" style="187"/>
    <col min="788" max="788" width="10.7109375" style="187" customWidth="1"/>
    <col min="789" max="789" width="5.28515625" style="187" customWidth="1"/>
    <col min="790" max="790" width="15.42578125" style="187" bestFit="1" customWidth="1"/>
    <col min="791" max="791" width="10.42578125" style="187" bestFit="1" customWidth="1"/>
    <col min="792" max="1025" width="9.140625" style="187"/>
    <col min="1026" max="1026" width="8.7109375" style="187" customWidth="1"/>
    <col min="1027" max="1027" width="17" style="187" customWidth="1"/>
    <col min="1028" max="1028" width="14.42578125" style="187" customWidth="1"/>
    <col min="1029" max="1029" width="10.28515625" style="187" customWidth="1"/>
    <col min="1030" max="1040" width="8.7109375" style="187" customWidth="1"/>
    <col min="1041" max="1041" width="9.7109375" style="187" customWidth="1"/>
    <col min="1042" max="1042" width="8.42578125" style="187" customWidth="1"/>
    <col min="1043" max="1043" width="9.140625" style="187"/>
    <col min="1044" max="1044" width="10.7109375" style="187" customWidth="1"/>
    <col min="1045" max="1045" width="5.28515625" style="187" customWidth="1"/>
    <col min="1046" max="1046" width="15.42578125" style="187" bestFit="1" customWidth="1"/>
    <col min="1047" max="1047" width="10.42578125" style="187" bestFit="1" customWidth="1"/>
    <col min="1048" max="1281" width="9.140625" style="187"/>
    <col min="1282" max="1282" width="8.7109375" style="187" customWidth="1"/>
    <col min="1283" max="1283" width="17" style="187" customWidth="1"/>
    <col min="1284" max="1284" width="14.42578125" style="187" customWidth="1"/>
    <col min="1285" max="1285" width="10.28515625" style="187" customWidth="1"/>
    <col min="1286" max="1296" width="8.7109375" style="187" customWidth="1"/>
    <col min="1297" max="1297" width="9.7109375" style="187" customWidth="1"/>
    <col min="1298" max="1298" width="8.42578125" style="187" customWidth="1"/>
    <col min="1299" max="1299" width="9.140625" style="187"/>
    <col min="1300" max="1300" width="10.7109375" style="187" customWidth="1"/>
    <col min="1301" max="1301" width="5.28515625" style="187" customWidth="1"/>
    <col min="1302" max="1302" width="15.42578125" style="187" bestFit="1" customWidth="1"/>
    <col min="1303" max="1303" width="10.42578125" style="187" bestFit="1" customWidth="1"/>
    <col min="1304" max="1537" width="9.140625" style="187"/>
    <col min="1538" max="1538" width="8.7109375" style="187" customWidth="1"/>
    <col min="1539" max="1539" width="17" style="187" customWidth="1"/>
    <col min="1540" max="1540" width="14.42578125" style="187" customWidth="1"/>
    <col min="1541" max="1541" width="10.28515625" style="187" customWidth="1"/>
    <col min="1542" max="1552" width="8.7109375" style="187" customWidth="1"/>
    <col min="1553" max="1553" width="9.7109375" style="187" customWidth="1"/>
    <col min="1554" max="1554" width="8.42578125" style="187" customWidth="1"/>
    <col min="1555" max="1555" width="9.140625" style="187"/>
    <col min="1556" max="1556" width="10.7109375" style="187" customWidth="1"/>
    <col min="1557" max="1557" width="5.28515625" style="187" customWidth="1"/>
    <col min="1558" max="1558" width="15.42578125" style="187" bestFit="1" customWidth="1"/>
    <col min="1559" max="1559" width="10.42578125" style="187" bestFit="1" customWidth="1"/>
    <col min="1560" max="1793" width="9.140625" style="187"/>
    <col min="1794" max="1794" width="8.7109375" style="187" customWidth="1"/>
    <col min="1795" max="1795" width="17" style="187" customWidth="1"/>
    <col min="1796" max="1796" width="14.42578125" style="187" customWidth="1"/>
    <col min="1797" max="1797" width="10.28515625" style="187" customWidth="1"/>
    <col min="1798" max="1808" width="8.7109375" style="187" customWidth="1"/>
    <col min="1809" max="1809" width="9.7109375" style="187" customWidth="1"/>
    <col min="1810" max="1810" width="8.42578125" style="187" customWidth="1"/>
    <col min="1811" max="1811" width="9.140625" style="187"/>
    <col min="1812" max="1812" width="10.7109375" style="187" customWidth="1"/>
    <col min="1813" max="1813" width="5.28515625" style="187" customWidth="1"/>
    <col min="1814" max="1814" width="15.42578125" style="187" bestFit="1" customWidth="1"/>
    <col min="1815" max="1815" width="10.42578125" style="187" bestFit="1" customWidth="1"/>
    <col min="1816" max="2049" width="9.140625" style="187"/>
    <col min="2050" max="2050" width="8.7109375" style="187" customWidth="1"/>
    <col min="2051" max="2051" width="17" style="187" customWidth="1"/>
    <col min="2052" max="2052" width="14.42578125" style="187" customWidth="1"/>
    <col min="2053" max="2053" width="10.28515625" style="187" customWidth="1"/>
    <col min="2054" max="2064" width="8.7109375" style="187" customWidth="1"/>
    <col min="2065" max="2065" width="9.7109375" style="187" customWidth="1"/>
    <col min="2066" max="2066" width="8.42578125" style="187" customWidth="1"/>
    <col min="2067" max="2067" width="9.140625" style="187"/>
    <col min="2068" max="2068" width="10.7109375" style="187" customWidth="1"/>
    <col min="2069" max="2069" width="5.28515625" style="187" customWidth="1"/>
    <col min="2070" max="2070" width="15.42578125" style="187" bestFit="1" customWidth="1"/>
    <col min="2071" max="2071" width="10.42578125" style="187" bestFit="1" customWidth="1"/>
    <col min="2072" max="2305" width="9.140625" style="187"/>
    <col min="2306" max="2306" width="8.7109375" style="187" customWidth="1"/>
    <col min="2307" max="2307" width="17" style="187" customWidth="1"/>
    <col min="2308" max="2308" width="14.42578125" style="187" customWidth="1"/>
    <col min="2309" max="2309" width="10.28515625" style="187" customWidth="1"/>
    <col min="2310" max="2320" width="8.7109375" style="187" customWidth="1"/>
    <col min="2321" max="2321" width="9.7109375" style="187" customWidth="1"/>
    <col min="2322" max="2322" width="8.42578125" style="187" customWidth="1"/>
    <col min="2323" max="2323" width="9.140625" style="187"/>
    <col min="2324" max="2324" width="10.7109375" style="187" customWidth="1"/>
    <col min="2325" max="2325" width="5.28515625" style="187" customWidth="1"/>
    <col min="2326" max="2326" width="15.42578125" style="187" bestFit="1" customWidth="1"/>
    <col min="2327" max="2327" width="10.42578125" style="187" bestFit="1" customWidth="1"/>
    <col min="2328" max="2561" width="9.140625" style="187"/>
    <col min="2562" max="2562" width="8.7109375" style="187" customWidth="1"/>
    <col min="2563" max="2563" width="17" style="187" customWidth="1"/>
    <col min="2564" max="2564" width="14.42578125" style="187" customWidth="1"/>
    <col min="2565" max="2565" width="10.28515625" style="187" customWidth="1"/>
    <col min="2566" max="2576" width="8.7109375" style="187" customWidth="1"/>
    <col min="2577" max="2577" width="9.7109375" style="187" customWidth="1"/>
    <col min="2578" max="2578" width="8.42578125" style="187" customWidth="1"/>
    <col min="2579" max="2579" width="9.140625" style="187"/>
    <col min="2580" max="2580" width="10.7109375" style="187" customWidth="1"/>
    <col min="2581" max="2581" width="5.28515625" style="187" customWidth="1"/>
    <col min="2582" max="2582" width="15.42578125" style="187" bestFit="1" customWidth="1"/>
    <col min="2583" max="2583" width="10.42578125" style="187" bestFit="1" customWidth="1"/>
    <col min="2584" max="2817" width="9.140625" style="187"/>
    <col min="2818" max="2818" width="8.7109375" style="187" customWidth="1"/>
    <col min="2819" max="2819" width="17" style="187" customWidth="1"/>
    <col min="2820" max="2820" width="14.42578125" style="187" customWidth="1"/>
    <col min="2821" max="2821" width="10.28515625" style="187" customWidth="1"/>
    <col min="2822" max="2832" width="8.7109375" style="187" customWidth="1"/>
    <col min="2833" max="2833" width="9.7109375" style="187" customWidth="1"/>
    <col min="2834" max="2834" width="8.42578125" style="187" customWidth="1"/>
    <col min="2835" max="2835" width="9.140625" style="187"/>
    <col min="2836" max="2836" width="10.7109375" style="187" customWidth="1"/>
    <col min="2837" max="2837" width="5.28515625" style="187" customWidth="1"/>
    <col min="2838" max="2838" width="15.42578125" style="187" bestFit="1" customWidth="1"/>
    <col min="2839" max="2839" width="10.42578125" style="187" bestFit="1" customWidth="1"/>
    <col min="2840" max="3073" width="9.140625" style="187"/>
    <col min="3074" max="3074" width="8.7109375" style="187" customWidth="1"/>
    <col min="3075" max="3075" width="17" style="187" customWidth="1"/>
    <col min="3076" max="3076" width="14.42578125" style="187" customWidth="1"/>
    <col min="3077" max="3077" width="10.28515625" style="187" customWidth="1"/>
    <col min="3078" max="3088" width="8.7109375" style="187" customWidth="1"/>
    <col min="3089" max="3089" width="9.7109375" style="187" customWidth="1"/>
    <col min="3090" max="3090" width="8.42578125" style="187" customWidth="1"/>
    <col min="3091" max="3091" width="9.140625" style="187"/>
    <col min="3092" max="3092" width="10.7109375" style="187" customWidth="1"/>
    <col min="3093" max="3093" width="5.28515625" style="187" customWidth="1"/>
    <col min="3094" max="3094" width="15.42578125" style="187" bestFit="1" customWidth="1"/>
    <col min="3095" max="3095" width="10.42578125" style="187" bestFit="1" customWidth="1"/>
    <col min="3096" max="3329" width="9.140625" style="187"/>
    <col min="3330" max="3330" width="8.7109375" style="187" customWidth="1"/>
    <col min="3331" max="3331" width="17" style="187" customWidth="1"/>
    <col min="3332" max="3332" width="14.42578125" style="187" customWidth="1"/>
    <col min="3333" max="3333" width="10.28515625" style="187" customWidth="1"/>
    <col min="3334" max="3344" width="8.7109375" style="187" customWidth="1"/>
    <col min="3345" max="3345" width="9.7109375" style="187" customWidth="1"/>
    <col min="3346" max="3346" width="8.42578125" style="187" customWidth="1"/>
    <col min="3347" max="3347" width="9.140625" style="187"/>
    <col min="3348" max="3348" width="10.7109375" style="187" customWidth="1"/>
    <col min="3349" max="3349" width="5.28515625" style="187" customWidth="1"/>
    <col min="3350" max="3350" width="15.42578125" style="187" bestFit="1" customWidth="1"/>
    <col min="3351" max="3351" width="10.42578125" style="187" bestFit="1" customWidth="1"/>
    <col min="3352" max="3585" width="9.140625" style="187"/>
    <col min="3586" max="3586" width="8.7109375" style="187" customWidth="1"/>
    <col min="3587" max="3587" width="17" style="187" customWidth="1"/>
    <col min="3588" max="3588" width="14.42578125" style="187" customWidth="1"/>
    <col min="3589" max="3589" width="10.28515625" style="187" customWidth="1"/>
    <col min="3590" max="3600" width="8.7109375" style="187" customWidth="1"/>
    <col min="3601" max="3601" width="9.7109375" style="187" customWidth="1"/>
    <col min="3602" max="3602" width="8.42578125" style="187" customWidth="1"/>
    <col min="3603" max="3603" width="9.140625" style="187"/>
    <col min="3604" max="3604" width="10.7109375" style="187" customWidth="1"/>
    <col min="3605" max="3605" width="5.28515625" style="187" customWidth="1"/>
    <col min="3606" max="3606" width="15.42578125" style="187" bestFit="1" customWidth="1"/>
    <col min="3607" max="3607" width="10.42578125" style="187" bestFit="1" customWidth="1"/>
    <col min="3608" max="3841" width="9.140625" style="187"/>
    <col min="3842" max="3842" width="8.7109375" style="187" customWidth="1"/>
    <col min="3843" max="3843" width="17" style="187" customWidth="1"/>
    <col min="3844" max="3844" width="14.42578125" style="187" customWidth="1"/>
    <col min="3845" max="3845" width="10.28515625" style="187" customWidth="1"/>
    <col min="3846" max="3856" width="8.7109375" style="187" customWidth="1"/>
    <col min="3857" max="3857" width="9.7109375" style="187" customWidth="1"/>
    <col min="3858" max="3858" width="8.42578125" style="187" customWidth="1"/>
    <col min="3859" max="3859" width="9.140625" style="187"/>
    <col min="3860" max="3860" width="10.7109375" style="187" customWidth="1"/>
    <col min="3861" max="3861" width="5.28515625" style="187" customWidth="1"/>
    <col min="3862" max="3862" width="15.42578125" style="187" bestFit="1" customWidth="1"/>
    <col min="3863" max="3863" width="10.42578125" style="187" bestFit="1" customWidth="1"/>
    <col min="3864" max="4097" width="9.140625" style="187"/>
    <col min="4098" max="4098" width="8.7109375" style="187" customWidth="1"/>
    <col min="4099" max="4099" width="17" style="187" customWidth="1"/>
    <col min="4100" max="4100" width="14.42578125" style="187" customWidth="1"/>
    <col min="4101" max="4101" width="10.28515625" style="187" customWidth="1"/>
    <col min="4102" max="4112" width="8.7109375" style="187" customWidth="1"/>
    <col min="4113" max="4113" width="9.7109375" style="187" customWidth="1"/>
    <col min="4114" max="4114" width="8.42578125" style="187" customWidth="1"/>
    <col min="4115" max="4115" width="9.140625" style="187"/>
    <col min="4116" max="4116" width="10.7109375" style="187" customWidth="1"/>
    <col min="4117" max="4117" width="5.28515625" style="187" customWidth="1"/>
    <col min="4118" max="4118" width="15.42578125" style="187" bestFit="1" customWidth="1"/>
    <col min="4119" max="4119" width="10.42578125" style="187" bestFit="1" customWidth="1"/>
    <col min="4120" max="4353" width="9.140625" style="187"/>
    <col min="4354" max="4354" width="8.7109375" style="187" customWidth="1"/>
    <col min="4355" max="4355" width="17" style="187" customWidth="1"/>
    <col min="4356" max="4356" width="14.42578125" style="187" customWidth="1"/>
    <col min="4357" max="4357" width="10.28515625" style="187" customWidth="1"/>
    <col min="4358" max="4368" width="8.7109375" style="187" customWidth="1"/>
    <col min="4369" max="4369" width="9.7109375" style="187" customWidth="1"/>
    <col min="4370" max="4370" width="8.42578125" style="187" customWidth="1"/>
    <col min="4371" max="4371" width="9.140625" style="187"/>
    <col min="4372" max="4372" width="10.7109375" style="187" customWidth="1"/>
    <col min="4373" max="4373" width="5.28515625" style="187" customWidth="1"/>
    <col min="4374" max="4374" width="15.42578125" style="187" bestFit="1" customWidth="1"/>
    <col min="4375" max="4375" width="10.42578125" style="187" bestFit="1" customWidth="1"/>
    <col min="4376" max="4609" width="9.140625" style="187"/>
    <col min="4610" max="4610" width="8.7109375" style="187" customWidth="1"/>
    <col min="4611" max="4611" width="17" style="187" customWidth="1"/>
    <col min="4612" max="4612" width="14.42578125" style="187" customWidth="1"/>
    <col min="4613" max="4613" width="10.28515625" style="187" customWidth="1"/>
    <col min="4614" max="4624" width="8.7109375" style="187" customWidth="1"/>
    <col min="4625" max="4625" width="9.7109375" style="187" customWidth="1"/>
    <col min="4626" max="4626" width="8.42578125" style="187" customWidth="1"/>
    <col min="4627" max="4627" width="9.140625" style="187"/>
    <col min="4628" max="4628" width="10.7109375" style="187" customWidth="1"/>
    <col min="4629" max="4629" width="5.28515625" style="187" customWidth="1"/>
    <col min="4630" max="4630" width="15.42578125" style="187" bestFit="1" customWidth="1"/>
    <col min="4631" max="4631" width="10.42578125" style="187" bestFit="1" customWidth="1"/>
    <col min="4632" max="4865" width="9.140625" style="187"/>
    <col min="4866" max="4866" width="8.7109375" style="187" customWidth="1"/>
    <col min="4867" max="4867" width="17" style="187" customWidth="1"/>
    <col min="4868" max="4868" width="14.42578125" style="187" customWidth="1"/>
    <col min="4869" max="4869" width="10.28515625" style="187" customWidth="1"/>
    <col min="4870" max="4880" width="8.7109375" style="187" customWidth="1"/>
    <col min="4881" max="4881" width="9.7109375" style="187" customWidth="1"/>
    <col min="4882" max="4882" width="8.42578125" style="187" customWidth="1"/>
    <col min="4883" max="4883" width="9.140625" style="187"/>
    <col min="4884" max="4884" width="10.7109375" style="187" customWidth="1"/>
    <col min="4885" max="4885" width="5.28515625" style="187" customWidth="1"/>
    <col min="4886" max="4886" width="15.42578125" style="187" bestFit="1" customWidth="1"/>
    <col min="4887" max="4887" width="10.42578125" style="187" bestFit="1" customWidth="1"/>
    <col min="4888" max="5121" width="9.140625" style="187"/>
    <col min="5122" max="5122" width="8.7109375" style="187" customWidth="1"/>
    <col min="5123" max="5123" width="17" style="187" customWidth="1"/>
    <col min="5124" max="5124" width="14.42578125" style="187" customWidth="1"/>
    <col min="5125" max="5125" width="10.28515625" style="187" customWidth="1"/>
    <col min="5126" max="5136" width="8.7109375" style="187" customWidth="1"/>
    <col min="5137" max="5137" width="9.7109375" style="187" customWidth="1"/>
    <col min="5138" max="5138" width="8.42578125" style="187" customWidth="1"/>
    <col min="5139" max="5139" width="9.140625" style="187"/>
    <col min="5140" max="5140" width="10.7109375" style="187" customWidth="1"/>
    <col min="5141" max="5141" width="5.28515625" style="187" customWidth="1"/>
    <col min="5142" max="5142" width="15.42578125" style="187" bestFit="1" customWidth="1"/>
    <col min="5143" max="5143" width="10.42578125" style="187" bestFit="1" customWidth="1"/>
    <col min="5144" max="5377" width="9.140625" style="187"/>
    <col min="5378" max="5378" width="8.7109375" style="187" customWidth="1"/>
    <col min="5379" max="5379" width="17" style="187" customWidth="1"/>
    <col min="5380" max="5380" width="14.42578125" style="187" customWidth="1"/>
    <col min="5381" max="5381" width="10.28515625" style="187" customWidth="1"/>
    <col min="5382" max="5392" width="8.7109375" style="187" customWidth="1"/>
    <col min="5393" max="5393" width="9.7109375" style="187" customWidth="1"/>
    <col min="5394" max="5394" width="8.42578125" style="187" customWidth="1"/>
    <col min="5395" max="5395" width="9.140625" style="187"/>
    <col min="5396" max="5396" width="10.7109375" style="187" customWidth="1"/>
    <col min="5397" max="5397" width="5.28515625" style="187" customWidth="1"/>
    <col min="5398" max="5398" width="15.42578125" style="187" bestFit="1" customWidth="1"/>
    <col min="5399" max="5399" width="10.42578125" style="187" bestFit="1" customWidth="1"/>
    <col min="5400" max="5633" width="9.140625" style="187"/>
    <col min="5634" max="5634" width="8.7109375" style="187" customWidth="1"/>
    <col min="5635" max="5635" width="17" style="187" customWidth="1"/>
    <col min="5636" max="5636" width="14.42578125" style="187" customWidth="1"/>
    <col min="5637" max="5637" width="10.28515625" style="187" customWidth="1"/>
    <col min="5638" max="5648" width="8.7109375" style="187" customWidth="1"/>
    <col min="5649" max="5649" width="9.7109375" style="187" customWidth="1"/>
    <col min="5650" max="5650" width="8.42578125" style="187" customWidth="1"/>
    <col min="5651" max="5651" width="9.140625" style="187"/>
    <col min="5652" max="5652" width="10.7109375" style="187" customWidth="1"/>
    <col min="5653" max="5653" width="5.28515625" style="187" customWidth="1"/>
    <col min="5654" max="5654" width="15.42578125" style="187" bestFit="1" customWidth="1"/>
    <col min="5655" max="5655" width="10.42578125" style="187" bestFit="1" customWidth="1"/>
    <col min="5656" max="5889" width="9.140625" style="187"/>
    <col min="5890" max="5890" width="8.7109375" style="187" customWidth="1"/>
    <col min="5891" max="5891" width="17" style="187" customWidth="1"/>
    <col min="5892" max="5892" width="14.42578125" style="187" customWidth="1"/>
    <col min="5893" max="5893" width="10.28515625" style="187" customWidth="1"/>
    <col min="5894" max="5904" width="8.7109375" style="187" customWidth="1"/>
    <col min="5905" max="5905" width="9.7109375" style="187" customWidth="1"/>
    <col min="5906" max="5906" width="8.42578125" style="187" customWidth="1"/>
    <col min="5907" max="5907" width="9.140625" style="187"/>
    <col min="5908" max="5908" width="10.7109375" style="187" customWidth="1"/>
    <col min="5909" max="5909" width="5.28515625" style="187" customWidth="1"/>
    <col min="5910" max="5910" width="15.42578125" style="187" bestFit="1" customWidth="1"/>
    <col min="5911" max="5911" width="10.42578125" style="187" bestFit="1" customWidth="1"/>
    <col min="5912" max="6145" width="9.140625" style="187"/>
    <col min="6146" max="6146" width="8.7109375" style="187" customWidth="1"/>
    <col min="6147" max="6147" width="17" style="187" customWidth="1"/>
    <col min="6148" max="6148" width="14.42578125" style="187" customWidth="1"/>
    <col min="6149" max="6149" width="10.28515625" style="187" customWidth="1"/>
    <col min="6150" max="6160" width="8.7109375" style="187" customWidth="1"/>
    <col min="6161" max="6161" width="9.7109375" style="187" customWidth="1"/>
    <col min="6162" max="6162" width="8.42578125" style="187" customWidth="1"/>
    <col min="6163" max="6163" width="9.140625" style="187"/>
    <col min="6164" max="6164" width="10.7109375" style="187" customWidth="1"/>
    <col min="6165" max="6165" width="5.28515625" style="187" customWidth="1"/>
    <col min="6166" max="6166" width="15.42578125" style="187" bestFit="1" customWidth="1"/>
    <col min="6167" max="6167" width="10.42578125" style="187" bestFit="1" customWidth="1"/>
    <col min="6168" max="6401" width="9.140625" style="187"/>
    <col min="6402" max="6402" width="8.7109375" style="187" customWidth="1"/>
    <col min="6403" max="6403" width="17" style="187" customWidth="1"/>
    <col min="6404" max="6404" width="14.42578125" style="187" customWidth="1"/>
    <col min="6405" max="6405" width="10.28515625" style="187" customWidth="1"/>
    <col min="6406" max="6416" width="8.7109375" style="187" customWidth="1"/>
    <col min="6417" max="6417" width="9.7109375" style="187" customWidth="1"/>
    <col min="6418" max="6418" width="8.42578125" style="187" customWidth="1"/>
    <col min="6419" max="6419" width="9.140625" style="187"/>
    <col min="6420" max="6420" width="10.7109375" style="187" customWidth="1"/>
    <col min="6421" max="6421" width="5.28515625" style="187" customWidth="1"/>
    <col min="6422" max="6422" width="15.42578125" style="187" bestFit="1" customWidth="1"/>
    <col min="6423" max="6423" width="10.42578125" style="187" bestFit="1" customWidth="1"/>
    <col min="6424" max="6657" width="9.140625" style="187"/>
    <col min="6658" max="6658" width="8.7109375" style="187" customWidth="1"/>
    <col min="6659" max="6659" width="17" style="187" customWidth="1"/>
    <col min="6660" max="6660" width="14.42578125" style="187" customWidth="1"/>
    <col min="6661" max="6661" width="10.28515625" style="187" customWidth="1"/>
    <col min="6662" max="6672" width="8.7109375" style="187" customWidth="1"/>
    <col min="6673" max="6673" width="9.7109375" style="187" customWidth="1"/>
    <col min="6674" max="6674" width="8.42578125" style="187" customWidth="1"/>
    <col min="6675" max="6675" width="9.140625" style="187"/>
    <col min="6676" max="6676" width="10.7109375" style="187" customWidth="1"/>
    <col min="6677" max="6677" width="5.28515625" style="187" customWidth="1"/>
    <col min="6678" max="6678" width="15.42578125" style="187" bestFit="1" customWidth="1"/>
    <col min="6679" max="6679" width="10.42578125" style="187" bestFit="1" customWidth="1"/>
    <col min="6680" max="6913" width="9.140625" style="187"/>
    <col min="6914" max="6914" width="8.7109375" style="187" customWidth="1"/>
    <col min="6915" max="6915" width="17" style="187" customWidth="1"/>
    <col min="6916" max="6916" width="14.42578125" style="187" customWidth="1"/>
    <col min="6917" max="6917" width="10.28515625" style="187" customWidth="1"/>
    <col min="6918" max="6928" width="8.7109375" style="187" customWidth="1"/>
    <col min="6929" max="6929" width="9.7109375" style="187" customWidth="1"/>
    <col min="6930" max="6930" width="8.42578125" style="187" customWidth="1"/>
    <col min="6931" max="6931" width="9.140625" style="187"/>
    <col min="6932" max="6932" width="10.7109375" style="187" customWidth="1"/>
    <col min="6933" max="6933" width="5.28515625" style="187" customWidth="1"/>
    <col min="6934" max="6934" width="15.42578125" style="187" bestFit="1" customWidth="1"/>
    <col min="6935" max="6935" width="10.42578125" style="187" bestFit="1" customWidth="1"/>
    <col min="6936" max="7169" width="9.140625" style="187"/>
    <col min="7170" max="7170" width="8.7109375" style="187" customWidth="1"/>
    <col min="7171" max="7171" width="17" style="187" customWidth="1"/>
    <col min="7172" max="7172" width="14.42578125" style="187" customWidth="1"/>
    <col min="7173" max="7173" width="10.28515625" style="187" customWidth="1"/>
    <col min="7174" max="7184" width="8.7109375" style="187" customWidth="1"/>
    <col min="7185" max="7185" width="9.7109375" style="187" customWidth="1"/>
    <col min="7186" max="7186" width="8.42578125" style="187" customWidth="1"/>
    <col min="7187" max="7187" width="9.140625" style="187"/>
    <col min="7188" max="7188" width="10.7109375" style="187" customWidth="1"/>
    <col min="7189" max="7189" width="5.28515625" style="187" customWidth="1"/>
    <col min="7190" max="7190" width="15.42578125" style="187" bestFit="1" customWidth="1"/>
    <col min="7191" max="7191" width="10.42578125" style="187" bestFit="1" customWidth="1"/>
    <col min="7192" max="7425" width="9.140625" style="187"/>
    <col min="7426" max="7426" width="8.7109375" style="187" customWidth="1"/>
    <col min="7427" max="7427" width="17" style="187" customWidth="1"/>
    <col min="7428" max="7428" width="14.42578125" style="187" customWidth="1"/>
    <col min="7429" max="7429" width="10.28515625" style="187" customWidth="1"/>
    <col min="7430" max="7440" width="8.7109375" style="187" customWidth="1"/>
    <col min="7441" max="7441" width="9.7109375" style="187" customWidth="1"/>
    <col min="7442" max="7442" width="8.42578125" style="187" customWidth="1"/>
    <col min="7443" max="7443" width="9.140625" style="187"/>
    <col min="7444" max="7444" width="10.7109375" style="187" customWidth="1"/>
    <col min="7445" max="7445" width="5.28515625" style="187" customWidth="1"/>
    <col min="7446" max="7446" width="15.42578125" style="187" bestFit="1" customWidth="1"/>
    <col min="7447" max="7447" width="10.42578125" style="187" bestFit="1" customWidth="1"/>
    <col min="7448" max="7681" width="9.140625" style="187"/>
    <col min="7682" max="7682" width="8.7109375" style="187" customWidth="1"/>
    <col min="7683" max="7683" width="17" style="187" customWidth="1"/>
    <col min="7684" max="7684" width="14.42578125" style="187" customWidth="1"/>
    <col min="7685" max="7685" width="10.28515625" style="187" customWidth="1"/>
    <col min="7686" max="7696" width="8.7109375" style="187" customWidth="1"/>
    <col min="7697" max="7697" width="9.7109375" style="187" customWidth="1"/>
    <col min="7698" max="7698" width="8.42578125" style="187" customWidth="1"/>
    <col min="7699" max="7699" width="9.140625" style="187"/>
    <col min="7700" max="7700" width="10.7109375" style="187" customWidth="1"/>
    <col min="7701" max="7701" width="5.28515625" style="187" customWidth="1"/>
    <col min="7702" max="7702" width="15.42578125" style="187" bestFit="1" customWidth="1"/>
    <col min="7703" max="7703" width="10.42578125" style="187" bestFit="1" customWidth="1"/>
    <col min="7704" max="7937" width="9.140625" style="187"/>
    <col min="7938" max="7938" width="8.7109375" style="187" customWidth="1"/>
    <col min="7939" max="7939" width="17" style="187" customWidth="1"/>
    <col min="7940" max="7940" width="14.42578125" style="187" customWidth="1"/>
    <col min="7941" max="7941" width="10.28515625" style="187" customWidth="1"/>
    <col min="7942" max="7952" width="8.7109375" style="187" customWidth="1"/>
    <col min="7953" max="7953" width="9.7109375" style="187" customWidth="1"/>
    <col min="7954" max="7954" width="8.42578125" style="187" customWidth="1"/>
    <col min="7955" max="7955" width="9.140625" style="187"/>
    <col min="7956" max="7956" width="10.7109375" style="187" customWidth="1"/>
    <col min="7957" max="7957" width="5.28515625" style="187" customWidth="1"/>
    <col min="7958" max="7958" width="15.42578125" style="187" bestFit="1" customWidth="1"/>
    <col min="7959" max="7959" width="10.42578125" style="187" bestFit="1" customWidth="1"/>
    <col min="7960" max="8193" width="9.140625" style="187"/>
    <col min="8194" max="8194" width="8.7109375" style="187" customWidth="1"/>
    <col min="8195" max="8195" width="17" style="187" customWidth="1"/>
    <col min="8196" max="8196" width="14.42578125" style="187" customWidth="1"/>
    <col min="8197" max="8197" width="10.28515625" style="187" customWidth="1"/>
    <col min="8198" max="8208" width="8.7109375" style="187" customWidth="1"/>
    <col min="8209" max="8209" width="9.7109375" style="187" customWidth="1"/>
    <col min="8210" max="8210" width="8.42578125" style="187" customWidth="1"/>
    <col min="8211" max="8211" width="9.140625" style="187"/>
    <col min="8212" max="8212" width="10.7109375" style="187" customWidth="1"/>
    <col min="8213" max="8213" width="5.28515625" style="187" customWidth="1"/>
    <col min="8214" max="8214" width="15.42578125" style="187" bestFit="1" customWidth="1"/>
    <col min="8215" max="8215" width="10.42578125" style="187" bestFit="1" customWidth="1"/>
    <col min="8216" max="8449" width="9.140625" style="187"/>
    <col min="8450" max="8450" width="8.7109375" style="187" customWidth="1"/>
    <col min="8451" max="8451" width="17" style="187" customWidth="1"/>
    <col min="8452" max="8452" width="14.42578125" style="187" customWidth="1"/>
    <col min="8453" max="8453" width="10.28515625" style="187" customWidth="1"/>
    <col min="8454" max="8464" width="8.7109375" style="187" customWidth="1"/>
    <col min="8465" max="8465" width="9.7109375" style="187" customWidth="1"/>
    <col min="8466" max="8466" width="8.42578125" style="187" customWidth="1"/>
    <col min="8467" max="8467" width="9.140625" style="187"/>
    <col min="8468" max="8468" width="10.7109375" style="187" customWidth="1"/>
    <col min="8469" max="8469" width="5.28515625" style="187" customWidth="1"/>
    <col min="8470" max="8470" width="15.42578125" style="187" bestFit="1" customWidth="1"/>
    <col min="8471" max="8471" width="10.42578125" style="187" bestFit="1" customWidth="1"/>
    <col min="8472" max="8705" width="9.140625" style="187"/>
    <col min="8706" max="8706" width="8.7109375" style="187" customWidth="1"/>
    <col min="8707" max="8707" width="17" style="187" customWidth="1"/>
    <col min="8708" max="8708" width="14.42578125" style="187" customWidth="1"/>
    <col min="8709" max="8709" width="10.28515625" style="187" customWidth="1"/>
    <col min="8710" max="8720" width="8.7109375" style="187" customWidth="1"/>
    <col min="8721" max="8721" width="9.7109375" style="187" customWidth="1"/>
    <col min="8722" max="8722" width="8.42578125" style="187" customWidth="1"/>
    <col min="8723" max="8723" width="9.140625" style="187"/>
    <col min="8724" max="8724" width="10.7109375" style="187" customWidth="1"/>
    <col min="8725" max="8725" width="5.28515625" style="187" customWidth="1"/>
    <col min="8726" max="8726" width="15.42578125" style="187" bestFit="1" customWidth="1"/>
    <col min="8727" max="8727" width="10.42578125" style="187" bestFit="1" customWidth="1"/>
    <col min="8728" max="8961" width="9.140625" style="187"/>
    <col min="8962" max="8962" width="8.7109375" style="187" customWidth="1"/>
    <col min="8963" max="8963" width="17" style="187" customWidth="1"/>
    <col min="8964" max="8964" width="14.42578125" style="187" customWidth="1"/>
    <col min="8965" max="8965" width="10.28515625" style="187" customWidth="1"/>
    <col min="8966" max="8976" width="8.7109375" style="187" customWidth="1"/>
    <col min="8977" max="8977" width="9.7109375" style="187" customWidth="1"/>
    <col min="8978" max="8978" width="8.42578125" style="187" customWidth="1"/>
    <col min="8979" max="8979" width="9.140625" style="187"/>
    <col min="8980" max="8980" width="10.7109375" style="187" customWidth="1"/>
    <col min="8981" max="8981" width="5.28515625" style="187" customWidth="1"/>
    <col min="8982" max="8982" width="15.42578125" style="187" bestFit="1" customWidth="1"/>
    <col min="8983" max="8983" width="10.42578125" style="187" bestFit="1" customWidth="1"/>
    <col min="8984" max="9217" width="9.140625" style="187"/>
    <col min="9218" max="9218" width="8.7109375" style="187" customWidth="1"/>
    <col min="9219" max="9219" width="17" style="187" customWidth="1"/>
    <col min="9220" max="9220" width="14.42578125" style="187" customWidth="1"/>
    <col min="9221" max="9221" width="10.28515625" style="187" customWidth="1"/>
    <col min="9222" max="9232" width="8.7109375" style="187" customWidth="1"/>
    <col min="9233" max="9233" width="9.7109375" style="187" customWidth="1"/>
    <col min="9234" max="9234" width="8.42578125" style="187" customWidth="1"/>
    <col min="9235" max="9235" width="9.140625" style="187"/>
    <col min="9236" max="9236" width="10.7109375" style="187" customWidth="1"/>
    <col min="9237" max="9237" width="5.28515625" style="187" customWidth="1"/>
    <col min="9238" max="9238" width="15.42578125" style="187" bestFit="1" customWidth="1"/>
    <col min="9239" max="9239" width="10.42578125" style="187" bestFit="1" customWidth="1"/>
    <col min="9240" max="9473" width="9.140625" style="187"/>
    <col min="9474" max="9474" width="8.7109375" style="187" customWidth="1"/>
    <col min="9475" max="9475" width="17" style="187" customWidth="1"/>
    <col min="9476" max="9476" width="14.42578125" style="187" customWidth="1"/>
    <col min="9477" max="9477" width="10.28515625" style="187" customWidth="1"/>
    <col min="9478" max="9488" width="8.7109375" style="187" customWidth="1"/>
    <col min="9489" max="9489" width="9.7109375" style="187" customWidth="1"/>
    <col min="9490" max="9490" width="8.42578125" style="187" customWidth="1"/>
    <col min="9491" max="9491" width="9.140625" style="187"/>
    <col min="9492" max="9492" width="10.7109375" style="187" customWidth="1"/>
    <col min="9493" max="9493" width="5.28515625" style="187" customWidth="1"/>
    <col min="9494" max="9494" width="15.42578125" style="187" bestFit="1" customWidth="1"/>
    <col min="9495" max="9495" width="10.42578125" style="187" bestFit="1" customWidth="1"/>
    <col min="9496" max="9729" width="9.140625" style="187"/>
    <col min="9730" max="9730" width="8.7109375" style="187" customWidth="1"/>
    <col min="9731" max="9731" width="17" style="187" customWidth="1"/>
    <col min="9732" max="9732" width="14.42578125" style="187" customWidth="1"/>
    <col min="9733" max="9733" width="10.28515625" style="187" customWidth="1"/>
    <col min="9734" max="9744" width="8.7109375" style="187" customWidth="1"/>
    <col min="9745" max="9745" width="9.7109375" style="187" customWidth="1"/>
    <col min="9746" max="9746" width="8.42578125" style="187" customWidth="1"/>
    <col min="9747" max="9747" width="9.140625" style="187"/>
    <col min="9748" max="9748" width="10.7109375" style="187" customWidth="1"/>
    <col min="9749" max="9749" width="5.28515625" style="187" customWidth="1"/>
    <col min="9750" max="9750" width="15.42578125" style="187" bestFit="1" customWidth="1"/>
    <col min="9751" max="9751" width="10.42578125" style="187" bestFit="1" customWidth="1"/>
    <col min="9752" max="9985" width="9.140625" style="187"/>
    <col min="9986" max="9986" width="8.7109375" style="187" customWidth="1"/>
    <col min="9987" max="9987" width="17" style="187" customWidth="1"/>
    <col min="9988" max="9988" width="14.42578125" style="187" customWidth="1"/>
    <col min="9989" max="9989" width="10.28515625" style="187" customWidth="1"/>
    <col min="9990" max="10000" width="8.7109375" style="187" customWidth="1"/>
    <col min="10001" max="10001" width="9.7109375" style="187" customWidth="1"/>
    <col min="10002" max="10002" width="8.42578125" style="187" customWidth="1"/>
    <col min="10003" max="10003" width="9.140625" style="187"/>
    <col min="10004" max="10004" width="10.7109375" style="187" customWidth="1"/>
    <col min="10005" max="10005" width="5.28515625" style="187" customWidth="1"/>
    <col min="10006" max="10006" width="15.42578125" style="187" bestFit="1" customWidth="1"/>
    <col min="10007" max="10007" width="10.42578125" style="187" bestFit="1" customWidth="1"/>
    <col min="10008" max="10241" width="9.140625" style="187"/>
    <col min="10242" max="10242" width="8.7109375" style="187" customWidth="1"/>
    <col min="10243" max="10243" width="17" style="187" customWidth="1"/>
    <col min="10244" max="10244" width="14.42578125" style="187" customWidth="1"/>
    <col min="10245" max="10245" width="10.28515625" style="187" customWidth="1"/>
    <col min="10246" max="10256" width="8.7109375" style="187" customWidth="1"/>
    <col min="10257" max="10257" width="9.7109375" style="187" customWidth="1"/>
    <col min="10258" max="10258" width="8.42578125" style="187" customWidth="1"/>
    <col min="10259" max="10259" width="9.140625" style="187"/>
    <col min="10260" max="10260" width="10.7109375" style="187" customWidth="1"/>
    <col min="10261" max="10261" width="5.28515625" style="187" customWidth="1"/>
    <col min="10262" max="10262" width="15.42578125" style="187" bestFit="1" customWidth="1"/>
    <col min="10263" max="10263" width="10.42578125" style="187" bestFit="1" customWidth="1"/>
    <col min="10264" max="10497" width="9.140625" style="187"/>
    <col min="10498" max="10498" width="8.7109375" style="187" customWidth="1"/>
    <col min="10499" max="10499" width="17" style="187" customWidth="1"/>
    <col min="10500" max="10500" width="14.42578125" style="187" customWidth="1"/>
    <col min="10501" max="10501" width="10.28515625" style="187" customWidth="1"/>
    <col min="10502" max="10512" width="8.7109375" style="187" customWidth="1"/>
    <col min="10513" max="10513" width="9.7109375" style="187" customWidth="1"/>
    <col min="10514" max="10514" width="8.42578125" style="187" customWidth="1"/>
    <col min="10515" max="10515" width="9.140625" style="187"/>
    <col min="10516" max="10516" width="10.7109375" style="187" customWidth="1"/>
    <col min="10517" max="10517" width="5.28515625" style="187" customWidth="1"/>
    <col min="10518" max="10518" width="15.42578125" style="187" bestFit="1" customWidth="1"/>
    <col min="10519" max="10519" width="10.42578125" style="187" bestFit="1" customWidth="1"/>
    <col min="10520" max="10753" width="9.140625" style="187"/>
    <col min="10754" max="10754" width="8.7109375" style="187" customWidth="1"/>
    <col min="10755" max="10755" width="17" style="187" customWidth="1"/>
    <col min="10756" max="10756" width="14.42578125" style="187" customWidth="1"/>
    <col min="10757" max="10757" width="10.28515625" style="187" customWidth="1"/>
    <col min="10758" max="10768" width="8.7109375" style="187" customWidth="1"/>
    <col min="10769" max="10769" width="9.7109375" style="187" customWidth="1"/>
    <col min="10770" max="10770" width="8.42578125" style="187" customWidth="1"/>
    <col min="10771" max="10771" width="9.140625" style="187"/>
    <col min="10772" max="10772" width="10.7109375" style="187" customWidth="1"/>
    <col min="10773" max="10773" width="5.28515625" style="187" customWidth="1"/>
    <col min="10774" max="10774" width="15.42578125" style="187" bestFit="1" customWidth="1"/>
    <col min="10775" max="10775" width="10.42578125" style="187" bestFit="1" customWidth="1"/>
    <col min="10776" max="11009" width="9.140625" style="187"/>
    <col min="11010" max="11010" width="8.7109375" style="187" customWidth="1"/>
    <col min="11011" max="11011" width="17" style="187" customWidth="1"/>
    <col min="11012" max="11012" width="14.42578125" style="187" customWidth="1"/>
    <col min="11013" max="11013" width="10.28515625" style="187" customWidth="1"/>
    <col min="11014" max="11024" width="8.7109375" style="187" customWidth="1"/>
    <col min="11025" max="11025" width="9.7109375" style="187" customWidth="1"/>
    <col min="11026" max="11026" width="8.42578125" style="187" customWidth="1"/>
    <col min="11027" max="11027" width="9.140625" style="187"/>
    <col min="11028" max="11028" width="10.7109375" style="187" customWidth="1"/>
    <col min="11029" max="11029" width="5.28515625" style="187" customWidth="1"/>
    <col min="11030" max="11030" width="15.42578125" style="187" bestFit="1" customWidth="1"/>
    <col min="11031" max="11031" width="10.42578125" style="187" bestFit="1" customWidth="1"/>
    <col min="11032" max="11265" width="9.140625" style="187"/>
    <col min="11266" max="11266" width="8.7109375" style="187" customWidth="1"/>
    <col min="11267" max="11267" width="17" style="187" customWidth="1"/>
    <col min="11268" max="11268" width="14.42578125" style="187" customWidth="1"/>
    <col min="11269" max="11269" width="10.28515625" style="187" customWidth="1"/>
    <col min="11270" max="11280" width="8.7109375" style="187" customWidth="1"/>
    <col min="11281" max="11281" width="9.7109375" style="187" customWidth="1"/>
    <col min="11282" max="11282" width="8.42578125" style="187" customWidth="1"/>
    <col min="11283" max="11283" width="9.140625" style="187"/>
    <col min="11284" max="11284" width="10.7109375" style="187" customWidth="1"/>
    <col min="11285" max="11285" width="5.28515625" style="187" customWidth="1"/>
    <col min="11286" max="11286" width="15.42578125" style="187" bestFit="1" customWidth="1"/>
    <col min="11287" max="11287" width="10.42578125" style="187" bestFit="1" customWidth="1"/>
    <col min="11288" max="11521" width="9.140625" style="187"/>
    <col min="11522" max="11522" width="8.7109375" style="187" customWidth="1"/>
    <col min="11523" max="11523" width="17" style="187" customWidth="1"/>
    <col min="11524" max="11524" width="14.42578125" style="187" customWidth="1"/>
    <col min="11525" max="11525" width="10.28515625" style="187" customWidth="1"/>
    <col min="11526" max="11536" width="8.7109375" style="187" customWidth="1"/>
    <col min="11537" max="11537" width="9.7109375" style="187" customWidth="1"/>
    <col min="11538" max="11538" width="8.42578125" style="187" customWidth="1"/>
    <col min="11539" max="11539" width="9.140625" style="187"/>
    <col min="11540" max="11540" width="10.7109375" style="187" customWidth="1"/>
    <col min="11541" max="11541" width="5.28515625" style="187" customWidth="1"/>
    <col min="11542" max="11542" width="15.42578125" style="187" bestFit="1" customWidth="1"/>
    <col min="11543" max="11543" width="10.42578125" style="187" bestFit="1" customWidth="1"/>
    <col min="11544" max="11777" width="9.140625" style="187"/>
    <col min="11778" max="11778" width="8.7109375" style="187" customWidth="1"/>
    <col min="11779" max="11779" width="17" style="187" customWidth="1"/>
    <col min="11780" max="11780" width="14.42578125" style="187" customWidth="1"/>
    <col min="11781" max="11781" width="10.28515625" style="187" customWidth="1"/>
    <col min="11782" max="11792" width="8.7109375" style="187" customWidth="1"/>
    <col min="11793" max="11793" width="9.7109375" style="187" customWidth="1"/>
    <col min="11794" max="11794" width="8.42578125" style="187" customWidth="1"/>
    <col min="11795" max="11795" width="9.140625" style="187"/>
    <col min="11796" max="11796" width="10.7109375" style="187" customWidth="1"/>
    <col min="11797" max="11797" width="5.28515625" style="187" customWidth="1"/>
    <col min="11798" max="11798" width="15.42578125" style="187" bestFit="1" customWidth="1"/>
    <col min="11799" max="11799" width="10.42578125" style="187" bestFit="1" customWidth="1"/>
    <col min="11800" max="12033" width="9.140625" style="187"/>
    <col min="12034" max="12034" width="8.7109375" style="187" customWidth="1"/>
    <col min="12035" max="12035" width="17" style="187" customWidth="1"/>
    <col min="12036" max="12036" width="14.42578125" style="187" customWidth="1"/>
    <col min="12037" max="12037" width="10.28515625" style="187" customWidth="1"/>
    <col min="12038" max="12048" width="8.7109375" style="187" customWidth="1"/>
    <col min="12049" max="12049" width="9.7109375" style="187" customWidth="1"/>
    <col min="12050" max="12050" width="8.42578125" style="187" customWidth="1"/>
    <col min="12051" max="12051" width="9.140625" style="187"/>
    <col min="12052" max="12052" width="10.7109375" style="187" customWidth="1"/>
    <col min="12053" max="12053" width="5.28515625" style="187" customWidth="1"/>
    <col min="12054" max="12054" width="15.42578125" style="187" bestFit="1" customWidth="1"/>
    <col min="12055" max="12055" width="10.42578125" style="187" bestFit="1" customWidth="1"/>
    <col min="12056" max="12289" width="9.140625" style="187"/>
    <col min="12290" max="12290" width="8.7109375" style="187" customWidth="1"/>
    <col min="12291" max="12291" width="17" style="187" customWidth="1"/>
    <col min="12292" max="12292" width="14.42578125" style="187" customWidth="1"/>
    <col min="12293" max="12293" width="10.28515625" style="187" customWidth="1"/>
    <col min="12294" max="12304" width="8.7109375" style="187" customWidth="1"/>
    <col min="12305" max="12305" width="9.7109375" style="187" customWidth="1"/>
    <col min="12306" max="12306" width="8.42578125" style="187" customWidth="1"/>
    <col min="12307" max="12307" width="9.140625" style="187"/>
    <col min="12308" max="12308" width="10.7109375" style="187" customWidth="1"/>
    <col min="12309" max="12309" width="5.28515625" style="187" customWidth="1"/>
    <col min="12310" max="12310" width="15.42578125" style="187" bestFit="1" customWidth="1"/>
    <col min="12311" max="12311" width="10.42578125" style="187" bestFit="1" customWidth="1"/>
    <col min="12312" max="12545" width="9.140625" style="187"/>
    <col min="12546" max="12546" width="8.7109375" style="187" customWidth="1"/>
    <col min="12547" max="12547" width="17" style="187" customWidth="1"/>
    <col min="12548" max="12548" width="14.42578125" style="187" customWidth="1"/>
    <col min="12549" max="12549" width="10.28515625" style="187" customWidth="1"/>
    <col min="12550" max="12560" width="8.7109375" style="187" customWidth="1"/>
    <col min="12561" max="12561" width="9.7109375" style="187" customWidth="1"/>
    <col min="12562" max="12562" width="8.42578125" style="187" customWidth="1"/>
    <col min="12563" max="12563" width="9.140625" style="187"/>
    <col min="12564" max="12564" width="10.7109375" style="187" customWidth="1"/>
    <col min="12565" max="12565" width="5.28515625" style="187" customWidth="1"/>
    <col min="12566" max="12566" width="15.42578125" style="187" bestFit="1" customWidth="1"/>
    <col min="12567" max="12567" width="10.42578125" style="187" bestFit="1" customWidth="1"/>
    <col min="12568" max="12801" width="9.140625" style="187"/>
    <col min="12802" max="12802" width="8.7109375" style="187" customWidth="1"/>
    <col min="12803" max="12803" width="17" style="187" customWidth="1"/>
    <col min="12804" max="12804" width="14.42578125" style="187" customWidth="1"/>
    <col min="12805" max="12805" width="10.28515625" style="187" customWidth="1"/>
    <col min="12806" max="12816" width="8.7109375" style="187" customWidth="1"/>
    <col min="12817" max="12817" width="9.7109375" style="187" customWidth="1"/>
    <col min="12818" max="12818" width="8.42578125" style="187" customWidth="1"/>
    <col min="12819" max="12819" width="9.140625" style="187"/>
    <col min="12820" max="12820" width="10.7109375" style="187" customWidth="1"/>
    <col min="12821" max="12821" width="5.28515625" style="187" customWidth="1"/>
    <col min="12822" max="12822" width="15.42578125" style="187" bestFit="1" customWidth="1"/>
    <col min="12823" max="12823" width="10.42578125" style="187" bestFit="1" customWidth="1"/>
    <col min="12824" max="13057" width="9.140625" style="187"/>
    <col min="13058" max="13058" width="8.7109375" style="187" customWidth="1"/>
    <col min="13059" max="13059" width="17" style="187" customWidth="1"/>
    <col min="13060" max="13060" width="14.42578125" style="187" customWidth="1"/>
    <col min="13061" max="13061" width="10.28515625" style="187" customWidth="1"/>
    <col min="13062" max="13072" width="8.7109375" style="187" customWidth="1"/>
    <col min="13073" max="13073" width="9.7109375" style="187" customWidth="1"/>
    <col min="13074" max="13074" width="8.42578125" style="187" customWidth="1"/>
    <col min="13075" max="13075" width="9.140625" style="187"/>
    <col min="13076" max="13076" width="10.7109375" style="187" customWidth="1"/>
    <col min="13077" max="13077" width="5.28515625" style="187" customWidth="1"/>
    <col min="13078" max="13078" width="15.42578125" style="187" bestFit="1" customWidth="1"/>
    <col min="13079" max="13079" width="10.42578125" style="187" bestFit="1" customWidth="1"/>
    <col min="13080" max="13313" width="9.140625" style="187"/>
    <col min="13314" max="13314" width="8.7109375" style="187" customWidth="1"/>
    <col min="13315" max="13315" width="17" style="187" customWidth="1"/>
    <col min="13316" max="13316" width="14.42578125" style="187" customWidth="1"/>
    <col min="13317" max="13317" width="10.28515625" style="187" customWidth="1"/>
    <col min="13318" max="13328" width="8.7109375" style="187" customWidth="1"/>
    <col min="13329" max="13329" width="9.7109375" style="187" customWidth="1"/>
    <col min="13330" max="13330" width="8.42578125" style="187" customWidth="1"/>
    <col min="13331" max="13331" width="9.140625" style="187"/>
    <col min="13332" max="13332" width="10.7109375" style="187" customWidth="1"/>
    <col min="13333" max="13333" width="5.28515625" style="187" customWidth="1"/>
    <col min="13334" max="13334" width="15.42578125" style="187" bestFit="1" customWidth="1"/>
    <col min="13335" max="13335" width="10.42578125" style="187" bestFit="1" customWidth="1"/>
    <col min="13336" max="13569" width="9.140625" style="187"/>
    <col min="13570" max="13570" width="8.7109375" style="187" customWidth="1"/>
    <col min="13571" max="13571" width="17" style="187" customWidth="1"/>
    <col min="13572" max="13572" width="14.42578125" style="187" customWidth="1"/>
    <col min="13573" max="13573" width="10.28515625" style="187" customWidth="1"/>
    <col min="13574" max="13584" width="8.7109375" style="187" customWidth="1"/>
    <col min="13585" max="13585" width="9.7109375" style="187" customWidth="1"/>
    <col min="13586" max="13586" width="8.42578125" style="187" customWidth="1"/>
    <col min="13587" max="13587" width="9.140625" style="187"/>
    <col min="13588" max="13588" width="10.7109375" style="187" customWidth="1"/>
    <col min="13589" max="13589" width="5.28515625" style="187" customWidth="1"/>
    <col min="13590" max="13590" width="15.42578125" style="187" bestFit="1" customWidth="1"/>
    <col min="13591" max="13591" width="10.42578125" style="187" bestFit="1" customWidth="1"/>
    <col min="13592" max="13825" width="9.140625" style="187"/>
    <col min="13826" max="13826" width="8.7109375" style="187" customWidth="1"/>
    <col min="13827" max="13827" width="17" style="187" customWidth="1"/>
    <col min="13828" max="13828" width="14.42578125" style="187" customWidth="1"/>
    <col min="13829" max="13829" width="10.28515625" style="187" customWidth="1"/>
    <col min="13830" max="13840" width="8.7109375" style="187" customWidth="1"/>
    <col min="13841" max="13841" width="9.7109375" style="187" customWidth="1"/>
    <col min="13842" max="13842" width="8.42578125" style="187" customWidth="1"/>
    <col min="13843" max="13843" width="9.140625" style="187"/>
    <col min="13844" max="13844" width="10.7109375" style="187" customWidth="1"/>
    <col min="13845" max="13845" width="5.28515625" style="187" customWidth="1"/>
    <col min="13846" max="13846" width="15.42578125" style="187" bestFit="1" customWidth="1"/>
    <col min="13847" max="13847" width="10.42578125" style="187" bestFit="1" customWidth="1"/>
    <col min="13848" max="14081" width="9.140625" style="187"/>
    <col min="14082" max="14082" width="8.7109375" style="187" customWidth="1"/>
    <col min="14083" max="14083" width="17" style="187" customWidth="1"/>
    <col min="14084" max="14084" width="14.42578125" style="187" customWidth="1"/>
    <col min="14085" max="14085" width="10.28515625" style="187" customWidth="1"/>
    <col min="14086" max="14096" width="8.7109375" style="187" customWidth="1"/>
    <col min="14097" max="14097" width="9.7109375" style="187" customWidth="1"/>
    <col min="14098" max="14098" width="8.42578125" style="187" customWidth="1"/>
    <col min="14099" max="14099" width="9.140625" style="187"/>
    <col min="14100" max="14100" width="10.7109375" style="187" customWidth="1"/>
    <col min="14101" max="14101" width="5.28515625" style="187" customWidth="1"/>
    <col min="14102" max="14102" width="15.42578125" style="187" bestFit="1" customWidth="1"/>
    <col min="14103" max="14103" width="10.42578125" style="187" bestFit="1" customWidth="1"/>
    <col min="14104" max="14337" width="9.140625" style="187"/>
    <col min="14338" max="14338" width="8.7109375" style="187" customWidth="1"/>
    <col min="14339" max="14339" width="17" style="187" customWidth="1"/>
    <col min="14340" max="14340" width="14.42578125" style="187" customWidth="1"/>
    <col min="14341" max="14341" width="10.28515625" style="187" customWidth="1"/>
    <col min="14342" max="14352" width="8.7109375" style="187" customWidth="1"/>
    <col min="14353" max="14353" width="9.7109375" style="187" customWidth="1"/>
    <col min="14354" max="14354" width="8.42578125" style="187" customWidth="1"/>
    <col min="14355" max="14355" width="9.140625" style="187"/>
    <col min="14356" max="14356" width="10.7109375" style="187" customWidth="1"/>
    <col min="14357" max="14357" width="5.28515625" style="187" customWidth="1"/>
    <col min="14358" max="14358" width="15.42578125" style="187" bestFit="1" customWidth="1"/>
    <col min="14359" max="14359" width="10.42578125" style="187" bestFit="1" customWidth="1"/>
    <col min="14360" max="14593" width="9.140625" style="187"/>
    <col min="14594" max="14594" width="8.7109375" style="187" customWidth="1"/>
    <col min="14595" max="14595" width="17" style="187" customWidth="1"/>
    <col min="14596" max="14596" width="14.42578125" style="187" customWidth="1"/>
    <col min="14597" max="14597" width="10.28515625" style="187" customWidth="1"/>
    <col min="14598" max="14608" width="8.7109375" style="187" customWidth="1"/>
    <col min="14609" max="14609" width="9.7109375" style="187" customWidth="1"/>
    <col min="14610" max="14610" width="8.42578125" style="187" customWidth="1"/>
    <col min="14611" max="14611" width="9.140625" style="187"/>
    <col min="14612" max="14612" width="10.7109375" style="187" customWidth="1"/>
    <col min="14613" max="14613" width="5.28515625" style="187" customWidth="1"/>
    <col min="14614" max="14614" width="15.42578125" style="187" bestFit="1" customWidth="1"/>
    <col min="14615" max="14615" width="10.42578125" style="187" bestFit="1" customWidth="1"/>
    <col min="14616" max="14849" width="9.140625" style="187"/>
    <col min="14850" max="14850" width="8.7109375" style="187" customWidth="1"/>
    <col min="14851" max="14851" width="17" style="187" customWidth="1"/>
    <col min="14852" max="14852" width="14.42578125" style="187" customWidth="1"/>
    <col min="14853" max="14853" width="10.28515625" style="187" customWidth="1"/>
    <col min="14854" max="14864" width="8.7109375" style="187" customWidth="1"/>
    <col min="14865" max="14865" width="9.7109375" style="187" customWidth="1"/>
    <col min="14866" max="14866" width="8.42578125" style="187" customWidth="1"/>
    <col min="14867" max="14867" width="9.140625" style="187"/>
    <col min="14868" max="14868" width="10.7109375" style="187" customWidth="1"/>
    <col min="14869" max="14869" width="5.28515625" style="187" customWidth="1"/>
    <col min="14870" max="14870" width="15.42578125" style="187" bestFit="1" customWidth="1"/>
    <col min="14871" max="14871" width="10.42578125" style="187" bestFit="1" customWidth="1"/>
    <col min="14872" max="15105" width="9.140625" style="187"/>
    <col min="15106" max="15106" width="8.7109375" style="187" customWidth="1"/>
    <col min="15107" max="15107" width="17" style="187" customWidth="1"/>
    <col min="15108" max="15108" width="14.42578125" style="187" customWidth="1"/>
    <col min="15109" max="15109" width="10.28515625" style="187" customWidth="1"/>
    <col min="15110" max="15120" width="8.7109375" style="187" customWidth="1"/>
    <col min="15121" max="15121" width="9.7109375" style="187" customWidth="1"/>
    <col min="15122" max="15122" width="8.42578125" style="187" customWidth="1"/>
    <col min="15123" max="15123" width="9.140625" style="187"/>
    <col min="15124" max="15124" width="10.7109375" style="187" customWidth="1"/>
    <col min="15125" max="15125" width="5.28515625" style="187" customWidth="1"/>
    <col min="15126" max="15126" width="15.42578125" style="187" bestFit="1" customWidth="1"/>
    <col min="15127" max="15127" width="10.42578125" style="187" bestFit="1" customWidth="1"/>
    <col min="15128" max="15361" width="9.140625" style="187"/>
    <col min="15362" max="15362" width="8.7109375" style="187" customWidth="1"/>
    <col min="15363" max="15363" width="17" style="187" customWidth="1"/>
    <col min="15364" max="15364" width="14.42578125" style="187" customWidth="1"/>
    <col min="15365" max="15365" width="10.28515625" style="187" customWidth="1"/>
    <col min="15366" max="15376" width="8.7109375" style="187" customWidth="1"/>
    <col min="15377" max="15377" width="9.7109375" style="187" customWidth="1"/>
    <col min="15378" max="15378" width="8.42578125" style="187" customWidth="1"/>
    <col min="15379" max="15379" width="9.140625" style="187"/>
    <col min="15380" max="15380" width="10.7109375" style="187" customWidth="1"/>
    <col min="15381" max="15381" width="5.28515625" style="187" customWidth="1"/>
    <col min="15382" max="15382" width="15.42578125" style="187" bestFit="1" customWidth="1"/>
    <col min="15383" max="15383" width="10.42578125" style="187" bestFit="1" customWidth="1"/>
    <col min="15384" max="15617" width="9.140625" style="187"/>
    <col min="15618" max="15618" width="8.7109375" style="187" customWidth="1"/>
    <col min="15619" max="15619" width="17" style="187" customWidth="1"/>
    <col min="15620" max="15620" width="14.42578125" style="187" customWidth="1"/>
    <col min="15621" max="15621" width="10.28515625" style="187" customWidth="1"/>
    <col min="15622" max="15632" width="8.7109375" style="187" customWidth="1"/>
    <col min="15633" max="15633" width="9.7109375" style="187" customWidth="1"/>
    <col min="15634" max="15634" width="8.42578125" style="187" customWidth="1"/>
    <col min="15635" max="15635" width="9.140625" style="187"/>
    <col min="15636" max="15636" width="10.7109375" style="187" customWidth="1"/>
    <col min="15637" max="15637" width="5.28515625" style="187" customWidth="1"/>
    <col min="15638" max="15638" width="15.42578125" style="187" bestFit="1" customWidth="1"/>
    <col min="15639" max="15639" width="10.42578125" style="187" bestFit="1" customWidth="1"/>
    <col min="15640" max="15873" width="9.140625" style="187"/>
    <col min="15874" max="15874" width="8.7109375" style="187" customWidth="1"/>
    <col min="15875" max="15875" width="17" style="187" customWidth="1"/>
    <col min="15876" max="15876" width="14.42578125" style="187" customWidth="1"/>
    <col min="15877" max="15877" width="10.28515625" style="187" customWidth="1"/>
    <col min="15878" max="15888" width="8.7109375" style="187" customWidth="1"/>
    <col min="15889" max="15889" width="9.7109375" style="187" customWidth="1"/>
    <col min="15890" max="15890" width="8.42578125" style="187" customWidth="1"/>
    <col min="15891" max="15891" width="9.140625" style="187"/>
    <col min="15892" max="15892" width="10.7109375" style="187" customWidth="1"/>
    <col min="15893" max="15893" width="5.28515625" style="187" customWidth="1"/>
    <col min="15894" max="15894" width="15.42578125" style="187" bestFit="1" customWidth="1"/>
    <col min="15895" max="15895" width="10.42578125" style="187" bestFit="1" customWidth="1"/>
    <col min="15896" max="16129" width="9.140625" style="187"/>
    <col min="16130" max="16130" width="8.7109375" style="187" customWidth="1"/>
    <col min="16131" max="16131" width="17" style="187" customWidth="1"/>
    <col min="16132" max="16132" width="14.42578125" style="187" customWidth="1"/>
    <col min="16133" max="16133" width="10.28515625" style="187" customWidth="1"/>
    <col min="16134" max="16144" width="8.7109375" style="187" customWidth="1"/>
    <col min="16145" max="16145" width="9.7109375" style="187" customWidth="1"/>
    <col min="16146" max="16146" width="8.42578125" style="187" customWidth="1"/>
    <col min="16147" max="16147" width="9.140625" style="187"/>
    <col min="16148" max="16148" width="10.7109375" style="187" customWidth="1"/>
    <col min="16149" max="16149" width="5.28515625" style="187" customWidth="1"/>
    <col min="16150" max="16150" width="15.42578125" style="187" bestFit="1" customWidth="1"/>
    <col min="16151" max="16151" width="10.42578125" style="187" bestFit="1" customWidth="1"/>
    <col min="16152" max="16384" width="9.140625" style="187"/>
  </cols>
  <sheetData>
    <row r="1" spans="1:30" ht="12.75">
      <c r="A1" s="428" t="s">
        <v>0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430"/>
    </row>
    <row r="2" spans="1:30" ht="12.75">
      <c r="A2" s="431" t="s">
        <v>266</v>
      </c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3"/>
      <c r="Q2" s="188"/>
      <c r="R2" s="189"/>
      <c r="S2" s="190"/>
      <c r="T2" s="190"/>
    </row>
    <row r="3" spans="1:30" ht="12.75">
      <c r="A3" s="38"/>
      <c r="B3" s="39" t="s">
        <v>53</v>
      </c>
      <c r="C3" s="39"/>
      <c r="D3" s="40"/>
      <c r="E3" s="177" t="s">
        <v>341</v>
      </c>
      <c r="F3" s="42" t="s">
        <v>1</v>
      </c>
      <c r="G3" s="43">
        <v>6.47</v>
      </c>
      <c r="H3" s="45"/>
      <c r="I3" s="45"/>
      <c r="J3" s="46"/>
      <c r="K3" s="45"/>
      <c r="L3" s="45"/>
      <c r="M3" s="45"/>
      <c r="N3" s="45"/>
      <c r="O3" s="47"/>
      <c r="Q3" s="191" t="s">
        <v>95</v>
      </c>
      <c r="R3" s="192"/>
      <c r="S3" s="193"/>
      <c r="T3" s="194"/>
      <c r="U3" s="195"/>
      <c r="V3" s="196"/>
      <c r="W3" s="493"/>
      <c r="X3" s="493"/>
      <c r="Y3" s="493"/>
      <c r="Z3" s="196"/>
      <c r="AA3" s="196"/>
      <c r="AB3" s="196"/>
      <c r="AC3" s="196"/>
    </row>
    <row r="4" spans="1:30" ht="13.5" thickBot="1">
      <c r="A4" s="48"/>
      <c r="B4" s="49" t="s">
        <v>54</v>
      </c>
      <c r="C4" s="50"/>
      <c r="D4" s="49"/>
      <c r="E4" s="197" t="s">
        <v>257</v>
      </c>
      <c r="F4" s="49" t="s">
        <v>343</v>
      </c>
      <c r="G4" s="49"/>
      <c r="H4" s="39"/>
      <c r="I4" s="49"/>
      <c r="J4" s="49"/>
      <c r="K4" s="52" t="s">
        <v>2</v>
      </c>
      <c r="L4" s="52"/>
      <c r="M4" s="52"/>
      <c r="N4" s="52">
        <v>15</v>
      </c>
      <c r="O4" s="198" t="s">
        <v>3</v>
      </c>
      <c r="Q4" s="199"/>
      <c r="R4" s="192"/>
      <c r="S4" s="193"/>
      <c r="T4" s="194"/>
      <c r="U4" s="195"/>
      <c r="V4" s="196"/>
      <c r="W4" s="491"/>
      <c r="X4" s="200"/>
      <c r="Y4" s="196"/>
      <c r="Z4" s="491"/>
      <c r="AA4" s="200"/>
      <c r="AB4" s="196"/>
      <c r="AC4" s="196"/>
    </row>
    <row r="5" spans="1:30" ht="14.25" thickTop="1" thickBot="1">
      <c r="A5" s="48"/>
      <c r="B5" s="39" t="s">
        <v>4</v>
      </c>
      <c r="C5" s="39"/>
      <c r="D5" s="49"/>
      <c r="E5" s="197" t="s">
        <v>342</v>
      </c>
      <c r="F5" s="49"/>
      <c r="G5" s="49"/>
      <c r="H5" s="49"/>
      <c r="I5" s="49"/>
      <c r="J5" s="49"/>
      <c r="K5" s="328" t="s">
        <v>2</v>
      </c>
      <c r="L5" s="329"/>
      <c r="M5" s="329"/>
      <c r="N5" s="329">
        <v>25</v>
      </c>
      <c r="O5" s="330" t="s">
        <v>3</v>
      </c>
      <c r="Q5" s="187" t="s">
        <v>217</v>
      </c>
      <c r="R5" s="201">
        <f ca="1">'PERFIL BC08'!C17</f>
        <v>2.9048783213608274</v>
      </c>
      <c r="S5" s="202"/>
      <c r="T5" s="203"/>
      <c r="U5" s="196"/>
      <c r="V5" s="196"/>
      <c r="W5" s="491"/>
      <c r="X5" s="200"/>
      <c r="Y5" s="196"/>
      <c r="Z5" s="491"/>
      <c r="AA5" s="200"/>
      <c r="AB5" s="196"/>
      <c r="AC5" s="196"/>
    </row>
    <row r="6" spans="1:30" ht="13.5" thickTop="1">
      <c r="A6" s="48"/>
      <c r="B6" s="39" t="s">
        <v>55</v>
      </c>
      <c r="C6" s="39"/>
      <c r="D6" s="49"/>
      <c r="E6" s="43">
        <f ca="1">VLOOKUP(F10,'AUX BACIAS'!$A$2:$D$10,3,0)</f>
        <v>6.3304017846148657</v>
      </c>
      <c r="F6" s="49"/>
      <c r="G6" s="49"/>
      <c r="H6" s="49"/>
      <c r="I6" s="49"/>
      <c r="J6" s="49"/>
      <c r="K6" s="49" t="s">
        <v>2</v>
      </c>
      <c r="L6" s="49"/>
      <c r="M6" s="49"/>
      <c r="N6" s="49">
        <v>50</v>
      </c>
      <c r="O6" s="146" t="s">
        <v>3</v>
      </c>
      <c r="Q6" s="187" t="s">
        <v>218</v>
      </c>
      <c r="R6" s="201">
        <f ca="1">100*(E8/(E7*1000))</f>
        <v>8.1031006756117065</v>
      </c>
      <c r="S6" s="202"/>
      <c r="T6" s="203"/>
      <c r="U6" s="196"/>
      <c r="V6" s="196"/>
      <c r="W6" s="196"/>
      <c r="X6" s="196"/>
      <c r="Y6" s="196"/>
      <c r="Z6" s="196"/>
      <c r="AA6" s="196"/>
      <c r="AB6" s="196"/>
      <c r="AC6" s="196"/>
    </row>
    <row r="7" spans="1:30" ht="12.75">
      <c r="A7" s="48"/>
      <c r="B7" s="39" t="s">
        <v>6</v>
      </c>
      <c r="C7" s="39"/>
      <c r="D7" s="49"/>
      <c r="E7" s="43">
        <f ca="1">(VLOOKUP(F10,'AUX BACIAS'!$A$2:$D$10,4,0)/1000)</f>
        <v>4.5538123586517587</v>
      </c>
      <c r="F7" s="49"/>
      <c r="G7" s="49"/>
      <c r="H7" s="49"/>
      <c r="I7" s="49"/>
      <c r="J7" s="49"/>
      <c r="K7" s="49" t="s">
        <v>2</v>
      </c>
      <c r="L7" s="49"/>
      <c r="M7" s="49"/>
      <c r="N7" s="49">
        <v>100</v>
      </c>
      <c r="O7" s="146" t="s">
        <v>3</v>
      </c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</row>
    <row r="8" spans="1:30" ht="12.75">
      <c r="A8" s="48"/>
      <c r="B8" s="39" t="s">
        <v>7</v>
      </c>
      <c r="C8" s="39"/>
      <c r="D8" s="49"/>
      <c r="E8" s="179">
        <f>(INDEX('PERFIL BC08'!$C:$C,MATCH("C",'PERFIL BC08'!$B:$B,0))-INDEX('PERFIL BC08'!$C:$C,MATCH("E",'PERFIL BC08'!$B:$B,0)))</f>
        <v>369</v>
      </c>
      <c r="F8" s="49"/>
      <c r="G8" s="49"/>
      <c r="H8" s="49"/>
      <c r="I8" s="49"/>
      <c r="J8" s="49"/>
      <c r="K8" s="49" t="s">
        <v>56</v>
      </c>
      <c r="L8" s="49"/>
      <c r="M8" s="49"/>
      <c r="N8" s="50"/>
      <c r="O8" s="53">
        <f>H23</f>
        <v>0.2</v>
      </c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96"/>
      <c r="AC8" s="196"/>
    </row>
    <row r="9" spans="1:30" ht="12.75">
      <c r="A9" s="48"/>
      <c r="B9" s="39" t="s">
        <v>267</v>
      </c>
      <c r="C9" s="39"/>
      <c r="D9" s="49"/>
      <c r="E9" s="125">
        <f ca="1">IF(R5&gt;R6,R6,R5)</f>
        <v>2.9048783213608274</v>
      </c>
      <c r="G9" s="49"/>
      <c r="H9" s="49"/>
      <c r="I9" s="49"/>
      <c r="J9" s="49"/>
      <c r="K9" s="55" t="s">
        <v>5</v>
      </c>
      <c r="L9" s="49"/>
      <c r="M9" s="55"/>
      <c r="N9" s="56"/>
      <c r="O9" s="53">
        <f ca="1">IF(E6&lt;=0.8,0.39*(E7^2/E9)^0.385,0.59*(E7^2/E9)^0.385)</f>
        <v>1.2574670208773875</v>
      </c>
      <c r="Q9" s="204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</row>
    <row r="10" spans="1:30" ht="12.75">
      <c r="A10" s="38"/>
      <c r="B10" s="57"/>
      <c r="C10" s="57"/>
      <c r="D10" s="57"/>
      <c r="E10" s="101" t="s">
        <v>98</v>
      </c>
      <c r="F10" s="241" t="str" cm="1">
        <f t="array" aca="1" ref="F10" ca="1">MID(RIGHT(CELL("nome.arquivo",A1),LEN(CELL("nome.arquivo",A1)) - SEARCH("]",CELL("nome.arquivo",A1))),1,4)</f>
        <v>BC08</v>
      </c>
      <c r="G10" s="59"/>
      <c r="H10" s="60"/>
      <c r="I10" s="61"/>
      <c r="J10" s="45"/>
      <c r="K10" s="55" t="s">
        <v>268</v>
      </c>
      <c r="L10" s="45"/>
      <c r="M10" s="62"/>
      <c r="N10" s="63"/>
      <c r="O10" s="64">
        <f ca="1">MAX(0.5,MIN(1,4.38/(E6^0.2*E7)))</f>
        <v>0.6649863397840059</v>
      </c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</row>
    <row r="11" spans="1:30" ht="12.75">
      <c r="A11" s="38"/>
      <c r="B11" s="39" t="s">
        <v>215</v>
      </c>
      <c r="C11" s="205" t="s">
        <v>206</v>
      </c>
      <c r="D11" s="57"/>
      <c r="E11" s="101"/>
      <c r="F11" s="58"/>
      <c r="G11" s="59"/>
      <c r="H11" s="60"/>
      <c r="I11" s="61"/>
      <c r="J11" s="45"/>
      <c r="K11" s="45"/>
      <c r="L11" s="45"/>
      <c r="M11" s="45"/>
      <c r="N11" s="45"/>
      <c r="O11" s="47"/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96"/>
      <c r="AC11" s="196"/>
    </row>
    <row r="12" spans="1:30" ht="24" customHeight="1">
      <c r="A12" s="38"/>
      <c r="B12" s="45" t="s">
        <v>205</v>
      </c>
      <c r="C12" s="136" t="s">
        <v>210</v>
      </c>
      <c r="D12" s="45"/>
      <c r="E12" s="44"/>
      <c r="F12" s="44"/>
      <c r="G12" s="44"/>
      <c r="H12" s="44"/>
      <c r="I12" s="45"/>
      <c r="J12" s="427" t="s">
        <v>57</v>
      </c>
      <c r="K12" s="427"/>
      <c r="L12" s="427"/>
      <c r="M12" s="427"/>
      <c r="N12" s="427"/>
      <c r="O12" s="65"/>
      <c r="Q12" s="112" t="s">
        <v>141</v>
      </c>
      <c r="R12" s="206"/>
      <c r="S12" s="206"/>
      <c r="T12" s="206"/>
      <c r="U12" s="206"/>
      <c r="V12" s="206"/>
      <c r="W12" s="196"/>
      <c r="X12" s="196"/>
      <c r="Y12" s="196"/>
      <c r="Z12" s="196"/>
      <c r="AA12" s="196"/>
      <c r="AB12" s="196"/>
      <c r="AC12" s="196"/>
    </row>
    <row r="13" spans="1:30" ht="15" customHeight="1">
      <c r="A13" s="38"/>
      <c r="B13" s="45" t="s">
        <v>220</v>
      </c>
      <c r="C13" s="45"/>
      <c r="D13" s="45"/>
      <c r="E13" s="45"/>
      <c r="F13" s="45"/>
      <c r="G13" s="45"/>
      <c r="H13" s="45"/>
      <c r="I13" s="45"/>
      <c r="J13" s="66" t="s">
        <v>58</v>
      </c>
      <c r="K13" s="207" t="s">
        <v>59</v>
      </c>
      <c r="L13" s="494" t="s">
        <v>60</v>
      </c>
      <c r="M13" s="495"/>
      <c r="N13" s="66" t="s">
        <v>61</v>
      </c>
      <c r="O13" s="67"/>
      <c r="Q13" s="112" t="str" cm="1">
        <f t="array" aca="1" ref="Q13" ca="1">IFERROR(_xlfn.LET(
_xlpm.Q,M20,
_xlpm.Tipos,[3]Base_Bueiros!$C$2:$C$10,
_xlpm.Dims,[3]Base_Bueiros!$D$2:$D$10,
_xlpm.Vazoes,[3]Base_Bueiros!$F$2:$F$10,
_xlpm.Diam,VALUE(_xlpm.Dims),
_xlpm.MenorDiam,_xlfn.AGGREGATE(15,6,_xlpm.Diam/(_xlpm.Vazoes&gt;=_xlpm.Q),1),
_xlpm.MenorVazao,_xlfn.AGGREGATE(15,6,_xlpm.Vazoes/((_xlpm.Vazoes&gt;=_xlpm.Q)*(_xlpm.Diam=_xlpm.MenorDiam)),1),
_xlpm.Linha,MATCH(_xlpm.MenorVazao,_xlpm.Vazoes,0),
INDEX(_xlpm.Tipos,_xlpm.Linha)&amp;" d="&amp;INDEX(_xlpm.Dims,_xlpm.Linha)&amp;"m"
),"Não atende em canal 15 anos. Dimensionar para 25 anos")</f>
        <v>Não atende em canal 15 anos. Dimensionar para 25 anos</v>
      </c>
      <c r="R13" s="206"/>
      <c r="S13" s="45">
        <f ca="1">IF(Q13="Não atende em canal 15 anos. Dimensionar para 25 anos",25,15)</f>
        <v>25</v>
      </c>
      <c r="T13" s="206"/>
      <c r="U13" s="206"/>
      <c r="V13" s="206"/>
      <c r="W13" s="196"/>
      <c r="X13" s="94" t="s">
        <v>269</v>
      </c>
      <c r="Y13" s="94" t="s">
        <v>1</v>
      </c>
      <c r="Z13" s="94" t="s">
        <v>270</v>
      </c>
      <c r="AA13" s="44"/>
      <c r="AB13" s="196" t="str">
        <f>'BC01 (RAC)'!AB13</f>
        <v>ax (1-24h)</v>
      </c>
      <c r="AC13" s="425" t="s">
        <v>216</v>
      </c>
      <c r="AD13" s="425"/>
    </row>
    <row r="14" spans="1:30" ht="15.75" thickBot="1">
      <c r="A14" s="38"/>
      <c r="B14" s="45"/>
      <c r="C14" s="45"/>
      <c r="D14" s="45"/>
      <c r="E14" s="45"/>
      <c r="F14" s="45"/>
      <c r="G14" s="45"/>
      <c r="H14" s="45"/>
      <c r="I14" s="45"/>
      <c r="J14" s="208" t="s">
        <v>62</v>
      </c>
      <c r="K14" s="209">
        <f ca="1">$O$9*60</f>
        <v>75.448021252643244</v>
      </c>
      <c r="L14" s="486">
        <f ca="1">IF($O$9&lt;=1,(X14*LN((K14/60)))+Z14,(AB14*LN((K14/60)))+Z14)</f>
        <v>88.921450566129352</v>
      </c>
      <c r="M14" s="486"/>
      <c r="N14" s="210">
        <f ca="1">L14/K14</f>
        <v>1.1785789619103375</v>
      </c>
      <c r="O14" s="67"/>
      <c r="Q14" s="112" t="str" cm="1">
        <f t="array" aca="1" ref="Q14" ca="1">IFERROR(_xlfn.LET(
_xlpm.Q,M21,
_xlpm.Tipos,[3]Base_Bueiros!$C$20:$C$28,
_xlpm.Dims,[3]Base_Bueiros!$D$20:$D$28,
_xlpm.Vazoes,[3]Base_Bueiros!$F$20:$F$28,
_xlpm.Diam,VALUE(_xlpm.Dims),
_xlpm.MenorDiam,_xlfn.AGGREGATE(15,6,_xlpm.Diam/(_xlpm.Vazoes&gt;=_xlpm.Q),1),
_xlpm.MenorVazao,_xlfn.AGGREGATE(15,6,_xlpm.Vazoes/((_xlpm.Vazoes&gt;=_xlpm.Q)*(_xlpm.Diam=_xlpm.MenorDiam)),1),
_xlpm.Linha,MATCH(_xlpm.MenorVazao,_xlpm.Vazoes,0),
_xlpm.Tipo,TRIM(IFERROR(LEFT(INDEX(_xlpm.Tipos,_xlpm.Linha),FIND(" OU ",INDEX(_xlpm.Tipos,_xlpm.Linha))-1),INDEX(_xlpm.Tipos,_xlpm.Linha))),
_xlpm.Tipo&amp;" d="&amp;INDEX(_xlpm.Dims,_xlpm.Linha)&amp;"m"
),"Não atende em orifício 25 anos. Dimensionar para 50 anos")</f>
        <v>BTTC d=1,50m</v>
      </c>
      <c r="R14" s="206"/>
      <c r="S14" s="45">
        <f ca="1">IF(Q14="Não atende em orifício 25 anos. Dimensionar para 50 anos",50,25)</f>
        <v>25</v>
      </c>
      <c r="T14" s="206"/>
      <c r="U14" s="206"/>
      <c r="V14" s="206"/>
      <c r="W14" s="196"/>
      <c r="X14" s="145">
        <f>'BC01 (RAC)'!X14</f>
        <v>26.41505980258199</v>
      </c>
      <c r="Y14" s="145"/>
      <c r="Z14" s="145">
        <f>'BC01 (RAC)'!Z14</f>
        <v>83.379768522636454</v>
      </c>
      <c r="AA14" s="145"/>
      <c r="AB14" s="145">
        <f>'BC01 (RAC)'!AB14</f>
        <v>24.188985755464877</v>
      </c>
      <c r="AC14" s="487" t="str">
        <f>IF(C11="Plano","Tabelado",IF(C11="Ondulado","Tabelado",IF(C11="Montanhoso","Tabelado","Ponderado")))</f>
        <v>Tabelado</v>
      </c>
      <c r="AD14" s="487"/>
    </row>
    <row r="15" spans="1:30" ht="16.5" thickTop="1" thickBot="1">
      <c r="A15" s="38"/>
      <c r="B15" s="45"/>
      <c r="C15" s="45"/>
      <c r="D15" s="45"/>
      <c r="E15" s="45"/>
      <c r="F15" s="45"/>
      <c r="G15" s="45"/>
      <c r="H15" s="45"/>
      <c r="I15" s="45"/>
      <c r="J15" s="211" t="s">
        <v>63</v>
      </c>
      <c r="K15" s="212">
        <f ca="1">$O$9*60</f>
        <v>75.448021252643244</v>
      </c>
      <c r="L15" s="492">
        <f ca="1">IF($O$9&lt;=1,(X15*LN((K15/60)))+Z15,(AB15*LN((K15/60)))+Z15)</f>
        <v>98.012227976661919</v>
      </c>
      <c r="M15" s="492"/>
      <c r="N15" s="213">
        <f ca="1">L15/K15</f>
        <v>1.299069562718693</v>
      </c>
      <c r="O15" s="67"/>
      <c r="Q15" s="206"/>
      <c r="R15" s="214"/>
      <c r="S15" s="206"/>
      <c r="T15" s="206"/>
      <c r="U15" s="206"/>
      <c r="V15" s="206"/>
      <c r="W15" s="196"/>
      <c r="X15" s="145">
        <f>'BC01 (RAC)'!X15</f>
        <v>29.043206617627984</v>
      </c>
      <c r="Y15" s="145"/>
      <c r="Z15" s="145">
        <f>'BC01 (RAC)'!Z15</f>
        <v>91.924417541518196</v>
      </c>
      <c r="AA15" s="145"/>
      <c r="AB15" s="145">
        <f>'BC01 (RAC)'!AB15</f>
        <v>26.572791210671088</v>
      </c>
      <c r="AC15" s="488"/>
      <c r="AD15" s="488"/>
    </row>
    <row r="16" spans="1:30" ht="15.75" thickTop="1">
      <c r="A16" s="38"/>
      <c r="B16" s="45"/>
      <c r="C16" s="45"/>
      <c r="D16" s="45"/>
      <c r="E16" s="45"/>
      <c r="F16" s="45"/>
      <c r="G16" s="45"/>
      <c r="H16" s="45"/>
      <c r="I16" s="45"/>
      <c r="J16" s="215" t="s">
        <v>64</v>
      </c>
      <c r="K16" s="216">
        <f ca="1">$O$9*60</f>
        <v>75.448021252643244</v>
      </c>
      <c r="L16" s="490">
        <f ca="1">IF($O$9&lt;=1,(X16*LN((K16/60)))+Z16,(AB16*LN((K16/60)))+Z16)</f>
        <v>109.86850793113707</v>
      </c>
      <c r="M16" s="490"/>
      <c r="N16" s="217">
        <f ca="1">L16/K16</f>
        <v>1.4562145713965686</v>
      </c>
      <c r="O16" s="67"/>
      <c r="Q16" s="206"/>
      <c r="R16" s="218"/>
      <c r="S16" s="196"/>
      <c r="T16" s="196"/>
      <c r="U16" s="196"/>
      <c r="V16" s="196"/>
      <c r="W16" s="196"/>
      <c r="X16" s="145">
        <f>'BC01 (RAC)'!X16</f>
        <v>32.437160263037789</v>
      </c>
      <c r="Y16" s="145"/>
      <c r="Z16" s="145">
        <f>'BC01 (RAC)'!Z16</f>
        <v>103.0459455052778</v>
      </c>
      <c r="AA16" s="145"/>
      <c r="AB16" s="145">
        <f>'BC01 (RAC)'!AB16</f>
        <v>29.77992314240781</v>
      </c>
      <c r="AC16" s="45"/>
      <c r="AD16" s="45"/>
    </row>
    <row r="17" spans="1:29" ht="15">
      <c r="A17" s="38"/>
      <c r="B17" s="45"/>
      <c r="C17" s="45"/>
      <c r="D17" s="45"/>
      <c r="E17" s="45"/>
      <c r="F17" s="45"/>
      <c r="G17" s="45"/>
      <c r="H17" s="45"/>
      <c r="I17" s="68"/>
      <c r="J17" s="325" t="s">
        <v>65</v>
      </c>
      <c r="K17" s="326">
        <f ca="1">$O$9*60</f>
        <v>75.448021252643244</v>
      </c>
      <c r="L17" s="540">
        <f ca="1">IF($O$9&lt;=1,(X17*LN((K17/60)))+Z17,(AB17*LN((K17/60)))+Z17)</f>
        <v>121.41701556026825</v>
      </c>
      <c r="M17" s="540"/>
      <c r="N17" s="327">
        <f ca="1">L17/K17</f>
        <v>1.6092803170237489</v>
      </c>
      <c r="O17" s="67"/>
      <c r="Q17" s="206"/>
      <c r="R17" s="218"/>
      <c r="S17" s="196"/>
      <c r="T17" s="196"/>
      <c r="U17" s="196"/>
      <c r="V17" s="196"/>
      <c r="W17" s="196"/>
      <c r="X17" s="145">
        <f>'BC01 (RAC)'!X17</f>
        <v>37.177212539092373</v>
      </c>
      <c r="Y17" s="145"/>
      <c r="Z17" s="145">
        <f>'BC01 (RAC)'!Z17</f>
        <v>113.85574007527696</v>
      </c>
      <c r="AA17" s="145"/>
      <c r="AB17" s="145">
        <f>'BC01 (RAC)'!AB17</f>
        <v>33.004344811583479</v>
      </c>
      <c r="AC17" s="196"/>
    </row>
    <row r="18" spans="1:29" ht="15">
      <c r="A18" s="38"/>
      <c r="B18" s="475" t="s">
        <v>66</v>
      </c>
      <c r="C18" s="476"/>
      <c r="D18" s="476"/>
      <c r="E18" s="476"/>
      <c r="F18" s="476"/>
      <c r="G18" s="476"/>
      <c r="H18" s="477"/>
      <c r="I18" s="45"/>
      <c r="J18" s="45"/>
      <c r="K18" s="45"/>
      <c r="L18" s="45"/>
      <c r="M18" s="45"/>
      <c r="N18" s="45"/>
      <c r="O18" s="47"/>
      <c r="Q18" s="206"/>
      <c r="R18" s="218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</row>
    <row r="19" spans="1:29" ht="15">
      <c r="A19" s="38"/>
      <c r="B19" s="478"/>
      <c r="C19" s="479"/>
      <c r="D19" s="69" t="s">
        <v>67</v>
      </c>
      <c r="E19" s="69" t="s">
        <v>68</v>
      </c>
      <c r="F19" s="69" t="s">
        <v>44</v>
      </c>
      <c r="G19" s="69" t="s">
        <v>51</v>
      </c>
      <c r="H19" s="69"/>
      <c r="I19" s="45"/>
      <c r="J19" s="440" t="s">
        <v>9</v>
      </c>
      <c r="K19" s="442" t="s">
        <v>10</v>
      </c>
      <c r="L19" s="442"/>
      <c r="M19" s="442" t="s">
        <v>11</v>
      </c>
      <c r="N19" s="442"/>
      <c r="O19" s="47"/>
      <c r="Q19" s="206"/>
      <c r="R19" s="206"/>
      <c r="S19" s="196"/>
      <c r="T19" s="196"/>
      <c r="U19" s="196"/>
      <c r="V19" s="196"/>
      <c r="W19" s="196"/>
      <c r="X19" s="196"/>
      <c r="Y19" s="196"/>
      <c r="Z19" s="196"/>
      <c r="AA19" s="196"/>
      <c r="AB19" s="196"/>
      <c r="AC19" s="196"/>
    </row>
    <row r="20" spans="1:29" ht="15.75" thickBot="1">
      <c r="A20" s="38"/>
      <c r="B20" s="446" t="s">
        <v>69</v>
      </c>
      <c r="C20" s="446"/>
      <c r="D20" s="71">
        <f ca="1">E20*10^6</f>
        <v>6330401.7846148657</v>
      </c>
      <c r="E20" s="70">
        <f ca="1">E6</f>
        <v>6.3304017846148657</v>
      </c>
      <c r="F20" s="70" t="s">
        <v>25</v>
      </c>
      <c r="G20" s="70" t="s">
        <v>25</v>
      </c>
      <c r="H20" s="70" t="s">
        <v>25</v>
      </c>
      <c r="I20" s="45"/>
      <c r="J20" s="441"/>
      <c r="K20" s="483" t="s">
        <v>12</v>
      </c>
      <c r="L20" s="483"/>
      <c r="M20" s="404">
        <f ca="1">0.278*$O$8*(N14*60)*$E$6*$O$10</f>
        <v>16.551171001546638</v>
      </c>
      <c r="N20" s="405" t="s">
        <v>13</v>
      </c>
      <c r="O20" s="47"/>
      <c r="Q20" s="206"/>
      <c r="R20" s="206"/>
      <c r="S20" s="196"/>
      <c r="T20" s="196"/>
      <c r="U20" s="196"/>
      <c r="V20" s="196"/>
      <c r="W20" s="196"/>
      <c r="X20" s="196"/>
      <c r="Y20" s="196"/>
      <c r="Z20" s="196"/>
      <c r="AA20" s="196"/>
      <c r="AB20" s="196"/>
      <c r="AC20" s="196"/>
    </row>
    <row r="21" spans="1:29" ht="17.25" customHeight="1" thickTop="1" thickBot="1">
      <c r="A21" s="38"/>
      <c r="B21" s="446" t="s">
        <v>70</v>
      </c>
      <c r="C21" s="446"/>
      <c r="D21" s="220">
        <f ca="1">$D$20*G21</f>
        <v>4995953.0884180516</v>
      </c>
      <c r="E21" s="221">
        <f ca="1">D21/10^6</f>
        <v>4.9959530884180516</v>
      </c>
      <c r="F21" s="221" cm="1">
        <f t="array" ref="F21">_xlfn.LET(
_xlpm.superficie,B21,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_xlpm.col,MATCH(_xlpm.terreno,C_CN_IP03!$D$2:$I$2,0),
INDEX(C_CN_IP03!$D$4:$I$19,_xlpm.lin,_xlpm.col)
),
IF(
_xlpm.metodo="Ponderado",
IF(
_xlpm.terreno="Levemente ondulado",
AVERAGE(
INDEX(C_CN_IP03!$D$4:$I$19,_xlpm.lin,1),
INDEX(C_CN_IP03!$D$4:$I$19,_xlpm.lin,3)
),
IF(
_xlpm.terreno="Muito ondulado",
AVERAGE(
INDEX(C_CN_IP03!$D$4:$I$19,_xlpm.lin,3),
INDEX(C_CN_IP03!$D$4:$I$19,_xlpm.lin,5)
),
"Condição de terreno não reconhecida"
)
),
"Método não reconhecido"
)
)
)</f>
        <v>0.2</v>
      </c>
      <c r="G21" s="233">
        <v>0.78920000000000001</v>
      </c>
      <c r="H21" s="221">
        <f>(G21*(F21))</f>
        <v>0.15784000000000001</v>
      </c>
      <c r="I21" s="45"/>
      <c r="J21" s="441"/>
      <c r="K21" s="480" t="s">
        <v>14</v>
      </c>
      <c r="L21" s="481"/>
      <c r="M21" s="212">
        <f ca="1">0.278*$O$8*(N15*60)*$E$6*$O$10</f>
        <v>18.243260036315871</v>
      </c>
      <c r="N21" s="408" t="s">
        <v>13</v>
      </c>
      <c r="O21" s="47"/>
      <c r="Q21" s="219"/>
      <c r="R21" s="219"/>
    </row>
    <row r="22" spans="1:29" ht="17.25" customHeight="1" thickTop="1">
      <c r="A22" s="38"/>
      <c r="B22" s="446" t="s">
        <v>71</v>
      </c>
      <c r="C22" s="446"/>
      <c r="D22" s="220">
        <f ca="1">$D$20*G22</f>
        <v>569736.1606153379</v>
      </c>
      <c r="E22" s="221">
        <f ca="1">D22*(10^-6)</f>
        <v>0.56973616061533783</v>
      </c>
      <c r="F22" s="221" cm="1">
        <f t="array" ref="F22">_xlfn.LET(
_xlpm.superficie,B22,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_xlpm.col,MATCH(_xlpm.terreno,C_CN_IP03!$D$2:$I$2,0),
INDEX(C_CN_IP03!$D$4:$I$19,_xlpm.lin,_xlpm.col)
),
IF(
_xlpm.metodo="Ponderado",
IF(
_xlpm.terreno="Levemente ondulado",
AVERAGE(
INDEX(C_CN_IP03!$D$4:$I$19,_xlpm.lin,1),
INDEX(C_CN_IP03!$D$4:$I$19,_xlpm.lin,3)
),
IF(
_xlpm.terreno="Muito ondulado",
AVERAGE(
INDEX(C_CN_IP03!$D$4:$I$19,_xlpm.lin,3),
INDEX(C_CN_IP03!$D$4:$I$19,_xlpm.lin,5)
),
"Condição de terreno não reconhecida"
)
),
"Método não reconhecido"
)
)
)</f>
        <v>0.25</v>
      </c>
      <c r="G22" s="233">
        <v>0.09</v>
      </c>
      <c r="H22" s="221">
        <f>(G22*(F22))</f>
        <v>2.2499999999999999E-2</v>
      </c>
      <c r="I22" s="72"/>
      <c r="J22" s="441"/>
      <c r="K22" s="541" t="s">
        <v>75</v>
      </c>
      <c r="L22" s="541"/>
      <c r="M22" s="406">
        <f ca="1">0.278*$O$8*(N16*60)*$E$6*$O$10</f>
        <v>20.450098945480892</v>
      </c>
      <c r="N22" s="407" t="s">
        <v>13</v>
      </c>
      <c r="O22" s="47"/>
      <c r="Q22" s="219"/>
      <c r="R22" s="219"/>
    </row>
    <row r="23" spans="1:29" s="225" customFormat="1" ht="17.25" customHeight="1">
      <c r="A23" s="222"/>
      <c r="B23" s="457" t="s">
        <v>72</v>
      </c>
      <c r="C23" s="457"/>
      <c r="D23" s="457"/>
      <c r="E23" s="457"/>
      <c r="F23" s="457"/>
      <c r="G23" s="457"/>
      <c r="H23" s="73">
        <f>_xlfn.CEILING.MATH(SUM(H21:H22),0.05)</f>
        <v>0.2</v>
      </c>
      <c r="I23" s="223"/>
      <c r="J23" s="440"/>
      <c r="K23" s="542" t="s">
        <v>15</v>
      </c>
      <c r="L23" s="542"/>
      <c r="M23" s="402">
        <f ca="1">0.278*$O$8*(N17*60)*$E$6*$O$10</f>
        <v>22.59965142539987</v>
      </c>
      <c r="N23" s="403" t="s">
        <v>13</v>
      </c>
      <c r="O23" s="224"/>
      <c r="Q23" s="226"/>
      <c r="R23" s="226"/>
      <c r="S23" s="226"/>
      <c r="T23" s="226"/>
      <c r="U23" s="226"/>
      <c r="V23" s="226"/>
    </row>
    <row r="24" spans="1:29" ht="15">
      <c r="A24" s="38"/>
      <c r="B24" s="74" t="s">
        <v>73</v>
      </c>
      <c r="I24" s="72"/>
      <c r="J24" s="45"/>
      <c r="K24" s="45"/>
      <c r="L24" s="45"/>
      <c r="M24" s="45"/>
      <c r="N24" s="45"/>
      <c r="O24" s="47"/>
      <c r="Q24" s="219"/>
      <c r="R24" s="219"/>
      <c r="S24" s="219"/>
      <c r="T24" s="219"/>
      <c r="U24" s="219"/>
      <c r="V24" s="219"/>
    </row>
    <row r="25" spans="1:29" ht="15">
      <c r="A25" s="38"/>
      <c r="C25" s="75"/>
      <c r="D25" s="75"/>
      <c r="E25" s="75"/>
      <c r="F25" s="75"/>
      <c r="G25" s="75"/>
      <c r="H25" s="75"/>
      <c r="I25" s="72"/>
      <c r="J25" s="459" t="s">
        <v>74</v>
      </c>
      <c r="K25" s="442"/>
      <c r="L25" s="442"/>
      <c r="M25" s="442"/>
      <c r="N25" s="442"/>
      <c r="O25" s="47"/>
      <c r="Q25" s="219"/>
      <c r="R25" s="219"/>
      <c r="S25" s="219"/>
      <c r="T25" s="219"/>
      <c r="U25" s="219"/>
      <c r="V25" s="219"/>
    </row>
    <row r="26" spans="1:29" ht="15">
      <c r="A26" s="38"/>
      <c r="B26" s="45"/>
      <c r="C26" s="45"/>
      <c r="D26" s="45"/>
      <c r="E26" s="45"/>
      <c r="F26" s="45"/>
      <c r="G26" s="45"/>
      <c r="H26" s="45"/>
      <c r="I26" s="76"/>
      <c r="J26" s="461" t="str" cm="1">
        <f t="array" aca="1" ref="J26" ca="1">IFERROR(_xlfn.LET(
_xlpm.Func,"Orif",
_xlpm.Funcs,Base_Bueiros!$A$2:$A$37,
_xlpm.Tipos,Base_Bueiros!$C$2:$C$37,
_xlpm.Dims,Base_Bueiros!$D$2:$D$37,
_xlpm.Vazoes,Base_Bueiros!$F$2:$F$37,
_xlpm.DimNum,IFERROR(VALUE(TRIM(LEFT(_xlpm.Dims,FIND("x",_xlpm.Dims)-1))),VALUE(_xlpm.Dims)),
_xlpm.Linhas,IF(MID(_xlpm.Tipos,2,1)="T",3,IF(MID(_xlpm.Tipos,2,1)="D",2,1)),
_xlpm.EhTubular,MID(_xlpm.Tipos,3,1)="T",
_xlpm.QNec,IF(ISNUMBER(FIND("Orif",_xlpm.Func)),IF(_xlpm.EhTubular,M21,M22),IF(_xlpm.EhTubular,M20,M21)),
_xlpm.FiltroBase,(ISNUMBER(FIND(_xlpm.Func,_xlpm.Funcs)))*(_xlpm.Vazoes&gt;=_xlpm.QNec),
_xlpm.TemTubular,SUM(_xlpm.FiltroBase*_xlpm.EhTubular)&gt;0,
_xlpm.Filtro,_xlpm.FiltroBase*IF(_xlpm.TemTubular,_xlpm.EhTubular,NOT(_xlpm.EhTubular)),
_xlpm.Prior1,IF(_xlpm.EhTubular,_xlpm.DimNum,_xlpm.Linhas),
_xlpm.Prior2,IF(_xlpm.EhTubular,_xlpm.Linhas,_xlpm.DimNum),
_xlpm.MenorPrior1,_xlfn.AGGREGATE(15,6,_xlpm.Prior1/_xlpm.Filtro,1),
_xlpm.MenorPrior2,_xlfn.AGGREGATE(15,6,_xlpm.Prior2/(_xlpm.Filtro*(_xlpm.Prior1=_xlpm.MenorPrior1)),1),
_xlpm.MenorVazao,_xlfn.AGGREGATE(15,6,_xlpm.Vazoes/(_xlpm.Filtro*(_xlpm.Prior1=_xlpm.MenorPrior1)*(_xlpm.Prior2=_xlpm.MenorPrior2)),1),
_xlpm.Linha,MATCH(1,(_xlpm.Vazoes=_xlpm.MenorVazao)*(_xlpm.Filtro&gt;0),0),
_xlpm.Tipo,INDEX(_xlpm.Tipos,_xlpm.Linha),
_xlpm.Dim,INDEX(_xlpm.Dims,_xlpm.Linha),
_xlpm.EhTubularEscolhido,MID(_xlpm.Tipo,3,1)="T",
_xlpm.Tipo&amp;" "&amp;IF(_xlpm.EhTubularEscolhido,_xlpm.Dim&amp;"m",SUBSTITUTE(_xlpm.Dim,"0,00","")&amp;"m")
),"Ponte")</f>
        <v>BTTC d= 1,50m</v>
      </c>
      <c r="K26" s="461"/>
      <c r="L26" s="461"/>
      <c r="M26" s="461"/>
      <c r="N26" s="461"/>
      <c r="O26" s="47"/>
      <c r="Q26" s="219"/>
      <c r="R26" s="219"/>
      <c r="S26" s="219"/>
      <c r="T26" s="219"/>
      <c r="U26" s="219"/>
      <c r="V26" s="219"/>
    </row>
    <row r="27" spans="1:29" ht="15">
      <c r="A27" s="38"/>
      <c r="B27" s="45"/>
      <c r="C27" s="45"/>
      <c r="D27" s="45"/>
      <c r="E27" s="45"/>
      <c r="F27" s="45"/>
      <c r="G27" s="45"/>
      <c r="H27" s="45"/>
      <c r="I27" s="76"/>
      <c r="J27" s="45" t="s">
        <v>86</v>
      </c>
      <c r="K27" s="77"/>
      <c r="L27" s="77"/>
      <c r="M27" s="77"/>
      <c r="N27" s="77"/>
      <c r="O27" s="47"/>
      <c r="Q27" s="219"/>
      <c r="R27" s="219"/>
      <c r="S27" s="219"/>
      <c r="T27" s="219"/>
      <c r="U27" s="219"/>
      <c r="V27" s="219"/>
    </row>
    <row r="28" spans="1:29" ht="15" customHeight="1">
      <c r="A28" s="38"/>
      <c r="B28"/>
      <c r="C28"/>
      <c r="D28"/>
      <c r="E28"/>
      <c r="F28"/>
      <c r="G28"/>
      <c r="H28"/>
      <c r="I28" s="76"/>
      <c r="J28" s="45" t="s">
        <v>87</v>
      </c>
      <c r="K28" s="77"/>
      <c r="L28" s="77"/>
      <c r="M28" s="77"/>
      <c r="N28" s="77"/>
      <c r="O28" s="47"/>
      <c r="Q28" s="219"/>
      <c r="R28" s="219"/>
      <c r="S28" s="219"/>
      <c r="T28" s="219"/>
      <c r="U28" s="219"/>
      <c r="V28" s="219"/>
    </row>
    <row r="29" spans="1:29" ht="15">
      <c r="A29" s="38"/>
      <c r="B29"/>
      <c r="C29"/>
      <c r="D29"/>
      <c r="E29"/>
      <c r="F29"/>
      <c r="G29"/>
      <c r="H29"/>
      <c r="I29" s="76"/>
      <c r="J29" s="45"/>
      <c r="K29" s="77"/>
      <c r="L29" s="77"/>
      <c r="M29" s="77"/>
      <c r="N29" s="77"/>
      <c r="O29" s="47"/>
      <c r="Q29" s="219"/>
      <c r="R29" s="219"/>
      <c r="S29" s="219"/>
      <c r="T29" s="219"/>
      <c r="U29" s="219"/>
      <c r="V29" s="219"/>
    </row>
    <row r="30" spans="1:29" ht="15">
      <c r="A30" s="38"/>
      <c r="B30"/>
      <c r="C30"/>
      <c r="D30"/>
      <c r="E30"/>
      <c r="F30"/>
      <c r="G30"/>
      <c r="H30"/>
      <c r="I30" s="76"/>
      <c r="J30" s="459" t="s">
        <v>74</v>
      </c>
      <c r="K30" s="459"/>
      <c r="L30" s="459"/>
      <c r="M30" s="459"/>
      <c r="N30" s="459"/>
      <c r="O30" s="47"/>
      <c r="Q30" s="219"/>
      <c r="R30" s="219"/>
      <c r="S30" s="219"/>
      <c r="T30" s="219"/>
      <c r="U30" s="219"/>
      <c r="V30" s="219"/>
    </row>
    <row r="31" spans="1:29" ht="15">
      <c r="A31" s="38"/>
      <c r="B31" s="45"/>
      <c r="C31" s="45"/>
      <c r="D31" s="45"/>
      <c r="E31" s="45"/>
      <c r="F31" s="45"/>
      <c r="G31" s="45"/>
      <c r="H31" s="45"/>
      <c r="I31" s="76"/>
      <c r="J31" s="462" t="str" cm="1">
        <f t="array" aca="1" ref="J31" ca="1">IFERROR(_xlfn.LET(
_xlpm.Func,"Canal",
_xlpm.Funcs,Base_Bueiros!$A$2:$A$37,
_xlpm.Tipos,Base_Bueiros!$C$2:$C$37,
_xlpm.Dims,Base_Bueiros!$D$2:$D$37,
_xlpm.Vazoes,Base_Bueiros!$F$2:$F$37,
_xlpm.DimNum,IFERROR(VALUE(TRIM(LEFT(_xlpm.Dims,FIND("x",_xlpm.Dims)-1))),VALUE(_xlpm.Dims)),
_xlpm.Linhas,IF(MID(_xlpm.Tipos,2,1)="T",3,IF(MID(_xlpm.Tipos,2,1)="D",2,1)),
_xlpm.EhTubular,MID(_xlpm.Tipos,3,1)="T",
_xlpm.QNec,IF(ISNUMBER(FIND("Orif",_xlpm.Func)),IF(_xlpm.EhTubular,M21,M22),IF(_xlpm.EhTubular,M20,M21)),
_xlpm.FiltroBase,(ISNUMBER(FIND(_xlpm.Func,_xlpm.Funcs)))*(_xlpm.Vazoes&gt;=_xlpm.QNec),
_xlpm.TemTubular,SUM(_xlpm.FiltroBase*_xlpm.EhTubular)&gt;0,
_xlpm.Filtro,_xlpm.FiltroBase*IF(_xlpm.TemTubular,_xlpm.EhTubular,NOT(_xlpm.EhTubular)),
_xlpm.Prior1,IF(_xlpm.EhTubular,_xlpm.DimNum,_xlpm.Linhas),
_xlpm.Prior2,IF(_xlpm.EhTubular,_xlpm.Linhas,_xlpm.DimNum),
_xlpm.MenorPrior1,_xlfn.AGGREGATE(15,6,_xlpm.Prior1/_xlpm.Filtro,1),
_xlpm.MenorPrior2,_xlfn.AGGREGATE(15,6,_xlpm.Prior2/(_xlpm.Filtro*(_xlpm.Prior1=_xlpm.MenorPrior1)),1),
_xlpm.MenorVazao,_xlfn.AGGREGATE(15,6,_xlpm.Vazoes/(_xlpm.Filtro*(_xlpm.Prior1=_xlpm.MenorPrior1)*(_xlpm.Prior2=_xlpm.MenorPrior2)),1),
_xlpm.Linha,MATCH(1,(_xlpm.Vazoes=_xlpm.MenorVazao)*(_xlpm.Filtro&gt;0),0),
_xlpm.Tipo,INDEX(_xlpm.Tipos,_xlpm.Linha),
_xlpm.Dim,INDEX(_xlpm.Dims,_xlpm.Linha),
_xlpm.EhTubularEscolhido,MID(_xlpm.Tipo,3,1)="T",
_xlpm.Tipo&amp;" "&amp;IF(_xlpm.EhTubularEscolhido,_xlpm.Dim&amp;"m",SUBSTITUTE(_xlpm.Dim,"0,00","")&amp;"m")
),"Ponte")</f>
        <v>BSCC 3,00 x 3,00m</v>
      </c>
      <c r="K31" s="462"/>
      <c r="L31" s="462"/>
      <c r="M31" s="462"/>
      <c r="N31" s="462"/>
      <c r="O31" s="47"/>
      <c r="Q31" s="219"/>
      <c r="R31" s="219"/>
      <c r="S31" s="219"/>
      <c r="T31" s="219"/>
      <c r="U31" s="219"/>
      <c r="V31" s="219"/>
    </row>
    <row r="32" spans="1:29" ht="15">
      <c r="A32" s="38"/>
      <c r="B32" s="45"/>
      <c r="C32" s="45"/>
      <c r="D32" s="45"/>
      <c r="E32" s="45"/>
      <c r="F32" s="45"/>
      <c r="G32" s="45"/>
      <c r="H32" s="45"/>
      <c r="I32" s="76"/>
      <c r="J32" s="45" t="s">
        <v>88</v>
      </c>
      <c r="K32" s="77"/>
      <c r="L32" s="77"/>
      <c r="M32" s="77"/>
      <c r="N32" s="77"/>
      <c r="O32" s="47"/>
      <c r="Q32" s="219"/>
      <c r="R32" s="219"/>
      <c r="S32" s="219"/>
      <c r="T32" s="219"/>
      <c r="U32" s="219"/>
      <c r="V32" s="219"/>
    </row>
    <row r="33" spans="1:22" ht="15">
      <c r="A33" s="38"/>
      <c r="B33" s="45"/>
      <c r="C33" s="45"/>
      <c r="D33" s="45"/>
      <c r="E33" s="45"/>
      <c r="F33" s="45"/>
      <c r="G33" s="45"/>
      <c r="H33" s="45"/>
      <c r="I33" s="76"/>
      <c r="J33" s="77"/>
      <c r="K33" s="77"/>
      <c r="L33" s="77"/>
      <c r="M33" s="77"/>
      <c r="N33" s="77"/>
      <c r="O33" s="47"/>
      <c r="Q33" s="219"/>
      <c r="R33" s="219"/>
      <c r="S33" s="219"/>
      <c r="T33" s="219"/>
      <c r="U33" s="219"/>
      <c r="V33" s="219"/>
    </row>
    <row r="34" spans="1:22" ht="15">
      <c r="A34" s="38"/>
      <c r="B34" s="45"/>
      <c r="C34" s="45"/>
      <c r="D34" s="45"/>
      <c r="E34" s="45"/>
      <c r="F34" s="45"/>
      <c r="G34" s="45"/>
      <c r="H34" s="45"/>
      <c r="I34" s="76"/>
      <c r="J34" s="459" t="s">
        <v>408</v>
      </c>
      <c r="K34" s="459"/>
      <c r="L34" s="459"/>
      <c r="M34" s="459"/>
      <c r="N34" s="459"/>
      <c r="O34" s="47"/>
      <c r="Q34" s="219"/>
      <c r="R34" s="219"/>
      <c r="S34" s="219"/>
      <c r="T34" s="219"/>
      <c r="U34" s="219"/>
      <c r="V34" s="219"/>
    </row>
    <row r="35" spans="1:22" ht="15">
      <c r="A35" s="38"/>
      <c r="B35" s="45"/>
      <c r="C35" s="45"/>
      <c r="D35" s="45"/>
      <c r="E35" s="45"/>
      <c r="F35" s="45"/>
      <c r="G35" s="45"/>
      <c r="H35" s="45"/>
      <c r="I35" s="76"/>
      <c r="J35" s="452" t="str">
        <f>'Apresentação  - Est. Hid.'!AK26</f>
        <v xml:space="preserve">Ponte existente 19,40x3,80m </v>
      </c>
      <c r="K35" s="453"/>
      <c r="L35" s="453"/>
      <c r="M35" s="453"/>
      <c r="N35" s="453"/>
      <c r="O35" s="47"/>
      <c r="Q35" s="219"/>
      <c r="R35" s="219"/>
      <c r="S35" s="219"/>
      <c r="T35" s="219"/>
      <c r="U35" s="219"/>
      <c r="V35" s="219"/>
    </row>
    <row r="36" spans="1:22" ht="15">
      <c r="A36" s="38"/>
      <c r="B36" s="45"/>
      <c r="C36" s="45"/>
      <c r="D36" s="45"/>
      <c r="E36" s="45"/>
      <c r="F36" s="45"/>
      <c r="G36" s="45"/>
      <c r="H36" s="45"/>
      <c r="I36" s="76"/>
      <c r="J36"/>
      <c r="K36"/>
      <c r="L36"/>
      <c r="M36"/>
      <c r="N36"/>
      <c r="O36" s="47"/>
      <c r="Q36" s="219"/>
      <c r="R36" s="219"/>
      <c r="S36" s="219"/>
      <c r="T36" s="219"/>
      <c r="U36" s="219"/>
      <c r="V36" s="219"/>
    </row>
    <row r="37" spans="1:22" ht="15.75" thickBot="1">
      <c r="A37" s="79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1"/>
      <c r="Q37" s="219"/>
      <c r="R37" s="219"/>
      <c r="S37" s="219"/>
      <c r="T37" s="219"/>
      <c r="U37" s="219"/>
      <c r="V37" s="219"/>
    </row>
    <row r="38" spans="1:22" ht="15">
      <c r="Q38" s="219"/>
      <c r="R38" s="219"/>
      <c r="S38" s="219"/>
      <c r="T38" s="219"/>
      <c r="U38" s="219"/>
      <c r="V38" s="219"/>
    </row>
    <row r="40" spans="1:22">
      <c r="C40" s="196"/>
      <c r="D40" s="196"/>
      <c r="E40" s="196"/>
      <c r="F40" s="196"/>
      <c r="G40" s="196"/>
    </row>
    <row r="41" spans="1:22">
      <c r="C41" s="472"/>
      <c r="D41" s="472"/>
      <c r="E41" s="472"/>
      <c r="F41" s="473"/>
      <c r="G41" s="474"/>
      <c r="K41" s="227"/>
    </row>
    <row r="42" spans="1:22">
      <c r="C42" s="228"/>
      <c r="D42" s="229"/>
      <c r="E42" s="230"/>
      <c r="F42" s="229"/>
      <c r="G42" s="231"/>
    </row>
    <row r="43" spans="1:22">
      <c r="C43" s="228"/>
      <c r="D43" s="229"/>
      <c r="E43" s="230"/>
      <c r="F43" s="229"/>
      <c r="G43" s="231"/>
    </row>
    <row r="44" spans="1:22">
      <c r="C44" s="228"/>
      <c r="D44" s="229"/>
      <c r="E44" s="230"/>
      <c r="F44" s="229"/>
      <c r="G44" s="231"/>
    </row>
    <row r="45" spans="1:22">
      <c r="C45" s="228"/>
      <c r="D45" s="229"/>
      <c r="E45" s="230"/>
      <c r="F45" s="229"/>
      <c r="G45" s="231"/>
    </row>
    <row r="46" spans="1:22">
      <c r="C46" s="196"/>
      <c r="D46" s="196"/>
      <c r="E46" s="196"/>
      <c r="F46" s="196"/>
      <c r="G46" s="196"/>
    </row>
    <row r="47" spans="1:22">
      <c r="C47" s="196"/>
      <c r="D47" s="196"/>
      <c r="E47" s="196"/>
      <c r="F47" s="196"/>
      <c r="G47" s="196"/>
    </row>
    <row r="48" spans="1:22">
      <c r="C48" s="196"/>
      <c r="D48" s="196"/>
      <c r="E48" s="196"/>
      <c r="F48" s="196"/>
      <c r="G48" s="196"/>
    </row>
  </sheetData>
  <mergeCells count="34">
    <mergeCell ref="J30:N30"/>
    <mergeCell ref="J31:N31"/>
    <mergeCell ref="C41:E41"/>
    <mergeCell ref="F41:G41"/>
    <mergeCell ref="B22:C22"/>
    <mergeCell ref="K22:L22"/>
    <mergeCell ref="B23:G23"/>
    <mergeCell ref="K23:L23"/>
    <mergeCell ref="J25:N25"/>
    <mergeCell ref="J26:N26"/>
    <mergeCell ref="J34:N34"/>
    <mergeCell ref="J35:N35"/>
    <mergeCell ref="B18:H18"/>
    <mergeCell ref="B19:C19"/>
    <mergeCell ref="J19:J23"/>
    <mergeCell ref="K19:L19"/>
    <mergeCell ref="M19:N19"/>
    <mergeCell ref="B20:C20"/>
    <mergeCell ref="K20:L20"/>
    <mergeCell ref="B21:C21"/>
    <mergeCell ref="K21:L21"/>
    <mergeCell ref="AC13:AD13"/>
    <mergeCell ref="L14:M14"/>
    <mergeCell ref="AC14:AD15"/>
    <mergeCell ref="L15:M15"/>
    <mergeCell ref="L17:M17"/>
    <mergeCell ref="Z4:Z5"/>
    <mergeCell ref="J12:N12"/>
    <mergeCell ref="L16:M16"/>
    <mergeCell ref="A1:O1"/>
    <mergeCell ref="A2:O2"/>
    <mergeCell ref="W3:Y3"/>
    <mergeCell ref="W4:W5"/>
    <mergeCell ref="L13:M13"/>
  </mergeCells>
  <conditionalFormatting sqref="K4:O4">
    <cfRule type="expression" dxfId="68" priority="1">
      <formula>AND($M$22&lt;=79.73,OR($S$13=15,$S$13=25),$N$4=$S$13)</formula>
    </cfRule>
  </conditionalFormatting>
  <conditionalFormatting sqref="K5:O5">
    <cfRule type="expression" dxfId="67" priority="2">
      <formula>AND($M$22&lt;=79.73,OR($S$13=15,$S$13=25),$N$5=$S$13)</formula>
    </cfRule>
    <cfRule type="expression" dxfId="66" priority="3">
      <formula>AND($M$22&lt;=79.73,OR($S$14=25,$S$14=50),$N$5=$S$14)</formula>
    </cfRule>
  </conditionalFormatting>
  <conditionalFormatting sqref="K6:O6">
    <cfRule type="expression" dxfId="65" priority="4">
      <formula>AND($M$22&lt;=79.73,OR($S$14=25,$S$14=50),$N$6=$S$14)</formula>
    </cfRule>
  </conditionalFormatting>
  <conditionalFormatting sqref="K7:O7">
    <cfRule type="expression" dxfId="64" priority="5">
      <formula>AND($M$22&gt;79.73,$N$7=100)</formula>
    </cfRule>
  </conditionalFormatting>
  <conditionalFormatting sqref="J14:N14">
    <cfRule type="expression" dxfId="63" priority="6">
      <formula>AND($M$22&lt;=79.73,OR($S$13=15,$S$13=25),$S$13=15)</formula>
    </cfRule>
  </conditionalFormatting>
  <conditionalFormatting sqref="J15:N15">
    <cfRule type="expression" dxfId="62" priority="7">
      <formula>AND($M$22&lt;=79.73,OR($S$13=15,$S$13=25),$S$13=25)</formula>
    </cfRule>
    <cfRule type="expression" dxfId="61" priority="8">
      <formula>AND($M$22&lt;=79.73,OR($S$14=25,$S$14=50),$S$14=25)</formula>
    </cfRule>
  </conditionalFormatting>
  <conditionalFormatting sqref="J16:N16">
    <cfRule type="expression" dxfId="60" priority="9">
      <formula>AND($M$22&lt;=79.73,OR($S$14=25,$S$14=50),$S$14=50)</formula>
    </cfRule>
  </conditionalFormatting>
  <conditionalFormatting sqref="J17:N17">
    <cfRule type="expression" dxfId="59" priority="10">
      <formula>$M$22&gt;79.73</formula>
    </cfRule>
  </conditionalFormatting>
  <conditionalFormatting sqref="K20:N20">
    <cfRule type="expression" dxfId="58" priority="11">
      <formula>AND($M$22&lt;=79.73,OR($S$13=15,$S$13=25),$S$13=15)</formula>
    </cfRule>
  </conditionalFormatting>
  <conditionalFormatting sqref="K21:N21">
    <cfRule type="expression" dxfId="57" priority="12">
      <formula>AND($M$22&lt;=79.73,OR($S$13=15,$S$13=25),$S$13=25)</formula>
    </cfRule>
    <cfRule type="expression" dxfId="56" priority="13">
      <formula>AND($M$22&lt;=79.73,OR($S$14=25,$S$14=50),$S$14=25)</formula>
    </cfRule>
  </conditionalFormatting>
  <conditionalFormatting sqref="K22:N22">
    <cfRule type="expression" dxfId="55" priority="14">
      <formula>AND($M$22&lt;=79.73,OR($S$14=25,$S$14=50),$S$14=50)</formula>
    </cfRule>
  </conditionalFormatting>
  <conditionalFormatting sqref="K23:N23">
    <cfRule type="expression" dxfId="54" priority="15">
      <formula>$M$22&gt;79.73</formula>
    </cfRule>
  </conditionalFormatting>
  <dataValidations disablePrompts="1" count="3">
    <dataValidation type="list" allowBlank="1" showInputMessage="1" showErrorMessage="1" sqref="AC14" xr:uid="{A9A3211D-EF01-42F0-ADC9-C98FEDAF6AA0}">
      <formula1>"Tabelado,Ponderado"</formula1>
    </dataValidation>
    <dataValidation type="list" allowBlank="1" showInputMessage="1" showErrorMessage="1" sqref="C12" xr:uid="{4503A91B-579D-46AB-AE3C-BB9E76CAA864}">
      <formula1>"A,B,C,D"</formula1>
    </dataValidation>
    <dataValidation type="list" allowBlank="1" showInputMessage="1" showErrorMessage="1" sqref="C11" xr:uid="{6F70063D-4FE9-4C3E-A6EE-2178DBA14AE6}">
      <formula1>"Plano,Levemente ondulado,Ondulado,Muito ondulado,Montanhoso,Muito montanhoso,Escarpado"</formula1>
    </dataValidation>
  </dataValidations>
  <printOptions horizontalCentered="1" verticalCentered="1"/>
  <pageMargins left="0.39370078740157483" right="0.39370078740157483" top="0.74803149606299213" bottom="0.39370078740157483" header="0.23622047244094491" footer="0.31496062992125984"/>
  <pageSetup paperSize="9" scale="90" orientation="landscape" r:id="rId1"/>
  <headerFooter>
    <oddHeader xml:space="preserve">&amp;L&amp;"Times New Roman,Normal"&amp;12&amp;G&amp;C
&amp;R&amp;"Times New Roman,Negrito"&amp;12ANTEPROJETO DE ENGENHARIA RODOVIA GO-188
TRECHO: Entr. BR-070 (Ponte Alta) / GO-188
 (Div. GO/MT-Registro do Araguaia)
</oddHeader>
  </headerFooter>
  <colBreaks count="1" manualBreakCount="1">
    <brk id="15" max="1048575" man="1"/>
  </colBreaks>
  <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F3C4-002F-457F-ABA0-84DBA32F7A11}">
  <sheetPr codeName="Planilha20">
    <tabColor rgb="FF0070C0"/>
  </sheetPr>
  <dimension ref="B2:K33"/>
  <sheetViews>
    <sheetView showGridLines="0" zoomScaleNormal="100" zoomScaleSheetLayoutView="100" workbookViewId="0">
      <selection activeCell="B2" sqref="B2:H17"/>
    </sheetView>
  </sheetViews>
  <sheetFormatPr defaultRowHeight="15"/>
  <cols>
    <col min="3" max="3" width="8.5703125" bestFit="1" customWidth="1"/>
    <col min="4" max="4" width="12.5703125" bestFit="1" customWidth="1"/>
    <col min="5" max="5" width="10.85546875" bestFit="1" customWidth="1"/>
    <col min="6" max="9" width="8.5703125" customWidth="1"/>
    <col min="10" max="10" width="11" bestFit="1" customWidth="1"/>
    <col min="14" max="14" width="10.42578125" customWidth="1"/>
  </cols>
  <sheetData>
    <row r="2" spans="2:11" ht="45.75" thickBot="1">
      <c r="B2" s="1" t="s">
        <v>37</v>
      </c>
      <c r="C2" s="1" t="s">
        <v>38</v>
      </c>
      <c r="D2" s="1" t="s">
        <v>39</v>
      </c>
      <c r="E2" s="1" t="s">
        <v>40</v>
      </c>
      <c r="F2" s="2" t="s">
        <v>41</v>
      </c>
      <c r="G2" s="2" t="s">
        <v>42</v>
      </c>
      <c r="H2" s="1" t="s">
        <v>43</v>
      </c>
      <c r="I2" s="3"/>
      <c r="J2" s="3"/>
    </row>
    <row r="3" spans="2:11" ht="15.75" thickBot="1">
      <c r="B3" s="14" t="s">
        <v>44</v>
      </c>
      <c r="C3" s="232">
        <v>996</v>
      </c>
      <c r="D3" s="14">
        <v>0</v>
      </c>
      <c r="E3" s="13">
        <f>D3/1000</f>
        <v>0</v>
      </c>
      <c r="F3" s="13">
        <v>0</v>
      </c>
      <c r="G3" s="13">
        <v>0</v>
      </c>
      <c r="H3" s="13">
        <v>0</v>
      </c>
      <c r="J3" s="464" t="s">
        <v>198</v>
      </c>
      <c r="K3" s="465"/>
    </row>
    <row r="4" spans="2:11">
      <c r="B4" s="14">
        <v>2</v>
      </c>
      <c r="C4" s="232">
        <v>845</v>
      </c>
      <c r="D4" s="14">
        <v>500</v>
      </c>
      <c r="E4" s="12">
        <f>D4/1000</f>
        <v>0.5</v>
      </c>
      <c r="F4" s="13">
        <f>C3-C4</f>
        <v>151</v>
      </c>
      <c r="G4" s="12">
        <f>E4-E3</f>
        <v>0.5</v>
      </c>
      <c r="H4" s="12">
        <f t="shared" ref="H4:H13" si="0">F4/G4</f>
        <v>302</v>
      </c>
      <c r="J4" s="120" t="s">
        <v>199</v>
      </c>
      <c r="K4" s="124">
        <f ca="1">(((E13/((G4/SQRT(H4))+(G5/SQRT(H5))+(G6/SQRT(H6))+(G7/SQRT(H7))+(G8/SQRT(H8))+(G9/SQRT(H9))+(G10/SQRT(H10))+(G11/SQRT(H11))+(G12/SQRT(H12))+(G13/SQRT(H13))))^2)/1000)*1000</f>
        <v>29.048783213608271</v>
      </c>
    </row>
    <row r="5" spans="2:11" ht="15.75" thickBot="1">
      <c r="B5" s="14">
        <v>3</v>
      </c>
      <c r="C5" s="232">
        <v>744</v>
      </c>
      <c r="D5" s="14">
        <f>D4+500</f>
        <v>1000</v>
      </c>
      <c r="E5" s="12">
        <f t="shared" ref="E5:E13" si="1">D5/1000</f>
        <v>1</v>
      </c>
      <c r="F5" s="13">
        <f t="shared" ref="F5:F13" si="2">C4-C5</f>
        <v>101</v>
      </c>
      <c r="G5" s="12">
        <f t="shared" ref="G5:G13" si="3">E5-E4</f>
        <v>0.5</v>
      </c>
      <c r="H5" s="12">
        <f t="shared" si="0"/>
        <v>202</v>
      </c>
      <c r="J5" s="121" t="s">
        <v>200</v>
      </c>
      <c r="K5" s="123">
        <f ca="1">((E13/((G4/SQRT(H4))+(G5/SQRT(H5))+(G6/SQRT(H6))+(G7/SQRT(H7))+(G8/SQRT(H8))+(G9/SQRT(H9))+(G10/SQRT(H10))+(G11/SQRT(H11))+(G12/SQRT(H12))+(G13/SQRT(H13))))^2)/1000</f>
        <v>2.9048783213608272E-2</v>
      </c>
    </row>
    <row r="6" spans="2:11" ht="15.75" thickBot="1">
      <c r="B6" s="14">
        <v>4</v>
      </c>
      <c r="C6" s="232">
        <v>692</v>
      </c>
      <c r="D6" s="14">
        <f t="shared" ref="D6:D12" si="4">D5+500</f>
        <v>1500</v>
      </c>
      <c r="E6" s="12">
        <f t="shared" si="1"/>
        <v>1.5</v>
      </c>
      <c r="F6" s="13">
        <f t="shared" si="2"/>
        <v>52</v>
      </c>
      <c r="G6" s="12">
        <f t="shared" si="3"/>
        <v>0.5</v>
      </c>
      <c r="H6" s="12">
        <f t="shared" si="0"/>
        <v>104</v>
      </c>
      <c r="J6" s="119" t="s">
        <v>201</v>
      </c>
      <c r="K6" s="122">
        <f ca="1">(((E13/((G4/SQRT(H4))+(G5/SQRT(H5))+(G6/SQRT(H6))+(G7/SQRT(H7))+(G8/SQRT(H8))+(G9/SQRT(H9))+(G10/SQRT(H10))+(G11/SQRT(H11))+(G12/SQRT(H12))+(G13/SQRT(H13))))^2)/1000)*100</f>
        <v>2.9048783213608274</v>
      </c>
    </row>
    <row r="7" spans="2:11">
      <c r="B7" s="14">
        <v>5</v>
      </c>
      <c r="C7" s="232">
        <v>670</v>
      </c>
      <c r="D7" s="14">
        <f t="shared" si="4"/>
        <v>2000</v>
      </c>
      <c r="E7" s="12">
        <f t="shared" si="1"/>
        <v>2</v>
      </c>
      <c r="F7" s="13">
        <f t="shared" si="2"/>
        <v>22</v>
      </c>
      <c r="G7" s="12">
        <f t="shared" si="3"/>
        <v>0.5</v>
      </c>
      <c r="H7" s="12">
        <f t="shared" si="0"/>
        <v>44</v>
      </c>
    </row>
    <row r="8" spans="2:11">
      <c r="B8" s="14">
        <v>6</v>
      </c>
      <c r="C8" s="232">
        <v>658</v>
      </c>
      <c r="D8" s="14">
        <f t="shared" si="4"/>
        <v>2500</v>
      </c>
      <c r="E8" s="12">
        <f t="shared" si="1"/>
        <v>2.5</v>
      </c>
      <c r="F8" s="13">
        <f t="shared" si="2"/>
        <v>12</v>
      </c>
      <c r="G8" s="12">
        <f t="shared" si="3"/>
        <v>0.5</v>
      </c>
      <c r="H8" s="12">
        <f t="shared" si="0"/>
        <v>24</v>
      </c>
    </row>
    <row r="9" spans="2:11">
      <c r="B9" s="14">
        <v>7</v>
      </c>
      <c r="C9" s="232">
        <v>647</v>
      </c>
      <c r="D9" s="14">
        <f t="shared" si="4"/>
        <v>3000</v>
      </c>
      <c r="E9" s="12">
        <f t="shared" si="1"/>
        <v>3</v>
      </c>
      <c r="F9" s="13">
        <f t="shared" si="2"/>
        <v>11</v>
      </c>
      <c r="G9" s="12">
        <f t="shared" si="3"/>
        <v>0.5</v>
      </c>
      <c r="H9" s="12">
        <f t="shared" si="0"/>
        <v>22</v>
      </c>
    </row>
    <row r="10" spans="2:11">
      <c r="B10" s="14">
        <v>8</v>
      </c>
      <c r="C10" s="232">
        <v>643</v>
      </c>
      <c r="D10" s="14">
        <f t="shared" si="4"/>
        <v>3500</v>
      </c>
      <c r="E10" s="12">
        <f t="shared" si="1"/>
        <v>3.5</v>
      </c>
      <c r="F10" s="13">
        <f t="shared" si="2"/>
        <v>4</v>
      </c>
      <c r="G10" s="12">
        <f t="shared" si="3"/>
        <v>0.5</v>
      </c>
      <c r="H10" s="12">
        <f t="shared" si="0"/>
        <v>8</v>
      </c>
    </row>
    <row r="11" spans="2:11">
      <c r="B11" s="14">
        <v>9</v>
      </c>
      <c r="C11" s="232">
        <v>636</v>
      </c>
      <c r="D11" s="14">
        <f t="shared" si="4"/>
        <v>4000</v>
      </c>
      <c r="E11" s="12">
        <f t="shared" si="1"/>
        <v>4</v>
      </c>
      <c r="F11" s="13">
        <f t="shared" si="2"/>
        <v>7</v>
      </c>
      <c r="G11" s="12">
        <f t="shared" si="3"/>
        <v>0.5</v>
      </c>
      <c r="H11" s="12">
        <f t="shared" si="0"/>
        <v>14</v>
      </c>
    </row>
    <row r="12" spans="2:11">
      <c r="B12" s="14">
        <v>10</v>
      </c>
      <c r="C12" s="232">
        <v>628</v>
      </c>
      <c r="D12" s="14">
        <f t="shared" si="4"/>
        <v>4500</v>
      </c>
      <c r="E12" s="12">
        <f t="shared" si="1"/>
        <v>4.5</v>
      </c>
      <c r="F12" s="13">
        <f t="shared" si="2"/>
        <v>8</v>
      </c>
      <c r="G12" s="12">
        <f t="shared" si="3"/>
        <v>0.5</v>
      </c>
      <c r="H12" s="12">
        <f t="shared" si="0"/>
        <v>16</v>
      </c>
    </row>
    <row r="13" spans="2:11">
      <c r="B13" s="14" t="s">
        <v>33</v>
      </c>
      <c r="C13" s="232">
        <v>627</v>
      </c>
      <c r="D13" s="37">
        <f ca="1">'BC08 (RAC-MOD)'!E7*1000</f>
        <v>4553.8123586517586</v>
      </c>
      <c r="E13" s="12">
        <f t="shared" ca="1" si="1"/>
        <v>4.5538123586517587</v>
      </c>
      <c r="F13" s="13">
        <f t="shared" si="2"/>
        <v>1</v>
      </c>
      <c r="G13" s="12">
        <f t="shared" ca="1" si="3"/>
        <v>5.3812358651758707E-2</v>
      </c>
      <c r="H13" s="12">
        <f t="shared" ca="1" si="0"/>
        <v>18.583091785130623</v>
      </c>
    </row>
    <row r="14" spans="2:11" ht="15.75" thickBot="1">
      <c r="B14" s="3"/>
      <c r="C14" s="93"/>
      <c r="D14" s="106"/>
      <c r="E14" s="107"/>
      <c r="F14" s="106"/>
      <c r="G14" s="107"/>
      <c r="H14" s="107"/>
    </row>
    <row r="15" spans="2:11" ht="15.75" thickBot="1">
      <c r="B15" s="4" t="s">
        <v>48</v>
      </c>
      <c r="C15" s="5">
        <f ca="1">(((E13/((G4/SQRT(H4))+(G5/SQRT(H5))+(G6/SQRT(H6))+(G7/SQRT(H7))+(G8/SQRT(H8))+(G9/SQRT(H9))+(G10/SQRT(H10))+(G11/SQRT(H11))+(G12/SQRT(H12))+(G13/SQRT(H13))))^2)/1000)*1000</f>
        <v>29.048783213608271</v>
      </c>
      <c r="D15" s="6" t="s">
        <v>45</v>
      </c>
      <c r="E15" s="6" t="s">
        <v>49</v>
      </c>
      <c r="F15" s="6"/>
      <c r="G15" s="6"/>
      <c r="H15" s="7"/>
    </row>
    <row r="16" spans="2:11" ht="15.75" thickBot="1">
      <c r="B16" s="4" t="s">
        <v>48</v>
      </c>
      <c r="C16" s="8">
        <f ca="1">C15/1000</f>
        <v>2.9048783213608272E-2</v>
      </c>
      <c r="D16" s="6" t="s">
        <v>46</v>
      </c>
      <c r="E16" s="6" t="s">
        <v>50</v>
      </c>
      <c r="F16" s="6"/>
      <c r="G16" s="6"/>
      <c r="H16" s="7"/>
    </row>
    <row r="17" spans="2:8" ht="15.75" thickBot="1">
      <c r="B17" s="9" t="s">
        <v>48</v>
      </c>
      <c r="C17" s="108">
        <f ca="1">C16*100</f>
        <v>2.9048783213608274</v>
      </c>
      <c r="D17" s="10" t="s">
        <v>47</v>
      </c>
      <c r="E17" s="10" t="s">
        <v>51</v>
      </c>
      <c r="F17" s="10"/>
      <c r="G17" s="10"/>
      <c r="H17" s="11"/>
    </row>
    <row r="22" spans="2:8" ht="13.5" customHeight="1"/>
    <row r="23" spans="2:8" hidden="1"/>
    <row r="33" spans="2:2">
      <c r="B33" t="str">
        <f>"Perfil Longitudinal - "&amp;'BC08 (RAC-MOD)'!E5</f>
        <v>Perfil Longitudinal - Córrego Fundo</v>
      </c>
    </row>
  </sheetData>
  <mergeCells count="1">
    <mergeCell ref="J3:K3"/>
  </mergeCells>
  <pageMargins left="0.51181102362204722" right="0.51181102362204722" top="0.78740157480314965" bottom="0.78740157480314965" header="0.23622047244094491" footer="0.31496062992125984"/>
  <pageSetup paperSize="9" orientation="portrait" r:id="rId1"/>
  <headerFooter>
    <oddHeader xml:space="preserve">&amp;L&amp;G&amp;R&amp;"Times New Roman,Negrito"&amp;12ANTEPROJETO DE ENGENHARIA RODOVIA GO-188
TRECHO: Entr. BR-070 (Ponte Alta) / GO-188
 (Div. GO/MT-Registro do Araguaia)
</oddHeader>
  </headerFooter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1CC97-B138-4A93-92D6-52484D3B8D63}">
  <sheetPr codeName="Planilha15">
    <tabColor rgb="FFFFFF00"/>
    <pageSetUpPr fitToPage="1"/>
  </sheetPr>
  <dimension ref="A1:AD175"/>
  <sheetViews>
    <sheetView showGridLines="0" topLeftCell="A143" zoomScale="90" zoomScaleNormal="90" zoomScaleSheetLayoutView="100" workbookViewId="0">
      <selection activeCell="B2" sqref="B2:H17"/>
    </sheetView>
  </sheetViews>
  <sheetFormatPr defaultColWidth="9.140625" defaultRowHeight="15"/>
  <cols>
    <col min="1" max="1" width="6.5703125" bestFit="1" customWidth="1"/>
    <col min="2" max="2" width="8.42578125" customWidth="1"/>
    <col min="3" max="3" width="21.28515625" customWidth="1"/>
    <col min="4" max="4" width="12.42578125" bestFit="1" customWidth="1"/>
    <col min="5" max="17" width="8.7109375" customWidth="1"/>
    <col min="18" max="18" width="6.5703125" bestFit="1" customWidth="1"/>
    <col min="19" max="19" width="8.7109375" customWidth="1"/>
    <col min="20" max="20" width="9.85546875" customWidth="1"/>
    <col min="21" max="21" width="12.28515625" bestFit="1" customWidth="1"/>
    <col min="22" max="22" width="14" customWidth="1"/>
    <col min="23" max="28" width="14" bestFit="1" customWidth="1"/>
  </cols>
  <sheetData>
    <row r="1" spans="1:30" ht="24" customHeight="1">
      <c r="A1" s="497" t="s">
        <v>328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  <c r="P1" s="497"/>
      <c r="Q1" s="497"/>
      <c r="R1" s="497"/>
    </row>
    <row r="2" spans="1:30">
      <c r="A2" s="498" t="s">
        <v>0</v>
      </c>
      <c r="B2" s="499"/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500"/>
    </row>
    <row r="3" spans="1:30">
      <c r="A3" s="501" t="s">
        <v>277</v>
      </c>
      <c r="B3" s="502"/>
      <c r="C3" s="502"/>
      <c r="D3" s="502"/>
      <c r="E3" s="502"/>
      <c r="F3" s="502"/>
      <c r="G3" s="502"/>
      <c r="H3" s="502"/>
      <c r="I3" s="502"/>
      <c r="J3" s="502"/>
      <c r="K3" s="503"/>
      <c r="L3" s="503"/>
      <c r="M3" s="503"/>
      <c r="N3" s="503"/>
      <c r="O3" s="503"/>
      <c r="P3" s="502"/>
      <c r="Q3" s="502"/>
      <c r="R3" s="504"/>
    </row>
    <row r="4" spans="1:30">
      <c r="A4" s="242"/>
      <c r="B4" s="505" t="s">
        <v>278</v>
      </c>
      <c r="C4" s="505"/>
      <c r="D4" s="505"/>
      <c r="E4" s="315" t="s">
        <v>344</v>
      </c>
      <c r="F4" s="243" t="s">
        <v>1</v>
      </c>
      <c r="G4" s="259">
        <v>8.1999999999999993</v>
      </c>
      <c r="H4" s="244"/>
      <c r="I4" s="245"/>
      <c r="J4" s="245"/>
      <c r="K4" s="413"/>
      <c r="L4" s="413"/>
      <c r="M4" s="250"/>
      <c r="N4" s="250"/>
      <c r="O4" s="250"/>
      <c r="P4" s="246"/>
      <c r="Q4" s="246"/>
      <c r="R4" s="247"/>
    </row>
    <row r="5" spans="1:30">
      <c r="A5" s="248"/>
      <c r="B5" s="506" t="s">
        <v>279</v>
      </c>
      <c r="C5" s="496"/>
      <c r="D5" s="496"/>
      <c r="E5" s="316" t="s">
        <v>257</v>
      </c>
      <c r="F5" s="249" t="s">
        <v>343</v>
      </c>
      <c r="I5" s="250"/>
      <c r="J5" s="250"/>
      <c r="K5" s="250"/>
      <c r="L5" s="250"/>
      <c r="M5" s="331" t="s">
        <v>2</v>
      </c>
      <c r="N5" s="331"/>
      <c r="O5" s="331"/>
      <c r="P5" s="331">
        <v>25</v>
      </c>
      <c r="Q5" s="251" t="s">
        <v>3</v>
      </c>
      <c r="R5" s="252"/>
      <c r="T5" t="s">
        <v>26</v>
      </c>
    </row>
    <row r="6" spans="1:30">
      <c r="A6" s="248"/>
      <c r="B6" s="496" t="s">
        <v>4</v>
      </c>
      <c r="C6" s="496"/>
      <c r="D6" s="496"/>
      <c r="E6" s="316" t="s">
        <v>345</v>
      </c>
      <c r="F6" s="249"/>
      <c r="G6" s="249"/>
      <c r="H6" s="249"/>
      <c r="I6" s="250"/>
      <c r="J6" s="250"/>
      <c r="K6" s="250"/>
      <c r="L6" s="250"/>
      <c r="M6" s="250" t="s">
        <v>280</v>
      </c>
      <c r="N6" s="414">
        <f>H19</f>
        <v>53</v>
      </c>
      <c r="O6" s="250"/>
      <c r="P6" s="337" t="s">
        <v>281</v>
      </c>
      <c r="Q6" s="320">
        <f>254*((100/N6)-1)</f>
        <v>225.24528301886792</v>
      </c>
      <c r="R6" s="252"/>
      <c r="T6" t="str">
        <f ca="1">IF(AND(E7&gt;=10,E7&lt;=20),"Hidrograma Sintético Triangular","Hidrograma Unitário Triangular")</f>
        <v>Hidrograma Sintético Triangular</v>
      </c>
      <c r="AA6" s="187" t="s">
        <v>217</v>
      </c>
      <c r="AC6" s="36">
        <f ca="1">'PERFIL BC09 (HUT)'!C22</f>
        <v>2.7646412801374676</v>
      </c>
    </row>
    <row r="7" spans="1:30">
      <c r="A7" s="248"/>
      <c r="B7" s="496" t="s">
        <v>283</v>
      </c>
      <c r="C7" s="496"/>
      <c r="D7" s="496"/>
      <c r="E7" s="259">
        <f ca="1">VLOOKUP(F11,'AUX BACIAS'!$A$2:$D$10,3,0)</f>
        <v>16.939486870219991</v>
      </c>
      <c r="F7" s="253"/>
      <c r="G7" s="254"/>
      <c r="H7" s="255"/>
      <c r="I7" s="250"/>
      <c r="J7" s="250"/>
      <c r="K7" s="250"/>
      <c r="L7" s="250"/>
      <c r="M7" s="256" t="s">
        <v>5</v>
      </c>
      <c r="N7" s="250"/>
      <c r="O7" s="332"/>
      <c r="P7" s="257"/>
      <c r="Q7" s="321">
        <f ca="1">IF(E7&lt;0.8,0.39*(E8^2/E10)^0.385,0.59*(E8^2/E10)^0.385)</f>
        <v>1.5507145700692448</v>
      </c>
      <c r="R7" s="252"/>
      <c r="AA7" s="187" t="s">
        <v>218</v>
      </c>
      <c r="AC7" s="36">
        <f ca="1">100*(E9/(E8*1000))</f>
        <v>8.9840698337068687</v>
      </c>
    </row>
    <row r="8" spans="1:30">
      <c r="A8" s="248"/>
      <c r="B8" s="496" t="s">
        <v>6</v>
      </c>
      <c r="C8" s="496"/>
      <c r="D8" s="496"/>
      <c r="E8" s="259">
        <f ca="1">(VLOOKUP(F11,'AUX BACIAS'!$A$2:$D$10,4,0)/1000)</f>
        <v>5.832545936297505</v>
      </c>
      <c r="F8" s="253"/>
      <c r="G8" s="254"/>
      <c r="H8" s="255"/>
      <c r="I8" s="250"/>
      <c r="J8" s="250"/>
      <c r="K8" s="250"/>
      <c r="L8" s="250"/>
      <c r="M8" s="256" t="s">
        <v>284</v>
      </c>
      <c r="N8" s="250"/>
      <c r="O8" s="250"/>
      <c r="P8" s="257"/>
      <c r="Q8" s="321">
        <f ca="1">Q7/4</f>
        <v>0.38767864251731121</v>
      </c>
      <c r="R8" s="258"/>
      <c r="T8" t="s">
        <v>285</v>
      </c>
    </row>
    <row r="9" spans="1:30">
      <c r="A9" s="248"/>
      <c r="B9" s="496" t="s">
        <v>7</v>
      </c>
      <c r="C9" s="496"/>
      <c r="D9" s="496"/>
      <c r="E9" s="259">
        <f>(INDEX('PERFIL BC09 (HUT)'!$C:$C,MATCH("C",'PERFIL BC09 (HUT)'!$B:$B,0))-INDEX('PERFIL BC09 (HUT)'!$C:$C,MATCH("E",'PERFIL BC09 (HUT)'!$B:$B,0)))</f>
        <v>524</v>
      </c>
      <c r="F9" s="259"/>
      <c r="G9" s="254"/>
      <c r="H9" s="255"/>
      <c r="I9" s="250"/>
      <c r="J9" s="250"/>
      <c r="K9" s="250"/>
      <c r="L9" s="250"/>
      <c r="M9" s="256" t="s">
        <v>286</v>
      </c>
      <c r="N9" s="250"/>
      <c r="O9" s="250"/>
      <c r="P9" s="257"/>
      <c r="Q9" s="321">
        <f ca="1">Q8/2+0.6*Q7</f>
        <v>1.1242680633002025</v>
      </c>
      <c r="R9" s="260"/>
    </row>
    <row r="10" spans="1:30" ht="20.100000000000001" customHeight="1">
      <c r="A10" s="248"/>
      <c r="B10" s="508" t="s">
        <v>287</v>
      </c>
      <c r="C10" s="508"/>
      <c r="D10" s="508"/>
      <c r="E10" s="259">
        <f ca="1">IF(AC6&gt;AC7,AC7,AC6)</f>
        <v>2.7646412801374676</v>
      </c>
      <c r="F10" s="261"/>
      <c r="G10" s="254"/>
      <c r="H10" s="262"/>
      <c r="I10" s="250"/>
      <c r="J10" s="250"/>
      <c r="K10" s="250"/>
      <c r="L10" s="250"/>
      <c r="M10" s="256" t="s">
        <v>288</v>
      </c>
      <c r="N10" s="250"/>
      <c r="O10" s="250"/>
      <c r="P10" s="257"/>
      <c r="Q10" s="321">
        <f ca="1">2.67*Q9</f>
        <v>3.0017957290115405</v>
      </c>
      <c r="R10" s="263"/>
    </row>
    <row r="11" spans="1:30">
      <c r="A11" s="248"/>
      <c r="B11" s="39" t="s">
        <v>215</v>
      </c>
      <c r="C11" s="205" t="s">
        <v>206</v>
      </c>
      <c r="D11" s="346"/>
      <c r="E11" s="264" t="s">
        <v>98</v>
      </c>
      <c r="F11" s="265" t="str" cm="1">
        <f t="array" aca="1" ref="F11" ca="1">MID(RIGHT(CELL("nome.arquivo",A1),LEN(CELL("nome.arquivo",A1)) - SEARCH("]",CELL("nome.arquivo",A1))),1,4)</f>
        <v>BC09</v>
      </c>
      <c r="G11" s="266"/>
      <c r="H11" s="267"/>
      <c r="I11" s="268"/>
      <c r="J11" s="250"/>
      <c r="K11" s="250"/>
      <c r="L11" s="250"/>
      <c r="M11" s="256" t="s">
        <v>289</v>
      </c>
      <c r="N11" s="250"/>
      <c r="O11" s="250"/>
      <c r="P11" s="257"/>
      <c r="Q11" s="321">
        <f ca="1">1.67*Q9</f>
        <v>1.877527665711338</v>
      </c>
      <c r="R11" s="263"/>
    </row>
    <row r="12" spans="1:30">
      <c r="A12" s="248"/>
      <c r="B12" s="45" t="s">
        <v>205</v>
      </c>
      <c r="C12" s="136" t="s">
        <v>210</v>
      </c>
      <c r="D12" s="250"/>
      <c r="E12" s="269"/>
      <c r="F12" s="261"/>
      <c r="G12" s="266"/>
      <c r="H12" s="270"/>
      <c r="I12" s="257"/>
      <c r="J12" s="250"/>
      <c r="K12" s="250"/>
      <c r="L12" s="250"/>
      <c r="M12" s="323" t="s">
        <v>290</v>
      </c>
      <c r="N12" s="256" t="s">
        <v>291</v>
      </c>
      <c r="O12" s="250"/>
      <c r="P12" s="257"/>
      <c r="Q12" s="322">
        <f ca="1">(2.08/Q9)*E7</f>
        <v>31.339618939837617</v>
      </c>
      <c r="R12" s="263"/>
    </row>
    <row r="13" spans="1:30">
      <c r="A13" s="248"/>
      <c r="B13" s="250"/>
      <c r="C13" s="250"/>
      <c r="D13" s="250"/>
      <c r="E13" s="261"/>
      <c r="F13" s="261"/>
      <c r="G13" s="266"/>
      <c r="H13" s="270"/>
      <c r="I13" s="257"/>
      <c r="J13" s="250"/>
      <c r="K13" s="250"/>
      <c r="L13" s="250"/>
      <c r="R13" s="263"/>
      <c r="AC13" s="425" t="s">
        <v>216</v>
      </c>
      <c r="AD13" s="425"/>
    </row>
    <row r="14" spans="1:30">
      <c r="A14" s="248"/>
      <c r="B14" s="543" t="s">
        <v>292</v>
      </c>
      <c r="C14" s="543"/>
      <c r="D14" s="543"/>
      <c r="E14" s="543"/>
      <c r="F14" s="543"/>
      <c r="G14" s="543"/>
      <c r="H14" s="543"/>
      <c r="I14" s="257"/>
      <c r="R14" s="263"/>
      <c r="AC14" s="426" t="str">
        <f>IF(C11="Plano","Tabelado",IF(C11="Ondulado","Tabelado",IF(C11="Montanhoso","Tabelado","Ponderado")))</f>
        <v>Tabelado</v>
      </c>
      <c r="AD14" s="426"/>
    </row>
    <row r="15" spans="1:30">
      <c r="A15" s="248"/>
      <c r="B15" s="544"/>
      <c r="C15" s="544"/>
      <c r="D15" s="271" t="s">
        <v>67</v>
      </c>
      <c r="E15" s="271" t="s">
        <v>68</v>
      </c>
      <c r="F15" s="271" t="s">
        <v>99</v>
      </c>
      <c r="G15" s="271" t="s">
        <v>51</v>
      </c>
      <c r="H15" s="271"/>
      <c r="I15" s="257"/>
      <c r="R15" s="263"/>
      <c r="AC15" s="426"/>
      <c r="AD15" s="426"/>
    </row>
    <row r="16" spans="1:30">
      <c r="A16" s="248"/>
      <c r="B16" s="511" t="s">
        <v>69</v>
      </c>
      <c r="C16" s="511"/>
      <c r="D16" s="273">
        <f ca="1">E7*10^6</f>
        <v>16939486.870219991</v>
      </c>
      <c r="E16" s="273">
        <f ca="1">E7</f>
        <v>16.939486870219991</v>
      </c>
      <c r="F16" s="273" t="s">
        <v>25</v>
      </c>
      <c r="G16" s="273" t="s">
        <v>25</v>
      </c>
      <c r="H16" s="273" t="s">
        <v>25</v>
      </c>
      <c r="I16" s="257"/>
      <c r="R16" s="263"/>
    </row>
    <row r="17" spans="1:24" ht="27.75" customHeight="1">
      <c r="A17" s="248"/>
      <c r="B17" s="545" t="s">
        <v>376</v>
      </c>
      <c r="C17" s="546"/>
      <c r="D17" s="273">
        <f ca="1">($D$16*G17)</f>
        <v>13639674.827901136</v>
      </c>
      <c r="E17" s="273">
        <f ca="1">D17*(10^-6)</f>
        <v>13.639674827901136</v>
      </c>
      <c r="F17" s="318" cm="1">
        <f t="array" ref="F17">_xlfn.LET(
_xlpm.superficie,B17,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_xlpm.col,MATCH(_xlpm.terreno,C_CN_IP03!$D$2:$I$2,0)+1,
INDEX(C_CN_IP03!$D$4:$I$19,_xlpm.lin,_xlpm.col)
),
IF(
_xlpm.metodo="Ponderado",
IF(
_xlpm.terreno="Levemente ondulado",
AVERAGE(
INDEX(C_CN_IP03!$D$4:$I$19,_xlpm.lin,2),
INDEX(C_CN_IP03!$D$4:$I$19,_xlpm.lin,4)
),
IF(
_xlpm.terreno="Muito ondulado",
AVERAGE(
INDEX(C_CN_IP03!$D$4:$I$19,_xlpm.lin,4),
INDEX(C_CN_IP03!$D$4:$I$19,_xlpm.lin,6)
),
"Condição de terreno não reconhecida"
)
),
"Método não reconhecido"
)
)
)</f>
        <v>55</v>
      </c>
      <c r="G17" s="317">
        <v>0.80520000000000003</v>
      </c>
      <c r="H17" s="273">
        <f>(G17*(F17))</f>
        <v>44.286000000000001</v>
      </c>
      <c r="I17" s="257"/>
      <c r="R17" s="263"/>
    </row>
    <row r="18" spans="1:24">
      <c r="A18" s="248"/>
      <c r="B18" s="511" t="s">
        <v>70</v>
      </c>
      <c r="C18" s="511"/>
      <c r="D18" s="273">
        <f ca="1">($D$16*G18)</f>
        <v>3299812.042318854</v>
      </c>
      <c r="E18" s="273">
        <f ca="1">D18*(10^-6)</f>
        <v>3.2998120423188539</v>
      </c>
      <c r="F18" s="318" cm="1">
        <f t="array" ref="F18">_xlfn.LET(
_xlpm.superficie,B18,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_xlpm.col,MATCH(_xlpm.terreno,C_CN_IP03!$D$2:$I$2,0)+1,
INDEX(C_CN_IP03!$D$4:$I$19,_xlpm.lin,_xlpm.col)
),
IF(
_xlpm.metodo="Ponderado",
IF(
_xlpm.terreno="Levemente ondulado",
AVERAGE(
INDEX(C_CN_IP03!$D$4:$I$19,_xlpm.lin,2),
INDEX(C_CN_IP03!$D$4:$I$19,_xlpm.lin,4)
),
IF(
_xlpm.terreno="Muito ondulado",
AVERAGE(
INDEX(C_CN_IP03!$D$4:$I$19,_xlpm.lin,4),
INDEX(C_CN_IP03!$D$4:$I$19,_xlpm.lin,6)
),
"Condição de terreno não reconhecida"
)
),
"Método não reconhecido"
)
)
)</f>
        <v>40</v>
      </c>
      <c r="G18" s="317">
        <v>0.1948</v>
      </c>
      <c r="H18" s="273">
        <f>(G18*(F18))</f>
        <v>7.7919999999999998</v>
      </c>
      <c r="I18" s="257"/>
      <c r="J18" s="250"/>
      <c r="R18" s="263"/>
      <c r="T18" t="s">
        <v>293</v>
      </c>
    </row>
    <row r="19" spans="1:24">
      <c r="A19" s="248"/>
      <c r="B19" s="507" t="s">
        <v>294</v>
      </c>
      <c r="C19" s="507"/>
      <c r="D19" s="507"/>
      <c r="E19" s="507"/>
      <c r="F19" s="507"/>
      <c r="G19" s="507"/>
      <c r="H19" s="274">
        <f>ROUNDUP(H17+H18,0)</f>
        <v>53</v>
      </c>
      <c r="I19" s="319"/>
      <c r="J19" s="250"/>
      <c r="R19" s="263"/>
      <c r="X19" t="s">
        <v>295</v>
      </c>
    </row>
    <row r="20" spans="1:24">
      <c r="A20" s="248"/>
      <c r="B20" s="275"/>
      <c r="C20" s="187"/>
      <c r="D20" s="187"/>
      <c r="E20" s="187"/>
      <c r="F20" s="187"/>
      <c r="G20" s="187"/>
      <c r="H20" s="187"/>
      <c r="I20" s="257"/>
      <c r="J20" s="250"/>
      <c r="R20" s="263"/>
    </row>
    <row r="21" spans="1:24">
      <c r="A21" s="248"/>
      <c r="B21" s="517" t="s">
        <v>331</v>
      </c>
      <c r="C21" s="518"/>
      <c r="D21" s="518"/>
      <c r="E21" s="518"/>
      <c r="F21" s="518"/>
      <c r="G21" s="518"/>
      <c r="H21" s="518"/>
      <c r="I21" s="518"/>
      <c r="J21" s="519"/>
      <c r="K21" s="250"/>
      <c r="L21" s="250"/>
      <c r="R21" s="263"/>
    </row>
    <row r="22" spans="1:24" ht="15" customHeight="1">
      <c r="A22" s="248"/>
      <c r="B22" s="520" t="s">
        <v>339</v>
      </c>
      <c r="C22" s="521"/>
      <c r="D22" s="524" t="s">
        <v>332</v>
      </c>
      <c r="E22" s="525"/>
      <c r="F22" s="525"/>
      <c r="G22" s="525"/>
      <c r="H22" s="525"/>
      <c r="I22" s="525"/>
      <c r="J22" s="526"/>
      <c r="K22" s="250"/>
      <c r="L22" s="250"/>
      <c r="P22" s="276"/>
      <c r="Q22" s="277"/>
      <c r="R22" s="260"/>
    </row>
    <row r="23" spans="1:24">
      <c r="A23" s="248"/>
      <c r="B23" s="522"/>
      <c r="C23" s="523"/>
      <c r="D23" s="278" t="s">
        <v>333</v>
      </c>
      <c r="E23" s="279" t="s">
        <v>334</v>
      </c>
      <c r="F23" s="280" t="s">
        <v>62</v>
      </c>
      <c r="G23" s="280" t="s">
        <v>335</v>
      </c>
      <c r="H23" s="280" t="s">
        <v>63</v>
      </c>
      <c r="I23" s="279" t="s">
        <v>64</v>
      </c>
      <c r="J23" s="279" t="s">
        <v>65</v>
      </c>
      <c r="K23" s="250"/>
      <c r="L23" s="250"/>
      <c r="M23" s="281"/>
      <c r="N23" s="281"/>
      <c r="O23" s="281"/>
      <c r="P23" s="281"/>
      <c r="Q23" s="282"/>
      <c r="R23" s="283"/>
    </row>
    <row r="24" spans="1:24">
      <c r="A24" s="248"/>
      <c r="B24" s="293" t="s">
        <v>338</v>
      </c>
      <c r="C24" s="324">
        <v>6</v>
      </c>
      <c r="D24" s="293">
        <f>'[2]Ven Te Chow'!B10</f>
        <v>17.061490105709488</v>
      </c>
      <c r="E24" s="293">
        <f>'[2]Ven Te Chow'!C10</f>
        <v>20.588595058804103</v>
      </c>
      <c r="F24" s="293">
        <f>'[2]Ven Te Chow'!D10</f>
        <v>22.556845590664935</v>
      </c>
      <c r="G24" s="293">
        <f>'[2]Ven Te Chow'!E10</f>
        <v>23.97398597360473</v>
      </c>
      <c r="H24" s="293">
        <f>'[2]Ven Te Chow'!F10</f>
        <v>25.049962931021987</v>
      </c>
      <c r="I24" s="293">
        <f>'[2]Ven Te Chow'!G10</f>
        <v>28.356623824548187</v>
      </c>
      <c r="J24" s="293">
        <f>'[2]Ven Te Chow'!H10</f>
        <v>28.252044683691555</v>
      </c>
      <c r="K24" s="281"/>
      <c r="L24" s="281"/>
      <c r="M24" s="281"/>
      <c r="N24" s="281"/>
      <c r="O24" s="250"/>
      <c r="P24" s="257"/>
      <c r="Q24" s="277"/>
      <c r="R24" s="260"/>
    </row>
    <row r="25" spans="1:24">
      <c r="A25" s="248"/>
      <c r="B25" s="293" t="s">
        <v>337</v>
      </c>
      <c r="C25" s="324">
        <v>60</v>
      </c>
      <c r="D25" s="293">
        <f>'[2]Ven Te Chow'!B9</f>
        <v>63.980587896410583</v>
      </c>
      <c r="E25" s="293">
        <f>'[2]Ven Te Chow'!C9</f>
        <v>76.471924504129532</v>
      </c>
      <c r="F25" s="293">
        <f>'[2]Ven Te Chow'!D9</f>
        <v>83.379768522636454</v>
      </c>
      <c r="G25" s="293">
        <f>'[2]Ven Te Chow'!E9</f>
        <v>88.190019831474558</v>
      </c>
      <c r="H25" s="293">
        <f>'[2]Ven Te Chow'!F9</f>
        <v>91.924417541518196</v>
      </c>
      <c r="I25" s="293">
        <f>'[2]Ven Te Chow'!G9</f>
        <v>103.0459455052778</v>
      </c>
      <c r="J25" s="293">
        <f>'[2]Ven Te Chow'!H9</f>
        <v>113.85574007527696</v>
      </c>
      <c r="K25" s="281"/>
      <c r="L25" s="281"/>
      <c r="M25" s="281"/>
      <c r="N25" s="281"/>
      <c r="O25" s="250"/>
      <c r="P25" s="257"/>
      <c r="Q25" s="285"/>
      <c r="R25" s="260"/>
    </row>
    <row r="26" spans="1:24">
      <c r="A26" s="248"/>
      <c r="B26" s="293" t="s">
        <v>336</v>
      </c>
      <c r="C26" s="324">
        <v>1440</v>
      </c>
      <c r="D26" s="293">
        <f>'[2]Ven Te Chow'!B8</f>
        <v>152.33473308669187</v>
      </c>
      <c r="E26" s="293">
        <f>'[2]Ven Te Chow'!C8</f>
        <v>183.82674159646521</v>
      </c>
      <c r="F26" s="293">
        <f>'[2]Ven Te Chow'!D8</f>
        <v>201.40040705950835</v>
      </c>
      <c r="G26" s="293">
        <f>'[2]Ven Te Chow'!E8</f>
        <v>214.0534461928994</v>
      </c>
      <c r="H26" s="293">
        <f>'[2]Ven Te Chow'!F8</f>
        <v>223.66038331269633</v>
      </c>
      <c r="I26" s="293">
        <f>'[2]Ven Te Chow'!G8</f>
        <v>253.18414129060884</v>
      </c>
      <c r="J26" s="293">
        <f>'[2]Ven Te Chow'!H8</f>
        <v>282.52044683691554</v>
      </c>
      <c r="K26" s="281"/>
      <c r="L26" s="281"/>
      <c r="M26" s="281"/>
      <c r="N26" s="281"/>
      <c r="O26" s="250"/>
      <c r="P26" s="257"/>
      <c r="Q26" s="285"/>
      <c r="R26" s="260"/>
      <c r="W26" t="s">
        <v>282</v>
      </c>
    </row>
    <row r="27" spans="1:24" ht="15" customHeight="1">
      <c r="A27" s="248"/>
      <c r="K27" s="281"/>
      <c r="L27" s="286" t="s">
        <v>296</v>
      </c>
      <c r="M27" s="286" t="s">
        <v>297</v>
      </c>
      <c r="N27" s="286" t="s">
        <v>298</v>
      </c>
      <c r="O27" s="286" t="s">
        <v>299</v>
      </c>
      <c r="P27" s="286" t="s">
        <v>300</v>
      </c>
      <c r="Q27" s="286" t="s">
        <v>301</v>
      </c>
      <c r="R27" s="260"/>
    </row>
    <row r="28" spans="1:24" ht="22.5">
      <c r="A28" s="248"/>
      <c r="B28" s="287" t="s">
        <v>302</v>
      </c>
      <c r="C28" s="287" t="s">
        <v>303</v>
      </c>
      <c r="D28" s="288" t="s">
        <v>304</v>
      </c>
      <c r="E28" s="288" t="s">
        <v>305</v>
      </c>
      <c r="F28" s="288" t="s">
        <v>306</v>
      </c>
      <c r="G28" s="288" t="s">
        <v>307</v>
      </c>
      <c r="H28" s="288" t="s">
        <v>308</v>
      </c>
      <c r="I28" s="288" t="s">
        <v>309</v>
      </c>
      <c r="J28" s="288" t="s">
        <v>310</v>
      </c>
      <c r="K28" s="281"/>
      <c r="L28" s="286" t="s">
        <v>311</v>
      </c>
      <c r="M28" s="286" t="s">
        <v>311</v>
      </c>
      <c r="N28" s="286" t="s">
        <v>312</v>
      </c>
      <c r="O28" s="286" t="s">
        <v>312</v>
      </c>
      <c r="P28" s="286" t="s">
        <v>313</v>
      </c>
      <c r="Q28" s="286" t="s">
        <v>313</v>
      </c>
      <c r="R28" s="260"/>
      <c r="S28" s="289"/>
    </row>
    <row r="29" spans="1:24">
      <c r="A29" s="290"/>
      <c r="B29" s="291">
        <f ca="1">(Q7*60)/4</f>
        <v>23.260718551038671</v>
      </c>
      <c r="C29" s="291">
        <f t="shared" ref="C29:C34" ca="1" si="0">B29/60</f>
        <v>0.38767864251731121</v>
      </c>
      <c r="D29" s="291">
        <f t="shared" ref="D29:J34" ca="1" si="1">IF($C29&lt;=$C$25/60,((D$25-D$24)/LN(($C$25/60)/($C$24/60)))*LN($C29/($C$25/60))+D$25,((D$26-D$25)/LN(($C$26/60)/($C$25/60)))*LN($C29/($C$25/60))+D$25)</f>
        <v>44.672059606815473</v>
      </c>
      <c r="E29" s="291">
        <f t="shared" ca="1" si="1"/>
        <v>53.47436277936675</v>
      </c>
      <c r="F29" s="291">
        <f t="shared" ca="1" si="1"/>
        <v>58.34942515741109</v>
      </c>
      <c r="G29" s="291">
        <f t="shared" ca="1" si="1"/>
        <v>61.76331589267852</v>
      </c>
      <c r="H29" s="291">
        <f t="shared" ca="1" si="1"/>
        <v>64.403698697816935</v>
      </c>
      <c r="I29" s="291">
        <f t="shared" ca="1" si="1"/>
        <v>72.309189077517686</v>
      </c>
      <c r="J29" s="291">
        <f t="shared" ca="1" si="1"/>
        <v>78.627411910580349</v>
      </c>
      <c r="K29" s="282"/>
      <c r="L29" s="284">
        <f t="shared" ref="L29:L34" ca="1" si="2">N29/B29</f>
        <v>2.7687751157171836</v>
      </c>
      <c r="M29" s="284">
        <f ca="1">Q8</f>
        <v>0.38767864251731121</v>
      </c>
      <c r="N29" s="292">
        <f t="shared" ref="N29:N34" ca="1" si="3">(IF($P$5=15,(F29),IF($P$5=25,(H29),IF($P$5=50,(I29),IF($P$5=100,(J29))))))</f>
        <v>64.403698697816935</v>
      </c>
      <c r="O29" s="292">
        <f t="shared" ref="O29:O34" ca="1" si="4">N29*(1-0.1*LOG(E$7/25))</f>
        <v>65.492377262659403</v>
      </c>
      <c r="P29" s="292">
        <f t="shared" ref="P29:P34" ca="1" si="5">((O29-(5080/(ROUND($N$6,0)))+50.8)^2)/(O29+(20320/(ROUND($N$6,0)))-203.2)/10</f>
        <v>0.17010530944698815</v>
      </c>
      <c r="Q29" s="292">
        <f ca="1">P29</f>
        <v>0.17010530944698815</v>
      </c>
      <c r="R29" s="260"/>
      <c r="S29" s="272"/>
    </row>
    <row r="30" spans="1:24">
      <c r="A30" s="290"/>
      <c r="B30" s="293">
        <f ca="1">B29+$B$29</f>
        <v>46.521437102077343</v>
      </c>
      <c r="C30" s="291">
        <f t="shared" ca="1" si="0"/>
        <v>0.77535728503462242</v>
      </c>
      <c r="D30" s="291">
        <f t="shared" ca="1" si="1"/>
        <v>58.796115411308129</v>
      </c>
      <c r="E30" s="291">
        <f t="shared" ca="1" si="1"/>
        <v>70.296921199981895</v>
      </c>
      <c r="F30" s="291">
        <f t="shared" ca="1" si="1"/>
        <v>76.65894938389313</v>
      </c>
      <c r="G30" s="291">
        <f t="shared" ca="1" si="1"/>
        <v>81.094268286471149</v>
      </c>
      <c r="H30" s="291">
        <f t="shared" ca="1" si="1"/>
        <v>84.534915479245711</v>
      </c>
      <c r="I30" s="291">
        <f t="shared" ca="1" si="1"/>
        <v>94.792915259213416</v>
      </c>
      <c r="J30" s="291">
        <f ca="1">IF($C30&lt;=$C$25/60,((J$25-J$24)/LN(($C$25/60)/($C$24/60)))*LN($C30/($C$25/60))+J$25,((J$26-J$25)/LN(($C$26/60)/($C$25/60)))*LN($C30/($C$25/60))+J$25)</f>
        <v>104.39669196313008</v>
      </c>
      <c r="K30" s="282"/>
      <c r="L30" s="284">
        <f t="shared" ca="1" si="2"/>
        <v>1.8171174569211865</v>
      </c>
      <c r="M30" s="284">
        <f ca="1">Q$8+M29</f>
        <v>0.77535728503462242</v>
      </c>
      <c r="N30" s="292">
        <f t="shared" ca="1" si="3"/>
        <v>84.534915479245711</v>
      </c>
      <c r="O30" s="292">
        <f t="shared" ca="1" si="4"/>
        <v>85.963891645581072</v>
      </c>
      <c r="P30" s="292">
        <f t="shared" ca="1" si="5"/>
        <v>0.62895363088045264</v>
      </c>
      <c r="Q30" s="292">
        <f ca="1">P30-P29</f>
        <v>0.45884832143346449</v>
      </c>
      <c r="R30" s="260"/>
      <c r="S30" s="272"/>
    </row>
    <row r="31" spans="1:24">
      <c r="A31" s="290"/>
      <c r="B31" s="293">
        <f ca="1">B30+$B$29</f>
        <v>69.782155653116007</v>
      </c>
      <c r="C31" s="291">
        <f t="shared" ca="1" si="0"/>
        <v>1.1630359275519335</v>
      </c>
      <c r="D31" s="291">
        <f t="shared" ca="1" si="1"/>
        <v>68.17952848423451</v>
      </c>
      <c r="E31" s="291">
        <f t="shared" ca="1" si="1"/>
        <v>81.573852634571182</v>
      </c>
      <c r="F31" s="291">
        <f t="shared" ca="1" si="1"/>
        <v>88.988578933128409</v>
      </c>
      <c r="G31" s="291">
        <f t="shared" ca="1" si="1"/>
        <v>94.171550730035136</v>
      </c>
      <c r="H31" s="291">
        <f t="shared" ca="1" si="1"/>
        <v>98.185034882804274</v>
      </c>
      <c r="I31" s="291">
        <f t="shared" ca="1" si="1"/>
        <v>110.1811100491483</v>
      </c>
      <c r="J31" s="291">
        <f ca="1">IF($C31&lt;=$C$25/60,((J$25-J$24)/LN(($C$25/60)/($C$24/60)))*LN($C31/($C$25/60))+J$25,((J$26-J$25)/LN(($C$26/60)/($C$25/60)))*LN($C31/($C$25/60))+J$25)</f>
        <v>121.87135814763386</v>
      </c>
      <c r="K31" s="282"/>
      <c r="L31" s="284">
        <f t="shared" ca="1" si="2"/>
        <v>1.4070220956038921</v>
      </c>
      <c r="M31" s="284">
        <f ca="1">Q$8+M30</f>
        <v>1.1630359275519337</v>
      </c>
      <c r="N31" s="292">
        <f t="shared" ca="1" si="3"/>
        <v>98.185034882804274</v>
      </c>
      <c r="O31" s="292">
        <f t="shared" ca="1" si="4"/>
        <v>99.844752337336772</v>
      </c>
      <c r="P31" s="292">
        <f t="shared" ca="1" si="5"/>
        <v>1.0721888933189452</v>
      </c>
      <c r="Q31" s="292">
        <f ca="1">P31-P30</f>
        <v>0.44323526243849254</v>
      </c>
      <c r="R31" s="260"/>
      <c r="S31" s="272"/>
    </row>
    <row r="32" spans="1:24">
      <c r="A32" s="290"/>
      <c r="B32" s="293">
        <f ca="1">B31+$B$29</f>
        <v>93.042874204154685</v>
      </c>
      <c r="C32" s="291">
        <f t="shared" ca="1" si="0"/>
        <v>1.5507145700692448</v>
      </c>
      <c r="D32" s="291">
        <f t="shared" ca="1" si="1"/>
        <v>76.177474697519017</v>
      </c>
      <c r="E32" s="291">
        <f t="shared" ca="1" si="1"/>
        <v>91.29176740803608</v>
      </c>
      <c r="F32" s="291">
        <f t="shared" ca="1" si="1"/>
        <v>99.671979435080459</v>
      </c>
      <c r="G32" s="291">
        <f t="shared" ca="1" si="1"/>
        <v>105.56489183576856</v>
      </c>
      <c r="H32" s="291">
        <f t="shared" ca="1" si="1"/>
        <v>110.10996682939128</v>
      </c>
      <c r="I32" s="291">
        <f t="shared" ca="1" si="1"/>
        <v>123.77183872254099</v>
      </c>
      <c r="J32" s="291">
        <f ca="1">IF($C32&lt;=$C$25/60,((J$25-J$24)/LN(($C$25/60)/($C$24/60)))*LN($C32/($C$25/60))+J$25,((J$26-J$25)/LN(($C$26/60)/($C$25/60)))*LN($C32/($C$25/60))+J$25)</f>
        <v>137.13913364196767</v>
      </c>
      <c r="K32" s="282"/>
      <c r="L32" s="284">
        <f t="shared" ca="1" si="2"/>
        <v>1.1834325602172175</v>
      </c>
      <c r="M32" s="284">
        <f ca="1">Q$8+M31</f>
        <v>1.5507145700692448</v>
      </c>
      <c r="N32" s="292">
        <f t="shared" ca="1" si="3"/>
        <v>110.10996682939128</v>
      </c>
      <c r="O32" s="292">
        <f t="shared" ca="1" si="4"/>
        <v>111.97126304508109</v>
      </c>
      <c r="P32" s="292">
        <f t="shared" ca="1" si="5"/>
        <v>1.5328816095342606</v>
      </c>
      <c r="Q32" s="292">
        <f ca="1">P32-P31</f>
        <v>0.46069271621531538</v>
      </c>
      <c r="R32" s="260"/>
      <c r="S32" s="272"/>
    </row>
    <row r="33" spans="1:23">
      <c r="A33" s="290"/>
      <c r="B33" s="293">
        <f ca="1">B32+$B$29</f>
        <v>116.30359275519336</v>
      </c>
      <c r="C33" s="291">
        <f t="shared" ca="1" si="0"/>
        <v>1.9383932125865562</v>
      </c>
      <c r="D33" s="291">
        <f t="shared" ca="1" si="1"/>
        <v>82.3811637423116</v>
      </c>
      <c r="E33" s="291">
        <f t="shared" ca="1" si="1"/>
        <v>98.829567714599321</v>
      </c>
      <c r="F33" s="291">
        <f t="shared" ca="1" si="1"/>
        <v>107.95866865349592</v>
      </c>
      <c r="G33" s="291">
        <f t="shared" ca="1" si="1"/>
        <v>114.40225376798855</v>
      </c>
      <c r="H33" s="291">
        <f t="shared" ca="1" si="1"/>
        <v>119.35966265180895</v>
      </c>
      <c r="I33" s="291">
        <f t="shared" ca="1" si="1"/>
        <v>134.31362686833177</v>
      </c>
      <c r="J33" s="291">
        <f ca="1">IF($C33&lt;=$C$25/60,((J$25-J$24)/LN(($C$25/60)/($C$24/60)))*LN($C33/($C$25/60))+J$25,((J$26-J$25)/LN(($C$26/60)/($C$25/60)))*LN($C33/($C$25/60))+J$25)</f>
        <v>148.98174036208144</v>
      </c>
      <c r="K33" s="282"/>
      <c r="L33" s="284">
        <f t="shared" ca="1" si="2"/>
        <v>1.026276659423998</v>
      </c>
      <c r="M33" s="284">
        <f ca="1">Q$8+M32</f>
        <v>1.9383932125865559</v>
      </c>
      <c r="N33" s="292">
        <f t="shared" ca="1" si="3"/>
        <v>119.35966265180895</v>
      </c>
      <c r="O33" s="292">
        <f t="shared" ca="1" si="4"/>
        <v>121.3773155019279</v>
      </c>
      <c r="P33" s="292">
        <f t="shared" ca="1" si="5"/>
        <v>1.9318681172722676</v>
      </c>
      <c r="Q33" s="292">
        <f ca="1">P33-P32</f>
        <v>0.39898650773800703</v>
      </c>
      <c r="R33" s="260"/>
      <c r="S33" s="272"/>
    </row>
    <row r="34" spans="1:23">
      <c r="A34" s="290"/>
      <c r="B34" s="293">
        <f ca="1">B33+$B$29</f>
        <v>139.56431130623204</v>
      </c>
      <c r="C34" s="291">
        <f t="shared" ca="1" si="0"/>
        <v>2.3260718551038675</v>
      </c>
      <c r="D34" s="291">
        <f ca="1">IF($C34&lt;=$C$25/60,((D$25-D$24)/LN(($C$25/60)/($C$24/60)))*LN($C34/($C$25/60))+D$25,((D$26-D$25)/LN(($C$26/60)/($C$25/60)))*LN($C34/($C$25/60))+D$25)</f>
        <v>87.449946764947668</v>
      </c>
      <c r="E34" s="291">
        <f t="shared" ca="1" si="1"/>
        <v>104.9883990077313</v>
      </c>
      <c r="F34" s="291">
        <f t="shared" ca="1" si="1"/>
        <v>114.7293867408932</v>
      </c>
      <c r="G34" s="291">
        <f t="shared" ca="1" si="1"/>
        <v>121.62290422346679</v>
      </c>
      <c r="H34" s="291">
        <f t="shared" ca="1" si="1"/>
        <v>126.9172144263573</v>
      </c>
      <c r="I34" s="291">
        <f t="shared" ca="1" si="1"/>
        <v>142.92689494089305</v>
      </c>
      <c r="J34" s="291">
        <f ca="1">IF($C34&lt;=$C$25/60,((J$25-J$24)/LN(($C$25/60)/($C$24/60)))*LN($C34/($C$25/60))+J$25,((J$26-J$25)/LN(($C$26/60)/($C$25/60)))*LN($C34/($C$25/60))+J$25)</f>
        <v>158.65785459882835</v>
      </c>
      <c r="K34" s="282"/>
      <c r="L34" s="284">
        <f t="shared" ca="1" si="2"/>
        <v>0.90938158357601551</v>
      </c>
      <c r="M34" s="284">
        <f ca="1">Q$8+M33</f>
        <v>2.326071855103867</v>
      </c>
      <c r="N34" s="292">
        <f t="shared" ca="1" si="3"/>
        <v>126.9172144263573</v>
      </c>
      <c r="O34" s="292">
        <f t="shared" ca="1" si="4"/>
        <v>129.06261994885369</v>
      </c>
      <c r="P34" s="292">
        <f t="shared" ca="1" si="5"/>
        <v>2.2823207513460502</v>
      </c>
      <c r="Q34" s="292">
        <f ca="1">P34-P33</f>
        <v>0.35045263407378258</v>
      </c>
      <c r="R34" s="260"/>
      <c r="S34" s="272"/>
    </row>
    <row r="35" spans="1:23">
      <c r="A35" s="290"/>
      <c r="B35" s="294" t="s">
        <v>314</v>
      </c>
      <c r="C35" s="295"/>
      <c r="D35" s="295"/>
      <c r="E35" s="295"/>
      <c r="F35" s="295"/>
      <c r="G35" s="295"/>
      <c r="H35" s="295"/>
      <c r="I35" s="295"/>
      <c r="K35" s="282"/>
      <c r="L35" s="294" t="s">
        <v>315</v>
      </c>
      <c r="M35" s="296"/>
      <c r="N35" s="297"/>
      <c r="O35" s="297"/>
      <c r="P35" s="297"/>
      <c r="Q35" s="297"/>
      <c r="R35" s="260"/>
      <c r="S35" s="272"/>
    </row>
    <row r="36" spans="1:23">
      <c r="A36" s="290"/>
      <c r="B36" s="281"/>
      <c r="C36" s="281"/>
      <c r="D36" s="281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50"/>
      <c r="P36" s="257"/>
      <c r="Q36" s="285"/>
      <c r="R36" s="260"/>
      <c r="U36" s="112" t="s">
        <v>141</v>
      </c>
    </row>
    <row r="37" spans="1:23">
      <c r="A37" s="290"/>
      <c r="B37" s="527" t="s">
        <v>9</v>
      </c>
      <c r="C37" s="529" t="s">
        <v>10</v>
      </c>
      <c r="D37" s="529"/>
      <c r="E37" s="529" t="s">
        <v>11</v>
      </c>
      <c r="F37" s="529"/>
      <c r="G37" s="281"/>
      <c r="Q37" s="281"/>
      <c r="R37" s="260"/>
      <c r="U37" s="112" t="str" cm="1">
        <f t="array" ref="U37">IFERROR(_xlfn.LET(
_xlpm.Q,E38,
_xlpm.Tipos,[4]Base_Bueiros!$C$2:$C$10,
_xlpm.Dims,[4]Base_Bueiros!$D$2:$D$10,
_xlpm.Vazoes,[4]Base_Bueiros!$F$2:$F$10,
_xlpm.Diam,VALUE(_xlpm.Dims),
_xlpm.MenorDiam,_xlfn.AGGREGATE(15,6,_xlpm.Diam/(_xlpm.Vazoes&gt;=_xlpm.Q),1),
_xlpm.MenorVazao,_xlfn.AGGREGATE(15,6,_xlpm.Vazoes/((_xlpm.Vazoes&gt;=_xlpm.Q)*(_xlpm.Diam=_xlpm.MenorDiam)),1),
_xlpm.Linha,MATCH(_xlpm.MenorVazao,_xlpm.Vazoes,0),
INDEX(_xlpm.Tipos,_xlpm.Linha)&amp;" d="&amp;INDEX(_xlpm.Dims,_xlpm.Linha)&amp;"m"
),"Não atende em canal 15 anos. Dimensionar para 25 anos")</f>
        <v>Não atende em canal 15 anos. Dimensionar para 25 anos</v>
      </c>
      <c r="W37" s="45">
        <f>IF(U37="Não atende em canal 15 anos. Dimensionar para 25 anos",25,15)</f>
        <v>25</v>
      </c>
    </row>
    <row r="38" spans="1:23">
      <c r="A38" s="290"/>
      <c r="B38" s="527"/>
      <c r="C38" s="530" t="s">
        <v>12</v>
      </c>
      <c r="D38" s="531"/>
      <c r="E38" s="298">
        <v>27.999832673547697</v>
      </c>
      <c r="F38" s="299" t="s">
        <v>13</v>
      </c>
      <c r="G38" s="281"/>
      <c r="Q38" s="281"/>
      <c r="R38" s="260"/>
      <c r="U38" s="112" t="str" cm="1">
        <f t="array" aca="1" ref="U38" ca="1">IFERROR(_xlfn.LET(
_xlpm.Q,E39,
_xlpm.Tipos,[4]Base_Bueiros!$C$20:$C$28,
_xlpm.Dims,[4]Base_Bueiros!$D$20:$D$28,
_xlpm.Vazoes,[4]Base_Bueiros!$F$20:$F$28,
_xlpm.Diam,VALUE(_xlpm.Dims),
_xlpm.MenorDiam,_xlfn.AGGREGATE(15,6,_xlpm.Diam/(_xlpm.Vazoes&gt;=_xlpm.Q),1),
_xlpm.MenorVazao,_xlfn.AGGREGATE(15,6,_xlpm.Vazoes/((_xlpm.Vazoes&gt;=_xlpm.Q)*(_xlpm.Diam=_xlpm.MenorDiam)),1),
_xlpm.Linha,MATCH(_xlpm.MenorVazao,_xlpm.Vazoes,0),
_xlpm.Tipo,TRIM(IFERROR(LEFT(INDEX(_xlpm.Tipos,_xlpm.Linha),FIND(" OU ",INDEX(_xlpm.Tipos,_xlpm.Linha))-1),INDEX(_xlpm.Tipos,_xlpm.Linha))),
_xlpm.Tipo&amp;" d="&amp;INDEX(_xlpm.Dims,_xlpm.Linha)&amp;"m"
),"Não atende em orifício 25 anos. Dimensionar para 50 anos")</f>
        <v>Não atende em orifício 25 anos. Dimensionar para 50 anos</v>
      </c>
      <c r="W38" s="45">
        <f ca="1">IF(U38="Não atende em orifício 25 anos. Dimensionar para 50 anos",50,25)</f>
        <v>50</v>
      </c>
    </row>
    <row r="39" spans="1:23">
      <c r="A39" s="290"/>
      <c r="B39" s="527"/>
      <c r="C39" s="532" t="s">
        <v>14</v>
      </c>
      <c r="D39" s="533"/>
      <c r="E39" s="298">
        <f t="shared" ref="E39" ca="1" si="6">MAX(O55:O157)</f>
        <v>37.694557589694597</v>
      </c>
      <c r="F39" s="300" t="s">
        <v>13</v>
      </c>
      <c r="G39" s="281"/>
      <c r="I39" s="187"/>
      <c r="M39" s="281"/>
      <c r="N39" s="281"/>
      <c r="O39" s="281"/>
      <c r="P39" s="281"/>
      <c r="Q39" s="281"/>
      <c r="R39" s="260"/>
    </row>
    <row r="40" spans="1:23">
      <c r="A40" s="248"/>
      <c r="B40" s="527"/>
      <c r="C40" s="532" t="s">
        <v>75</v>
      </c>
      <c r="D40" s="533"/>
      <c r="E40" s="298">
        <v>51.827876598442238</v>
      </c>
      <c r="F40" s="300" t="s">
        <v>13</v>
      </c>
      <c r="G40" s="281"/>
      <c r="I40" s="534" t="s">
        <v>316</v>
      </c>
      <c r="J40" s="534"/>
      <c r="K40" s="534"/>
      <c r="L40" s="534"/>
      <c r="M40" s="534"/>
      <c r="N40" s="534"/>
      <c r="O40" s="534"/>
      <c r="P40" s="534"/>
      <c r="Q40" s="281"/>
      <c r="R40" s="260"/>
    </row>
    <row r="41" spans="1:23">
      <c r="A41" s="248"/>
      <c r="B41" s="528"/>
      <c r="C41" s="530" t="s">
        <v>15</v>
      </c>
      <c r="D41" s="531"/>
      <c r="E41" s="298">
        <v>67.369948736005398</v>
      </c>
      <c r="F41" s="299" t="s">
        <v>13</v>
      </c>
      <c r="G41" s="281"/>
      <c r="H41" s="301"/>
      <c r="I41" s="535" t="str" cm="1">
        <f t="array" aca="1" ref="I41" ca="1">IFERROR(_xlfn.LET(
_xlpm.Func,"Canal",
_xlpm.Funcs,Base_Bueiros!$A$2:$A$37,
_xlpm.Tipos,Base_Bueiros!$C$2:$C$37,
_xlpm.Dims,Base_Bueiros!$D$2:$D$37,
_xlpm.Vazoes,Base_Bueiros!$F$2:$F$37,
_xlpm.DimNum,IFERROR(VALUE(TRIM(LEFT(_xlpm.Dims,FIND("x",_xlpm.Dims)-1))),VALUE(_xlpm.Dims)),
_xlpm.Linhas,IF(MID(_xlpm.Tipos,2,1)="T",3,IF(MID(_xlpm.Tipos,2,1)="D",2,1)),
_xlpm.EhTubular,MID(_xlpm.Tipos,3,1)="T",
_xlpm.QNec,IF(ISNUMBER(FIND("Orif",_xlpm.Func)),IF(_xlpm.EhTubular,E39,E40),IF(_xlpm.EhTubular,E38,E39)),
_xlpm.FiltroBase,(ISNUMBER(FIND(_xlpm.Func,_xlpm.Funcs)))*(_xlpm.Vazoes&gt;=_xlpm.QNec),
_xlpm.TemTubular,SUM(_xlpm.FiltroBase*_xlpm.EhTubular)&gt;0,
_xlpm.Filtro,_xlpm.FiltroBase*IF(_xlpm.TemTubular,_xlpm.EhTubular,NOT(_xlpm.EhTubular)),
_xlpm.Prior1,IF(_xlpm.EhTubular,_xlpm.DimNum,_xlpm.Linhas),
_xlpm.Prior2,IF(_xlpm.EhTubular,_xlpm.Linhas,_xlpm.DimNum),
_xlpm.MenorPrior1,_xlfn.AGGREGATE(15,6,_xlpm.Prior1/_xlpm.Filtro,1),
_xlpm.MenorPrior2,_xlfn.AGGREGATE(15,6,_xlpm.Prior2/(_xlpm.Filtro*(_xlpm.Prior1=_xlpm.MenorPrior1)),1),
_xlpm.MenorVazao,_xlfn.AGGREGATE(15,6,_xlpm.Vazoes/(_xlpm.Filtro*(_xlpm.Prior1=_xlpm.MenorPrior1)*(_xlpm.Prior2=_xlpm.MenorPrior2)),1),
_xlpm.Linha,MATCH(1,(_xlpm.Vazoes=_xlpm.MenorVazao)*(_xlpm.Filtro&gt;0),0),
_xlpm.Tipo,INDEX(_xlpm.Tipos,_xlpm.Linha),
_xlpm.Dim,INDEX(_xlpm.Dims,_xlpm.Linha),
_xlpm.EhTubularEscolhido,MID(_xlpm.Tipo,3,1)="T",
_xlpm.Tipo&amp;" "&amp;IF(_xlpm.EhTubularEscolhido,_xlpm.Dim&amp;"m",SUBSTITUTE(_xlpm.Dim,"0,00","")&amp;"m")
),"Ponte")</f>
        <v>BDCC 3,00 x 3,00m</v>
      </c>
      <c r="J41" s="535"/>
      <c r="K41" s="535"/>
      <c r="L41" s="535"/>
      <c r="M41" s="535"/>
      <c r="N41" s="535"/>
      <c r="O41" s="535"/>
      <c r="P41" s="535"/>
      <c r="Q41" s="281"/>
      <c r="R41" s="260"/>
    </row>
    <row r="42" spans="1:23">
      <c r="A42" s="248"/>
      <c r="B42" s="302"/>
      <c r="C42" s="303"/>
      <c r="D42" s="303"/>
      <c r="E42" s="304"/>
      <c r="F42" s="249"/>
      <c r="G42" s="281"/>
      <c r="H42" s="301"/>
      <c r="I42" s="187" t="s">
        <v>317</v>
      </c>
      <c r="M42" s="281"/>
      <c r="N42" s="281"/>
      <c r="O42" s="281"/>
      <c r="P42" s="281"/>
      <c r="Q42" s="281"/>
      <c r="R42" s="260"/>
    </row>
    <row r="43" spans="1:23">
      <c r="A43" s="248"/>
      <c r="B43" s="302"/>
      <c r="C43" s="303"/>
      <c r="D43" s="303"/>
      <c r="E43" s="304"/>
      <c r="F43" s="249"/>
      <c r="G43" s="281"/>
      <c r="H43" s="301"/>
      <c r="I43" s="187"/>
      <c r="M43" s="281"/>
      <c r="N43" s="281"/>
      <c r="O43" s="281"/>
      <c r="P43" s="281"/>
      <c r="Q43" s="281"/>
      <c r="R43" s="260"/>
    </row>
    <row r="44" spans="1:23">
      <c r="A44" s="248"/>
      <c r="B44" s="302"/>
      <c r="C44" s="303"/>
      <c r="D44" s="303"/>
      <c r="E44" s="304"/>
      <c r="F44" s="249"/>
      <c r="G44" s="281"/>
      <c r="H44" s="301"/>
      <c r="I44" s="534" t="s">
        <v>316</v>
      </c>
      <c r="J44" s="534"/>
      <c r="K44" s="534"/>
      <c r="L44" s="534"/>
      <c r="M44" s="534"/>
      <c r="N44" s="534"/>
      <c r="O44" s="534"/>
      <c r="P44" s="534"/>
      <c r="Q44" s="281"/>
      <c r="R44" s="260"/>
    </row>
    <row r="45" spans="1:23">
      <c r="A45" s="248"/>
      <c r="B45" s="302"/>
      <c r="C45" s="303"/>
      <c r="D45" s="303"/>
      <c r="E45" s="304"/>
      <c r="F45" s="249"/>
      <c r="G45" s="281"/>
      <c r="H45" s="301"/>
      <c r="I45" s="535" t="str" cm="1">
        <f t="array" aca="1" ref="I45" ca="1">IFERROR(_xlfn.LET(
_xlpm.Func,"Orif",
_xlpm.Funcs,Base_Bueiros!$A$2:$A$37,
_xlpm.Tipos,Base_Bueiros!$C$2:$C$37,
_xlpm.Dims,Base_Bueiros!$D$2:$D$37,
_xlpm.Vazoes,Base_Bueiros!$F$2:$F$37,
_xlpm.DimNum,IFERROR(VALUE(TRIM(LEFT(_xlpm.Dims,FIND("x",_xlpm.Dims)-1))),VALUE(_xlpm.Dims)),
_xlpm.Linhas,IF(MID(_xlpm.Tipos,2,1)="T",3,IF(MID(_xlpm.Tipos,2,1)="D",2,1)),
_xlpm.EhTubular,MID(_xlpm.Tipos,3,1)="T",
_xlpm.QNec,IF(ISNUMBER(FIND("Orif",_xlpm.Func)),IF(_xlpm.EhTubular,E39,E40),IF(_xlpm.EhTubular,E38,E39)),
_xlpm.FiltroBase,(ISNUMBER(FIND(_xlpm.Func,_xlpm.Funcs)))*(_xlpm.Vazoes&gt;=_xlpm.QNec),
_xlpm.TemTubular,SUM(_xlpm.FiltroBase*_xlpm.EhTubular)&gt;0,
_xlpm.Filtro,_xlpm.FiltroBase*IF(_xlpm.TemTubular,_xlpm.EhTubular,NOT(_xlpm.EhTubular)),
_xlpm.Prior1,IF(_xlpm.EhTubular,_xlpm.DimNum,_xlpm.Linhas),
_xlpm.Prior2,IF(_xlpm.EhTubular,_xlpm.Linhas,_xlpm.DimNum),
_xlpm.MenorPrior1,_xlfn.AGGREGATE(15,6,_xlpm.Prior1/_xlpm.Filtro,1),
_xlpm.MenorPrior2,_xlfn.AGGREGATE(15,6,_xlpm.Prior2/(_xlpm.Filtro*(_xlpm.Prior1=_xlpm.MenorPrior1)),1),
_xlpm.MenorVazao,_xlfn.AGGREGATE(15,6,_xlpm.Vazoes/(_xlpm.Filtro*(_xlpm.Prior1=_xlpm.MenorPrior1)*(_xlpm.Prior2=_xlpm.MenorPrior2)),1),
_xlpm.Linha,MATCH(1,(_xlpm.Vazoes=_xlpm.MenorVazao)*(_xlpm.Filtro&gt;0),0),
_xlpm.Tipo,INDEX(_xlpm.Tipos,_xlpm.Linha),
_xlpm.Dim,INDEX(_xlpm.Dims,_xlpm.Linha),
_xlpm.EhTubularEscolhido,MID(_xlpm.Tipo,3,1)="T",
_xlpm.Tipo&amp;" "&amp;IF(_xlpm.EhTubularEscolhido,_xlpm.Dim&amp;"m",SUBSTITUTE(_xlpm.Dim,"0,00","")&amp;"m")
),"Ponte")</f>
        <v>BDCC 2,50 x 2,50m</v>
      </c>
      <c r="J45" s="535"/>
      <c r="K45" s="535"/>
      <c r="L45" s="535"/>
      <c r="M45" s="535"/>
      <c r="N45" s="535"/>
      <c r="O45" s="535"/>
      <c r="P45" s="535"/>
      <c r="Q45" s="281"/>
      <c r="R45" s="260"/>
    </row>
    <row r="46" spans="1:23">
      <c r="A46" s="248"/>
      <c r="B46" s="302"/>
      <c r="C46" s="303"/>
      <c r="D46" s="303"/>
      <c r="E46" s="304"/>
      <c r="F46" s="249"/>
      <c r="G46" s="281"/>
      <c r="H46" s="301"/>
      <c r="I46" s="187" t="s">
        <v>86</v>
      </c>
      <c r="M46" s="281"/>
      <c r="N46" s="281"/>
      <c r="O46" s="281"/>
      <c r="P46" s="281"/>
      <c r="Q46" s="281"/>
      <c r="R46" s="260"/>
    </row>
    <row r="47" spans="1:23">
      <c r="A47" s="248"/>
      <c r="B47" s="302"/>
      <c r="C47" s="303"/>
      <c r="D47" s="303"/>
      <c r="E47" s="304"/>
      <c r="F47" s="249"/>
      <c r="G47" s="281"/>
      <c r="H47" s="301"/>
      <c r="I47" s="187"/>
      <c r="M47" s="281"/>
      <c r="N47" s="281"/>
      <c r="O47" s="281"/>
      <c r="P47" s="281"/>
      <c r="Q47" s="281"/>
      <c r="R47" s="260"/>
    </row>
    <row r="48" spans="1:23" ht="19.5" customHeight="1">
      <c r="A48" s="248"/>
      <c r="B48" s="302"/>
      <c r="C48" s="303"/>
      <c r="D48" s="303"/>
      <c r="E48" s="304"/>
      <c r="F48" s="249"/>
      <c r="G48" s="281"/>
      <c r="H48" s="301"/>
      <c r="I48" s="539" t="s">
        <v>408</v>
      </c>
      <c r="J48" s="442"/>
      <c r="K48" s="442"/>
      <c r="L48" s="442"/>
      <c r="M48" s="442"/>
      <c r="N48" s="442"/>
      <c r="O48" s="442"/>
      <c r="P48" s="442"/>
      <c r="Q48" s="281"/>
      <c r="R48" s="260"/>
    </row>
    <row r="49" spans="1:26">
      <c r="A49" s="248"/>
      <c r="B49" s="302"/>
      <c r="C49" s="303"/>
      <c r="D49" s="303"/>
      <c r="E49" s="304"/>
      <c r="F49" s="249"/>
      <c r="G49" s="281"/>
      <c r="H49" s="301"/>
      <c r="I49" s="452" t="str">
        <f>'Apresentação  - Est. Hid.'!AK27</f>
        <v>Ponte existente 20,00x4,20m</v>
      </c>
      <c r="J49" s="453"/>
      <c r="K49" s="453"/>
      <c r="L49" s="453"/>
      <c r="M49" s="453"/>
      <c r="N49" s="453"/>
      <c r="O49" s="453"/>
      <c r="P49" s="453"/>
      <c r="Q49" s="281"/>
      <c r="R49" s="260"/>
    </row>
    <row r="50" spans="1:26">
      <c r="A50" s="305"/>
      <c r="B50" s="306"/>
      <c r="C50" s="306"/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6"/>
      <c r="P50" s="306"/>
      <c r="Q50" s="306"/>
      <c r="R50" s="307"/>
    </row>
    <row r="51" spans="1:26" ht="15" customHeight="1">
      <c r="R51" s="308"/>
      <c r="S51" s="308"/>
      <c r="U51" s="309"/>
      <c r="V51" s="277"/>
      <c r="X51" s="36"/>
      <c r="Z51" s="36"/>
    </row>
    <row r="52" spans="1:26" ht="15" customHeight="1">
      <c r="D52" s="536" t="s">
        <v>318</v>
      </c>
      <c r="E52" s="536" t="s">
        <v>319</v>
      </c>
      <c r="F52" s="536" t="s">
        <v>320</v>
      </c>
      <c r="G52" s="537" t="s">
        <v>321</v>
      </c>
      <c r="H52" s="538" t="s">
        <v>322</v>
      </c>
      <c r="I52" s="538"/>
      <c r="J52" s="538"/>
      <c r="K52" s="538"/>
      <c r="L52" s="538"/>
      <c r="M52" s="538"/>
      <c r="N52" s="538"/>
      <c r="O52" s="538" t="s">
        <v>323</v>
      </c>
      <c r="R52" s="308"/>
      <c r="S52" s="308"/>
      <c r="U52" s="309"/>
      <c r="V52" s="277"/>
      <c r="X52" s="36"/>
      <c r="Z52" s="36"/>
    </row>
    <row r="53" spans="1:26" ht="15" customHeight="1">
      <c r="D53" s="536"/>
      <c r="E53" s="536"/>
      <c r="F53" s="536"/>
      <c r="G53" s="537"/>
      <c r="H53" s="292">
        <f ca="1">Q29</f>
        <v>0.17010530944698815</v>
      </c>
      <c r="I53" s="292">
        <f ca="1">Q30</f>
        <v>0.45884832143346449</v>
      </c>
      <c r="J53" s="292">
        <f ca="1">Q31</f>
        <v>0.44323526243849254</v>
      </c>
      <c r="K53" s="292">
        <f ca="1">Q32</f>
        <v>0.46069271621531538</v>
      </c>
      <c r="L53" s="292"/>
      <c r="M53" s="292"/>
      <c r="N53" s="292"/>
      <c r="O53" s="538"/>
      <c r="R53" s="308"/>
      <c r="S53" s="308"/>
      <c r="U53" s="309"/>
      <c r="V53" s="277"/>
      <c r="X53" s="36"/>
      <c r="Z53" s="36"/>
    </row>
    <row r="54" spans="1:26">
      <c r="D54" s="310">
        <v>0</v>
      </c>
      <c r="E54" s="284">
        <f t="shared" ref="E54:E117" ca="1" si="7">IF(F54&lt;=$Q$9,F54/$Q$9,IF(F54&lt;=$Q$10,($Q$10-F54)/$Q$11,0))</f>
        <v>0</v>
      </c>
      <c r="F54" s="284">
        <f t="shared" ref="F54:F117" ca="1" si="8">D54*$Q$8</f>
        <v>0</v>
      </c>
      <c r="G54" s="284">
        <f t="shared" ref="G54:G117" ca="1" si="9">E54*$Q$12</f>
        <v>0</v>
      </c>
      <c r="H54" s="284">
        <f ca="1">$G54*H$53</f>
        <v>0</v>
      </c>
      <c r="I54" s="284"/>
      <c r="J54" s="284"/>
      <c r="K54" s="284"/>
      <c r="L54" s="284"/>
      <c r="M54" s="284"/>
      <c r="N54" s="284"/>
      <c r="O54" s="284">
        <f ca="1">SUM(H54:N54)</f>
        <v>0</v>
      </c>
      <c r="Q54" s="296"/>
      <c r="R54" s="296"/>
      <c r="S54" s="308"/>
      <c r="U54" s="309"/>
      <c r="V54" s="277"/>
      <c r="X54" s="36"/>
      <c r="Z54" s="36"/>
    </row>
    <row r="55" spans="1:26">
      <c r="D55" s="310">
        <v>0.2</v>
      </c>
      <c r="E55" s="284">
        <f t="shared" ca="1" si="7"/>
        <v>6.8965517241379309E-2</v>
      </c>
      <c r="F55" s="284">
        <f t="shared" ca="1" si="8"/>
        <v>7.7535728503462242E-2</v>
      </c>
      <c r="G55" s="284">
        <f t="shared" ca="1" si="9"/>
        <v>2.1613530303336286</v>
      </c>
      <c r="H55" s="284">
        <f t="shared" ref="H55:H118" ca="1" si="10">$G55*H$53</f>
        <v>0.36765762604908747</v>
      </c>
      <c r="I55" s="284"/>
      <c r="J55" s="284"/>
      <c r="K55" s="284"/>
      <c r="L55" s="284"/>
      <c r="M55" s="284"/>
      <c r="N55" s="284"/>
      <c r="O55" s="284">
        <f t="shared" ref="O55:O118" ca="1" si="11">SUM(H55:N55)</f>
        <v>0.36765762604908747</v>
      </c>
      <c r="Q55" s="296"/>
      <c r="R55" s="296"/>
      <c r="S55" s="308"/>
      <c r="U55" s="309"/>
      <c r="V55" s="277"/>
      <c r="X55" s="36"/>
    </row>
    <row r="56" spans="1:26">
      <c r="D56" s="310">
        <v>0.4</v>
      </c>
      <c r="E56" s="284">
        <f t="shared" ca="1" si="7"/>
        <v>0.13793103448275862</v>
      </c>
      <c r="F56" s="284">
        <f t="shared" ca="1" si="8"/>
        <v>0.15507145700692448</v>
      </c>
      <c r="G56" s="284">
        <f t="shared" ca="1" si="9"/>
        <v>4.3227060606672572</v>
      </c>
      <c r="H56" s="284">
        <f t="shared" ca="1" si="10"/>
        <v>0.73531525209817494</v>
      </c>
      <c r="I56" s="284"/>
      <c r="J56" s="284"/>
      <c r="K56" s="284"/>
      <c r="L56" s="284"/>
      <c r="M56" s="284"/>
      <c r="N56" s="284"/>
      <c r="O56" s="284">
        <f t="shared" ca="1" si="11"/>
        <v>0.73531525209817494</v>
      </c>
      <c r="Q56" s="296"/>
      <c r="R56" s="296"/>
      <c r="S56" s="308"/>
      <c r="U56" s="309"/>
      <c r="V56" s="277"/>
    </row>
    <row r="57" spans="1:26">
      <c r="D57" s="310">
        <v>0.6</v>
      </c>
      <c r="E57" s="284">
        <f t="shared" ca="1" si="7"/>
        <v>0.20689655172413793</v>
      </c>
      <c r="F57" s="284">
        <f t="shared" ca="1" si="8"/>
        <v>0.23260718551038673</v>
      </c>
      <c r="G57" s="284">
        <f t="shared" ca="1" si="9"/>
        <v>6.4840590910008862</v>
      </c>
      <c r="H57" s="284">
        <f t="shared" ca="1" si="10"/>
        <v>1.1029728781472625</v>
      </c>
      <c r="I57" s="284"/>
      <c r="J57" s="284"/>
      <c r="K57" s="284"/>
      <c r="L57" s="284"/>
      <c r="M57" s="284"/>
      <c r="N57" s="284"/>
      <c r="O57" s="284">
        <f t="shared" ca="1" si="11"/>
        <v>1.1029728781472625</v>
      </c>
      <c r="Q57" s="296"/>
      <c r="R57" s="296"/>
      <c r="S57" s="308"/>
      <c r="U57" s="309"/>
      <c r="V57" s="277"/>
    </row>
    <row r="58" spans="1:26">
      <c r="D58" s="310">
        <v>0.8</v>
      </c>
      <c r="E58" s="284">
        <f t="shared" ca="1" si="7"/>
        <v>0.27586206896551724</v>
      </c>
      <c r="F58" s="284">
        <f t="shared" ca="1" si="8"/>
        <v>0.31014291401384897</v>
      </c>
      <c r="G58" s="284">
        <f t="shared" ca="1" si="9"/>
        <v>8.6454121213345143</v>
      </c>
      <c r="H58" s="284">
        <f t="shared" ca="1" si="10"/>
        <v>1.4706305041963499</v>
      </c>
      <c r="I58" s="284"/>
      <c r="J58" s="284"/>
      <c r="K58" s="284"/>
      <c r="L58" s="284"/>
      <c r="M58" s="284"/>
      <c r="N58" s="284"/>
      <c r="O58" s="284">
        <f ca="1">SUM(H58:N58)</f>
        <v>1.4706305041963499</v>
      </c>
      <c r="Q58" s="296"/>
      <c r="R58" s="296"/>
    </row>
    <row r="59" spans="1:26">
      <c r="D59" s="310">
        <v>1</v>
      </c>
      <c r="E59" s="284">
        <f t="shared" ca="1" si="7"/>
        <v>0.34482758620689657</v>
      </c>
      <c r="F59" s="284">
        <f t="shared" ca="1" si="8"/>
        <v>0.38767864251731121</v>
      </c>
      <c r="G59" s="284">
        <f t="shared" ca="1" si="9"/>
        <v>10.806765151668145</v>
      </c>
      <c r="H59" s="284">
        <f t="shared" ca="1" si="10"/>
        <v>1.8382881302454377</v>
      </c>
      <c r="I59" s="284">
        <f ca="1">$G54*I$53</f>
        <v>0</v>
      </c>
      <c r="J59" s="284"/>
      <c r="K59" s="284"/>
      <c r="L59" s="284"/>
      <c r="M59" s="284"/>
      <c r="N59" s="284"/>
      <c r="O59" s="284">
        <f t="shared" ca="1" si="11"/>
        <v>1.8382881302454377</v>
      </c>
      <c r="Q59" s="296"/>
      <c r="R59" s="296"/>
    </row>
    <row r="60" spans="1:26">
      <c r="D60" s="310">
        <v>1.2</v>
      </c>
      <c r="E60" s="284">
        <f t="shared" ca="1" si="7"/>
        <v>0.41379310344827586</v>
      </c>
      <c r="F60" s="284">
        <f t="shared" ca="1" si="8"/>
        <v>0.46521437102077345</v>
      </c>
      <c r="G60" s="284">
        <f t="shared" ca="1" si="9"/>
        <v>12.968118182001772</v>
      </c>
      <c r="H60" s="284">
        <f t="shared" ca="1" si="10"/>
        <v>2.2059457562945251</v>
      </c>
      <c r="I60" s="284">
        <f t="shared" ref="I60:I123" ca="1" si="12">$G55*I$53</f>
        <v>0.99173320999371728</v>
      </c>
      <c r="J60" s="284"/>
      <c r="K60" s="284"/>
      <c r="L60" s="284"/>
      <c r="M60" s="284"/>
      <c r="N60" s="284"/>
      <c r="O60" s="284">
        <f t="shared" ca="1" si="11"/>
        <v>3.1976789662882421</v>
      </c>
      <c r="Q60" s="296"/>
      <c r="R60" s="296"/>
    </row>
    <row r="61" spans="1:26" ht="15" customHeight="1">
      <c r="D61" s="310">
        <v>1.4</v>
      </c>
      <c r="E61" s="284">
        <f t="shared" ca="1" si="7"/>
        <v>0.48275862068965519</v>
      </c>
      <c r="F61" s="284">
        <f t="shared" ca="1" si="8"/>
        <v>0.5427500995242357</v>
      </c>
      <c r="G61" s="284">
        <f t="shared" ca="1" si="9"/>
        <v>15.129471212335401</v>
      </c>
      <c r="H61" s="284">
        <f t="shared" ca="1" si="10"/>
        <v>2.5736033823436126</v>
      </c>
      <c r="I61" s="284">
        <f t="shared" ca="1" si="12"/>
        <v>1.9834664199874346</v>
      </c>
      <c r="J61" s="284"/>
      <c r="K61" s="284"/>
      <c r="L61" s="284"/>
      <c r="M61" s="284"/>
      <c r="N61" s="284"/>
      <c r="O61" s="284">
        <f t="shared" ca="1" si="11"/>
        <v>4.5570698023310472</v>
      </c>
      <c r="Q61" s="296"/>
      <c r="R61" s="296"/>
    </row>
    <row r="62" spans="1:26" ht="15" customHeight="1">
      <c r="D62" s="310">
        <v>1.6</v>
      </c>
      <c r="E62" s="284">
        <f t="shared" ca="1" si="7"/>
        <v>0.55172413793103448</v>
      </c>
      <c r="F62" s="284">
        <f t="shared" ca="1" si="8"/>
        <v>0.62028582802769794</v>
      </c>
      <c r="G62" s="284">
        <f t="shared" ca="1" si="9"/>
        <v>17.290824242669029</v>
      </c>
      <c r="H62" s="284">
        <f t="shared" ca="1" si="10"/>
        <v>2.9412610083926998</v>
      </c>
      <c r="I62" s="284">
        <f t="shared" ca="1" si="12"/>
        <v>2.9751996299811521</v>
      </c>
      <c r="J62" s="284"/>
      <c r="K62" s="284"/>
      <c r="L62" s="284"/>
      <c r="M62" s="284"/>
      <c r="N62" s="284"/>
      <c r="O62" s="284">
        <f t="shared" ca="1" si="11"/>
        <v>5.9164606383738523</v>
      </c>
      <c r="Q62" s="296"/>
      <c r="R62" s="296"/>
    </row>
    <row r="63" spans="1:26" ht="15" customHeight="1">
      <c r="D63" s="310">
        <v>1.8</v>
      </c>
      <c r="E63" s="284">
        <f t="shared" ca="1" si="7"/>
        <v>0.62068965517241381</v>
      </c>
      <c r="F63" s="284">
        <f t="shared" ca="1" si="8"/>
        <v>0.69782155653116018</v>
      </c>
      <c r="G63" s="284">
        <f t="shared" ca="1" si="9"/>
        <v>19.452177273002661</v>
      </c>
      <c r="H63" s="284">
        <f t="shared" ca="1" si="10"/>
        <v>3.3089186344417878</v>
      </c>
      <c r="I63" s="284">
        <f t="shared" ca="1" si="12"/>
        <v>3.9669328399748691</v>
      </c>
      <c r="J63" s="284"/>
      <c r="K63" s="284"/>
      <c r="L63" s="284"/>
      <c r="M63" s="284"/>
      <c r="N63" s="284"/>
      <c r="O63" s="284">
        <f t="shared" ca="1" si="11"/>
        <v>7.2758514744166565</v>
      </c>
      <c r="Q63" s="296"/>
      <c r="R63" s="296"/>
    </row>
    <row r="64" spans="1:26" ht="15" customHeight="1">
      <c r="D64" s="310">
        <v>2</v>
      </c>
      <c r="E64" s="284">
        <f t="shared" ca="1" si="7"/>
        <v>0.68965517241379315</v>
      </c>
      <c r="F64" s="284">
        <f t="shared" ca="1" si="8"/>
        <v>0.77535728503462242</v>
      </c>
      <c r="G64" s="284">
        <f t="shared" ca="1" si="9"/>
        <v>21.61353030333629</v>
      </c>
      <c r="H64" s="284">
        <f t="shared" ca="1" si="10"/>
        <v>3.6765762604908754</v>
      </c>
      <c r="I64" s="284">
        <f t="shared" ca="1" si="12"/>
        <v>4.9586660499685875</v>
      </c>
      <c r="J64" s="284">
        <f ca="1">$G54*J$53</f>
        <v>0</v>
      </c>
      <c r="K64" s="284"/>
      <c r="L64" s="284"/>
      <c r="M64" s="284"/>
      <c r="N64" s="284"/>
      <c r="O64" s="284">
        <f t="shared" ca="1" si="11"/>
        <v>8.6352423104594624</v>
      </c>
      <c r="Q64" s="296"/>
      <c r="R64" s="296"/>
    </row>
    <row r="65" spans="4:18" ht="15" customHeight="1">
      <c r="D65" s="310">
        <v>2.2000000000000002</v>
      </c>
      <c r="E65" s="284">
        <f t="shared" ca="1" si="7"/>
        <v>0.7586206896551726</v>
      </c>
      <c r="F65" s="284">
        <f t="shared" ca="1" si="8"/>
        <v>0.85289301353808478</v>
      </c>
      <c r="G65" s="284">
        <f t="shared" ca="1" si="9"/>
        <v>23.774883333669923</v>
      </c>
      <c r="H65" s="284">
        <f t="shared" ca="1" si="10"/>
        <v>4.0442338865399634</v>
      </c>
      <c r="I65" s="284">
        <f t="shared" ca="1" si="12"/>
        <v>5.9503992599623041</v>
      </c>
      <c r="J65" s="284">
        <f t="shared" ref="J65:J128" ca="1" si="13">$G55*J$53</f>
        <v>0.95798787762215698</v>
      </c>
      <c r="K65" s="284"/>
      <c r="L65" s="284"/>
      <c r="M65" s="284"/>
      <c r="N65" s="284"/>
      <c r="O65" s="284">
        <f t="shared" ca="1" si="11"/>
        <v>10.952621024124424</v>
      </c>
      <c r="Q65" s="296"/>
      <c r="R65" s="296"/>
    </row>
    <row r="66" spans="4:18">
      <c r="D66" s="310">
        <v>2.4</v>
      </c>
      <c r="E66" s="284">
        <f t="shared" ca="1" si="7"/>
        <v>0.82758620689655171</v>
      </c>
      <c r="F66" s="284">
        <f t="shared" ca="1" si="8"/>
        <v>0.93042874204154691</v>
      </c>
      <c r="G66" s="284">
        <f t="shared" ca="1" si="9"/>
        <v>25.936236364003545</v>
      </c>
      <c r="H66" s="284">
        <f t="shared" ca="1" si="10"/>
        <v>4.4118915125890501</v>
      </c>
      <c r="I66" s="284">
        <f t="shared" ca="1" si="12"/>
        <v>6.9421324699560216</v>
      </c>
      <c r="J66" s="284">
        <f t="shared" ca="1" si="13"/>
        <v>1.915975755244314</v>
      </c>
      <c r="K66" s="284"/>
      <c r="L66" s="284"/>
      <c r="M66" s="284"/>
      <c r="N66" s="284"/>
      <c r="O66" s="284">
        <f t="shared" ca="1" si="11"/>
        <v>13.269999737789387</v>
      </c>
      <c r="Q66" s="296"/>
      <c r="R66" s="296"/>
    </row>
    <row r="67" spans="4:18">
      <c r="D67" s="310">
        <v>2.6</v>
      </c>
      <c r="E67" s="284">
        <f t="shared" ca="1" si="7"/>
        <v>0.89655172413793116</v>
      </c>
      <c r="F67" s="284">
        <f t="shared" ca="1" si="8"/>
        <v>1.0079644705450093</v>
      </c>
      <c r="G67" s="284">
        <f t="shared" ca="1" si="9"/>
        <v>28.097589394337177</v>
      </c>
      <c r="H67" s="284">
        <f t="shared" ca="1" si="10"/>
        <v>4.7795491386381377</v>
      </c>
      <c r="I67" s="284">
        <f t="shared" ca="1" si="12"/>
        <v>7.9338656799497382</v>
      </c>
      <c r="J67" s="284">
        <f t="shared" ca="1" si="13"/>
        <v>2.8739636328664711</v>
      </c>
      <c r="K67" s="284"/>
      <c r="L67" s="284"/>
      <c r="M67" s="284"/>
      <c r="N67" s="284"/>
      <c r="O67" s="284">
        <f t="shared" ca="1" si="11"/>
        <v>15.587378451454345</v>
      </c>
      <c r="Q67" s="296"/>
      <c r="R67" s="296"/>
    </row>
    <row r="68" spans="4:18">
      <c r="D68" s="310">
        <v>2.8</v>
      </c>
      <c r="E68" s="284">
        <f t="shared" ca="1" si="7"/>
        <v>0.96551724137931039</v>
      </c>
      <c r="F68" s="284">
        <f t="shared" ca="1" si="8"/>
        <v>1.0855001990484714</v>
      </c>
      <c r="G68" s="284">
        <f t="shared" ca="1" si="9"/>
        <v>30.258942424670803</v>
      </c>
      <c r="H68" s="284">
        <f t="shared" ca="1" si="10"/>
        <v>5.1472067646872253</v>
      </c>
      <c r="I68" s="284">
        <f t="shared" ca="1" si="12"/>
        <v>8.9255988899434584</v>
      </c>
      <c r="J68" s="284">
        <f t="shared" ca="1" si="13"/>
        <v>3.8319515104886279</v>
      </c>
      <c r="K68" s="284"/>
      <c r="L68" s="284"/>
      <c r="M68" s="284"/>
      <c r="N68" s="284"/>
      <c r="O68" s="284">
        <f t="shared" ca="1" si="11"/>
        <v>17.904757165119314</v>
      </c>
      <c r="Q68" s="296"/>
      <c r="R68" s="296"/>
    </row>
    <row r="69" spans="4:18">
      <c r="D69" s="310">
        <v>3</v>
      </c>
      <c r="E69" s="284">
        <f t="shared" ca="1" si="7"/>
        <v>0.97935164154449716</v>
      </c>
      <c r="F69" s="284">
        <f t="shared" ca="1" si="8"/>
        <v>1.1630359275519337</v>
      </c>
      <c r="G69" s="284">
        <f t="shared" ca="1" si="9"/>
        <v>30.692507254108985</v>
      </c>
      <c r="H69" s="284">
        <f t="shared" ca="1" si="10"/>
        <v>5.2209584441641379</v>
      </c>
      <c r="I69" s="284">
        <f t="shared" ca="1" si="12"/>
        <v>9.917332099937175</v>
      </c>
      <c r="J69" s="284">
        <f t="shared" ca="1" si="13"/>
        <v>4.7899393881107857</v>
      </c>
      <c r="K69" s="284">
        <f ca="1">$G54*K$53</f>
        <v>0</v>
      </c>
      <c r="L69" s="284"/>
      <c r="M69" s="284"/>
      <c r="N69" s="284"/>
      <c r="O69" s="284">
        <f t="shared" ca="1" si="11"/>
        <v>19.928229932212098</v>
      </c>
      <c r="Q69" s="296"/>
      <c r="R69" s="296"/>
    </row>
    <row r="70" spans="4:18">
      <c r="D70" s="310">
        <v>3.2</v>
      </c>
      <c r="E70" s="284">
        <f t="shared" ca="1" si="7"/>
        <v>0.9380549246334916</v>
      </c>
      <c r="F70" s="284">
        <f t="shared" ca="1" si="8"/>
        <v>1.2405716560553959</v>
      </c>
      <c r="G70" s="284">
        <f t="shared" ca="1" si="9"/>
        <v>29.398283882651722</v>
      </c>
      <c r="H70" s="284">
        <f t="shared" ca="1" si="10"/>
        <v>5.0008041770688756</v>
      </c>
      <c r="I70" s="284">
        <f t="shared" ca="1" si="12"/>
        <v>10.909065309930895</v>
      </c>
      <c r="J70" s="284">
        <f t="shared" ca="1" si="13"/>
        <v>5.7479272657329421</v>
      </c>
      <c r="K70" s="284">
        <f t="shared" ref="K70:K133" ca="1" si="14">$G55*K$53</f>
        <v>0.99571959824460232</v>
      </c>
      <c r="L70" s="284"/>
      <c r="M70" s="284"/>
      <c r="N70" s="284"/>
      <c r="O70" s="284">
        <f t="shared" ca="1" si="11"/>
        <v>22.653516350977316</v>
      </c>
      <c r="Q70" s="296"/>
      <c r="R70" s="296"/>
    </row>
    <row r="71" spans="4:18">
      <c r="D71" s="310">
        <v>3.4</v>
      </c>
      <c r="E71" s="284">
        <f t="shared" ca="1" si="7"/>
        <v>0.89675820772248604</v>
      </c>
      <c r="F71" s="284">
        <f t="shared" ca="1" si="8"/>
        <v>1.318107384558858</v>
      </c>
      <c r="G71" s="284">
        <f t="shared" ca="1" si="9"/>
        <v>28.104060511194461</v>
      </c>
      <c r="H71" s="284">
        <f t="shared" ca="1" si="10"/>
        <v>4.7806499099736142</v>
      </c>
      <c r="I71" s="284">
        <f t="shared" ca="1" si="12"/>
        <v>11.900798519924608</v>
      </c>
      <c r="J71" s="284">
        <f t="shared" ca="1" si="13"/>
        <v>6.7059151433550994</v>
      </c>
      <c r="K71" s="284">
        <f t="shared" ca="1" si="14"/>
        <v>1.9914391964892046</v>
      </c>
      <c r="L71" s="284"/>
      <c r="M71" s="284"/>
      <c r="N71" s="284"/>
      <c r="O71" s="284">
        <f t="shared" ca="1" si="11"/>
        <v>25.378802769742524</v>
      </c>
      <c r="Q71" s="296"/>
      <c r="R71" s="296"/>
    </row>
    <row r="72" spans="4:18">
      <c r="D72" s="310">
        <v>3.6</v>
      </c>
      <c r="E72" s="284">
        <f t="shared" ca="1" si="7"/>
        <v>0.85546149081148048</v>
      </c>
      <c r="F72" s="284">
        <f t="shared" ca="1" si="8"/>
        <v>1.3956431130623204</v>
      </c>
      <c r="G72" s="284">
        <f t="shared" ca="1" si="9"/>
        <v>26.809837139737198</v>
      </c>
      <c r="H72" s="284">
        <f t="shared" ca="1" si="10"/>
        <v>4.5604956428783519</v>
      </c>
      <c r="I72" s="284">
        <f t="shared" ca="1" si="12"/>
        <v>12.892531729918328</v>
      </c>
      <c r="J72" s="284">
        <f t="shared" ca="1" si="13"/>
        <v>7.6639030209772558</v>
      </c>
      <c r="K72" s="284">
        <f t="shared" ca="1" si="14"/>
        <v>2.9871587947338072</v>
      </c>
      <c r="L72" s="284"/>
      <c r="M72" s="284"/>
      <c r="N72" s="284"/>
      <c r="O72" s="284">
        <f t="shared" ca="1" si="11"/>
        <v>28.104089188507743</v>
      </c>
      <c r="Q72" s="296"/>
      <c r="R72" s="296"/>
    </row>
    <row r="73" spans="4:18">
      <c r="D73" s="310">
        <v>3.8</v>
      </c>
      <c r="E73" s="284">
        <f t="shared" ca="1" si="7"/>
        <v>0.81416477390047493</v>
      </c>
      <c r="F73" s="284">
        <f t="shared" ca="1" si="8"/>
        <v>1.4731788415657825</v>
      </c>
      <c r="G73" s="284">
        <f t="shared" ca="1" si="9"/>
        <v>25.515613768279934</v>
      </c>
      <c r="H73" s="284">
        <f t="shared" ca="1" si="10"/>
        <v>4.3403413757830895</v>
      </c>
      <c r="I73" s="284">
        <f t="shared" ca="1" si="12"/>
        <v>13.884264939912043</v>
      </c>
      <c r="J73" s="284">
        <f t="shared" ca="1" si="13"/>
        <v>8.621890898599414</v>
      </c>
      <c r="K73" s="284">
        <f t="shared" ca="1" si="14"/>
        <v>3.9828783929784093</v>
      </c>
      <c r="L73" s="284"/>
      <c r="M73" s="284"/>
      <c r="N73" s="284"/>
      <c r="O73" s="284">
        <f t="shared" ca="1" si="11"/>
        <v>30.829375607272958</v>
      </c>
      <c r="Q73" s="296"/>
      <c r="R73" s="296"/>
    </row>
    <row r="74" spans="4:18">
      <c r="D74" s="310">
        <v>4</v>
      </c>
      <c r="E74" s="284">
        <f t="shared" ca="1" si="7"/>
        <v>0.77286805698946925</v>
      </c>
      <c r="F74" s="284">
        <f t="shared" ca="1" si="8"/>
        <v>1.5507145700692448</v>
      </c>
      <c r="G74" s="284">
        <f t="shared" ca="1" si="9"/>
        <v>24.22139039682267</v>
      </c>
      <c r="H74" s="284">
        <f t="shared" ca="1" si="10"/>
        <v>4.1201871086878272</v>
      </c>
      <c r="I74" s="284">
        <f t="shared" ca="1" si="12"/>
        <v>14.08320543413234</v>
      </c>
      <c r="J74" s="284">
        <f t="shared" ca="1" si="13"/>
        <v>9.5798787762215714</v>
      </c>
      <c r="K74" s="284">
        <f t="shared" ca="1" si="14"/>
        <v>4.9785979912230127</v>
      </c>
      <c r="L74" s="284"/>
      <c r="M74" s="284"/>
      <c r="N74" s="284"/>
      <c r="O74" s="284">
        <f t="shared" ca="1" si="11"/>
        <v>32.76186931026475</v>
      </c>
      <c r="Q74" s="296"/>
      <c r="R74" s="296"/>
    </row>
    <row r="75" spans="4:18">
      <c r="D75" s="310">
        <v>4.2</v>
      </c>
      <c r="E75" s="284">
        <f t="shared" ca="1" si="7"/>
        <v>0.73157134007846369</v>
      </c>
      <c r="F75" s="284">
        <f t="shared" ca="1" si="8"/>
        <v>1.6282502985727072</v>
      </c>
      <c r="G75" s="284">
        <f t="shared" ca="1" si="9"/>
        <v>22.927167025365407</v>
      </c>
      <c r="H75" s="284">
        <f t="shared" ca="1" si="10"/>
        <v>3.9000328415925654</v>
      </c>
      <c r="I75" s="284">
        <f t="shared" ca="1" si="12"/>
        <v>13.489353212579216</v>
      </c>
      <c r="J75" s="284">
        <f t="shared" ca="1" si="13"/>
        <v>10.53786665384373</v>
      </c>
      <c r="K75" s="284">
        <f t="shared" ca="1" si="14"/>
        <v>5.9743175894676144</v>
      </c>
      <c r="L75" s="284"/>
      <c r="M75" s="284"/>
      <c r="N75" s="284"/>
      <c r="O75" s="284">
        <f t="shared" ca="1" si="11"/>
        <v>33.901570297483126</v>
      </c>
      <c r="Q75" s="296"/>
      <c r="R75" s="296"/>
    </row>
    <row r="76" spans="4:18">
      <c r="D76" s="310">
        <v>4.4000000000000004</v>
      </c>
      <c r="E76" s="284">
        <f t="shared" ca="1" si="7"/>
        <v>0.69027462316745802</v>
      </c>
      <c r="F76" s="284">
        <f t="shared" ca="1" si="8"/>
        <v>1.7057860270761696</v>
      </c>
      <c r="G76" s="284">
        <f t="shared" ca="1" si="9"/>
        <v>21.632943653908143</v>
      </c>
      <c r="H76" s="284">
        <f t="shared" ca="1" si="10"/>
        <v>3.679878574497303</v>
      </c>
      <c r="I76" s="284">
        <f t="shared" ca="1" si="12"/>
        <v>12.895500991026093</v>
      </c>
      <c r="J76" s="284">
        <f t="shared" ca="1" si="13"/>
        <v>11.495854531465884</v>
      </c>
      <c r="K76" s="284">
        <f t="shared" ca="1" si="14"/>
        <v>6.9700371877122169</v>
      </c>
      <c r="L76" s="284"/>
      <c r="M76" s="284"/>
      <c r="N76" s="284"/>
      <c r="O76" s="284">
        <f t="shared" ca="1" si="11"/>
        <v>35.041271284701494</v>
      </c>
      <c r="Q76" s="296"/>
      <c r="R76" s="296"/>
    </row>
    <row r="77" spans="4:18">
      <c r="D77" s="310">
        <v>4.5999999999999996</v>
      </c>
      <c r="E77" s="284">
        <f t="shared" ca="1" si="7"/>
        <v>0.64897790625645257</v>
      </c>
      <c r="F77" s="284">
        <f t="shared" ca="1" si="8"/>
        <v>1.7833217555796315</v>
      </c>
      <c r="G77" s="284">
        <f t="shared" ca="1" si="9"/>
        <v>20.338720282450883</v>
      </c>
      <c r="H77" s="284">
        <f t="shared" ca="1" si="10"/>
        <v>3.4597243074020416</v>
      </c>
      <c r="I77" s="284">
        <f t="shared" ca="1" si="12"/>
        <v>12.301648769472967</v>
      </c>
      <c r="J77" s="284">
        <f t="shared" ca="1" si="13"/>
        <v>12.453842409088043</v>
      </c>
      <c r="K77" s="284">
        <f t="shared" ca="1" si="14"/>
        <v>7.9657567859568186</v>
      </c>
      <c r="L77" s="284"/>
      <c r="M77" s="284"/>
      <c r="N77" s="284"/>
      <c r="O77" s="284">
        <f t="shared" ca="1" si="11"/>
        <v>36.18097227191987</v>
      </c>
      <c r="Q77" s="296"/>
      <c r="R77" s="296"/>
    </row>
    <row r="78" spans="4:18">
      <c r="D78" s="310">
        <v>4.8</v>
      </c>
      <c r="E78" s="284">
        <f t="shared" ca="1" si="7"/>
        <v>0.60768118934544701</v>
      </c>
      <c r="F78" s="284">
        <f t="shared" ca="1" si="8"/>
        <v>1.8608574840830938</v>
      </c>
      <c r="G78" s="284">
        <f t="shared" ca="1" si="9"/>
        <v>19.044496910993619</v>
      </c>
      <c r="H78" s="284">
        <f t="shared" ca="1" si="10"/>
        <v>3.2395700403067793</v>
      </c>
      <c r="I78" s="284">
        <f t="shared" ca="1" si="12"/>
        <v>11.707796547919843</v>
      </c>
      <c r="J78" s="284">
        <f t="shared" ca="1" si="13"/>
        <v>13.411830286710199</v>
      </c>
      <c r="K78" s="284">
        <f t="shared" ca="1" si="14"/>
        <v>8.961476384201422</v>
      </c>
      <c r="L78" s="284"/>
      <c r="M78" s="284"/>
      <c r="N78" s="284"/>
      <c r="O78" s="284">
        <f t="shared" ca="1" si="11"/>
        <v>37.320673259138246</v>
      </c>
      <c r="Q78" s="296"/>
      <c r="R78" s="296"/>
    </row>
    <row r="79" spans="4:18">
      <c r="D79" s="310">
        <v>5</v>
      </c>
      <c r="E79" s="284">
        <f t="shared" ca="1" si="7"/>
        <v>0.56638447243444145</v>
      </c>
      <c r="F79" s="284">
        <f t="shared" ca="1" si="8"/>
        <v>1.9383932125865559</v>
      </c>
      <c r="G79" s="284">
        <f t="shared" ca="1" si="9"/>
        <v>17.750273539536359</v>
      </c>
      <c r="H79" s="284">
        <f t="shared" ca="1" si="10"/>
        <v>3.0194157732115179</v>
      </c>
      <c r="I79" s="284">
        <f t="shared" ca="1" si="12"/>
        <v>11.113944326366719</v>
      </c>
      <c r="J79" s="284">
        <f t="shared" ca="1" si="13"/>
        <v>13.604001507670333</v>
      </c>
      <c r="K79" s="284">
        <f t="shared" ca="1" si="14"/>
        <v>9.9571959824460254</v>
      </c>
      <c r="L79" s="284"/>
      <c r="M79" s="284"/>
      <c r="N79" s="284"/>
      <c r="O79" s="284">
        <f t="shared" ca="1" si="11"/>
        <v>37.694557589694597</v>
      </c>
      <c r="Q79" s="296"/>
      <c r="R79" s="296"/>
    </row>
    <row r="80" spans="4:18">
      <c r="D80" s="310">
        <v>5.2</v>
      </c>
      <c r="E80" s="284">
        <f t="shared" ca="1" si="7"/>
        <v>0.52508775552343567</v>
      </c>
      <c r="F80" s="284">
        <f t="shared" ca="1" si="8"/>
        <v>2.0159289410900185</v>
      </c>
      <c r="G80" s="284">
        <f t="shared" ca="1" si="9"/>
        <v>16.456050168079088</v>
      </c>
      <c r="H80" s="284">
        <f t="shared" ca="1" si="10"/>
        <v>2.7992615061162547</v>
      </c>
      <c r="I80" s="284">
        <f t="shared" ca="1" si="12"/>
        <v>10.520092104813594</v>
      </c>
      <c r="J80" s="284">
        <f t="shared" ca="1" si="13"/>
        <v>13.030356071968441</v>
      </c>
      <c r="K80" s="284">
        <f t="shared" ca="1" si="14"/>
        <v>10.952915580690629</v>
      </c>
      <c r="L80" s="284"/>
      <c r="M80" s="284"/>
      <c r="N80" s="284"/>
      <c r="O80" s="284">
        <f t="shared" ca="1" si="11"/>
        <v>37.302625263588922</v>
      </c>
      <c r="Q80" s="296"/>
      <c r="R80" s="296"/>
    </row>
    <row r="81" spans="4:18">
      <c r="D81" s="310">
        <v>5.4</v>
      </c>
      <c r="E81" s="284">
        <f t="shared" ca="1" si="7"/>
        <v>0.48379103861243017</v>
      </c>
      <c r="F81" s="284">
        <f t="shared" ca="1" si="8"/>
        <v>2.0934646695934807</v>
      </c>
      <c r="G81" s="284">
        <f t="shared" ca="1" si="9"/>
        <v>15.161826796621828</v>
      </c>
      <c r="H81" s="284">
        <f t="shared" ca="1" si="10"/>
        <v>2.5791072390209933</v>
      </c>
      <c r="I81" s="284">
        <f t="shared" ca="1" si="12"/>
        <v>9.9262398832604699</v>
      </c>
      <c r="J81" s="284">
        <f t="shared" ca="1" si="13"/>
        <v>12.456710636266552</v>
      </c>
      <c r="K81" s="284">
        <f t="shared" ca="1" si="14"/>
        <v>11.948635178935229</v>
      </c>
      <c r="L81" s="284"/>
      <c r="M81" s="284"/>
      <c r="N81" s="284"/>
      <c r="O81" s="284">
        <f t="shared" ca="1" si="11"/>
        <v>36.91069293748324</v>
      </c>
      <c r="Q81" s="296"/>
      <c r="R81" s="296"/>
    </row>
    <row r="82" spans="4:18">
      <c r="D82" s="310">
        <v>5.6</v>
      </c>
      <c r="E82" s="284">
        <f t="shared" ca="1" si="7"/>
        <v>0.44249432170142466</v>
      </c>
      <c r="F82" s="284">
        <f t="shared" ca="1" si="8"/>
        <v>2.1710003980969428</v>
      </c>
      <c r="G82" s="284">
        <f t="shared" ca="1" si="9"/>
        <v>13.867603425164567</v>
      </c>
      <c r="H82" s="284">
        <f t="shared" ca="1" si="10"/>
        <v>2.3589529719257314</v>
      </c>
      <c r="I82" s="284">
        <f t="shared" ca="1" si="12"/>
        <v>9.3323876617073456</v>
      </c>
      <c r="J82" s="284">
        <f t="shared" ca="1" si="13"/>
        <v>11.88306520056466</v>
      </c>
      <c r="K82" s="284">
        <f t="shared" ca="1" si="14"/>
        <v>12.944354777179832</v>
      </c>
      <c r="L82" s="284"/>
      <c r="M82" s="284"/>
      <c r="N82" s="284"/>
      <c r="O82" s="284">
        <f t="shared" ca="1" si="11"/>
        <v>36.518760611377573</v>
      </c>
      <c r="Q82" s="296"/>
      <c r="R82" s="296"/>
    </row>
    <row r="83" spans="4:18">
      <c r="D83" s="310">
        <v>5.8</v>
      </c>
      <c r="E83" s="284">
        <f t="shared" ca="1" si="7"/>
        <v>0.4011976047904191</v>
      </c>
      <c r="F83" s="284">
        <f t="shared" ca="1" si="8"/>
        <v>2.2485361266004049</v>
      </c>
      <c r="G83" s="284">
        <f t="shared" ca="1" si="9"/>
        <v>12.573380053707305</v>
      </c>
      <c r="H83" s="284">
        <f t="shared" ca="1" si="10"/>
        <v>2.1387987048304695</v>
      </c>
      <c r="I83" s="284">
        <f t="shared" ca="1" si="12"/>
        <v>8.7385354401542212</v>
      </c>
      <c r="J83" s="284">
        <f t="shared" ca="1" si="13"/>
        <v>11.309419764862771</v>
      </c>
      <c r="K83" s="284">
        <f t="shared" ca="1" si="14"/>
        <v>13.940074375424434</v>
      </c>
      <c r="L83" s="284"/>
      <c r="M83" s="284"/>
      <c r="N83" s="284"/>
      <c r="O83" s="284">
        <f t="shared" ca="1" si="11"/>
        <v>36.126828285271898</v>
      </c>
      <c r="Q83" s="296"/>
      <c r="R83" s="296"/>
    </row>
    <row r="84" spans="4:18">
      <c r="D84" s="310">
        <v>6</v>
      </c>
      <c r="E84" s="284">
        <f t="shared" ca="1" si="7"/>
        <v>0.35990088787941338</v>
      </c>
      <c r="F84" s="284">
        <f t="shared" ca="1" si="8"/>
        <v>2.3260718551038675</v>
      </c>
      <c r="G84" s="284">
        <f t="shared" ca="1" si="9"/>
        <v>11.279156682250038</v>
      </c>
      <c r="H84" s="284">
        <f t="shared" ca="1" si="10"/>
        <v>1.918644437735207</v>
      </c>
      <c r="I84" s="284">
        <f t="shared" ca="1" si="12"/>
        <v>8.1446832186010987</v>
      </c>
      <c r="J84" s="284">
        <f t="shared" ca="1" si="13"/>
        <v>10.735774329160879</v>
      </c>
      <c r="K84" s="284">
        <f t="shared" ca="1" si="14"/>
        <v>14.139814534353739</v>
      </c>
      <c r="L84" s="284"/>
      <c r="M84" s="284"/>
      <c r="N84" s="284"/>
      <c r="O84" s="284">
        <f t="shared" ca="1" si="11"/>
        <v>34.93891651985092</v>
      </c>
      <c r="Q84" s="296"/>
      <c r="R84" s="296"/>
    </row>
    <row r="85" spans="4:18">
      <c r="D85" s="310">
        <v>6.2</v>
      </c>
      <c r="E85" s="284">
        <f t="shared" ca="1" si="7"/>
        <v>0.31860417096840787</v>
      </c>
      <c r="F85" s="284">
        <f t="shared" ca="1" si="8"/>
        <v>2.4036075836073296</v>
      </c>
      <c r="G85" s="284">
        <f t="shared" ca="1" si="9"/>
        <v>9.984933310792778</v>
      </c>
      <c r="H85" s="284">
        <f t="shared" ca="1" si="10"/>
        <v>1.6984901706399453</v>
      </c>
      <c r="I85" s="284">
        <f t="shared" ca="1" si="12"/>
        <v>7.5508309970479708</v>
      </c>
      <c r="J85" s="284">
        <f t="shared" ca="1" si="13"/>
        <v>10.162128893458988</v>
      </c>
      <c r="K85" s="284">
        <f t="shared" ca="1" si="14"/>
        <v>13.543575253967749</v>
      </c>
      <c r="L85" s="284"/>
      <c r="M85" s="284"/>
      <c r="N85" s="284"/>
      <c r="O85" s="284">
        <f t="shared" ca="1" si="11"/>
        <v>32.955025315114653</v>
      </c>
      <c r="Q85" s="296"/>
      <c r="R85" s="296"/>
    </row>
    <row r="86" spans="4:18">
      <c r="D86" s="310">
        <v>6.4</v>
      </c>
      <c r="E86" s="284">
        <f t="shared" ca="1" si="7"/>
        <v>0.27730745405740231</v>
      </c>
      <c r="F86" s="284">
        <f t="shared" ca="1" si="8"/>
        <v>2.4811433121107918</v>
      </c>
      <c r="G86" s="284">
        <f t="shared" ca="1" si="9"/>
        <v>8.6907099393355161</v>
      </c>
      <c r="H86" s="284">
        <f t="shared" ca="1" si="10"/>
        <v>1.4783359035446835</v>
      </c>
      <c r="I86" s="284">
        <f t="shared" ca="1" si="12"/>
        <v>6.9569787754948473</v>
      </c>
      <c r="J86" s="284">
        <f t="shared" ca="1" si="13"/>
        <v>9.5884834577570981</v>
      </c>
      <c r="K86" s="284">
        <f t="shared" ca="1" si="14"/>
        <v>12.947335973581762</v>
      </c>
      <c r="L86" s="284"/>
      <c r="M86" s="284"/>
      <c r="N86" s="284"/>
      <c r="O86" s="284">
        <f t="shared" ca="1" si="11"/>
        <v>30.97113411037839</v>
      </c>
      <c r="Q86" s="296"/>
      <c r="R86" s="296"/>
    </row>
    <row r="87" spans="4:18">
      <c r="D87" s="310">
        <v>6.6</v>
      </c>
      <c r="E87" s="284">
        <f t="shared" ca="1" si="7"/>
        <v>0.23601073714639681</v>
      </c>
      <c r="F87" s="284">
        <f t="shared" ca="1" si="8"/>
        <v>2.5586790406142539</v>
      </c>
      <c r="G87" s="284">
        <f t="shared" ca="1" si="9"/>
        <v>7.396486567878255</v>
      </c>
      <c r="H87" s="284">
        <f t="shared" ca="1" si="10"/>
        <v>1.2581816364494218</v>
      </c>
      <c r="I87" s="284">
        <f t="shared" ca="1" si="12"/>
        <v>6.3631265539417248</v>
      </c>
      <c r="J87" s="284">
        <f t="shared" ca="1" si="13"/>
        <v>9.0148380220552085</v>
      </c>
      <c r="K87" s="284">
        <f t="shared" ca="1" si="14"/>
        <v>12.351096693195771</v>
      </c>
      <c r="L87" s="284"/>
      <c r="M87" s="284"/>
      <c r="N87" s="284"/>
      <c r="O87" s="284">
        <f t="shared" ca="1" si="11"/>
        <v>28.987242905642127</v>
      </c>
      <c r="Q87" s="296"/>
      <c r="R87" s="296"/>
    </row>
    <row r="88" spans="4:18">
      <c r="D88" s="310">
        <v>6.8</v>
      </c>
      <c r="E88" s="284">
        <f t="shared" ca="1" si="7"/>
        <v>0.19471402023539128</v>
      </c>
      <c r="F88" s="284">
        <f t="shared" ca="1" si="8"/>
        <v>2.636214769117716</v>
      </c>
      <c r="G88" s="284">
        <f t="shared" ca="1" si="9"/>
        <v>6.1022631964209939</v>
      </c>
      <c r="H88" s="284">
        <f t="shared" ca="1" si="10"/>
        <v>1.0380273693541602</v>
      </c>
      <c r="I88" s="284">
        <f t="shared" ca="1" si="12"/>
        <v>5.7692743323886004</v>
      </c>
      <c r="J88" s="284">
        <f t="shared" ca="1" si="13"/>
        <v>8.441192586353317</v>
      </c>
      <c r="K88" s="284">
        <f t="shared" ca="1" si="14"/>
        <v>11.754857412809782</v>
      </c>
      <c r="L88" s="284"/>
      <c r="M88" s="284"/>
      <c r="N88" s="284"/>
      <c r="O88" s="284">
        <f ca="1">SUM(H88:N88)</f>
        <v>27.00335170090586</v>
      </c>
      <c r="Q88" s="296"/>
      <c r="R88" s="296"/>
    </row>
    <row r="89" spans="4:18">
      <c r="D89" s="310">
        <v>7</v>
      </c>
      <c r="E89" s="284">
        <f t="shared" ca="1" si="7"/>
        <v>0.15341730332438552</v>
      </c>
      <c r="F89" s="284">
        <f t="shared" ca="1" si="8"/>
        <v>2.7137504976211786</v>
      </c>
      <c r="G89" s="284">
        <f t="shared" ca="1" si="9"/>
        <v>4.8080398249637248</v>
      </c>
      <c r="H89" s="284">
        <f t="shared" ca="1" si="10"/>
        <v>0.8178731022588972</v>
      </c>
      <c r="I89" s="284">
        <f t="shared" ca="1" si="12"/>
        <v>5.1754221108354743</v>
      </c>
      <c r="J89" s="284">
        <f t="shared" ca="1" si="13"/>
        <v>7.8675471506514274</v>
      </c>
      <c r="K89" s="284">
        <f t="shared" ca="1" si="14"/>
        <v>11.158618132423792</v>
      </c>
      <c r="L89" s="284"/>
      <c r="M89" s="284"/>
      <c r="N89" s="284"/>
      <c r="O89" s="284">
        <f t="shared" ca="1" si="11"/>
        <v>25.019460496169593</v>
      </c>
      <c r="Q89" s="296"/>
      <c r="R89" s="296"/>
    </row>
    <row r="90" spans="4:18">
      <c r="D90" s="310">
        <v>7.2</v>
      </c>
      <c r="E90" s="284">
        <f t="shared" ca="1" si="7"/>
        <v>0.11212058641338002</v>
      </c>
      <c r="F90" s="284">
        <f t="shared" ca="1" si="8"/>
        <v>2.7912862261246407</v>
      </c>
      <c r="G90" s="284">
        <f t="shared" ca="1" si="9"/>
        <v>3.5138164535064647</v>
      </c>
      <c r="H90" s="284">
        <f t="shared" ca="1" si="10"/>
        <v>0.59771883516363566</v>
      </c>
      <c r="I90" s="284">
        <f t="shared" ca="1" si="12"/>
        <v>4.5815698892823518</v>
      </c>
      <c r="J90" s="284">
        <f t="shared" ca="1" si="13"/>
        <v>7.2939017149495333</v>
      </c>
      <c r="K90" s="284">
        <f t="shared" ca="1" si="14"/>
        <v>10.562378852037801</v>
      </c>
      <c r="L90" s="284"/>
      <c r="M90" s="284"/>
      <c r="N90" s="284"/>
      <c r="O90" s="284">
        <f t="shared" ca="1" si="11"/>
        <v>23.035569291433319</v>
      </c>
      <c r="Q90" s="296"/>
      <c r="R90" s="296"/>
    </row>
    <row r="91" spans="4:18">
      <c r="D91" s="310">
        <v>7.4</v>
      </c>
      <c r="E91" s="284">
        <f t="shared" ca="1" si="7"/>
        <v>7.0823869502374251E-2</v>
      </c>
      <c r="F91" s="284">
        <f t="shared" ca="1" si="8"/>
        <v>2.8688219546281033</v>
      </c>
      <c r="G91" s="284">
        <f t="shared" ca="1" si="9"/>
        <v>2.219593082049196</v>
      </c>
      <c r="H91" s="284">
        <f t="shared" ca="1" si="10"/>
        <v>0.37756456806837263</v>
      </c>
      <c r="I91" s="284">
        <f t="shared" ca="1" si="12"/>
        <v>3.9877176677292274</v>
      </c>
      <c r="J91" s="284">
        <f t="shared" ca="1" si="13"/>
        <v>6.7202562792476446</v>
      </c>
      <c r="K91" s="284">
        <f t="shared" ca="1" si="14"/>
        <v>9.9661395716518122</v>
      </c>
      <c r="L91" s="284"/>
      <c r="M91" s="284"/>
      <c r="N91" s="284"/>
      <c r="O91" s="284">
        <f t="shared" ca="1" si="11"/>
        <v>21.051678086697056</v>
      </c>
      <c r="Q91" s="296"/>
      <c r="R91" s="296"/>
    </row>
    <row r="92" spans="4:18">
      <c r="D92" s="310">
        <v>7.6</v>
      </c>
      <c r="E92" s="284">
        <f t="shared" ca="1" si="7"/>
        <v>2.9527152591368972E-2</v>
      </c>
      <c r="F92" s="284">
        <f t="shared" ca="1" si="8"/>
        <v>2.946357683131565</v>
      </c>
      <c r="G92" s="284">
        <f t="shared" ca="1" si="9"/>
        <v>0.9253697105919424</v>
      </c>
      <c r="H92" s="284">
        <f t="shared" ca="1" si="10"/>
        <v>0.15741030097311223</v>
      </c>
      <c r="I92" s="284">
        <f t="shared" ca="1" si="12"/>
        <v>3.393865446176104</v>
      </c>
      <c r="J92" s="284">
        <f t="shared" ca="1" si="13"/>
        <v>6.1466108435457549</v>
      </c>
      <c r="K92" s="284">
        <f t="shared" ca="1" si="14"/>
        <v>9.3699002912658234</v>
      </c>
      <c r="L92" s="284"/>
      <c r="M92" s="284"/>
      <c r="N92" s="284"/>
      <c r="O92" s="284">
        <f t="shared" ca="1" si="11"/>
        <v>19.067786881960792</v>
      </c>
      <c r="Q92" s="296"/>
      <c r="R92" s="296"/>
    </row>
    <row r="93" spans="4:18">
      <c r="D93" s="310">
        <v>7.8</v>
      </c>
      <c r="E93" s="284">
        <f t="shared" ca="1" si="7"/>
        <v>0</v>
      </c>
      <c r="F93" s="284">
        <f t="shared" ca="1" si="8"/>
        <v>3.0238934116350276</v>
      </c>
      <c r="G93" s="284">
        <f t="shared" ca="1" si="9"/>
        <v>0</v>
      </c>
      <c r="H93" s="284">
        <f t="shared" ca="1" si="10"/>
        <v>0</v>
      </c>
      <c r="I93" s="284">
        <f t="shared" ca="1" si="12"/>
        <v>2.8000132246229805</v>
      </c>
      <c r="J93" s="284">
        <f t="shared" ca="1" si="13"/>
        <v>5.5729654078438653</v>
      </c>
      <c r="K93" s="284">
        <f t="shared" ca="1" si="14"/>
        <v>8.7736610108798327</v>
      </c>
      <c r="L93" s="284"/>
      <c r="M93" s="284"/>
      <c r="N93" s="284"/>
      <c r="O93" s="284">
        <f t="shared" ca="1" si="11"/>
        <v>17.146639643346681</v>
      </c>
      <c r="Q93" s="296"/>
      <c r="R93" s="296"/>
    </row>
    <row r="94" spans="4:18">
      <c r="D94" s="310">
        <v>8</v>
      </c>
      <c r="E94" s="284">
        <f t="shared" ca="1" si="7"/>
        <v>0</v>
      </c>
      <c r="F94" s="284">
        <f t="shared" ca="1" si="8"/>
        <v>3.1014291401384897</v>
      </c>
      <c r="G94" s="284">
        <f t="shared" ca="1" si="9"/>
        <v>0</v>
      </c>
      <c r="H94" s="284">
        <f t="shared" ca="1" si="10"/>
        <v>0</v>
      </c>
      <c r="I94" s="284">
        <f t="shared" ca="1" si="12"/>
        <v>2.2061610030698535</v>
      </c>
      <c r="J94" s="284">
        <f t="shared" ca="1" si="13"/>
        <v>4.9993199721419721</v>
      </c>
      <c r="K94" s="284">
        <f t="shared" ca="1" si="14"/>
        <v>8.1774217304938457</v>
      </c>
      <c r="L94" s="284"/>
      <c r="M94" s="284"/>
      <c r="N94" s="284"/>
      <c r="O94" s="284">
        <f t="shared" ca="1" si="11"/>
        <v>15.382902705705671</v>
      </c>
      <c r="Q94" s="296"/>
      <c r="R94" s="296"/>
    </row>
    <row r="95" spans="4:18">
      <c r="D95" s="310">
        <v>8.1999999999999993</v>
      </c>
      <c r="E95" s="284">
        <f t="shared" ca="1" si="7"/>
        <v>0</v>
      </c>
      <c r="F95" s="284">
        <f t="shared" ca="1" si="8"/>
        <v>3.1789648686419518</v>
      </c>
      <c r="G95" s="284">
        <f t="shared" ca="1" si="9"/>
        <v>0</v>
      </c>
      <c r="H95" s="284">
        <f t="shared" ca="1" si="10"/>
        <v>0</v>
      </c>
      <c r="I95" s="284">
        <f t="shared" ca="1" si="12"/>
        <v>1.6123087815167305</v>
      </c>
      <c r="J95" s="284">
        <f t="shared" ca="1" si="13"/>
        <v>4.4256745364400834</v>
      </c>
      <c r="K95" s="284">
        <f t="shared" ca="1" si="14"/>
        <v>7.5811824501078524</v>
      </c>
      <c r="L95" s="284"/>
      <c r="M95" s="284"/>
      <c r="N95" s="284"/>
      <c r="O95" s="284">
        <f t="shared" ca="1" si="11"/>
        <v>13.619165768064665</v>
      </c>
      <c r="Q95" s="296"/>
      <c r="R95" s="296"/>
    </row>
    <row r="96" spans="4:18">
      <c r="D96" s="310">
        <v>8.4</v>
      </c>
      <c r="E96" s="284">
        <f t="shared" ca="1" si="7"/>
        <v>0</v>
      </c>
      <c r="F96" s="284">
        <f t="shared" ca="1" si="8"/>
        <v>3.2565005971454144</v>
      </c>
      <c r="G96" s="284">
        <f t="shared" ca="1" si="9"/>
        <v>0</v>
      </c>
      <c r="H96" s="284">
        <f t="shared" ca="1" si="10"/>
        <v>0</v>
      </c>
      <c r="I96" s="284">
        <f t="shared" ca="1" si="12"/>
        <v>1.0184565599636035</v>
      </c>
      <c r="J96" s="284">
        <f t="shared" ca="1" si="13"/>
        <v>3.8520291007381928</v>
      </c>
      <c r="K96" s="284">
        <f t="shared" ca="1" si="14"/>
        <v>6.9849431697218636</v>
      </c>
      <c r="L96" s="284"/>
      <c r="M96" s="284"/>
      <c r="N96" s="284"/>
      <c r="O96" s="284">
        <f t="shared" ca="1" si="11"/>
        <v>11.855428830423659</v>
      </c>
      <c r="Q96" s="296"/>
      <c r="R96" s="296"/>
    </row>
    <row r="97" spans="4:18">
      <c r="D97" s="310">
        <v>8.6</v>
      </c>
      <c r="E97" s="284">
        <f t="shared" ca="1" si="7"/>
        <v>0</v>
      </c>
      <c r="F97" s="284">
        <f t="shared" ca="1" si="8"/>
        <v>3.3340363256488761</v>
      </c>
      <c r="G97" s="284">
        <f t="shared" ca="1" si="9"/>
        <v>0</v>
      </c>
      <c r="H97" s="284">
        <f t="shared" ca="1" si="10"/>
        <v>0</v>
      </c>
      <c r="I97" s="284">
        <f t="shared" ca="1" si="12"/>
        <v>0.42460433841048362</v>
      </c>
      <c r="J97" s="284">
        <f t="shared" ca="1" si="13"/>
        <v>3.2783836650363032</v>
      </c>
      <c r="K97" s="284">
        <f t="shared" ca="1" si="14"/>
        <v>6.3887038893358756</v>
      </c>
      <c r="L97" s="284"/>
      <c r="M97" s="284"/>
      <c r="N97" s="284"/>
      <c r="O97" s="284">
        <f t="shared" ca="1" si="11"/>
        <v>10.091691892782663</v>
      </c>
      <c r="Q97" s="296"/>
      <c r="R97" s="296"/>
    </row>
    <row r="98" spans="4:18">
      <c r="D98" s="310">
        <v>8.8000000000000007</v>
      </c>
      <c r="E98" s="284">
        <f t="shared" ca="1" si="7"/>
        <v>0</v>
      </c>
      <c r="F98" s="284">
        <f t="shared" ca="1" si="8"/>
        <v>3.4115720541523391</v>
      </c>
      <c r="G98" s="284">
        <f t="shared" ca="1" si="9"/>
        <v>0</v>
      </c>
      <c r="H98" s="284">
        <f t="shared" ca="1" si="10"/>
        <v>0</v>
      </c>
      <c r="I98" s="284">
        <f t="shared" ca="1" si="12"/>
        <v>0</v>
      </c>
      <c r="J98" s="284">
        <f t="shared" ca="1" si="13"/>
        <v>2.7047382293344135</v>
      </c>
      <c r="K98" s="284">
        <f t="shared" ca="1" si="14"/>
        <v>5.7924646089498868</v>
      </c>
      <c r="L98" s="284"/>
      <c r="M98" s="284"/>
      <c r="N98" s="284"/>
      <c r="O98" s="284">
        <f t="shared" ca="1" si="11"/>
        <v>8.4972028382843003</v>
      </c>
      <c r="Q98" s="296"/>
      <c r="R98" s="296"/>
    </row>
    <row r="99" spans="4:18">
      <c r="D99" s="310">
        <v>9</v>
      </c>
      <c r="E99" s="284">
        <f t="shared" ca="1" si="7"/>
        <v>0</v>
      </c>
      <c r="F99" s="284">
        <f t="shared" ca="1" si="8"/>
        <v>3.4891077826558008</v>
      </c>
      <c r="G99" s="284">
        <f t="shared" ca="1" si="9"/>
        <v>0</v>
      </c>
      <c r="H99" s="284">
        <f t="shared" ca="1" si="10"/>
        <v>0</v>
      </c>
      <c r="I99" s="284">
        <f t="shared" ca="1" si="12"/>
        <v>0</v>
      </c>
      <c r="J99" s="284">
        <f t="shared" ca="1" si="13"/>
        <v>2.1310927936325204</v>
      </c>
      <c r="K99" s="284">
        <f t="shared" ca="1" si="14"/>
        <v>5.1962253285638953</v>
      </c>
      <c r="L99" s="284"/>
      <c r="M99" s="284"/>
      <c r="N99" s="284"/>
      <c r="O99" s="284">
        <f t="shared" ca="1" si="11"/>
        <v>7.3273181221964157</v>
      </c>
      <c r="Q99" s="296"/>
      <c r="R99" s="296"/>
    </row>
    <row r="100" spans="4:18">
      <c r="D100" s="310">
        <v>9.1999999999999993</v>
      </c>
      <c r="E100" s="284">
        <f t="shared" ca="1" si="7"/>
        <v>0</v>
      </c>
      <c r="F100" s="284">
        <f t="shared" ca="1" si="8"/>
        <v>3.5666435111592629</v>
      </c>
      <c r="G100" s="284">
        <f t="shared" ca="1" si="9"/>
        <v>0</v>
      </c>
      <c r="H100" s="284">
        <f t="shared" ca="1" si="10"/>
        <v>0</v>
      </c>
      <c r="I100" s="284">
        <f t="shared" ca="1" si="12"/>
        <v>0</v>
      </c>
      <c r="J100" s="284">
        <f t="shared" ca="1" si="13"/>
        <v>1.5574473579306309</v>
      </c>
      <c r="K100" s="284">
        <f t="shared" ca="1" si="14"/>
        <v>4.5999860481779065</v>
      </c>
      <c r="L100" s="284"/>
      <c r="M100" s="284"/>
      <c r="N100" s="284"/>
      <c r="O100" s="284">
        <f t="shared" ca="1" si="11"/>
        <v>6.1574334061085372</v>
      </c>
      <c r="Q100" s="296"/>
      <c r="R100" s="296"/>
    </row>
    <row r="101" spans="4:18">
      <c r="D101" s="310">
        <v>9.4</v>
      </c>
      <c r="E101" s="284">
        <f t="shared" ca="1" si="7"/>
        <v>0</v>
      </c>
      <c r="F101" s="284">
        <f t="shared" ca="1" si="8"/>
        <v>3.6441792396627255</v>
      </c>
      <c r="G101" s="284">
        <f t="shared" ca="1" si="9"/>
        <v>0</v>
      </c>
      <c r="H101" s="284">
        <f t="shared" ca="1" si="10"/>
        <v>0</v>
      </c>
      <c r="I101" s="284">
        <f t="shared" ca="1" si="12"/>
        <v>0</v>
      </c>
      <c r="J101" s="284">
        <f t="shared" ca="1" si="13"/>
        <v>0.98380192222873786</v>
      </c>
      <c r="K101" s="284">
        <f t="shared" ca="1" si="14"/>
        <v>4.0037467677919176</v>
      </c>
      <c r="L101" s="284"/>
      <c r="M101" s="284"/>
      <c r="N101" s="284"/>
      <c r="O101" s="284">
        <f t="shared" ca="1" si="11"/>
        <v>4.9875486900206552</v>
      </c>
      <c r="Q101" s="296"/>
      <c r="R101" s="296"/>
    </row>
    <row r="102" spans="4:18">
      <c r="D102" s="310">
        <v>9.6</v>
      </c>
      <c r="E102" s="284">
        <f t="shared" ca="1" si="7"/>
        <v>0</v>
      </c>
      <c r="F102" s="284">
        <f t="shared" ca="1" si="8"/>
        <v>3.7217149681661876</v>
      </c>
      <c r="G102" s="284">
        <f t="shared" ca="1" si="9"/>
        <v>0</v>
      </c>
      <c r="H102" s="284">
        <f t="shared" ca="1" si="10"/>
        <v>0</v>
      </c>
      <c r="I102" s="284">
        <f t="shared" ca="1" si="12"/>
        <v>0</v>
      </c>
      <c r="J102" s="284">
        <f t="shared" ca="1" si="13"/>
        <v>0.41015648652685149</v>
      </c>
      <c r="K102" s="284">
        <f t="shared" ca="1" si="14"/>
        <v>3.4075074874059288</v>
      </c>
      <c r="L102" s="284"/>
      <c r="M102" s="284"/>
      <c r="N102" s="284"/>
      <c r="O102" s="284">
        <f t="shared" ca="1" si="11"/>
        <v>3.8176639739327802</v>
      </c>
      <c r="Q102" s="296"/>
      <c r="R102" s="296"/>
    </row>
    <row r="103" spans="4:18">
      <c r="D103" s="310">
        <v>9.8000000000000007</v>
      </c>
      <c r="E103" s="284">
        <f t="shared" ca="1" si="7"/>
        <v>0</v>
      </c>
      <c r="F103" s="284">
        <f t="shared" ca="1" si="8"/>
        <v>3.7992506966696502</v>
      </c>
      <c r="G103" s="284">
        <f t="shared" ca="1" si="9"/>
        <v>0</v>
      </c>
      <c r="H103" s="284">
        <f t="shared" ca="1" si="10"/>
        <v>0</v>
      </c>
      <c r="I103" s="284">
        <f t="shared" ca="1" si="12"/>
        <v>0</v>
      </c>
      <c r="J103" s="284">
        <f t="shared" ca="1" si="13"/>
        <v>0</v>
      </c>
      <c r="K103" s="284">
        <f t="shared" ca="1" si="14"/>
        <v>2.8112682070199404</v>
      </c>
      <c r="L103" s="284"/>
      <c r="M103" s="284"/>
      <c r="N103" s="284"/>
      <c r="O103" s="284">
        <f t="shared" ca="1" si="11"/>
        <v>2.8112682070199404</v>
      </c>
      <c r="Q103" s="296"/>
      <c r="R103" s="296"/>
    </row>
    <row r="104" spans="4:18">
      <c r="D104" s="310">
        <v>10</v>
      </c>
      <c r="E104" s="284">
        <f t="shared" ca="1" si="7"/>
        <v>0</v>
      </c>
      <c r="F104" s="284">
        <f t="shared" ca="1" si="8"/>
        <v>3.8767864251731119</v>
      </c>
      <c r="G104" s="284">
        <f t="shared" ca="1" si="9"/>
        <v>0</v>
      </c>
      <c r="H104" s="284">
        <f t="shared" ca="1" si="10"/>
        <v>0</v>
      </c>
      <c r="I104" s="284">
        <f t="shared" ca="1" si="12"/>
        <v>0</v>
      </c>
      <c r="J104" s="284">
        <f t="shared" ca="1" si="13"/>
        <v>0</v>
      </c>
      <c r="K104" s="284">
        <f t="shared" ca="1" si="14"/>
        <v>2.215028926633948</v>
      </c>
      <c r="L104" s="284"/>
      <c r="M104" s="284"/>
      <c r="N104" s="284"/>
      <c r="O104" s="284">
        <f t="shared" ca="1" si="11"/>
        <v>2.215028926633948</v>
      </c>
      <c r="Q104" s="296"/>
      <c r="R104" s="296"/>
    </row>
    <row r="105" spans="4:18">
      <c r="D105" s="310">
        <v>10.199999999999999</v>
      </c>
      <c r="E105" s="284">
        <f t="shared" ca="1" si="7"/>
        <v>0</v>
      </c>
      <c r="F105" s="284">
        <f t="shared" ca="1" si="8"/>
        <v>3.954322153676574</v>
      </c>
      <c r="G105" s="284">
        <f t="shared" ca="1" si="9"/>
        <v>0</v>
      </c>
      <c r="H105" s="284">
        <f t="shared" ca="1" si="10"/>
        <v>0</v>
      </c>
      <c r="I105" s="284">
        <f t="shared" ca="1" si="12"/>
        <v>0</v>
      </c>
      <c r="J105" s="284">
        <f t="shared" ca="1" si="13"/>
        <v>0</v>
      </c>
      <c r="K105" s="284">
        <f t="shared" ca="1" si="14"/>
        <v>1.6187896462479596</v>
      </c>
      <c r="L105" s="284"/>
      <c r="M105" s="284"/>
      <c r="N105" s="284"/>
      <c r="O105" s="284">
        <f t="shared" ca="1" si="11"/>
        <v>1.6187896462479596</v>
      </c>
      <c r="Q105" s="296"/>
      <c r="R105" s="296"/>
    </row>
    <row r="106" spans="4:18">
      <c r="D106" s="310">
        <v>10.4</v>
      </c>
      <c r="E106" s="284">
        <f t="shared" ca="1" si="7"/>
        <v>0</v>
      </c>
      <c r="F106" s="284">
        <f t="shared" ca="1" si="8"/>
        <v>4.031857882180037</v>
      </c>
      <c r="G106" s="284">
        <f t="shared" ca="1" si="9"/>
        <v>0</v>
      </c>
      <c r="H106" s="284">
        <f t="shared" ca="1" si="10"/>
        <v>0</v>
      </c>
      <c r="I106" s="284">
        <f t="shared" ca="1" si="12"/>
        <v>0</v>
      </c>
      <c r="J106" s="284">
        <f t="shared" ca="1" si="13"/>
        <v>0</v>
      </c>
      <c r="K106" s="284">
        <f t="shared" ca="1" si="14"/>
        <v>1.0225503658619675</v>
      </c>
      <c r="L106" s="284"/>
      <c r="M106" s="284"/>
      <c r="N106" s="284"/>
      <c r="O106" s="284">
        <f t="shared" ca="1" si="11"/>
        <v>1.0225503658619675</v>
      </c>
      <c r="Q106" s="296"/>
      <c r="R106" s="296"/>
    </row>
    <row r="107" spans="4:18">
      <c r="D107" s="310">
        <v>10.6</v>
      </c>
      <c r="E107" s="284">
        <f t="shared" ca="1" si="7"/>
        <v>0</v>
      </c>
      <c r="F107" s="284">
        <f t="shared" ca="1" si="8"/>
        <v>4.1093936106834983</v>
      </c>
      <c r="G107" s="284">
        <f t="shared" ca="1" si="9"/>
        <v>0</v>
      </c>
      <c r="H107" s="284">
        <f t="shared" ca="1" si="10"/>
        <v>0</v>
      </c>
      <c r="I107" s="284">
        <f t="shared" ca="1" si="12"/>
        <v>0</v>
      </c>
      <c r="J107" s="284">
        <f t="shared" ca="1" si="13"/>
        <v>0</v>
      </c>
      <c r="K107" s="284">
        <f t="shared" ca="1" si="14"/>
        <v>0.42631108547598223</v>
      </c>
      <c r="L107" s="284"/>
      <c r="M107" s="284"/>
      <c r="N107" s="284"/>
      <c r="O107" s="284">
        <f t="shared" ca="1" si="11"/>
        <v>0.42631108547598223</v>
      </c>
      <c r="Q107" s="296"/>
      <c r="R107" s="296"/>
    </row>
    <row r="108" spans="4:18">
      <c r="D108" s="310">
        <v>10.8</v>
      </c>
      <c r="E108" s="284">
        <f t="shared" ca="1" si="7"/>
        <v>0</v>
      </c>
      <c r="F108" s="284">
        <f t="shared" ca="1" si="8"/>
        <v>4.1869293391869613</v>
      </c>
      <c r="G108" s="284">
        <f t="shared" ca="1" si="9"/>
        <v>0</v>
      </c>
      <c r="H108" s="284">
        <f t="shared" ca="1" si="10"/>
        <v>0</v>
      </c>
      <c r="I108" s="284">
        <f t="shared" ca="1" si="12"/>
        <v>0</v>
      </c>
      <c r="J108" s="284">
        <f t="shared" ca="1" si="13"/>
        <v>0</v>
      </c>
      <c r="K108" s="284">
        <f t="shared" ca="1" si="14"/>
        <v>0</v>
      </c>
      <c r="L108" s="284"/>
      <c r="M108" s="284"/>
      <c r="N108" s="284"/>
      <c r="O108" s="284">
        <f t="shared" ca="1" si="11"/>
        <v>0</v>
      </c>
      <c r="Q108" s="296"/>
      <c r="R108" s="296"/>
    </row>
    <row r="109" spans="4:18">
      <c r="D109" s="310">
        <v>11</v>
      </c>
      <c r="E109" s="284">
        <f t="shared" ca="1" si="7"/>
        <v>0</v>
      </c>
      <c r="F109" s="284">
        <f t="shared" ca="1" si="8"/>
        <v>4.2644650676904234</v>
      </c>
      <c r="G109" s="284">
        <f t="shared" ca="1" si="9"/>
        <v>0</v>
      </c>
      <c r="H109" s="284">
        <f t="shared" ca="1" si="10"/>
        <v>0</v>
      </c>
      <c r="I109" s="284">
        <f t="shared" ca="1" si="12"/>
        <v>0</v>
      </c>
      <c r="J109" s="284">
        <f t="shared" ca="1" si="13"/>
        <v>0</v>
      </c>
      <c r="K109" s="284">
        <f t="shared" ca="1" si="14"/>
        <v>0</v>
      </c>
      <c r="L109" s="284"/>
      <c r="M109" s="284"/>
      <c r="N109" s="284"/>
      <c r="O109" s="284">
        <f t="shared" ca="1" si="11"/>
        <v>0</v>
      </c>
      <c r="Q109" s="296"/>
      <c r="R109" s="296"/>
    </row>
    <row r="110" spans="4:18">
      <c r="D110" s="310">
        <v>11.2</v>
      </c>
      <c r="E110" s="284">
        <f t="shared" ca="1" si="7"/>
        <v>0</v>
      </c>
      <c r="F110" s="284">
        <f t="shared" ca="1" si="8"/>
        <v>4.3420007961938856</v>
      </c>
      <c r="G110" s="284">
        <f t="shared" ca="1" si="9"/>
        <v>0</v>
      </c>
      <c r="H110" s="284">
        <f t="shared" ca="1" si="10"/>
        <v>0</v>
      </c>
      <c r="I110" s="284">
        <f t="shared" ca="1" si="12"/>
        <v>0</v>
      </c>
      <c r="J110" s="284">
        <f t="shared" ca="1" si="13"/>
        <v>0</v>
      </c>
      <c r="K110" s="284">
        <f t="shared" ca="1" si="14"/>
        <v>0</v>
      </c>
      <c r="L110" s="284"/>
      <c r="M110" s="284"/>
      <c r="N110" s="284"/>
      <c r="O110" s="284">
        <f t="shared" ca="1" si="11"/>
        <v>0</v>
      </c>
      <c r="Q110" s="296"/>
      <c r="R110" s="296"/>
    </row>
    <row r="111" spans="4:18">
      <c r="D111" s="310">
        <v>11.4</v>
      </c>
      <c r="E111" s="284">
        <f t="shared" ca="1" si="7"/>
        <v>0</v>
      </c>
      <c r="F111" s="284">
        <f t="shared" ca="1" si="8"/>
        <v>4.4195365246973477</v>
      </c>
      <c r="G111" s="284">
        <f t="shared" ca="1" si="9"/>
        <v>0</v>
      </c>
      <c r="H111" s="284">
        <f t="shared" ca="1" si="10"/>
        <v>0</v>
      </c>
      <c r="I111" s="284">
        <f t="shared" ca="1" si="12"/>
        <v>0</v>
      </c>
      <c r="J111" s="284">
        <f t="shared" ca="1" si="13"/>
        <v>0</v>
      </c>
      <c r="K111" s="284">
        <f t="shared" ca="1" si="14"/>
        <v>0</v>
      </c>
      <c r="L111" s="284"/>
      <c r="M111" s="284"/>
      <c r="N111" s="284"/>
      <c r="O111" s="284">
        <f t="shared" ca="1" si="11"/>
        <v>0</v>
      </c>
      <c r="Q111" s="296"/>
      <c r="R111" s="296"/>
    </row>
    <row r="112" spans="4:18">
      <c r="D112" s="310">
        <v>11.6</v>
      </c>
      <c r="E112" s="284">
        <f t="shared" ca="1" si="7"/>
        <v>0</v>
      </c>
      <c r="F112" s="284">
        <f t="shared" ca="1" si="8"/>
        <v>4.4970722532008098</v>
      </c>
      <c r="G112" s="284">
        <f t="shared" ca="1" si="9"/>
        <v>0</v>
      </c>
      <c r="H112" s="284">
        <f t="shared" ca="1" si="10"/>
        <v>0</v>
      </c>
      <c r="I112" s="284">
        <f t="shared" ca="1" si="12"/>
        <v>0</v>
      </c>
      <c r="J112" s="284">
        <f t="shared" ca="1" si="13"/>
        <v>0</v>
      </c>
      <c r="K112" s="284">
        <f t="shared" ca="1" si="14"/>
        <v>0</v>
      </c>
      <c r="L112" s="284"/>
      <c r="M112" s="284"/>
      <c r="N112" s="284"/>
      <c r="O112" s="284">
        <f t="shared" ca="1" si="11"/>
        <v>0</v>
      </c>
      <c r="Q112" s="296"/>
      <c r="R112" s="296"/>
    </row>
    <row r="113" spans="4:18">
      <c r="D113" s="310">
        <v>11.8</v>
      </c>
      <c r="E113" s="284">
        <f t="shared" ca="1" si="7"/>
        <v>0</v>
      </c>
      <c r="F113" s="284">
        <f t="shared" ca="1" si="8"/>
        <v>4.5746079817042729</v>
      </c>
      <c r="G113" s="284">
        <f t="shared" ca="1" si="9"/>
        <v>0</v>
      </c>
      <c r="H113" s="284">
        <f t="shared" ca="1" si="10"/>
        <v>0</v>
      </c>
      <c r="I113" s="284">
        <f t="shared" ca="1" si="12"/>
        <v>0</v>
      </c>
      <c r="J113" s="284">
        <f t="shared" ca="1" si="13"/>
        <v>0</v>
      </c>
      <c r="K113" s="284">
        <f t="shared" ca="1" si="14"/>
        <v>0</v>
      </c>
      <c r="L113" s="284"/>
      <c r="M113" s="284"/>
      <c r="N113" s="284"/>
      <c r="O113" s="284">
        <f t="shared" ca="1" si="11"/>
        <v>0</v>
      </c>
      <c r="Q113" s="296"/>
      <c r="R113" s="296"/>
    </row>
    <row r="114" spans="4:18">
      <c r="D114" s="310">
        <v>12</v>
      </c>
      <c r="E114" s="284">
        <f t="shared" ca="1" si="7"/>
        <v>0</v>
      </c>
      <c r="F114" s="284">
        <f t="shared" ca="1" si="8"/>
        <v>4.652143710207735</v>
      </c>
      <c r="G114" s="284">
        <f t="shared" ca="1" si="9"/>
        <v>0</v>
      </c>
      <c r="H114" s="284">
        <f t="shared" ca="1" si="10"/>
        <v>0</v>
      </c>
      <c r="I114" s="284">
        <f t="shared" ca="1" si="12"/>
        <v>0</v>
      </c>
      <c r="J114" s="284">
        <f t="shared" ca="1" si="13"/>
        <v>0</v>
      </c>
      <c r="K114" s="284">
        <f t="shared" ca="1" si="14"/>
        <v>0</v>
      </c>
      <c r="L114" s="284"/>
      <c r="M114" s="284"/>
      <c r="N114" s="284"/>
      <c r="O114" s="284">
        <f t="shared" ca="1" si="11"/>
        <v>0</v>
      </c>
      <c r="Q114" s="296"/>
      <c r="R114" s="296"/>
    </row>
    <row r="115" spans="4:18">
      <c r="D115" s="310">
        <v>12.2</v>
      </c>
      <c r="E115" s="284">
        <f t="shared" ca="1" si="7"/>
        <v>0</v>
      </c>
      <c r="F115" s="284">
        <f t="shared" ca="1" si="8"/>
        <v>4.7296794387111962</v>
      </c>
      <c r="G115" s="284">
        <f t="shared" ca="1" si="9"/>
        <v>0</v>
      </c>
      <c r="H115" s="284">
        <f t="shared" ca="1" si="10"/>
        <v>0</v>
      </c>
      <c r="I115" s="284">
        <f t="shared" ca="1" si="12"/>
        <v>0</v>
      </c>
      <c r="J115" s="284">
        <f t="shared" ca="1" si="13"/>
        <v>0</v>
      </c>
      <c r="K115" s="284">
        <f t="shared" ca="1" si="14"/>
        <v>0</v>
      </c>
      <c r="L115" s="284"/>
      <c r="M115" s="284"/>
      <c r="N115" s="284"/>
      <c r="O115" s="284">
        <f t="shared" ca="1" si="11"/>
        <v>0</v>
      </c>
      <c r="Q115" s="296"/>
      <c r="R115" s="296"/>
    </row>
    <row r="116" spans="4:18">
      <c r="D116" s="310">
        <v>12.4</v>
      </c>
      <c r="E116" s="284">
        <f t="shared" ca="1" si="7"/>
        <v>0</v>
      </c>
      <c r="F116" s="284">
        <f t="shared" ca="1" si="8"/>
        <v>4.8072151672146592</v>
      </c>
      <c r="G116" s="284">
        <f t="shared" ca="1" si="9"/>
        <v>0</v>
      </c>
      <c r="H116" s="284">
        <f t="shared" ca="1" si="10"/>
        <v>0</v>
      </c>
      <c r="I116" s="284">
        <f t="shared" ca="1" si="12"/>
        <v>0</v>
      </c>
      <c r="J116" s="284">
        <f t="shared" ca="1" si="13"/>
        <v>0</v>
      </c>
      <c r="K116" s="284">
        <f t="shared" ca="1" si="14"/>
        <v>0</v>
      </c>
      <c r="L116" s="284"/>
      <c r="M116" s="284"/>
      <c r="N116" s="284"/>
      <c r="O116" s="284">
        <f t="shared" ca="1" si="11"/>
        <v>0</v>
      </c>
      <c r="Q116" s="296"/>
      <c r="R116" s="296"/>
    </row>
    <row r="117" spans="4:18">
      <c r="D117" s="310">
        <v>12.6</v>
      </c>
      <c r="E117" s="284">
        <f t="shared" ca="1" si="7"/>
        <v>0</v>
      </c>
      <c r="F117" s="284">
        <f t="shared" ca="1" si="8"/>
        <v>4.8847508957181214</v>
      </c>
      <c r="G117" s="284">
        <f t="shared" ca="1" si="9"/>
        <v>0</v>
      </c>
      <c r="H117" s="284">
        <f t="shared" ca="1" si="10"/>
        <v>0</v>
      </c>
      <c r="I117" s="284">
        <f t="shared" ca="1" si="12"/>
        <v>0</v>
      </c>
      <c r="J117" s="284">
        <f t="shared" ca="1" si="13"/>
        <v>0</v>
      </c>
      <c r="K117" s="284">
        <f t="shared" ca="1" si="14"/>
        <v>0</v>
      </c>
      <c r="L117" s="284"/>
      <c r="M117" s="284"/>
      <c r="N117" s="284"/>
      <c r="O117" s="284">
        <f t="shared" ca="1" si="11"/>
        <v>0</v>
      </c>
      <c r="Q117" s="296"/>
      <c r="R117" s="296"/>
    </row>
    <row r="118" spans="4:18">
      <c r="D118" s="310">
        <v>12.8</v>
      </c>
      <c r="E118" s="284">
        <f t="shared" ref="E118:E156" ca="1" si="15">IF(F118&lt;=$Q$9,F118/$Q$9,IF(F118&lt;=$Q$10,($Q$10-F118)/$Q$11,0))</f>
        <v>0</v>
      </c>
      <c r="F118" s="284">
        <f t="shared" ref="F118:F156" ca="1" si="16">D118*$Q$8</f>
        <v>4.9622866242215835</v>
      </c>
      <c r="G118" s="284">
        <f t="shared" ref="G118:G156" ca="1" si="17">E118*$Q$12</f>
        <v>0</v>
      </c>
      <c r="H118" s="284">
        <f t="shared" ca="1" si="10"/>
        <v>0</v>
      </c>
      <c r="I118" s="284">
        <f t="shared" ca="1" si="12"/>
        <v>0</v>
      </c>
      <c r="J118" s="284">
        <f t="shared" ca="1" si="13"/>
        <v>0</v>
      </c>
      <c r="K118" s="284">
        <f t="shared" ca="1" si="14"/>
        <v>0</v>
      </c>
      <c r="L118" s="284"/>
      <c r="M118" s="284"/>
      <c r="N118" s="284"/>
      <c r="O118" s="284">
        <f t="shared" ca="1" si="11"/>
        <v>0</v>
      </c>
      <c r="Q118" s="296"/>
      <c r="R118" s="296"/>
    </row>
    <row r="119" spans="4:18">
      <c r="D119" s="310">
        <v>13</v>
      </c>
      <c r="E119" s="284">
        <f t="shared" ca="1" si="15"/>
        <v>0</v>
      </c>
      <c r="F119" s="284">
        <f t="shared" ca="1" si="16"/>
        <v>5.0398223527250456</v>
      </c>
      <c r="G119" s="284">
        <f t="shared" ca="1" si="17"/>
        <v>0</v>
      </c>
      <c r="H119" s="284">
        <f t="shared" ref="H119:H156" ca="1" si="18">$G119*H$53</f>
        <v>0</v>
      </c>
      <c r="I119" s="284">
        <f t="shared" ca="1" si="12"/>
        <v>0</v>
      </c>
      <c r="J119" s="284">
        <f t="shared" ca="1" si="13"/>
        <v>0</v>
      </c>
      <c r="K119" s="284">
        <f t="shared" ca="1" si="14"/>
        <v>0</v>
      </c>
      <c r="L119" s="284"/>
      <c r="M119" s="284"/>
      <c r="N119" s="284"/>
      <c r="O119" s="284">
        <f t="shared" ref="O119:O156" ca="1" si="19">SUM(H119:N119)</f>
        <v>0</v>
      </c>
      <c r="Q119" s="296"/>
      <c r="R119" s="296"/>
    </row>
    <row r="120" spans="4:18">
      <c r="D120" s="310">
        <v>13.2</v>
      </c>
      <c r="E120" s="284">
        <f t="shared" ca="1" si="15"/>
        <v>0</v>
      </c>
      <c r="F120" s="284">
        <f t="shared" ca="1" si="16"/>
        <v>5.1173580812285078</v>
      </c>
      <c r="G120" s="284">
        <f t="shared" ca="1" si="17"/>
        <v>0</v>
      </c>
      <c r="H120" s="284">
        <f t="shared" ca="1" si="18"/>
        <v>0</v>
      </c>
      <c r="I120" s="284">
        <f t="shared" ca="1" si="12"/>
        <v>0</v>
      </c>
      <c r="J120" s="284">
        <f t="shared" ca="1" si="13"/>
        <v>0</v>
      </c>
      <c r="K120" s="284">
        <f t="shared" ca="1" si="14"/>
        <v>0</v>
      </c>
      <c r="L120" s="284"/>
      <c r="M120" s="284"/>
      <c r="N120" s="284"/>
      <c r="O120" s="284">
        <f t="shared" ca="1" si="19"/>
        <v>0</v>
      </c>
      <c r="Q120" s="296"/>
      <c r="R120" s="296"/>
    </row>
    <row r="121" spans="4:18">
      <c r="D121" s="310">
        <v>13.4</v>
      </c>
      <c r="E121" s="284">
        <f t="shared" ca="1" si="15"/>
        <v>0</v>
      </c>
      <c r="F121" s="284">
        <f t="shared" ca="1" si="16"/>
        <v>5.1948938097319708</v>
      </c>
      <c r="G121" s="284">
        <f t="shared" ca="1" si="17"/>
        <v>0</v>
      </c>
      <c r="H121" s="284">
        <f t="shared" ca="1" si="18"/>
        <v>0</v>
      </c>
      <c r="I121" s="284">
        <f t="shared" ca="1" si="12"/>
        <v>0</v>
      </c>
      <c r="J121" s="284">
        <f t="shared" ca="1" si="13"/>
        <v>0</v>
      </c>
      <c r="K121" s="284">
        <f t="shared" ca="1" si="14"/>
        <v>0</v>
      </c>
      <c r="L121" s="284"/>
      <c r="M121" s="284"/>
      <c r="N121" s="284"/>
      <c r="O121" s="284">
        <f t="shared" ca="1" si="19"/>
        <v>0</v>
      </c>
      <c r="Q121" s="296"/>
      <c r="R121" s="296"/>
    </row>
    <row r="122" spans="4:18">
      <c r="D122" s="310">
        <v>13.6</v>
      </c>
      <c r="E122" s="284">
        <f t="shared" ca="1" si="15"/>
        <v>0</v>
      </c>
      <c r="F122" s="284">
        <f t="shared" ca="1" si="16"/>
        <v>5.272429538235432</v>
      </c>
      <c r="G122" s="284">
        <f t="shared" ca="1" si="17"/>
        <v>0</v>
      </c>
      <c r="H122" s="284">
        <f t="shared" ca="1" si="18"/>
        <v>0</v>
      </c>
      <c r="I122" s="284">
        <f t="shared" ca="1" si="12"/>
        <v>0</v>
      </c>
      <c r="J122" s="284">
        <f t="shared" ca="1" si="13"/>
        <v>0</v>
      </c>
      <c r="K122" s="284">
        <f t="shared" ca="1" si="14"/>
        <v>0</v>
      </c>
      <c r="L122" s="284"/>
      <c r="M122" s="284"/>
      <c r="N122" s="284"/>
      <c r="O122" s="284">
        <f t="shared" ca="1" si="19"/>
        <v>0</v>
      </c>
      <c r="Q122" s="296"/>
      <c r="R122" s="296"/>
    </row>
    <row r="123" spans="4:18">
      <c r="D123" s="310">
        <v>13.8</v>
      </c>
      <c r="E123" s="284">
        <f t="shared" ca="1" si="15"/>
        <v>0</v>
      </c>
      <c r="F123" s="284">
        <f t="shared" ca="1" si="16"/>
        <v>5.3499652667388951</v>
      </c>
      <c r="G123" s="284">
        <f t="shared" ca="1" si="17"/>
        <v>0</v>
      </c>
      <c r="H123" s="284">
        <f t="shared" ca="1" si="18"/>
        <v>0</v>
      </c>
      <c r="I123" s="284">
        <f t="shared" ca="1" si="12"/>
        <v>0</v>
      </c>
      <c r="J123" s="284">
        <f t="shared" ca="1" si="13"/>
        <v>0</v>
      </c>
      <c r="K123" s="284">
        <f t="shared" ca="1" si="14"/>
        <v>0</v>
      </c>
      <c r="L123" s="284"/>
      <c r="M123" s="284"/>
      <c r="N123" s="284"/>
      <c r="O123" s="284">
        <f t="shared" ca="1" si="19"/>
        <v>0</v>
      </c>
      <c r="Q123" s="296"/>
      <c r="R123" s="296"/>
    </row>
    <row r="124" spans="4:18">
      <c r="D124" s="310">
        <v>14</v>
      </c>
      <c r="E124" s="284">
        <f t="shared" ca="1" si="15"/>
        <v>0</v>
      </c>
      <c r="F124" s="284">
        <f t="shared" ca="1" si="16"/>
        <v>5.4275009952423572</v>
      </c>
      <c r="G124" s="284">
        <f t="shared" ca="1" si="17"/>
        <v>0</v>
      </c>
      <c r="H124" s="284">
        <f t="shared" ca="1" si="18"/>
        <v>0</v>
      </c>
      <c r="I124" s="284">
        <f t="shared" ref="I124:I156" ca="1" si="20">$G119*I$53</f>
        <v>0</v>
      </c>
      <c r="J124" s="284">
        <f t="shared" ca="1" si="13"/>
        <v>0</v>
      </c>
      <c r="K124" s="284">
        <f t="shared" ca="1" si="14"/>
        <v>0</v>
      </c>
      <c r="L124" s="284"/>
      <c r="M124" s="284"/>
      <c r="N124" s="284"/>
      <c r="O124" s="284">
        <f t="shared" ca="1" si="19"/>
        <v>0</v>
      </c>
      <c r="Q124" s="296"/>
      <c r="R124" s="296"/>
    </row>
    <row r="125" spans="4:18">
      <c r="D125" s="310">
        <v>14.2</v>
      </c>
      <c r="E125" s="284">
        <f t="shared" ca="1" si="15"/>
        <v>0</v>
      </c>
      <c r="F125" s="284">
        <f t="shared" ca="1" si="16"/>
        <v>5.5050367237458193</v>
      </c>
      <c r="G125" s="284">
        <f t="shared" ca="1" si="17"/>
        <v>0</v>
      </c>
      <c r="H125" s="284">
        <f t="shared" ca="1" si="18"/>
        <v>0</v>
      </c>
      <c r="I125" s="284">
        <f t="shared" ca="1" si="20"/>
        <v>0</v>
      </c>
      <c r="J125" s="284">
        <f t="shared" ca="1" si="13"/>
        <v>0</v>
      </c>
      <c r="K125" s="284">
        <f t="shared" ca="1" si="14"/>
        <v>0</v>
      </c>
      <c r="L125" s="284"/>
      <c r="M125" s="284"/>
      <c r="N125" s="284"/>
      <c r="O125" s="284">
        <f t="shared" ca="1" si="19"/>
        <v>0</v>
      </c>
      <c r="Q125" s="296"/>
      <c r="R125" s="296"/>
    </row>
    <row r="126" spans="4:18">
      <c r="D126" s="310">
        <v>14.4</v>
      </c>
      <c r="E126" s="284">
        <f t="shared" ca="1" si="15"/>
        <v>0</v>
      </c>
      <c r="F126" s="284">
        <f t="shared" ca="1" si="16"/>
        <v>5.5825724522492814</v>
      </c>
      <c r="G126" s="284">
        <f t="shared" ca="1" si="17"/>
        <v>0</v>
      </c>
      <c r="H126" s="284">
        <f t="shared" ca="1" si="18"/>
        <v>0</v>
      </c>
      <c r="I126" s="284">
        <f t="shared" ca="1" si="20"/>
        <v>0</v>
      </c>
      <c r="J126" s="284">
        <f t="shared" ca="1" si="13"/>
        <v>0</v>
      </c>
      <c r="K126" s="284">
        <f t="shared" ca="1" si="14"/>
        <v>0</v>
      </c>
      <c r="L126" s="284"/>
      <c r="M126" s="284"/>
      <c r="N126" s="284"/>
      <c r="O126" s="284">
        <f t="shared" ca="1" si="19"/>
        <v>0</v>
      </c>
      <c r="Q126" s="296"/>
      <c r="R126" s="296"/>
    </row>
    <row r="127" spans="4:18">
      <c r="D127" s="310">
        <v>14.6</v>
      </c>
      <c r="E127" s="284">
        <f t="shared" ca="1" si="15"/>
        <v>0</v>
      </c>
      <c r="F127" s="284">
        <f t="shared" ca="1" si="16"/>
        <v>5.6601081807527436</v>
      </c>
      <c r="G127" s="284">
        <f t="shared" ca="1" si="17"/>
        <v>0</v>
      </c>
      <c r="H127" s="284">
        <f t="shared" ca="1" si="18"/>
        <v>0</v>
      </c>
      <c r="I127" s="284">
        <f t="shared" ca="1" si="20"/>
        <v>0</v>
      </c>
      <c r="J127" s="284">
        <f t="shared" ca="1" si="13"/>
        <v>0</v>
      </c>
      <c r="K127" s="284">
        <f t="shared" ca="1" si="14"/>
        <v>0</v>
      </c>
      <c r="L127" s="284"/>
      <c r="M127" s="284"/>
      <c r="N127" s="284"/>
      <c r="O127" s="284">
        <f t="shared" ca="1" si="19"/>
        <v>0</v>
      </c>
      <c r="Q127" s="296"/>
      <c r="R127" s="296"/>
    </row>
    <row r="128" spans="4:18">
      <c r="D128" s="310">
        <v>14.8</v>
      </c>
      <c r="E128" s="284">
        <f t="shared" ca="1" si="15"/>
        <v>0</v>
      </c>
      <c r="F128" s="284">
        <f t="shared" ca="1" si="16"/>
        <v>5.7376439092562066</v>
      </c>
      <c r="G128" s="284">
        <f t="shared" ca="1" si="17"/>
        <v>0</v>
      </c>
      <c r="H128" s="284">
        <f t="shared" ca="1" si="18"/>
        <v>0</v>
      </c>
      <c r="I128" s="284">
        <f t="shared" ca="1" si="20"/>
        <v>0</v>
      </c>
      <c r="J128" s="284">
        <f t="shared" ca="1" si="13"/>
        <v>0</v>
      </c>
      <c r="K128" s="284">
        <f t="shared" ca="1" si="14"/>
        <v>0</v>
      </c>
      <c r="L128" s="284"/>
      <c r="M128" s="284"/>
      <c r="N128" s="284"/>
      <c r="O128" s="284">
        <f t="shared" ca="1" si="19"/>
        <v>0</v>
      </c>
      <c r="Q128" s="296"/>
      <c r="R128" s="296"/>
    </row>
    <row r="129" spans="4:18">
      <c r="D129" s="310">
        <v>15</v>
      </c>
      <c r="E129" s="284">
        <f t="shared" ca="1" si="15"/>
        <v>0</v>
      </c>
      <c r="F129" s="284">
        <f t="shared" ca="1" si="16"/>
        <v>5.8151796377596678</v>
      </c>
      <c r="G129" s="284">
        <f t="shared" ca="1" si="17"/>
        <v>0</v>
      </c>
      <c r="H129" s="284">
        <f t="shared" ca="1" si="18"/>
        <v>0</v>
      </c>
      <c r="I129" s="284">
        <f t="shared" ca="1" si="20"/>
        <v>0</v>
      </c>
      <c r="J129" s="284">
        <f t="shared" ref="J129:J156" ca="1" si="21">$G119*J$53</f>
        <v>0</v>
      </c>
      <c r="K129" s="284">
        <f t="shared" ca="1" si="14"/>
        <v>0</v>
      </c>
      <c r="L129" s="284"/>
      <c r="M129" s="284"/>
      <c r="N129" s="284"/>
      <c r="O129" s="284">
        <f t="shared" ca="1" si="19"/>
        <v>0</v>
      </c>
      <c r="Q129" s="296"/>
      <c r="R129" s="296"/>
    </row>
    <row r="130" spans="4:18">
      <c r="D130" s="310">
        <v>15.2</v>
      </c>
      <c r="E130" s="284">
        <f t="shared" ca="1" si="15"/>
        <v>0</v>
      </c>
      <c r="F130" s="284">
        <f t="shared" ca="1" si="16"/>
        <v>5.89271536626313</v>
      </c>
      <c r="G130" s="284">
        <f t="shared" ca="1" si="17"/>
        <v>0</v>
      </c>
      <c r="H130" s="284">
        <f t="shared" ca="1" si="18"/>
        <v>0</v>
      </c>
      <c r="I130" s="284">
        <f t="shared" ca="1" si="20"/>
        <v>0</v>
      </c>
      <c r="J130" s="284">
        <f t="shared" ca="1" si="21"/>
        <v>0</v>
      </c>
      <c r="K130" s="284">
        <f t="shared" ca="1" si="14"/>
        <v>0</v>
      </c>
      <c r="L130" s="284"/>
      <c r="M130" s="284"/>
      <c r="N130" s="284"/>
      <c r="O130" s="284">
        <f t="shared" ca="1" si="19"/>
        <v>0</v>
      </c>
      <c r="Q130" s="296"/>
      <c r="R130" s="296"/>
    </row>
    <row r="131" spans="4:18">
      <c r="D131" s="310">
        <v>15.4</v>
      </c>
      <c r="E131" s="284">
        <f t="shared" ca="1" si="15"/>
        <v>0</v>
      </c>
      <c r="F131" s="284">
        <f t="shared" ca="1" si="16"/>
        <v>5.970251094766593</v>
      </c>
      <c r="G131" s="284">
        <f t="shared" ca="1" si="17"/>
        <v>0</v>
      </c>
      <c r="H131" s="284">
        <f t="shared" ca="1" si="18"/>
        <v>0</v>
      </c>
      <c r="I131" s="284">
        <f t="shared" ca="1" si="20"/>
        <v>0</v>
      </c>
      <c r="J131" s="284">
        <f t="shared" ca="1" si="21"/>
        <v>0</v>
      </c>
      <c r="K131" s="284">
        <f t="shared" ca="1" si="14"/>
        <v>0</v>
      </c>
      <c r="L131" s="284"/>
      <c r="M131" s="284"/>
      <c r="N131" s="284"/>
      <c r="O131" s="284">
        <f t="shared" ca="1" si="19"/>
        <v>0</v>
      </c>
      <c r="Q131" s="296"/>
      <c r="R131" s="296"/>
    </row>
    <row r="132" spans="4:18">
      <c r="D132" s="310">
        <v>15.6</v>
      </c>
      <c r="E132" s="284">
        <f t="shared" ca="1" si="15"/>
        <v>0</v>
      </c>
      <c r="F132" s="284">
        <f t="shared" ca="1" si="16"/>
        <v>6.0477868232700551</v>
      </c>
      <c r="G132" s="284">
        <f t="shared" ca="1" si="17"/>
        <v>0</v>
      </c>
      <c r="H132" s="284">
        <f t="shared" ca="1" si="18"/>
        <v>0</v>
      </c>
      <c r="I132" s="284">
        <f t="shared" ca="1" si="20"/>
        <v>0</v>
      </c>
      <c r="J132" s="284">
        <f t="shared" ca="1" si="21"/>
        <v>0</v>
      </c>
      <c r="K132" s="284">
        <f t="shared" ca="1" si="14"/>
        <v>0</v>
      </c>
      <c r="L132" s="284"/>
      <c r="M132" s="284"/>
      <c r="N132" s="284"/>
      <c r="O132" s="284">
        <f t="shared" ca="1" si="19"/>
        <v>0</v>
      </c>
      <c r="Q132" s="296"/>
      <c r="R132" s="296"/>
    </row>
    <row r="133" spans="4:18">
      <c r="D133" s="310">
        <v>15.8</v>
      </c>
      <c r="E133" s="284">
        <f t="shared" ca="1" si="15"/>
        <v>0</v>
      </c>
      <c r="F133" s="284">
        <f t="shared" ca="1" si="16"/>
        <v>6.1253225517735173</v>
      </c>
      <c r="G133" s="284">
        <f t="shared" ca="1" si="17"/>
        <v>0</v>
      </c>
      <c r="H133" s="284">
        <f t="shared" ca="1" si="18"/>
        <v>0</v>
      </c>
      <c r="I133" s="284">
        <f t="shared" ca="1" si="20"/>
        <v>0</v>
      </c>
      <c r="J133" s="284">
        <f t="shared" ca="1" si="21"/>
        <v>0</v>
      </c>
      <c r="K133" s="284">
        <f t="shared" ca="1" si="14"/>
        <v>0</v>
      </c>
      <c r="L133" s="284"/>
      <c r="M133" s="284"/>
      <c r="N133" s="284"/>
      <c r="O133" s="284">
        <f t="shared" ca="1" si="19"/>
        <v>0</v>
      </c>
      <c r="Q133" s="296"/>
      <c r="R133" s="296"/>
    </row>
    <row r="134" spans="4:18">
      <c r="D134" s="310">
        <v>16</v>
      </c>
      <c r="E134" s="284">
        <f t="shared" ca="1" si="15"/>
        <v>0</v>
      </c>
      <c r="F134" s="284">
        <f t="shared" ca="1" si="16"/>
        <v>6.2028582802769794</v>
      </c>
      <c r="G134" s="284">
        <f t="shared" ca="1" si="17"/>
        <v>0</v>
      </c>
      <c r="H134" s="284">
        <f t="shared" ca="1" si="18"/>
        <v>0</v>
      </c>
      <c r="I134" s="284">
        <f t="shared" ca="1" si="20"/>
        <v>0</v>
      </c>
      <c r="J134" s="284">
        <f t="shared" ca="1" si="21"/>
        <v>0</v>
      </c>
      <c r="K134" s="284">
        <f t="shared" ref="K134:K156" ca="1" si="22">$G119*K$53</f>
        <v>0</v>
      </c>
      <c r="L134" s="284"/>
      <c r="M134" s="284"/>
      <c r="N134" s="284"/>
      <c r="O134" s="284">
        <f t="shared" ca="1" si="19"/>
        <v>0</v>
      </c>
      <c r="Q134" s="296"/>
      <c r="R134" s="296"/>
    </row>
    <row r="135" spans="4:18">
      <c r="D135" s="310">
        <v>16.2</v>
      </c>
      <c r="E135" s="284">
        <f t="shared" ca="1" si="15"/>
        <v>0</v>
      </c>
      <c r="F135" s="284">
        <f t="shared" ca="1" si="16"/>
        <v>6.2803940087804415</v>
      </c>
      <c r="G135" s="284">
        <f t="shared" ca="1" si="17"/>
        <v>0</v>
      </c>
      <c r="H135" s="284">
        <f t="shared" ca="1" si="18"/>
        <v>0</v>
      </c>
      <c r="I135" s="284">
        <f t="shared" ca="1" si="20"/>
        <v>0</v>
      </c>
      <c r="J135" s="284">
        <f t="shared" ca="1" si="21"/>
        <v>0</v>
      </c>
      <c r="K135" s="284">
        <f t="shared" ca="1" si="22"/>
        <v>0</v>
      </c>
      <c r="L135" s="284"/>
      <c r="M135" s="284"/>
      <c r="N135" s="284"/>
      <c r="O135" s="284">
        <f t="shared" ca="1" si="19"/>
        <v>0</v>
      </c>
      <c r="Q135" s="296"/>
      <c r="R135" s="296"/>
    </row>
    <row r="136" spans="4:18">
      <c r="D136" s="310">
        <v>16.399999999999999</v>
      </c>
      <c r="E136" s="284">
        <f t="shared" ca="1" si="15"/>
        <v>0</v>
      </c>
      <c r="F136" s="284">
        <f t="shared" ca="1" si="16"/>
        <v>6.3579297372839036</v>
      </c>
      <c r="G136" s="284">
        <f t="shared" ca="1" si="17"/>
        <v>0</v>
      </c>
      <c r="H136" s="284">
        <f t="shared" ca="1" si="18"/>
        <v>0</v>
      </c>
      <c r="I136" s="284">
        <f t="shared" ca="1" si="20"/>
        <v>0</v>
      </c>
      <c r="J136" s="284">
        <f t="shared" ca="1" si="21"/>
        <v>0</v>
      </c>
      <c r="K136" s="284">
        <f t="shared" ca="1" si="22"/>
        <v>0</v>
      </c>
      <c r="L136" s="284"/>
      <c r="M136" s="284"/>
      <c r="N136" s="284"/>
      <c r="O136" s="284">
        <f t="shared" ca="1" si="19"/>
        <v>0</v>
      </c>
      <c r="Q136" s="296"/>
      <c r="R136" s="296"/>
    </row>
    <row r="137" spans="4:18">
      <c r="D137" s="310">
        <v>16.600000000000001</v>
      </c>
      <c r="E137" s="284">
        <f t="shared" ca="1" si="15"/>
        <v>0</v>
      </c>
      <c r="F137" s="284">
        <f t="shared" ca="1" si="16"/>
        <v>6.4354654657873667</v>
      </c>
      <c r="G137" s="284">
        <f t="shared" ca="1" si="17"/>
        <v>0</v>
      </c>
      <c r="H137" s="284">
        <f t="shared" ca="1" si="18"/>
        <v>0</v>
      </c>
      <c r="I137" s="284">
        <f t="shared" ca="1" si="20"/>
        <v>0</v>
      </c>
      <c r="J137" s="284">
        <f t="shared" ca="1" si="21"/>
        <v>0</v>
      </c>
      <c r="K137" s="284">
        <f t="shared" ca="1" si="22"/>
        <v>0</v>
      </c>
      <c r="L137" s="284"/>
      <c r="M137" s="284"/>
      <c r="N137" s="284"/>
      <c r="O137" s="284">
        <f t="shared" ca="1" si="19"/>
        <v>0</v>
      </c>
      <c r="Q137" s="296"/>
      <c r="R137" s="296"/>
    </row>
    <row r="138" spans="4:18">
      <c r="D138" s="310">
        <v>16.8</v>
      </c>
      <c r="E138" s="284">
        <f t="shared" ca="1" si="15"/>
        <v>0</v>
      </c>
      <c r="F138" s="284">
        <f t="shared" ca="1" si="16"/>
        <v>6.5130011942908288</v>
      </c>
      <c r="G138" s="284">
        <f t="shared" ca="1" si="17"/>
        <v>0</v>
      </c>
      <c r="H138" s="284">
        <f t="shared" ca="1" si="18"/>
        <v>0</v>
      </c>
      <c r="I138" s="284">
        <f t="shared" ca="1" si="20"/>
        <v>0</v>
      </c>
      <c r="J138" s="284">
        <f t="shared" ca="1" si="21"/>
        <v>0</v>
      </c>
      <c r="K138" s="284">
        <f t="shared" ca="1" si="22"/>
        <v>0</v>
      </c>
      <c r="L138" s="284"/>
      <c r="M138" s="284"/>
      <c r="N138" s="284"/>
      <c r="O138" s="284">
        <f t="shared" ca="1" si="19"/>
        <v>0</v>
      </c>
      <c r="Q138" s="296"/>
      <c r="R138" s="296"/>
    </row>
    <row r="139" spans="4:18">
      <c r="D139" s="310">
        <v>17</v>
      </c>
      <c r="E139" s="284">
        <f t="shared" ca="1" si="15"/>
        <v>0</v>
      </c>
      <c r="F139" s="284">
        <f t="shared" ca="1" si="16"/>
        <v>6.5905369227942909</v>
      </c>
      <c r="G139" s="284">
        <f t="shared" ca="1" si="17"/>
        <v>0</v>
      </c>
      <c r="H139" s="284">
        <f t="shared" ca="1" si="18"/>
        <v>0</v>
      </c>
      <c r="I139" s="284">
        <f t="shared" ca="1" si="20"/>
        <v>0</v>
      </c>
      <c r="J139" s="284">
        <f t="shared" ca="1" si="21"/>
        <v>0</v>
      </c>
      <c r="K139" s="284">
        <f t="shared" ca="1" si="22"/>
        <v>0</v>
      </c>
      <c r="L139" s="284"/>
      <c r="M139" s="284"/>
      <c r="N139" s="284"/>
      <c r="O139" s="284">
        <f t="shared" ca="1" si="19"/>
        <v>0</v>
      </c>
      <c r="Q139" s="296"/>
      <c r="R139" s="296"/>
    </row>
    <row r="140" spans="4:18">
      <c r="D140" s="310">
        <v>17.2</v>
      </c>
      <c r="E140" s="284">
        <f t="shared" ca="1" si="15"/>
        <v>0</v>
      </c>
      <c r="F140" s="284">
        <f t="shared" ca="1" si="16"/>
        <v>6.6680726512977522</v>
      </c>
      <c r="G140" s="284">
        <f t="shared" ca="1" si="17"/>
        <v>0</v>
      </c>
      <c r="H140" s="284">
        <f t="shared" ca="1" si="18"/>
        <v>0</v>
      </c>
      <c r="I140" s="284">
        <f t="shared" ca="1" si="20"/>
        <v>0</v>
      </c>
      <c r="J140" s="284">
        <f t="shared" ca="1" si="21"/>
        <v>0</v>
      </c>
      <c r="K140" s="284">
        <f t="shared" ca="1" si="22"/>
        <v>0</v>
      </c>
      <c r="L140" s="284"/>
      <c r="M140" s="284"/>
      <c r="N140" s="284"/>
      <c r="O140" s="284">
        <f t="shared" ca="1" si="19"/>
        <v>0</v>
      </c>
      <c r="Q140" s="296"/>
      <c r="R140" s="296"/>
    </row>
    <row r="141" spans="4:18">
      <c r="D141" s="310">
        <v>17.399999999999999</v>
      </c>
      <c r="E141" s="284">
        <f t="shared" ca="1" si="15"/>
        <v>0</v>
      </c>
      <c r="F141" s="284">
        <f t="shared" ca="1" si="16"/>
        <v>6.7456083798012143</v>
      </c>
      <c r="G141" s="284">
        <f t="shared" ca="1" si="17"/>
        <v>0</v>
      </c>
      <c r="H141" s="284">
        <f t="shared" ca="1" si="18"/>
        <v>0</v>
      </c>
      <c r="I141" s="284">
        <f t="shared" ca="1" si="20"/>
        <v>0</v>
      </c>
      <c r="J141" s="284">
        <f t="shared" ca="1" si="21"/>
        <v>0</v>
      </c>
      <c r="K141" s="284">
        <f t="shared" ca="1" si="22"/>
        <v>0</v>
      </c>
      <c r="L141" s="284"/>
      <c r="M141" s="284"/>
      <c r="N141" s="284"/>
      <c r="O141" s="284">
        <f t="shared" ca="1" si="19"/>
        <v>0</v>
      </c>
      <c r="Q141" s="296"/>
      <c r="R141" s="296"/>
    </row>
    <row r="142" spans="4:18">
      <c r="D142" s="310">
        <v>17.600000000000001</v>
      </c>
      <c r="E142" s="284">
        <f t="shared" ca="1" si="15"/>
        <v>0</v>
      </c>
      <c r="F142" s="284">
        <f t="shared" ca="1" si="16"/>
        <v>6.8231441083046782</v>
      </c>
      <c r="G142" s="284">
        <f t="shared" ca="1" si="17"/>
        <v>0</v>
      </c>
      <c r="H142" s="284">
        <f t="shared" ca="1" si="18"/>
        <v>0</v>
      </c>
      <c r="I142" s="284">
        <f t="shared" ca="1" si="20"/>
        <v>0</v>
      </c>
      <c r="J142" s="284">
        <f t="shared" ca="1" si="21"/>
        <v>0</v>
      </c>
      <c r="K142" s="284">
        <f t="shared" ca="1" si="22"/>
        <v>0</v>
      </c>
      <c r="L142" s="284"/>
      <c r="M142" s="284"/>
      <c r="N142" s="284"/>
      <c r="O142" s="284">
        <f t="shared" ca="1" si="19"/>
        <v>0</v>
      </c>
      <c r="Q142" s="296"/>
      <c r="R142" s="296"/>
    </row>
    <row r="143" spans="4:18">
      <c r="D143" s="310">
        <v>17.8</v>
      </c>
      <c r="E143" s="284">
        <f t="shared" ca="1" si="15"/>
        <v>0</v>
      </c>
      <c r="F143" s="284">
        <f t="shared" ca="1" si="16"/>
        <v>6.9006798368081395</v>
      </c>
      <c r="G143" s="284">
        <f t="shared" ca="1" si="17"/>
        <v>0</v>
      </c>
      <c r="H143" s="284">
        <f t="shared" ca="1" si="18"/>
        <v>0</v>
      </c>
      <c r="I143" s="284">
        <f t="shared" ca="1" si="20"/>
        <v>0</v>
      </c>
      <c r="J143" s="284">
        <f t="shared" ca="1" si="21"/>
        <v>0</v>
      </c>
      <c r="K143" s="284">
        <f t="shared" ca="1" si="22"/>
        <v>0</v>
      </c>
      <c r="L143" s="284"/>
      <c r="M143" s="284"/>
      <c r="N143" s="284"/>
      <c r="O143" s="284">
        <f t="shared" ca="1" si="19"/>
        <v>0</v>
      </c>
      <c r="Q143" s="296"/>
      <c r="R143" s="296"/>
    </row>
    <row r="144" spans="4:18">
      <c r="D144" s="310">
        <v>18</v>
      </c>
      <c r="E144" s="284">
        <f t="shared" ca="1" si="15"/>
        <v>0</v>
      </c>
      <c r="F144" s="284">
        <f t="shared" ca="1" si="16"/>
        <v>6.9782155653116016</v>
      </c>
      <c r="G144" s="284">
        <f t="shared" ca="1" si="17"/>
        <v>0</v>
      </c>
      <c r="H144" s="284">
        <f t="shared" ca="1" si="18"/>
        <v>0</v>
      </c>
      <c r="I144" s="284">
        <f t="shared" ca="1" si="20"/>
        <v>0</v>
      </c>
      <c r="J144" s="284">
        <f t="shared" ca="1" si="21"/>
        <v>0</v>
      </c>
      <c r="K144" s="284">
        <f t="shared" ca="1" si="22"/>
        <v>0</v>
      </c>
      <c r="L144" s="284"/>
      <c r="M144" s="284"/>
      <c r="N144" s="284"/>
      <c r="O144" s="284">
        <f t="shared" ca="1" si="19"/>
        <v>0</v>
      </c>
      <c r="Q144" s="296"/>
      <c r="R144" s="296"/>
    </row>
    <row r="145" spans="3:21">
      <c r="D145" s="310">
        <v>18.2</v>
      </c>
      <c r="E145" s="284">
        <f t="shared" ca="1" si="15"/>
        <v>0</v>
      </c>
      <c r="F145" s="284">
        <f t="shared" ca="1" si="16"/>
        <v>7.0557512938150637</v>
      </c>
      <c r="G145" s="284">
        <f t="shared" ca="1" si="17"/>
        <v>0</v>
      </c>
      <c r="H145" s="284">
        <f t="shared" ca="1" si="18"/>
        <v>0</v>
      </c>
      <c r="I145" s="284">
        <f t="shared" ca="1" si="20"/>
        <v>0</v>
      </c>
      <c r="J145" s="284">
        <f t="shared" ca="1" si="21"/>
        <v>0</v>
      </c>
      <c r="K145" s="284">
        <f t="shared" ca="1" si="22"/>
        <v>0</v>
      </c>
      <c r="L145" s="284"/>
      <c r="M145" s="284"/>
      <c r="N145" s="284"/>
      <c r="O145" s="284">
        <f t="shared" ca="1" si="19"/>
        <v>0</v>
      </c>
      <c r="Q145" s="296"/>
      <c r="R145" s="296"/>
    </row>
    <row r="146" spans="3:21">
      <c r="D146" s="310">
        <v>18.399999999999999</v>
      </c>
      <c r="E146" s="284">
        <f t="shared" ca="1" si="15"/>
        <v>0</v>
      </c>
      <c r="F146" s="284">
        <f t="shared" ca="1" si="16"/>
        <v>7.1332870223185258</v>
      </c>
      <c r="G146" s="284">
        <f t="shared" ca="1" si="17"/>
        <v>0</v>
      </c>
      <c r="H146" s="284">
        <f t="shared" ca="1" si="18"/>
        <v>0</v>
      </c>
      <c r="I146" s="284">
        <f t="shared" ca="1" si="20"/>
        <v>0</v>
      </c>
      <c r="J146" s="284">
        <f t="shared" ca="1" si="21"/>
        <v>0</v>
      </c>
      <c r="K146" s="284">
        <f t="shared" ca="1" si="22"/>
        <v>0</v>
      </c>
      <c r="L146" s="284"/>
      <c r="M146" s="284"/>
      <c r="N146" s="284"/>
      <c r="O146" s="284">
        <f t="shared" ca="1" si="19"/>
        <v>0</v>
      </c>
      <c r="Q146" s="296"/>
      <c r="R146" s="296"/>
    </row>
    <row r="147" spans="3:21">
      <c r="D147" s="310">
        <v>18.600000000000001</v>
      </c>
      <c r="E147" s="284">
        <f t="shared" ca="1" si="15"/>
        <v>0</v>
      </c>
      <c r="F147" s="284">
        <f t="shared" ca="1" si="16"/>
        <v>7.2108227508219889</v>
      </c>
      <c r="G147" s="284">
        <f t="shared" ca="1" si="17"/>
        <v>0</v>
      </c>
      <c r="H147" s="284">
        <f t="shared" ca="1" si="18"/>
        <v>0</v>
      </c>
      <c r="I147" s="284">
        <f t="shared" ca="1" si="20"/>
        <v>0</v>
      </c>
      <c r="J147" s="284">
        <f t="shared" ca="1" si="21"/>
        <v>0</v>
      </c>
      <c r="K147" s="284">
        <f t="shared" ca="1" si="22"/>
        <v>0</v>
      </c>
      <c r="L147" s="284"/>
      <c r="M147" s="284"/>
      <c r="N147" s="284"/>
      <c r="O147" s="284">
        <f t="shared" ca="1" si="19"/>
        <v>0</v>
      </c>
      <c r="Q147" s="296"/>
      <c r="R147" s="296"/>
    </row>
    <row r="148" spans="3:21">
      <c r="D148" s="310">
        <v>18.8</v>
      </c>
      <c r="E148" s="284">
        <f t="shared" ca="1" si="15"/>
        <v>0</v>
      </c>
      <c r="F148" s="284">
        <f t="shared" ca="1" si="16"/>
        <v>7.288358479325451</v>
      </c>
      <c r="G148" s="284">
        <f t="shared" ca="1" si="17"/>
        <v>0</v>
      </c>
      <c r="H148" s="284">
        <f t="shared" ca="1" si="18"/>
        <v>0</v>
      </c>
      <c r="I148" s="284">
        <f t="shared" ca="1" si="20"/>
        <v>0</v>
      </c>
      <c r="J148" s="284">
        <f t="shared" ca="1" si="21"/>
        <v>0</v>
      </c>
      <c r="K148" s="284">
        <f t="shared" ca="1" si="22"/>
        <v>0</v>
      </c>
      <c r="L148" s="284"/>
      <c r="M148" s="284"/>
      <c r="N148" s="284"/>
      <c r="O148" s="284">
        <f t="shared" ca="1" si="19"/>
        <v>0</v>
      </c>
      <c r="Q148" s="296"/>
      <c r="R148" s="296"/>
    </row>
    <row r="149" spans="3:21">
      <c r="D149" s="310">
        <v>19</v>
      </c>
      <c r="E149" s="284">
        <f t="shared" ca="1" si="15"/>
        <v>0</v>
      </c>
      <c r="F149" s="284">
        <f t="shared" ca="1" si="16"/>
        <v>7.3658942078289131</v>
      </c>
      <c r="G149" s="284">
        <f t="shared" ca="1" si="17"/>
        <v>0</v>
      </c>
      <c r="H149" s="284">
        <f t="shared" ca="1" si="18"/>
        <v>0</v>
      </c>
      <c r="I149" s="284">
        <f t="shared" ca="1" si="20"/>
        <v>0</v>
      </c>
      <c r="J149" s="284">
        <f t="shared" ca="1" si="21"/>
        <v>0</v>
      </c>
      <c r="K149" s="284">
        <f t="shared" ca="1" si="22"/>
        <v>0</v>
      </c>
      <c r="L149" s="284"/>
      <c r="M149" s="284"/>
      <c r="N149" s="284"/>
      <c r="O149" s="284">
        <f t="shared" ca="1" si="19"/>
        <v>0</v>
      </c>
      <c r="Q149" s="296"/>
      <c r="R149" s="296"/>
    </row>
    <row r="150" spans="3:21">
      <c r="D150" s="310">
        <v>19.2</v>
      </c>
      <c r="E150" s="284">
        <f t="shared" ca="1" si="15"/>
        <v>0</v>
      </c>
      <c r="F150" s="284">
        <f t="shared" ca="1" si="16"/>
        <v>7.4434299363323753</v>
      </c>
      <c r="G150" s="284">
        <f t="shared" ca="1" si="17"/>
        <v>0</v>
      </c>
      <c r="H150" s="284">
        <f t="shared" ca="1" si="18"/>
        <v>0</v>
      </c>
      <c r="I150" s="284">
        <f t="shared" ca="1" si="20"/>
        <v>0</v>
      </c>
      <c r="J150" s="284">
        <f t="shared" ca="1" si="21"/>
        <v>0</v>
      </c>
      <c r="K150" s="284">
        <f t="shared" ca="1" si="22"/>
        <v>0</v>
      </c>
      <c r="L150" s="284"/>
      <c r="M150" s="284"/>
      <c r="N150" s="284"/>
      <c r="O150" s="284">
        <f t="shared" ca="1" si="19"/>
        <v>0</v>
      </c>
      <c r="Q150" s="296"/>
      <c r="R150" s="296"/>
    </row>
    <row r="151" spans="3:21">
      <c r="D151" s="310">
        <v>19.399999999999999</v>
      </c>
      <c r="E151" s="284">
        <f t="shared" ca="1" si="15"/>
        <v>0</v>
      </c>
      <c r="F151" s="284">
        <f t="shared" ca="1" si="16"/>
        <v>7.5209656648358374</v>
      </c>
      <c r="G151" s="284">
        <f t="shared" ca="1" si="17"/>
        <v>0</v>
      </c>
      <c r="H151" s="284">
        <f t="shared" ca="1" si="18"/>
        <v>0</v>
      </c>
      <c r="I151" s="284">
        <f t="shared" ca="1" si="20"/>
        <v>0</v>
      </c>
      <c r="J151" s="284">
        <f t="shared" ca="1" si="21"/>
        <v>0</v>
      </c>
      <c r="K151" s="284">
        <f t="shared" ca="1" si="22"/>
        <v>0</v>
      </c>
      <c r="L151" s="284"/>
      <c r="M151" s="284"/>
      <c r="N151" s="284"/>
      <c r="O151" s="284">
        <f t="shared" ca="1" si="19"/>
        <v>0</v>
      </c>
      <c r="Q151" s="296"/>
      <c r="R151" s="296"/>
    </row>
    <row r="152" spans="3:21">
      <c r="D152" s="310">
        <v>19.600000000000001</v>
      </c>
      <c r="E152" s="284">
        <f t="shared" ca="1" si="15"/>
        <v>0</v>
      </c>
      <c r="F152" s="284">
        <f t="shared" ca="1" si="16"/>
        <v>7.5985013933393004</v>
      </c>
      <c r="G152" s="284">
        <f t="shared" ca="1" si="17"/>
        <v>0</v>
      </c>
      <c r="H152" s="284">
        <f t="shared" ca="1" si="18"/>
        <v>0</v>
      </c>
      <c r="I152" s="284">
        <f t="shared" ca="1" si="20"/>
        <v>0</v>
      </c>
      <c r="J152" s="284">
        <f t="shared" ca="1" si="21"/>
        <v>0</v>
      </c>
      <c r="K152" s="284">
        <f t="shared" ca="1" si="22"/>
        <v>0</v>
      </c>
      <c r="L152" s="284"/>
      <c r="M152" s="284"/>
      <c r="N152" s="284"/>
      <c r="O152" s="284">
        <f t="shared" ca="1" si="19"/>
        <v>0</v>
      </c>
      <c r="Q152" s="296"/>
      <c r="R152" s="296"/>
    </row>
    <row r="153" spans="3:21">
      <c r="D153" s="310">
        <v>19.8</v>
      </c>
      <c r="E153" s="284">
        <f t="shared" ca="1" si="15"/>
        <v>0</v>
      </c>
      <c r="F153" s="284">
        <f t="shared" ca="1" si="16"/>
        <v>7.6760371218427625</v>
      </c>
      <c r="G153" s="284">
        <f t="shared" ca="1" si="17"/>
        <v>0</v>
      </c>
      <c r="H153" s="284">
        <f t="shared" ca="1" si="18"/>
        <v>0</v>
      </c>
      <c r="I153" s="284">
        <f t="shared" ca="1" si="20"/>
        <v>0</v>
      </c>
      <c r="J153" s="284">
        <f t="shared" ca="1" si="21"/>
        <v>0</v>
      </c>
      <c r="K153" s="284">
        <f t="shared" ca="1" si="22"/>
        <v>0</v>
      </c>
      <c r="L153" s="284"/>
      <c r="M153" s="284"/>
      <c r="N153" s="284"/>
      <c r="O153" s="284">
        <f t="shared" ca="1" si="19"/>
        <v>0</v>
      </c>
      <c r="Q153" s="296"/>
      <c r="R153" s="296"/>
    </row>
    <row r="154" spans="3:21">
      <c r="D154" s="310">
        <v>20</v>
      </c>
      <c r="E154" s="284">
        <f t="shared" ca="1" si="15"/>
        <v>0</v>
      </c>
      <c r="F154" s="284">
        <f t="shared" ca="1" si="16"/>
        <v>7.7535728503462238</v>
      </c>
      <c r="G154" s="284">
        <f t="shared" ca="1" si="17"/>
        <v>0</v>
      </c>
      <c r="H154" s="284">
        <f t="shared" ca="1" si="18"/>
        <v>0</v>
      </c>
      <c r="I154" s="284">
        <f t="shared" ca="1" si="20"/>
        <v>0</v>
      </c>
      <c r="J154" s="284">
        <f t="shared" ca="1" si="21"/>
        <v>0</v>
      </c>
      <c r="K154" s="284">
        <f t="shared" ca="1" si="22"/>
        <v>0</v>
      </c>
      <c r="L154" s="284"/>
      <c r="M154" s="284"/>
      <c r="N154" s="284"/>
      <c r="O154" s="284">
        <f t="shared" ca="1" si="19"/>
        <v>0</v>
      </c>
      <c r="Q154" s="296"/>
      <c r="R154" s="296"/>
    </row>
    <row r="155" spans="3:21">
      <c r="D155" s="310">
        <v>20.2</v>
      </c>
      <c r="E155" s="284">
        <f t="shared" ca="1" si="15"/>
        <v>0</v>
      </c>
      <c r="F155" s="284">
        <f t="shared" ca="1" si="16"/>
        <v>7.8311085788496859</v>
      </c>
      <c r="G155" s="284">
        <f t="shared" ca="1" si="17"/>
        <v>0</v>
      </c>
      <c r="H155" s="284">
        <f t="shared" ca="1" si="18"/>
        <v>0</v>
      </c>
      <c r="I155" s="284">
        <f t="shared" ca="1" si="20"/>
        <v>0</v>
      </c>
      <c r="J155" s="284">
        <f t="shared" ca="1" si="21"/>
        <v>0</v>
      </c>
      <c r="K155" s="284">
        <f t="shared" ca="1" si="22"/>
        <v>0</v>
      </c>
      <c r="L155" s="284"/>
      <c r="M155" s="284"/>
      <c r="N155" s="284"/>
      <c r="O155" s="284">
        <f t="shared" ca="1" si="19"/>
        <v>0</v>
      </c>
      <c r="Q155" s="296"/>
      <c r="R155" s="296"/>
    </row>
    <row r="156" spans="3:21">
      <c r="D156" s="310">
        <v>20.399999999999999</v>
      </c>
      <c r="E156" s="284">
        <f t="shared" ca="1" si="15"/>
        <v>0</v>
      </c>
      <c r="F156" s="284">
        <f t="shared" ca="1" si="16"/>
        <v>7.9086443073531481</v>
      </c>
      <c r="G156" s="284">
        <f t="shared" ca="1" si="17"/>
        <v>0</v>
      </c>
      <c r="H156" s="284">
        <f t="shared" ca="1" si="18"/>
        <v>0</v>
      </c>
      <c r="I156" s="284">
        <f t="shared" ca="1" si="20"/>
        <v>0</v>
      </c>
      <c r="J156" s="284">
        <f t="shared" ca="1" si="21"/>
        <v>0</v>
      </c>
      <c r="K156" s="284">
        <f t="shared" ca="1" si="22"/>
        <v>0</v>
      </c>
      <c r="L156" s="284"/>
      <c r="M156" s="284"/>
      <c r="N156" s="284"/>
      <c r="O156" s="284">
        <f t="shared" ca="1" si="19"/>
        <v>0</v>
      </c>
      <c r="Q156" s="296"/>
      <c r="R156" s="296"/>
    </row>
    <row r="157" spans="3:21">
      <c r="C157" s="36"/>
      <c r="D157" s="311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6"/>
    </row>
    <row r="160" spans="3:21">
      <c r="T160" s="312" t="s">
        <v>324</v>
      </c>
      <c r="U160" s="312" t="s">
        <v>325</v>
      </c>
    </row>
    <row r="161" spans="20:21">
      <c r="T161" s="313">
        <v>0</v>
      </c>
      <c r="U161" s="313">
        <v>0</v>
      </c>
    </row>
    <row r="162" spans="20:21">
      <c r="T162" s="313">
        <f ca="1">Q9</f>
        <v>1.1242680633002025</v>
      </c>
      <c r="U162" s="313">
        <f ca="1">E39</f>
        <v>37.694557589694597</v>
      </c>
    </row>
    <row r="163" spans="20:21">
      <c r="T163" s="313">
        <f ca="1">Q10</f>
        <v>3.0017957290115405</v>
      </c>
      <c r="U163" s="313">
        <v>0</v>
      </c>
    </row>
    <row r="171" spans="20:21" ht="23.25" customHeight="1"/>
    <row r="174" spans="20:21" ht="4.5" customHeight="1"/>
    <row r="175" spans="20:21" ht="4.5" customHeight="1"/>
  </sheetData>
  <mergeCells count="40">
    <mergeCell ref="I44:P44"/>
    <mergeCell ref="I45:P45"/>
    <mergeCell ref="D52:D53"/>
    <mergeCell ref="E52:E53"/>
    <mergeCell ref="F52:F53"/>
    <mergeCell ref="G52:G53"/>
    <mergeCell ref="H52:N52"/>
    <mergeCell ref="O52:O53"/>
    <mergeCell ref="I48:P48"/>
    <mergeCell ref="I49:P49"/>
    <mergeCell ref="B21:J21"/>
    <mergeCell ref="B22:C23"/>
    <mergeCell ref="D22:J22"/>
    <mergeCell ref="B37:B41"/>
    <mergeCell ref="C37:D37"/>
    <mergeCell ref="E37:F37"/>
    <mergeCell ref="C38:D38"/>
    <mergeCell ref="C39:D39"/>
    <mergeCell ref="C40:D40"/>
    <mergeCell ref="I40:P40"/>
    <mergeCell ref="C41:D41"/>
    <mergeCell ref="I41:P41"/>
    <mergeCell ref="B19:G19"/>
    <mergeCell ref="B7:D7"/>
    <mergeCell ref="B8:D8"/>
    <mergeCell ref="B9:D9"/>
    <mergeCell ref="B10:D10"/>
    <mergeCell ref="B14:H14"/>
    <mergeCell ref="B15:C15"/>
    <mergeCell ref="B16:C16"/>
    <mergeCell ref="B17:C17"/>
    <mergeCell ref="B18:C18"/>
    <mergeCell ref="AC13:AD13"/>
    <mergeCell ref="AC14:AD15"/>
    <mergeCell ref="B6:D6"/>
    <mergeCell ref="A1:R1"/>
    <mergeCell ref="A2:R2"/>
    <mergeCell ref="A3:R3"/>
    <mergeCell ref="B4:D4"/>
    <mergeCell ref="B5:D5"/>
  </mergeCells>
  <conditionalFormatting sqref="K4:O4">
    <cfRule type="expression" dxfId="53" priority="1">
      <formula>AND($M$22&lt;=79.73,OR($S$13=15,$S$13=25),$N$4=$S$13)</formula>
    </cfRule>
  </conditionalFormatting>
  <conditionalFormatting sqref="K5:O5">
    <cfRule type="expression" dxfId="52" priority="2">
      <formula>AND($M$22&lt;=79.73,OR($S$13=15,$S$13=25),$N$5=$S$13)</formula>
    </cfRule>
    <cfRule type="expression" dxfId="51" priority="3">
      <formula>AND($M$22&lt;=79.73,OR($S$14=25,$S$14=50),$N$5=$S$14)</formula>
    </cfRule>
  </conditionalFormatting>
  <conditionalFormatting sqref="K6:O6">
    <cfRule type="expression" dxfId="50" priority="4">
      <formula>AND($M$22&lt;=79.73,OR($S$14=25,$S$14=50),$N$6=$S$14)</formula>
    </cfRule>
  </conditionalFormatting>
  <conditionalFormatting sqref="K7:O7">
    <cfRule type="expression" dxfId="49" priority="5">
      <formula>AND($M$22&gt;79.73,$N$7=100)</formula>
    </cfRule>
  </conditionalFormatting>
  <dataValidations disablePrompts="1" count="3">
    <dataValidation type="list" allowBlank="1" showInputMessage="1" showErrorMessage="1" sqref="C11" xr:uid="{5A4AD812-642D-4745-B282-B0E29DA920BB}">
      <formula1>"Plano,Levemente ondulado,Ondulado,Muito ondulado,Montanhoso,Muito montanhoso,Escarpado"</formula1>
    </dataValidation>
    <dataValidation type="list" allowBlank="1" showInputMessage="1" showErrorMessage="1" sqref="C12" xr:uid="{0F47C19B-B60A-433F-B4D5-E127B64DD16E}">
      <formula1>"A,B,C,D"</formula1>
    </dataValidation>
    <dataValidation type="list" allowBlank="1" showInputMessage="1" showErrorMessage="1" sqref="AC14:AD15" xr:uid="{90CCD880-9278-4B08-9AEB-260813F7136F}">
      <formula1>"Tabelado,Ponderado"</formula1>
    </dataValidation>
  </dataValidations>
  <printOptions horizontalCentered="1"/>
  <pageMargins left="0.39370078740157483" right="0.39370078740157483" top="0.59055118110236227" bottom="0.39370078740157483" header="0.31496062992125984" footer="0.31496062992125984"/>
  <pageSetup paperSize="9" scale="56" fitToHeight="0" orientation="portrait" r:id="rId1"/>
  <headerFooter>
    <oddHeader>&amp;L&amp;G</oddHeader>
  </headerFooter>
  <rowBreaks count="1" manualBreakCount="1">
    <brk id="83" max="17" man="1"/>
  </rowBreaks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1CB-FD6B-4D8E-8B72-EE8F995C4EA9}">
  <sheetPr codeName="Planilha21">
    <tabColor rgb="FFFFFF00"/>
  </sheetPr>
  <dimension ref="B2:P26"/>
  <sheetViews>
    <sheetView showGridLines="0" zoomScaleNormal="100" workbookViewId="0">
      <selection activeCell="B2" sqref="B2:H17"/>
    </sheetView>
  </sheetViews>
  <sheetFormatPr defaultRowHeight="15"/>
  <cols>
    <col min="3" max="3" width="8.5703125" bestFit="1" customWidth="1"/>
    <col min="4" max="4" width="12.5703125" bestFit="1" customWidth="1"/>
    <col min="5" max="5" width="10.85546875" bestFit="1" customWidth="1"/>
    <col min="6" max="9" width="8.5703125" customWidth="1"/>
    <col min="10" max="10" width="11.42578125" customWidth="1"/>
    <col min="14" max="14" width="10.42578125" customWidth="1"/>
  </cols>
  <sheetData>
    <row r="2" spans="2:11" ht="45.75" thickBot="1">
      <c r="B2" s="1" t="s">
        <v>37</v>
      </c>
      <c r="C2" s="1" t="s">
        <v>38</v>
      </c>
      <c r="D2" s="1" t="s">
        <v>39</v>
      </c>
      <c r="E2" s="1" t="s">
        <v>40</v>
      </c>
      <c r="F2" s="2" t="s">
        <v>41</v>
      </c>
      <c r="G2" s="2" t="s">
        <v>42</v>
      </c>
      <c r="H2" s="1" t="s">
        <v>43</v>
      </c>
      <c r="I2" s="3"/>
      <c r="J2" s="3"/>
    </row>
    <row r="3" spans="2:11" ht="15.75" thickBot="1">
      <c r="B3" s="14" t="s">
        <v>44</v>
      </c>
      <c r="C3" s="232">
        <v>1133</v>
      </c>
      <c r="D3" s="14">
        <v>0</v>
      </c>
      <c r="E3" s="13">
        <f t="shared" ref="E3:E14" si="0">D3/1000</f>
        <v>0</v>
      </c>
      <c r="F3" s="13">
        <v>0</v>
      </c>
      <c r="G3" s="13">
        <v>0</v>
      </c>
      <c r="H3" s="13">
        <v>0</v>
      </c>
      <c r="J3" s="464" t="s">
        <v>198</v>
      </c>
      <c r="K3" s="465"/>
    </row>
    <row r="4" spans="2:11">
      <c r="B4" s="14">
        <v>1</v>
      </c>
      <c r="C4" s="232">
        <v>938</v>
      </c>
      <c r="D4" s="37">
        <v>500</v>
      </c>
      <c r="E4" s="12">
        <f>D4/1000</f>
        <v>0.5</v>
      </c>
      <c r="F4" s="13">
        <f t="shared" ref="F4:F15" si="1">C3-C4</f>
        <v>195</v>
      </c>
      <c r="G4" s="12">
        <f>E4-E3</f>
        <v>0.5</v>
      </c>
      <c r="H4" s="12">
        <f t="shared" ref="H4:H15" si="2">F4/G4</f>
        <v>390</v>
      </c>
      <c r="J4" s="120" t="s">
        <v>199</v>
      </c>
      <c r="K4" s="124">
        <f ca="1">(((E15/((G4/SQRT(H4))+(G5/SQRT(H5))+(G6/SQRT(H6))+(G7/SQRT(H7))+(G8/SQRT(H8))+(G9/SQRT(H9))+(G10/SQRT(H10))+(G11/SQRT(H11))+(G12/SQRT(H12))+(G13/SQRT(H13))+(G14/SQRT(H14))+(G15/SQRT(H15))))^2)/1000)*1000</f>
        <v>27.646412801374673</v>
      </c>
    </row>
    <row r="5" spans="2:11" ht="15.75" thickBot="1">
      <c r="B5" s="14">
        <v>2</v>
      </c>
      <c r="C5" s="232">
        <v>804</v>
      </c>
      <c r="D5" s="37">
        <f>D4+500</f>
        <v>1000</v>
      </c>
      <c r="E5" s="12">
        <f>D5/1000</f>
        <v>1</v>
      </c>
      <c r="F5" s="13">
        <f t="shared" si="1"/>
        <v>134</v>
      </c>
      <c r="G5" s="12">
        <f>E5-E4</f>
        <v>0.5</v>
      </c>
      <c r="H5" s="12">
        <f t="shared" si="2"/>
        <v>268</v>
      </c>
      <c r="J5" s="121" t="s">
        <v>200</v>
      </c>
      <c r="K5" s="123">
        <f ca="1">((E15/((G4/SQRT(H4))+(G5/SQRT(H5))+(G6/SQRT(H6))+(G7/SQRT(H7))+(G8/SQRT(H8))+(G9/SQRT(H9))+(G10/SQRT(H10))+(G11/SQRT(H11))+(G12/SQRT(H12))+(G13/SQRT(H13))+(G14/SQRT(H14))+(G15/SQRT(H15))))^2)/1000</f>
        <v>2.7646412801374674E-2</v>
      </c>
    </row>
    <row r="6" spans="2:11" ht="15.75" thickBot="1">
      <c r="B6" s="14">
        <v>3</v>
      </c>
      <c r="C6" s="232">
        <v>723</v>
      </c>
      <c r="D6" s="37">
        <f t="shared" ref="D6:D14" si="3">D5+500</f>
        <v>1500</v>
      </c>
      <c r="E6" s="12">
        <f>D6/1000</f>
        <v>1.5</v>
      </c>
      <c r="F6" s="13">
        <f t="shared" si="1"/>
        <v>81</v>
      </c>
      <c r="G6" s="12">
        <f t="shared" ref="G6:G15" si="4">E6-E5</f>
        <v>0.5</v>
      </c>
      <c r="H6" s="12">
        <f t="shared" si="2"/>
        <v>162</v>
      </c>
      <c r="J6" s="119" t="s">
        <v>201</v>
      </c>
      <c r="K6" s="122">
        <f ca="1">(((E15/((G4/SQRT(H4))+(G5/SQRT(H5))+(G6/SQRT(H6))+(G7/SQRT(H7))+(G8/SQRT(H8))+(G9/SQRT(H9))+(G10/SQRT(H10))+(G11/SQRT(H11))+(G12/SQRT(H12))+(G13/SQRT(H13))+(G14/SQRT(H14))+(G15/SQRT(H15))))^2)/1000)*100</f>
        <v>2.7646412801374676</v>
      </c>
    </row>
    <row r="7" spans="2:11">
      <c r="B7" s="14">
        <v>4</v>
      </c>
      <c r="C7" s="232">
        <v>689</v>
      </c>
      <c r="D7" s="37">
        <f t="shared" si="3"/>
        <v>2000</v>
      </c>
      <c r="E7" s="12">
        <f t="shared" si="0"/>
        <v>2</v>
      </c>
      <c r="F7" s="13">
        <f t="shared" si="1"/>
        <v>34</v>
      </c>
      <c r="G7" s="12">
        <f t="shared" si="4"/>
        <v>0.5</v>
      </c>
      <c r="H7" s="12">
        <f t="shared" si="2"/>
        <v>68</v>
      </c>
    </row>
    <row r="8" spans="2:11">
      <c r="B8" s="14">
        <v>5</v>
      </c>
      <c r="C8" s="232">
        <v>664</v>
      </c>
      <c r="D8" s="37">
        <f t="shared" si="3"/>
        <v>2500</v>
      </c>
      <c r="E8" s="12">
        <f t="shared" si="0"/>
        <v>2.5</v>
      </c>
      <c r="F8" s="13">
        <f t="shared" si="1"/>
        <v>25</v>
      </c>
      <c r="G8" s="12">
        <f t="shared" si="4"/>
        <v>0.5</v>
      </c>
      <c r="H8" s="12">
        <f t="shared" si="2"/>
        <v>50</v>
      </c>
    </row>
    <row r="9" spans="2:11">
      <c r="B9" s="14">
        <v>6</v>
      </c>
      <c r="C9" s="232">
        <v>650</v>
      </c>
      <c r="D9" s="37">
        <f t="shared" si="3"/>
        <v>3000</v>
      </c>
      <c r="E9" s="12">
        <f t="shared" si="0"/>
        <v>3</v>
      </c>
      <c r="F9" s="13">
        <f t="shared" si="1"/>
        <v>14</v>
      </c>
      <c r="G9" s="12">
        <f t="shared" si="4"/>
        <v>0.5</v>
      </c>
      <c r="H9" s="12">
        <f t="shared" si="2"/>
        <v>28</v>
      </c>
    </row>
    <row r="10" spans="2:11">
      <c r="B10" s="14">
        <v>7</v>
      </c>
      <c r="C10" s="232">
        <v>643</v>
      </c>
      <c r="D10" s="37">
        <f t="shared" si="3"/>
        <v>3500</v>
      </c>
      <c r="E10" s="12">
        <f t="shared" si="0"/>
        <v>3.5</v>
      </c>
      <c r="F10" s="13">
        <f t="shared" si="1"/>
        <v>7</v>
      </c>
      <c r="G10" s="12">
        <f t="shared" si="4"/>
        <v>0.5</v>
      </c>
      <c r="H10" s="12">
        <f t="shared" si="2"/>
        <v>14</v>
      </c>
    </row>
    <row r="11" spans="2:11">
      <c r="B11" s="14">
        <v>8</v>
      </c>
      <c r="C11" s="232">
        <v>635</v>
      </c>
      <c r="D11" s="37">
        <f t="shared" si="3"/>
        <v>4000</v>
      </c>
      <c r="E11" s="12">
        <f t="shared" si="0"/>
        <v>4</v>
      </c>
      <c r="F11" s="13">
        <f t="shared" si="1"/>
        <v>8</v>
      </c>
      <c r="G11" s="12">
        <f t="shared" si="4"/>
        <v>0.5</v>
      </c>
      <c r="H11" s="12">
        <f t="shared" si="2"/>
        <v>16</v>
      </c>
    </row>
    <row r="12" spans="2:11">
      <c r="B12" s="14">
        <v>9</v>
      </c>
      <c r="C12" s="232">
        <v>625</v>
      </c>
      <c r="D12" s="37">
        <f t="shared" si="3"/>
        <v>4500</v>
      </c>
      <c r="E12" s="12">
        <f t="shared" si="0"/>
        <v>4.5</v>
      </c>
      <c r="F12" s="13">
        <f t="shared" si="1"/>
        <v>10</v>
      </c>
      <c r="G12" s="12">
        <f t="shared" si="4"/>
        <v>0.5</v>
      </c>
      <c r="H12" s="12">
        <f t="shared" si="2"/>
        <v>20</v>
      </c>
    </row>
    <row r="13" spans="2:11">
      <c r="B13" s="14">
        <v>10</v>
      </c>
      <c r="C13" s="232">
        <v>616</v>
      </c>
      <c r="D13" s="37">
        <f t="shared" si="3"/>
        <v>5000</v>
      </c>
      <c r="E13" s="12">
        <f t="shared" si="0"/>
        <v>5</v>
      </c>
      <c r="F13" s="13">
        <f t="shared" si="1"/>
        <v>9</v>
      </c>
      <c r="G13" s="12">
        <f t="shared" si="4"/>
        <v>0.5</v>
      </c>
      <c r="H13" s="12">
        <f t="shared" si="2"/>
        <v>18</v>
      </c>
    </row>
    <row r="14" spans="2:11">
      <c r="B14" s="14">
        <v>11</v>
      </c>
      <c r="C14" s="232">
        <v>613</v>
      </c>
      <c r="D14" s="37">
        <f t="shared" si="3"/>
        <v>5500</v>
      </c>
      <c r="E14" s="12">
        <f t="shared" si="0"/>
        <v>5.5</v>
      </c>
      <c r="F14" s="13">
        <f t="shared" si="1"/>
        <v>3</v>
      </c>
      <c r="G14" s="12">
        <f t="shared" si="4"/>
        <v>0.5</v>
      </c>
      <c r="H14" s="12">
        <f t="shared" si="2"/>
        <v>6</v>
      </c>
    </row>
    <row r="15" spans="2:11">
      <c r="B15" s="14" t="s">
        <v>33</v>
      </c>
      <c r="C15" s="232">
        <v>609</v>
      </c>
      <c r="D15" s="13">
        <f ca="1">'BC09 (HUT)'!E8*1000</f>
        <v>5832.5459362975052</v>
      </c>
      <c r="E15" s="12">
        <f ca="1">D15/1000</f>
        <v>5.832545936297505</v>
      </c>
      <c r="F15" s="13">
        <f t="shared" si="1"/>
        <v>4</v>
      </c>
      <c r="G15" s="12">
        <f t="shared" ca="1" si="4"/>
        <v>0.33254593629750495</v>
      </c>
      <c r="H15" s="12">
        <f t="shared" ca="1" si="2"/>
        <v>12.028413411197084</v>
      </c>
    </row>
    <row r="17" spans="2:16">
      <c r="B17" s="314" t="s">
        <v>326</v>
      </c>
      <c r="G17" s="277"/>
    </row>
    <row r="18" spans="2:16">
      <c r="B18" s="314" t="s">
        <v>327</v>
      </c>
    </row>
    <row r="19" spans="2:16" ht="15.75" thickBot="1"/>
    <row r="20" spans="2:16" ht="15.75" thickBot="1">
      <c r="B20" s="4" t="s">
        <v>48</v>
      </c>
      <c r="C20" s="5">
        <f ca="1">((E15/((G4/(SQRT(H4)))+(G5/(SQRT(H5)))+(G6/(SQRT(H6)))+(G7/(SQRT(H7)))+(G8/(SQRT(H8)))+(G9/(SQRT(H9)))+(G10/(SQRT(H10)))+(G11/(SQRT(H11)))+(G12/(SQRT(H12)))+(G13/(SQRT(H13)))+(G14/(SQRT(H14)))+(G15/(SQRT(H15))))))^2</f>
        <v>27.646412801374673</v>
      </c>
      <c r="D20" s="6" t="s">
        <v>45</v>
      </c>
      <c r="E20" s="6" t="s">
        <v>49</v>
      </c>
      <c r="F20" s="6"/>
      <c r="G20" s="6"/>
      <c r="H20" s="7"/>
    </row>
    <row r="21" spans="2:16" ht="15.75" thickBot="1">
      <c r="B21" s="4" t="s">
        <v>48</v>
      </c>
      <c r="C21" s="8">
        <f ca="1">C20/1000</f>
        <v>2.7646412801374674E-2</v>
      </c>
      <c r="D21" s="6" t="s">
        <v>46</v>
      </c>
      <c r="E21" s="6" t="s">
        <v>50</v>
      </c>
      <c r="F21" s="6"/>
      <c r="G21" s="6"/>
      <c r="H21" s="7"/>
    </row>
    <row r="22" spans="2:16" ht="15.75" thickBot="1">
      <c r="B22" s="9" t="s">
        <v>48</v>
      </c>
      <c r="C22" s="108">
        <f ca="1">C21*100</f>
        <v>2.7646412801374676</v>
      </c>
      <c r="D22" s="10" t="s">
        <v>47</v>
      </c>
      <c r="E22" s="10" t="s">
        <v>51</v>
      </c>
      <c r="F22" s="10"/>
      <c r="G22" s="10"/>
      <c r="H22" s="11"/>
    </row>
    <row r="26" spans="2:16">
      <c r="P26" t="str">
        <f>"Perfil Longitudinal - "&amp;'BC09 (HUT)'!E6</f>
        <v>Perfil Longitudinal - Córrego Lavandeira</v>
      </c>
    </row>
  </sheetData>
  <mergeCells count="1">
    <mergeCell ref="J3:K3"/>
  </mergeCells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FFC7C-E522-4FD9-B6F1-A99C77F05497}">
  <sheetPr codeName="Planilha8">
    <tabColor rgb="FF92D050"/>
  </sheetPr>
  <dimension ref="A1:AD49"/>
  <sheetViews>
    <sheetView showGridLines="0" workbookViewId="0">
      <selection activeCell="B2" sqref="B2:H17"/>
    </sheetView>
  </sheetViews>
  <sheetFormatPr defaultRowHeight="12.75"/>
  <cols>
    <col min="1" max="1" width="3.7109375" style="45" customWidth="1"/>
    <col min="2" max="2" width="12.7109375" style="45" customWidth="1"/>
    <col min="3" max="3" width="19.7109375" style="45" customWidth="1"/>
    <col min="4" max="4" width="13.42578125" style="45" customWidth="1"/>
    <col min="5" max="5" width="8.85546875" style="45" customWidth="1"/>
    <col min="6" max="6" width="6.7109375" style="45" customWidth="1"/>
    <col min="7" max="7" width="8.28515625" style="45" bestFit="1" customWidth="1"/>
    <col min="8" max="8" width="8.28515625" style="45" customWidth="1"/>
    <col min="9" max="9" width="8.140625" style="45" customWidth="1"/>
    <col min="10" max="10" width="9.7109375" style="45" customWidth="1"/>
    <col min="11" max="11" width="15.7109375" style="45" customWidth="1"/>
    <col min="12" max="12" width="8.7109375" style="45" customWidth="1"/>
    <col min="13" max="13" width="6.28515625" style="45" bestFit="1" customWidth="1"/>
    <col min="14" max="14" width="10.42578125" style="45" customWidth="1"/>
    <col min="15" max="15" width="5.7109375" style="45" bestFit="1" customWidth="1"/>
    <col min="16" max="16" width="8.7109375" style="45" customWidth="1"/>
    <col min="17" max="17" width="15" style="45" bestFit="1" customWidth="1"/>
    <col min="18" max="18" width="8.42578125" style="45" customWidth="1"/>
    <col min="19" max="19" width="12.5703125" style="45" bestFit="1" customWidth="1"/>
    <col min="20" max="20" width="12.28515625" style="45" bestFit="1" customWidth="1"/>
    <col min="21" max="21" width="5.28515625" style="45" customWidth="1"/>
    <col min="22" max="22" width="15.42578125" style="45" bestFit="1" customWidth="1"/>
    <col min="23" max="23" width="10.42578125" style="45" bestFit="1" customWidth="1"/>
    <col min="24" max="24" width="9.140625" style="45"/>
    <col min="25" max="25" width="5.140625" style="45" customWidth="1"/>
    <col min="26" max="26" width="9.140625" style="45"/>
    <col min="27" max="27" width="4.140625" style="45" customWidth="1"/>
    <col min="28" max="257" width="9.140625" style="45"/>
    <col min="258" max="258" width="8.7109375" style="45" customWidth="1"/>
    <col min="259" max="259" width="17" style="45" customWidth="1"/>
    <col min="260" max="260" width="14.42578125" style="45" customWidth="1"/>
    <col min="261" max="261" width="10.28515625" style="45" customWidth="1"/>
    <col min="262" max="272" width="8.7109375" style="45" customWidth="1"/>
    <col min="273" max="273" width="9.7109375" style="45" customWidth="1"/>
    <col min="274" max="274" width="8.42578125" style="45" customWidth="1"/>
    <col min="275" max="275" width="9.140625" style="45"/>
    <col min="276" max="276" width="10.7109375" style="45" customWidth="1"/>
    <col min="277" max="277" width="5.28515625" style="45" customWidth="1"/>
    <col min="278" max="278" width="15.42578125" style="45" bestFit="1" customWidth="1"/>
    <col min="279" max="279" width="10.42578125" style="45" bestFit="1" customWidth="1"/>
    <col min="280" max="513" width="9.140625" style="45"/>
    <col min="514" max="514" width="8.7109375" style="45" customWidth="1"/>
    <col min="515" max="515" width="17" style="45" customWidth="1"/>
    <col min="516" max="516" width="14.42578125" style="45" customWidth="1"/>
    <col min="517" max="517" width="10.28515625" style="45" customWidth="1"/>
    <col min="518" max="528" width="8.7109375" style="45" customWidth="1"/>
    <col min="529" max="529" width="9.7109375" style="45" customWidth="1"/>
    <col min="530" max="530" width="8.42578125" style="45" customWidth="1"/>
    <col min="531" max="531" width="9.140625" style="45"/>
    <col min="532" max="532" width="10.7109375" style="45" customWidth="1"/>
    <col min="533" max="533" width="5.28515625" style="45" customWidth="1"/>
    <col min="534" max="534" width="15.42578125" style="45" bestFit="1" customWidth="1"/>
    <col min="535" max="535" width="10.42578125" style="45" bestFit="1" customWidth="1"/>
    <col min="536" max="769" width="9.140625" style="45"/>
    <col min="770" max="770" width="8.7109375" style="45" customWidth="1"/>
    <col min="771" max="771" width="17" style="45" customWidth="1"/>
    <col min="772" max="772" width="14.42578125" style="45" customWidth="1"/>
    <col min="773" max="773" width="10.28515625" style="45" customWidth="1"/>
    <col min="774" max="784" width="8.7109375" style="45" customWidth="1"/>
    <col min="785" max="785" width="9.7109375" style="45" customWidth="1"/>
    <col min="786" max="786" width="8.42578125" style="45" customWidth="1"/>
    <col min="787" max="787" width="9.140625" style="45"/>
    <col min="788" max="788" width="10.7109375" style="45" customWidth="1"/>
    <col min="789" max="789" width="5.28515625" style="45" customWidth="1"/>
    <col min="790" max="790" width="15.42578125" style="45" bestFit="1" customWidth="1"/>
    <col min="791" max="791" width="10.42578125" style="45" bestFit="1" customWidth="1"/>
    <col min="792" max="1025" width="9.140625" style="45"/>
    <col min="1026" max="1026" width="8.7109375" style="45" customWidth="1"/>
    <col min="1027" max="1027" width="17" style="45" customWidth="1"/>
    <col min="1028" max="1028" width="14.42578125" style="45" customWidth="1"/>
    <col min="1029" max="1029" width="10.28515625" style="45" customWidth="1"/>
    <col min="1030" max="1040" width="8.7109375" style="45" customWidth="1"/>
    <col min="1041" max="1041" width="9.7109375" style="45" customWidth="1"/>
    <col min="1042" max="1042" width="8.42578125" style="45" customWidth="1"/>
    <col min="1043" max="1043" width="9.140625" style="45"/>
    <col min="1044" max="1044" width="10.7109375" style="45" customWidth="1"/>
    <col min="1045" max="1045" width="5.28515625" style="45" customWidth="1"/>
    <col min="1046" max="1046" width="15.42578125" style="45" bestFit="1" customWidth="1"/>
    <col min="1047" max="1047" width="10.42578125" style="45" bestFit="1" customWidth="1"/>
    <col min="1048" max="1281" width="9.140625" style="45"/>
    <col min="1282" max="1282" width="8.7109375" style="45" customWidth="1"/>
    <col min="1283" max="1283" width="17" style="45" customWidth="1"/>
    <col min="1284" max="1284" width="14.42578125" style="45" customWidth="1"/>
    <col min="1285" max="1285" width="10.28515625" style="45" customWidth="1"/>
    <col min="1286" max="1296" width="8.7109375" style="45" customWidth="1"/>
    <col min="1297" max="1297" width="9.7109375" style="45" customWidth="1"/>
    <col min="1298" max="1298" width="8.42578125" style="45" customWidth="1"/>
    <col min="1299" max="1299" width="9.140625" style="45"/>
    <col min="1300" max="1300" width="10.7109375" style="45" customWidth="1"/>
    <col min="1301" max="1301" width="5.28515625" style="45" customWidth="1"/>
    <col min="1302" max="1302" width="15.42578125" style="45" bestFit="1" customWidth="1"/>
    <col min="1303" max="1303" width="10.42578125" style="45" bestFit="1" customWidth="1"/>
    <col min="1304" max="1537" width="9.140625" style="45"/>
    <col min="1538" max="1538" width="8.7109375" style="45" customWidth="1"/>
    <col min="1539" max="1539" width="17" style="45" customWidth="1"/>
    <col min="1540" max="1540" width="14.42578125" style="45" customWidth="1"/>
    <col min="1541" max="1541" width="10.28515625" style="45" customWidth="1"/>
    <col min="1542" max="1552" width="8.7109375" style="45" customWidth="1"/>
    <col min="1553" max="1553" width="9.7109375" style="45" customWidth="1"/>
    <col min="1554" max="1554" width="8.42578125" style="45" customWidth="1"/>
    <col min="1555" max="1555" width="9.140625" style="45"/>
    <col min="1556" max="1556" width="10.7109375" style="45" customWidth="1"/>
    <col min="1557" max="1557" width="5.28515625" style="45" customWidth="1"/>
    <col min="1558" max="1558" width="15.42578125" style="45" bestFit="1" customWidth="1"/>
    <col min="1559" max="1559" width="10.42578125" style="45" bestFit="1" customWidth="1"/>
    <col min="1560" max="1793" width="9.140625" style="45"/>
    <col min="1794" max="1794" width="8.7109375" style="45" customWidth="1"/>
    <col min="1795" max="1795" width="17" style="45" customWidth="1"/>
    <col min="1796" max="1796" width="14.42578125" style="45" customWidth="1"/>
    <col min="1797" max="1797" width="10.28515625" style="45" customWidth="1"/>
    <col min="1798" max="1808" width="8.7109375" style="45" customWidth="1"/>
    <col min="1809" max="1809" width="9.7109375" style="45" customWidth="1"/>
    <col min="1810" max="1810" width="8.42578125" style="45" customWidth="1"/>
    <col min="1811" max="1811" width="9.140625" style="45"/>
    <col min="1812" max="1812" width="10.7109375" style="45" customWidth="1"/>
    <col min="1813" max="1813" width="5.28515625" style="45" customWidth="1"/>
    <col min="1814" max="1814" width="15.42578125" style="45" bestFit="1" customWidth="1"/>
    <col min="1815" max="1815" width="10.42578125" style="45" bestFit="1" customWidth="1"/>
    <col min="1816" max="2049" width="9.140625" style="45"/>
    <col min="2050" max="2050" width="8.7109375" style="45" customWidth="1"/>
    <col min="2051" max="2051" width="17" style="45" customWidth="1"/>
    <col min="2052" max="2052" width="14.42578125" style="45" customWidth="1"/>
    <col min="2053" max="2053" width="10.28515625" style="45" customWidth="1"/>
    <col min="2054" max="2064" width="8.7109375" style="45" customWidth="1"/>
    <col min="2065" max="2065" width="9.7109375" style="45" customWidth="1"/>
    <col min="2066" max="2066" width="8.42578125" style="45" customWidth="1"/>
    <col min="2067" max="2067" width="9.140625" style="45"/>
    <col min="2068" max="2068" width="10.7109375" style="45" customWidth="1"/>
    <col min="2069" max="2069" width="5.28515625" style="45" customWidth="1"/>
    <col min="2070" max="2070" width="15.42578125" style="45" bestFit="1" customWidth="1"/>
    <col min="2071" max="2071" width="10.42578125" style="45" bestFit="1" customWidth="1"/>
    <col min="2072" max="2305" width="9.140625" style="45"/>
    <col min="2306" max="2306" width="8.7109375" style="45" customWidth="1"/>
    <col min="2307" max="2307" width="17" style="45" customWidth="1"/>
    <col min="2308" max="2308" width="14.42578125" style="45" customWidth="1"/>
    <col min="2309" max="2309" width="10.28515625" style="45" customWidth="1"/>
    <col min="2310" max="2320" width="8.7109375" style="45" customWidth="1"/>
    <col min="2321" max="2321" width="9.7109375" style="45" customWidth="1"/>
    <col min="2322" max="2322" width="8.42578125" style="45" customWidth="1"/>
    <col min="2323" max="2323" width="9.140625" style="45"/>
    <col min="2324" max="2324" width="10.7109375" style="45" customWidth="1"/>
    <col min="2325" max="2325" width="5.28515625" style="45" customWidth="1"/>
    <col min="2326" max="2326" width="15.42578125" style="45" bestFit="1" customWidth="1"/>
    <col min="2327" max="2327" width="10.42578125" style="45" bestFit="1" customWidth="1"/>
    <col min="2328" max="2561" width="9.140625" style="45"/>
    <col min="2562" max="2562" width="8.7109375" style="45" customWidth="1"/>
    <col min="2563" max="2563" width="17" style="45" customWidth="1"/>
    <col min="2564" max="2564" width="14.42578125" style="45" customWidth="1"/>
    <col min="2565" max="2565" width="10.28515625" style="45" customWidth="1"/>
    <col min="2566" max="2576" width="8.7109375" style="45" customWidth="1"/>
    <col min="2577" max="2577" width="9.7109375" style="45" customWidth="1"/>
    <col min="2578" max="2578" width="8.42578125" style="45" customWidth="1"/>
    <col min="2579" max="2579" width="9.140625" style="45"/>
    <col min="2580" max="2580" width="10.7109375" style="45" customWidth="1"/>
    <col min="2581" max="2581" width="5.28515625" style="45" customWidth="1"/>
    <col min="2582" max="2582" width="15.42578125" style="45" bestFit="1" customWidth="1"/>
    <col min="2583" max="2583" width="10.42578125" style="45" bestFit="1" customWidth="1"/>
    <col min="2584" max="2817" width="9.140625" style="45"/>
    <col min="2818" max="2818" width="8.7109375" style="45" customWidth="1"/>
    <col min="2819" max="2819" width="17" style="45" customWidth="1"/>
    <col min="2820" max="2820" width="14.42578125" style="45" customWidth="1"/>
    <col min="2821" max="2821" width="10.28515625" style="45" customWidth="1"/>
    <col min="2822" max="2832" width="8.7109375" style="45" customWidth="1"/>
    <col min="2833" max="2833" width="9.7109375" style="45" customWidth="1"/>
    <col min="2834" max="2834" width="8.42578125" style="45" customWidth="1"/>
    <col min="2835" max="2835" width="9.140625" style="45"/>
    <col min="2836" max="2836" width="10.7109375" style="45" customWidth="1"/>
    <col min="2837" max="2837" width="5.28515625" style="45" customWidth="1"/>
    <col min="2838" max="2838" width="15.42578125" style="45" bestFit="1" customWidth="1"/>
    <col min="2839" max="2839" width="10.42578125" style="45" bestFit="1" customWidth="1"/>
    <col min="2840" max="3073" width="9.140625" style="45"/>
    <col min="3074" max="3074" width="8.7109375" style="45" customWidth="1"/>
    <col min="3075" max="3075" width="17" style="45" customWidth="1"/>
    <col min="3076" max="3076" width="14.42578125" style="45" customWidth="1"/>
    <col min="3077" max="3077" width="10.28515625" style="45" customWidth="1"/>
    <col min="3078" max="3088" width="8.7109375" style="45" customWidth="1"/>
    <col min="3089" max="3089" width="9.7109375" style="45" customWidth="1"/>
    <col min="3090" max="3090" width="8.42578125" style="45" customWidth="1"/>
    <col min="3091" max="3091" width="9.140625" style="45"/>
    <col min="3092" max="3092" width="10.7109375" style="45" customWidth="1"/>
    <col min="3093" max="3093" width="5.28515625" style="45" customWidth="1"/>
    <col min="3094" max="3094" width="15.42578125" style="45" bestFit="1" customWidth="1"/>
    <col min="3095" max="3095" width="10.42578125" style="45" bestFit="1" customWidth="1"/>
    <col min="3096" max="3329" width="9.140625" style="45"/>
    <col min="3330" max="3330" width="8.7109375" style="45" customWidth="1"/>
    <col min="3331" max="3331" width="17" style="45" customWidth="1"/>
    <col min="3332" max="3332" width="14.42578125" style="45" customWidth="1"/>
    <col min="3333" max="3333" width="10.28515625" style="45" customWidth="1"/>
    <col min="3334" max="3344" width="8.7109375" style="45" customWidth="1"/>
    <col min="3345" max="3345" width="9.7109375" style="45" customWidth="1"/>
    <col min="3346" max="3346" width="8.42578125" style="45" customWidth="1"/>
    <col min="3347" max="3347" width="9.140625" style="45"/>
    <col min="3348" max="3348" width="10.7109375" style="45" customWidth="1"/>
    <col min="3349" max="3349" width="5.28515625" style="45" customWidth="1"/>
    <col min="3350" max="3350" width="15.42578125" style="45" bestFit="1" customWidth="1"/>
    <col min="3351" max="3351" width="10.42578125" style="45" bestFit="1" customWidth="1"/>
    <col min="3352" max="3585" width="9.140625" style="45"/>
    <col min="3586" max="3586" width="8.7109375" style="45" customWidth="1"/>
    <col min="3587" max="3587" width="17" style="45" customWidth="1"/>
    <col min="3588" max="3588" width="14.42578125" style="45" customWidth="1"/>
    <col min="3589" max="3589" width="10.28515625" style="45" customWidth="1"/>
    <col min="3590" max="3600" width="8.7109375" style="45" customWidth="1"/>
    <col min="3601" max="3601" width="9.7109375" style="45" customWidth="1"/>
    <col min="3602" max="3602" width="8.42578125" style="45" customWidth="1"/>
    <col min="3603" max="3603" width="9.140625" style="45"/>
    <col min="3604" max="3604" width="10.7109375" style="45" customWidth="1"/>
    <col min="3605" max="3605" width="5.28515625" style="45" customWidth="1"/>
    <col min="3606" max="3606" width="15.42578125" style="45" bestFit="1" customWidth="1"/>
    <col min="3607" max="3607" width="10.42578125" style="45" bestFit="1" customWidth="1"/>
    <col min="3608" max="3841" width="9.140625" style="45"/>
    <col min="3842" max="3842" width="8.7109375" style="45" customWidth="1"/>
    <col min="3843" max="3843" width="17" style="45" customWidth="1"/>
    <col min="3844" max="3844" width="14.42578125" style="45" customWidth="1"/>
    <col min="3845" max="3845" width="10.28515625" style="45" customWidth="1"/>
    <col min="3846" max="3856" width="8.7109375" style="45" customWidth="1"/>
    <col min="3857" max="3857" width="9.7109375" style="45" customWidth="1"/>
    <col min="3858" max="3858" width="8.42578125" style="45" customWidth="1"/>
    <col min="3859" max="3859" width="9.140625" style="45"/>
    <col min="3860" max="3860" width="10.7109375" style="45" customWidth="1"/>
    <col min="3861" max="3861" width="5.28515625" style="45" customWidth="1"/>
    <col min="3862" max="3862" width="15.42578125" style="45" bestFit="1" customWidth="1"/>
    <col min="3863" max="3863" width="10.42578125" style="45" bestFit="1" customWidth="1"/>
    <col min="3864" max="4097" width="9.140625" style="45"/>
    <col min="4098" max="4098" width="8.7109375" style="45" customWidth="1"/>
    <col min="4099" max="4099" width="17" style="45" customWidth="1"/>
    <col min="4100" max="4100" width="14.42578125" style="45" customWidth="1"/>
    <col min="4101" max="4101" width="10.28515625" style="45" customWidth="1"/>
    <col min="4102" max="4112" width="8.7109375" style="45" customWidth="1"/>
    <col min="4113" max="4113" width="9.7109375" style="45" customWidth="1"/>
    <col min="4114" max="4114" width="8.42578125" style="45" customWidth="1"/>
    <col min="4115" max="4115" width="9.140625" style="45"/>
    <col min="4116" max="4116" width="10.7109375" style="45" customWidth="1"/>
    <col min="4117" max="4117" width="5.28515625" style="45" customWidth="1"/>
    <col min="4118" max="4118" width="15.42578125" style="45" bestFit="1" customWidth="1"/>
    <col min="4119" max="4119" width="10.42578125" style="45" bestFit="1" customWidth="1"/>
    <col min="4120" max="4353" width="9.140625" style="45"/>
    <col min="4354" max="4354" width="8.7109375" style="45" customWidth="1"/>
    <col min="4355" max="4355" width="17" style="45" customWidth="1"/>
    <col min="4356" max="4356" width="14.42578125" style="45" customWidth="1"/>
    <col min="4357" max="4357" width="10.28515625" style="45" customWidth="1"/>
    <col min="4358" max="4368" width="8.7109375" style="45" customWidth="1"/>
    <col min="4369" max="4369" width="9.7109375" style="45" customWidth="1"/>
    <col min="4370" max="4370" width="8.42578125" style="45" customWidth="1"/>
    <col min="4371" max="4371" width="9.140625" style="45"/>
    <col min="4372" max="4372" width="10.7109375" style="45" customWidth="1"/>
    <col min="4373" max="4373" width="5.28515625" style="45" customWidth="1"/>
    <col min="4374" max="4374" width="15.42578125" style="45" bestFit="1" customWidth="1"/>
    <col min="4375" max="4375" width="10.42578125" style="45" bestFit="1" customWidth="1"/>
    <col min="4376" max="4609" width="9.140625" style="45"/>
    <col min="4610" max="4610" width="8.7109375" style="45" customWidth="1"/>
    <col min="4611" max="4611" width="17" style="45" customWidth="1"/>
    <col min="4612" max="4612" width="14.42578125" style="45" customWidth="1"/>
    <col min="4613" max="4613" width="10.28515625" style="45" customWidth="1"/>
    <col min="4614" max="4624" width="8.7109375" style="45" customWidth="1"/>
    <col min="4625" max="4625" width="9.7109375" style="45" customWidth="1"/>
    <col min="4626" max="4626" width="8.42578125" style="45" customWidth="1"/>
    <col min="4627" max="4627" width="9.140625" style="45"/>
    <col min="4628" max="4628" width="10.7109375" style="45" customWidth="1"/>
    <col min="4629" max="4629" width="5.28515625" style="45" customWidth="1"/>
    <col min="4630" max="4630" width="15.42578125" style="45" bestFit="1" customWidth="1"/>
    <col min="4631" max="4631" width="10.42578125" style="45" bestFit="1" customWidth="1"/>
    <col min="4632" max="4865" width="9.140625" style="45"/>
    <col min="4866" max="4866" width="8.7109375" style="45" customWidth="1"/>
    <col min="4867" max="4867" width="17" style="45" customWidth="1"/>
    <col min="4868" max="4868" width="14.42578125" style="45" customWidth="1"/>
    <col min="4869" max="4869" width="10.28515625" style="45" customWidth="1"/>
    <col min="4870" max="4880" width="8.7109375" style="45" customWidth="1"/>
    <col min="4881" max="4881" width="9.7109375" style="45" customWidth="1"/>
    <col min="4882" max="4882" width="8.42578125" style="45" customWidth="1"/>
    <col min="4883" max="4883" width="9.140625" style="45"/>
    <col min="4884" max="4884" width="10.7109375" style="45" customWidth="1"/>
    <col min="4885" max="4885" width="5.28515625" style="45" customWidth="1"/>
    <col min="4886" max="4886" width="15.42578125" style="45" bestFit="1" customWidth="1"/>
    <col min="4887" max="4887" width="10.42578125" style="45" bestFit="1" customWidth="1"/>
    <col min="4888" max="5121" width="9.140625" style="45"/>
    <col min="5122" max="5122" width="8.7109375" style="45" customWidth="1"/>
    <col min="5123" max="5123" width="17" style="45" customWidth="1"/>
    <col min="5124" max="5124" width="14.42578125" style="45" customWidth="1"/>
    <col min="5125" max="5125" width="10.28515625" style="45" customWidth="1"/>
    <col min="5126" max="5136" width="8.7109375" style="45" customWidth="1"/>
    <col min="5137" max="5137" width="9.7109375" style="45" customWidth="1"/>
    <col min="5138" max="5138" width="8.42578125" style="45" customWidth="1"/>
    <col min="5139" max="5139" width="9.140625" style="45"/>
    <col min="5140" max="5140" width="10.7109375" style="45" customWidth="1"/>
    <col min="5141" max="5141" width="5.28515625" style="45" customWidth="1"/>
    <col min="5142" max="5142" width="15.42578125" style="45" bestFit="1" customWidth="1"/>
    <col min="5143" max="5143" width="10.42578125" style="45" bestFit="1" customWidth="1"/>
    <col min="5144" max="5377" width="9.140625" style="45"/>
    <col min="5378" max="5378" width="8.7109375" style="45" customWidth="1"/>
    <col min="5379" max="5379" width="17" style="45" customWidth="1"/>
    <col min="5380" max="5380" width="14.42578125" style="45" customWidth="1"/>
    <col min="5381" max="5381" width="10.28515625" style="45" customWidth="1"/>
    <col min="5382" max="5392" width="8.7109375" style="45" customWidth="1"/>
    <col min="5393" max="5393" width="9.7109375" style="45" customWidth="1"/>
    <col min="5394" max="5394" width="8.42578125" style="45" customWidth="1"/>
    <col min="5395" max="5395" width="9.140625" style="45"/>
    <col min="5396" max="5396" width="10.7109375" style="45" customWidth="1"/>
    <col min="5397" max="5397" width="5.28515625" style="45" customWidth="1"/>
    <col min="5398" max="5398" width="15.42578125" style="45" bestFit="1" customWidth="1"/>
    <col min="5399" max="5399" width="10.42578125" style="45" bestFit="1" customWidth="1"/>
    <col min="5400" max="5633" width="9.140625" style="45"/>
    <col min="5634" max="5634" width="8.7109375" style="45" customWidth="1"/>
    <col min="5635" max="5635" width="17" style="45" customWidth="1"/>
    <col min="5636" max="5636" width="14.42578125" style="45" customWidth="1"/>
    <col min="5637" max="5637" width="10.28515625" style="45" customWidth="1"/>
    <col min="5638" max="5648" width="8.7109375" style="45" customWidth="1"/>
    <col min="5649" max="5649" width="9.7109375" style="45" customWidth="1"/>
    <col min="5650" max="5650" width="8.42578125" style="45" customWidth="1"/>
    <col min="5651" max="5651" width="9.140625" style="45"/>
    <col min="5652" max="5652" width="10.7109375" style="45" customWidth="1"/>
    <col min="5653" max="5653" width="5.28515625" style="45" customWidth="1"/>
    <col min="5654" max="5654" width="15.42578125" style="45" bestFit="1" customWidth="1"/>
    <col min="5655" max="5655" width="10.42578125" style="45" bestFit="1" customWidth="1"/>
    <col min="5656" max="5889" width="9.140625" style="45"/>
    <col min="5890" max="5890" width="8.7109375" style="45" customWidth="1"/>
    <col min="5891" max="5891" width="17" style="45" customWidth="1"/>
    <col min="5892" max="5892" width="14.42578125" style="45" customWidth="1"/>
    <col min="5893" max="5893" width="10.28515625" style="45" customWidth="1"/>
    <col min="5894" max="5904" width="8.7109375" style="45" customWidth="1"/>
    <col min="5905" max="5905" width="9.7109375" style="45" customWidth="1"/>
    <col min="5906" max="5906" width="8.42578125" style="45" customWidth="1"/>
    <col min="5907" max="5907" width="9.140625" style="45"/>
    <col min="5908" max="5908" width="10.7109375" style="45" customWidth="1"/>
    <col min="5909" max="5909" width="5.28515625" style="45" customWidth="1"/>
    <col min="5910" max="5910" width="15.42578125" style="45" bestFit="1" customWidth="1"/>
    <col min="5911" max="5911" width="10.42578125" style="45" bestFit="1" customWidth="1"/>
    <col min="5912" max="6145" width="9.140625" style="45"/>
    <col min="6146" max="6146" width="8.7109375" style="45" customWidth="1"/>
    <col min="6147" max="6147" width="17" style="45" customWidth="1"/>
    <col min="6148" max="6148" width="14.42578125" style="45" customWidth="1"/>
    <col min="6149" max="6149" width="10.28515625" style="45" customWidth="1"/>
    <col min="6150" max="6160" width="8.7109375" style="45" customWidth="1"/>
    <col min="6161" max="6161" width="9.7109375" style="45" customWidth="1"/>
    <col min="6162" max="6162" width="8.42578125" style="45" customWidth="1"/>
    <col min="6163" max="6163" width="9.140625" style="45"/>
    <col min="6164" max="6164" width="10.7109375" style="45" customWidth="1"/>
    <col min="6165" max="6165" width="5.28515625" style="45" customWidth="1"/>
    <col min="6166" max="6166" width="15.42578125" style="45" bestFit="1" customWidth="1"/>
    <col min="6167" max="6167" width="10.42578125" style="45" bestFit="1" customWidth="1"/>
    <col min="6168" max="6401" width="9.140625" style="45"/>
    <col min="6402" max="6402" width="8.7109375" style="45" customWidth="1"/>
    <col min="6403" max="6403" width="17" style="45" customWidth="1"/>
    <col min="6404" max="6404" width="14.42578125" style="45" customWidth="1"/>
    <col min="6405" max="6405" width="10.28515625" style="45" customWidth="1"/>
    <col min="6406" max="6416" width="8.7109375" style="45" customWidth="1"/>
    <col min="6417" max="6417" width="9.7109375" style="45" customWidth="1"/>
    <col min="6418" max="6418" width="8.42578125" style="45" customWidth="1"/>
    <col min="6419" max="6419" width="9.140625" style="45"/>
    <col min="6420" max="6420" width="10.7109375" style="45" customWidth="1"/>
    <col min="6421" max="6421" width="5.28515625" style="45" customWidth="1"/>
    <col min="6422" max="6422" width="15.42578125" style="45" bestFit="1" customWidth="1"/>
    <col min="6423" max="6423" width="10.42578125" style="45" bestFit="1" customWidth="1"/>
    <col min="6424" max="6657" width="9.140625" style="45"/>
    <col min="6658" max="6658" width="8.7109375" style="45" customWidth="1"/>
    <col min="6659" max="6659" width="17" style="45" customWidth="1"/>
    <col min="6660" max="6660" width="14.42578125" style="45" customWidth="1"/>
    <col min="6661" max="6661" width="10.28515625" style="45" customWidth="1"/>
    <col min="6662" max="6672" width="8.7109375" style="45" customWidth="1"/>
    <col min="6673" max="6673" width="9.7109375" style="45" customWidth="1"/>
    <col min="6674" max="6674" width="8.42578125" style="45" customWidth="1"/>
    <col min="6675" max="6675" width="9.140625" style="45"/>
    <col min="6676" max="6676" width="10.7109375" style="45" customWidth="1"/>
    <col min="6677" max="6677" width="5.28515625" style="45" customWidth="1"/>
    <col min="6678" max="6678" width="15.42578125" style="45" bestFit="1" customWidth="1"/>
    <col min="6679" max="6679" width="10.42578125" style="45" bestFit="1" customWidth="1"/>
    <col min="6680" max="6913" width="9.140625" style="45"/>
    <col min="6914" max="6914" width="8.7109375" style="45" customWidth="1"/>
    <col min="6915" max="6915" width="17" style="45" customWidth="1"/>
    <col min="6916" max="6916" width="14.42578125" style="45" customWidth="1"/>
    <col min="6917" max="6917" width="10.28515625" style="45" customWidth="1"/>
    <col min="6918" max="6928" width="8.7109375" style="45" customWidth="1"/>
    <col min="6929" max="6929" width="9.7109375" style="45" customWidth="1"/>
    <col min="6930" max="6930" width="8.42578125" style="45" customWidth="1"/>
    <col min="6931" max="6931" width="9.140625" style="45"/>
    <col min="6932" max="6932" width="10.7109375" style="45" customWidth="1"/>
    <col min="6933" max="6933" width="5.28515625" style="45" customWidth="1"/>
    <col min="6934" max="6934" width="15.42578125" style="45" bestFit="1" customWidth="1"/>
    <col min="6935" max="6935" width="10.42578125" style="45" bestFit="1" customWidth="1"/>
    <col min="6936" max="7169" width="9.140625" style="45"/>
    <col min="7170" max="7170" width="8.7109375" style="45" customWidth="1"/>
    <col min="7171" max="7171" width="17" style="45" customWidth="1"/>
    <col min="7172" max="7172" width="14.42578125" style="45" customWidth="1"/>
    <col min="7173" max="7173" width="10.28515625" style="45" customWidth="1"/>
    <col min="7174" max="7184" width="8.7109375" style="45" customWidth="1"/>
    <col min="7185" max="7185" width="9.7109375" style="45" customWidth="1"/>
    <col min="7186" max="7186" width="8.42578125" style="45" customWidth="1"/>
    <col min="7187" max="7187" width="9.140625" style="45"/>
    <col min="7188" max="7188" width="10.7109375" style="45" customWidth="1"/>
    <col min="7189" max="7189" width="5.28515625" style="45" customWidth="1"/>
    <col min="7190" max="7190" width="15.42578125" style="45" bestFit="1" customWidth="1"/>
    <col min="7191" max="7191" width="10.42578125" style="45" bestFit="1" customWidth="1"/>
    <col min="7192" max="7425" width="9.140625" style="45"/>
    <col min="7426" max="7426" width="8.7109375" style="45" customWidth="1"/>
    <col min="7427" max="7427" width="17" style="45" customWidth="1"/>
    <col min="7428" max="7428" width="14.42578125" style="45" customWidth="1"/>
    <col min="7429" max="7429" width="10.28515625" style="45" customWidth="1"/>
    <col min="7430" max="7440" width="8.7109375" style="45" customWidth="1"/>
    <col min="7441" max="7441" width="9.7109375" style="45" customWidth="1"/>
    <col min="7442" max="7442" width="8.42578125" style="45" customWidth="1"/>
    <col min="7443" max="7443" width="9.140625" style="45"/>
    <col min="7444" max="7444" width="10.7109375" style="45" customWidth="1"/>
    <col min="7445" max="7445" width="5.28515625" style="45" customWidth="1"/>
    <col min="7446" max="7446" width="15.42578125" style="45" bestFit="1" customWidth="1"/>
    <col min="7447" max="7447" width="10.42578125" style="45" bestFit="1" customWidth="1"/>
    <col min="7448" max="7681" width="9.140625" style="45"/>
    <col min="7682" max="7682" width="8.7109375" style="45" customWidth="1"/>
    <col min="7683" max="7683" width="17" style="45" customWidth="1"/>
    <col min="7684" max="7684" width="14.42578125" style="45" customWidth="1"/>
    <col min="7685" max="7685" width="10.28515625" style="45" customWidth="1"/>
    <col min="7686" max="7696" width="8.7109375" style="45" customWidth="1"/>
    <col min="7697" max="7697" width="9.7109375" style="45" customWidth="1"/>
    <col min="7698" max="7698" width="8.42578125" style="45" customWidth="1"/>
    <col min="7699" max="7699" width="9.140625" style="45"/>
    <col min="7700" max="7700" width="10.7109375" style="45" customWidth="1"/>
    <col min="7701" max="7701" width="5.28515625" style="45" customWidth="1"/>
    <col min="7702" max="7702" width="15.42578125" style="45" bestFit="1" customWidth="1"/>
    <col min="7703" max="7703" width="10.42578125" style="45" bestFit="1" customWidth="1"/>
    <col min="7704" max="7937" width="9.140625" style="45"/>
    <col min="7938" max="7938" width="8.7109375" style="45" customWidth="1"/>
    <col min="7939" max="7939" width="17" style="45" customWidth="1"/>
    <col min="7940" max="7940" width="14.42578125" style="45" customWidth="1"/>
    <col min="7941" max="7941" width="10.28515625" style="45" customWidth="1"/>
    <col min="7942" max="7952" width="8.7109375" style="45" customWidth="1"/>
    <col min="7953" max="7953" width="9.7109375" style="45" customWidth="1"/>
    <col min="7954" max="7954" width="8.42578125" style="45" customWidth="1"/>
    <col min="7955" max="7955" width="9.140625" style="45"/>
    <col min="7956" max="7956" width="10.7109375" style="45" customWidth="1"/>
    <col min="7957" max="7957" width="5.28515625" style="45" customWidth="1"/>
    <col min="7958" max="7958" width="15.42578125" style="45" bestFit="1" customWidth="1"/>
    <col min="7959" max="7959" width="10.42578125" style="45" bestFit="1" customWidth="1"/>
    <col min="7960" max="8193" width="9.140625" style="45"/>
    <col min="8194" max="8194" width="8.7109375" style="45" customWidth="1"/>
    <col min="8195" max="8195" width="17" style="45" customWidth="1"/>
    <col min="8196" max="8196" width="14.42578125" style="45" customWidth="1"/>
    <col min="8197" max="8197" width="10.28515625" style="45" customWidth="1"/>
    <col min="8198" max="8208" width="8.7109375" style="45" customWidth="1"/>
    <col min="8209" max="8209" width="9.7109375" style="45" customWidth="1"/>
    <col min="8210" max="8210" width="8.42578125" style="45" customWidth="1"/>
    <col min="8211" max="8211" width="9.140625" style="45"/>
    <col min="8212" max="8212" width="10.7109375" style="45" customWidth="1"/>
    <col min="8213" max="8213" width="5.28515625" style="45" customWidth="1"/>
    <col min="8214" max="8214" width="15.42578125" style="45" bestFit="1" customWidth="1"/>
    <col min="8215" max="8215" width="10.42578125" style="45" bestFit="1" customWidth="1"/>
    <col min="8216" max="8449" width="9.140625" style="45"/>
    <col min="8450" max="8450" width="8.7109375" style="45" customWidth="1"/>
    <col min="8451" max="8451" width="17" style="45" customWidth="1"/>
    <col min="8452" max="8452" width="14.42578125" style="45" customWidth="1"/>
    <col min="8453" max="8453" width="10.28515625" style="45" customWidth="1"/>
    <col min="8454" max="8464" width="8.7109375" style="45" customWidth="1"/>
    <col min="8465" max="8465" width="9.7109375" style="45" customWidth="1"/>
    <col min="8466" max="8466" width="8.42578125" style="45" customWidth="1"/>
    <col min="8467" max="8467" width="9.140625" style="45"/>
    <col min="8468" max="8468" width="10.7109375" style="45" customWidth="1"/>
    <col min="8469" max="8469" width="5.28515625" style="45" customWidth="1"/>
    <col min="8470" max="8470" width="15.42578125" style="45" bestFit="1" customWidth="1"/>
    <col min="8471" max="8471" width="10.42578125" style="45" bestFit="1" customWidth="1"/>
    <col min="8472" max="8705" width="9.140625" style="45"/>
    <col min="8706" max="8706" width="8.7109375" style="45" customWidth="1"/>
    <col min="8707" max="8707" width="17" style="45" customWidth="1"/>
    <col min="8708" max="8708" width="14.42578125" style="45" customWidth="1"/>
    <col min="8709" max="8709" width="10.28515625" style="45" customWidth="1"/>
    <col min="8710" max="8720" width="8.7109375" style="45" customWidth="1"/>
    <col min="8721" max="8721" width="9.7109375" style="45" customWidth="1"/>
    <col min="8722" max="8722" width="8.42578125" style="45" customWidth="1"/>
    <col min="8723" max="8723" width="9.140625" style="45"/>
    <col min="8724" max="8724" width="10.7109375" style="45" customWidth="1"/>
    <col min="8725" max="8725" width="5.28515625" style="45" customWidth="1"/>
    <col min="8726" max="8726" width="15.42578125" style="45" bestFit="1" customWidth="1"/>
    <col min="8727" max="8727" width="10.42578125" style="45" bestFit="1" customWidth="1"/>
    <col min="8728" max="8961" width="9.140625" style="45"/>
    <col min="8962" max="8962" width="8.7109375" style="45" customWidth="1"/>
    <col min="8963" max="8963" width="17" style="45" customWidth="1"/>
    <col min="8964" max="8964" width="14.42578125" style="45" customWidth="1"/>
    <col min="8965" max="8965" width="10.28515625" style="45" customWidth="1"/>
    <col min="8966" max="8976" width="8.7109375" style="45" customWidth="1"/>
    <col min="8977" max="8977" width="9.7109375" style="45" customWidth="1"/>
    <col min="8978" max="8978" width="8.42578125" style="45" customWidth="1"/>
    <col min="8979" max="8979" width="9.140625" style="45"/>
    <col min="8980" max="8980" width="10.7109375" style="45" customWidth="1"/>
    <col min="8981" max="8981" width="5.28515625" style="45" customWidth="1"/>
    <col min="8982" max="8982" width="15.42578125" style="45" bestFit="1" customWidth="1"/>
    <col min="8983" max="8983" width="10.42578125" style="45" bestFit="1" customWidth="1"/>
    <col min="8984" max="9217" width="9.140625" style="45"/>
    <col min="9218" max="9218" width="8.7109375" style="45" customWidth="1"/>
    <col min="9219" max="9219" width="17" style="45" customWidth="1"/>
    <col min="9220" max="9220" width="14.42578125" style="45" customWidth="1"/>
    <col min="9221" max="9221" width="10.28515625" style="45" customWidth="1"/>
    <col min="9222" max="9232" width="8.7109375" style="45" customWidth="1"/>
    <col min="9233" max="9233" width="9.7109375" style="45" customWidth="1"/>
    <col min="9234" max="9234" width="8.42578125" style="45" customWidth="1"/>
    <col min="9235" max="9235" width="9.140625" style="45"/>
    <col min="9236" max="9236" width="10.7109375" style="45" customWidth="1"/>
    <col min="9237" max="9237" width="5.28515625" style="45" customWidth="1"/>
    <col min="9238" max="9238" width="15.42578125" style="45" bestFit="1" customWidth="1"/>
    <col min="9239" max="9239" width="10.42578125" style="45" bestFit="1" customWidth="1"/>
    <col min="9240" max="9473" width="9.140625" style="45"/>
    <col min="9474" max="9474" width="8.7109375" style="45" customWidth="1"/>
    <col min="9475" max="9475" width="17" style="45" customWidth="1"/>
    <col min="9476" max="9476" width="14.42578125" style="45" customWidth="1"/>
    <col min="9477" max="9477" width="10.28515625" style="45" customWidth="1"/>
    <col min="9478" max="9488" width="8.7109375" style="45" customWidth="1"/>
    <col min="9489" max="9489" width="9.7109375" style="45" customWidth="1"/>
    <col min="9490" max="9490" width="8.42578125" style="45" customWidth="1"/>
    <col min="9491" max="9491" width="9.140625" style="45"/>
    <col min="9492" max="9492" width="10.7109375" style="45" customWidth="1"/>
    <col min="9493" max="9493" width="5.28515625" style="45" customWidth="1"/>
    <col min="9494" max="9494" width="15.42578125" style="45" bestFit="1" customWidth="1"/>
    <col min="9495" max="9495" width="10.42578125" style="45" bestFit="1" customWidth="1"/>
    <col min="9496" max="9729" width="9.140625" style="45"/>
    <col min="9730" max="9730" width="8.7109375" style="45" customWidth="1"/>
    <col min="9731" max="9731" width="17" style="45" customWidth="1"/>
    <col min="9732" max="9732" width="14.42578125" style="45" customWidth="1"/>
    <col min="9733" max="9733" width="10.28515625" style="45" customWidth="1"/>
    <col min="9734" max="9744" width="8.7109375" style="45" customWidth="1"/>
    <col min="9745" max="9745" width="9.7109375" style="45" customWidth="1"/>
    <col min="9746" max="9746" width="8.42578125" style="45" customWidth="1"/>
    <col min="9747" max="9747" width="9.140625" style="45"/>
    <col min="9748" max="9748" width="10.7109375" style="45" customWidth="1"/>
    <col min="9749" max="9749" width="5.28515625" style="45" customWidth="1"/>
    <col min="9750" max="9750" width="15.42578125" style="45" bestFit="1" customWidth="1"/>
    <col min="9751" max="9751" width="10.42578125" style="45" bestFit="1" customWidth="1"/>
    <col min="9752" max="9985" width="9.140625" style="45"/>
    <col min="9986" max="9986" width="8.7109375" style="45" customWidth="1"/>
    <col min="9987" max="9987" width="17" style="45" customWidth="1"/>
    <col min="9988" max="9988" width="14.42578125" style="45" customWidth="1"/>
    <col min="9989" max="9989" width="10.28515625" style="45" customWidth="1"/>
    <col min="9990" max="10000" width="8.7109375" style="45" customWidth="1"/>
    <col min="10001" max="10001" width="9.7109375" style="45" customWidth="1"/>
    <col min="10002" max="10002" width="8.42578125" style="45" customWidth="1"/>
    <col min="10003" max="10003" width="9.140625" style="45"/>
    <col min="10004" max="10004" width="10.7109375" style="45" customWidth="1"/>
    <col min="10005" max="10005" width="5.28515625" style="45" customWidth="1"/>
    <col min="10006" max="10006" width="15.42578125" style="45" bestFit="1" customWidth="1"/>
    <col min="10007" max="10007" width="10.42578125" style="45" bestFit="1" customWidth="1"/>
    <col min="10008" max="10241" width="9.140625" style="45"/>
    <col min="10242" max="10242" width="8.7109375" style="45" customWidth="1"/>
    <col min="10243" max="10243" width="17" style="45" customWidth="1"/>
    <col min="10244" max="10244" width="14.42578125" style="45" customWidth="1"/>
    <col min="10245" max="10245" width="10.28515625" style="45" customWidth="1"/>
    <col min="10246" max="10256" width="8.7109375" style="45" customWidth="1"/>
    <col min="10257" max="10257" width="9.7109375" style="45" customWidth="1"/>
    <col min="10258" max="10258" width="8.42578125" style="45" customWidth="1"/>
    <col min="10259" max="10259" width="9.140625" style="45"/>
    <col min="10260" max="10260" width="10.7109375" style="45" customWidth="1"/>
    <col min="10261" max="10261" width="5.28515625" style="45" customWidth="1"/>
    <col min="10262" max="10262" width="15.42578125" style="45" bestFit="1" customWidth="1"/>
    <col min="10263" max="10263" width="10.42578125" style="45" bestFit="1" customWidth="1"/>
    <col min="10264" max="10497" width="9.140625" style="45"/>
    <col min="10498" max="10498" width="8.7109375" style="45" customWidth="1"/>
    <col min="10499" max="10499" width="17" style="45" customWidth="1"/>
    <col min="10500" max="10500" width="14.42578125" style="45" customWidth="1"/>
    <col min="10501" max="10501" width="10.28515625" style="45" customWidth="1"/>
    <col min="10502" max="10512" width="8.7109375" style="45" customWidth="1"/>
    <col min="10513" max="10513" width="9.7109375" style="45" customWidth="1"/>
    <col min="10514" max="10514" width="8.42578125" style="45" customWidth="1"/>
    <col min="10515" max="10515" width="9.140625" style="45"/>
    <col min="10516" max="10516" width="10.7109375" style="45" customWidth="1"/>
    <col min="10517" max="10517" width="5.28515625" style="45" customWidth="1"/>
    <col min="10518" max="10518" width="15.42578125" style="45" bestFit="1" customWidth="1"/>
    <col min="10519" max="10519" width="10.42578125" style="45" bestFit="1" customWidth="1"/>
    <col min="10520" max="10753" width="9.140625" style="45"/>
    <col min="10754" max="10754" width="8.7109375" style="45" customWidth="1"/>
    <col min="10755" max="10755" width="17" style="45" customWidth="1"/>
    <col min="10756" max="10756" width="14.42578125" style="45" customWidth="1"/>
    <col min="10757" max="10757" width="10.28515625" style="45" customWidth="1"/>
    <col min="10758" max="10768" width="8.7109375" style="45" customWidth="1"/>
    <col min="10769" max="10769" width="9.7109375" style="45" customWidth="1"/>
    <col min="10770" max="10770" width="8.42578125" style="45" customWidth="1"/>
    <col min="10771" max="10771" width="9.140625" style="45"/>
    <col min="10772" max="10772" width="10.7109375" style="45" customWidth="1"/>
    <col min="10773" max="10773" width="5.28515625" style="45" customWidth="1"/>
    <col min="10774" max="10774" width="15.42578125" style="45" bestFit="1" customWidth="1"/>
    <col min="10775" max="10775" width="10.42578125" style="45" bestFit="1" customWidth="1"/>
    <col min="10776" max="11009" width="9.140625" style="45"/>
    <col min="11010" max="11010" width="8.7109375" style="45" customWidth="1"/>
    <col min="11011" max="11011" width="17" style="45" customWidth="1"/>
    <col min="11012" max="11012" width="14.42578125" style="45" customWidth="1"/>
    <col min="11013" max="11013" width="10.28515625" style="45" customWidth="1"/>
    <col min="11014" max="11024" width="8.7109375" style="45" customWidth="1"/>
    <col min="11025" max="11025" width="9.7109375" style="45" customWidth="1"/>
    <col min="11026" max="11026" width="8.42578125" style="45" customWidth="1"/>
    <col min="11027" max="11027" width="9.140625" style="45"/>
    <col min="11028" max="11028" width="10.7109375" style="45" customWidth="1"/>
    <col min="11029" max="11029" width="5.28515625" style="45" customWidth="1"/>
    <col min="11030" max="11030" width="15.42578125" style="45" bestFit="1" customWidth="1"/>
    <col min="11031" max="11031" width="10.42578125" style="45" bestFit="1" customWidth="1"/>
    <col min="11032" max="11265" width="9.140625" style="45"/>
    <col min="11266" max="11266" width="8.7109375" style="45" customWidth="1"/>
    <col min="11267" max="11267" width="17" style="45" customWidth="1"/>
    <col min="11268" max="11268" width="14.42578125" style="45" customWidth="1"/>
    <col min="11269" max="11269" width="10.28515625" style="45" customWidth="1"/>
    <col min="11270" max="11280" width="8.7109375" style="45" customWidth="1"/>
    <col min="11281" max="11281" width="9.7109375" style="45" customWidth="1"/>
    <col min="11282" max="11282" width="8.42578125" style="45" customWidth="1"/>
    <col min="11283" max="11283" width="9.140625" style="45"/>
    <col min="11284" max="11284" width="10.7109375" style="45" customWidth="1"/>
    <col min="11285" max="11285" width="5.28515625" style="45" customWidth="1"/>
    <col min="11286" max="11286" width="15.42578125" style="45" bestFit="1" customWidth="1"/>
    <col min="11287" max="11287" width="10.42578125" style="45" bestFit="1" customWidth="1"/>
    <col min="11288" max="11521" width="9.140625" style="45"/>
    <col min="11522" max="11522" width="8.7109375" style="45" customWidth="1"/>
    <col min="11523" max="11523" width="17" style="45" customWidth="1"/>
    <col min="11524" max="11524" width="14.42578125" style="45" customWidth="1"/>
    <col min="11525" max="11525" width="10.28515625" style="45" customWidth="1"/>
    <col min="11526" max="11536" width="8.7109375" style="45" customWidth="1"/>
    <col min="11537" max="11537" width="9.7109375" style="45" customWidth="1"/>
    <col min="11538" max="11538" width="8.42578125" style="45" customWidth="1"/>
    <col min="11539" max="11539" width="9.140625" style="45"/>
    <col min="11540" max="11540" width="10.7109375" style="45" customWidth="1"/>
    <col min="11541" max="11541" width="5.28515625" style="45" customWidth="1"/>
    <col min="11542" max="11542" width="15.42578125" style="45" bestFit="1" customWidth="1"/>
    <col min="11543" max="11543" width="10.42578125" style="45" bestFit="1" customWidth="1"/>
    <col min="11544" max="11777" width="9.140625" style="45"/>
    <col min="11778" max="11778" width="8.7109375" style="45" customWidth="1"/>
    <col min="11779" max="11779" width="17" style="45" customWidth="1"/>
    <col min="11780" max="11780" width="14.42578125" style="45" customWidth="1"/>
    <col min="11781" max="11781" width="10.28515625" style="45" customWidth="1"/>
    <col min="11782" max="11792" width="8.7109375" style="45" customWidth="1"/>
    <col min="11793" max="11793" width="9.7109375" style="45" customWidth="1"/>
    <col min="11794" max="11794" width="8.42578125" style="45" customWidth="1"/>
    <col min="11795" max="11795" width="9.140625" style="45"/>
    <col min="11796" max="11796" width="10.7109375" style="45" customWidth="1"/>
    <col min="11797" max="11797" width="5.28515625" style="45" customWidth="1"/>
    <col min="11798" max="11798" width="15.42578125" style="45" bestFit="1" customWidth="1"/>
    <col min="11799" max="11799" width="10.42578125" style="45" bestFit="1" customWidth="1"/>
    <col min="11800" max="12033" width="9.140625" style="45"/>
    <col min="12034" max="12034" width="8.7109375" style="45" customWidth="1"/>
    <col min="12035" max="12035" width="17" style="45" customWidth="1"/>
    <col min="12036" max="12036" width="14.42578125" style="45" customWidth="1"/>
    <col min="12037" max="12037" width="10.28515625" style="45" customWidth="1"/>
    <col min="12038" max="12048" width="8.7109375" style="45" customWidth="1"/>
    <col min="12049" max="12049" width="9.7109375" style="45" customWidth="1"/>
    <col min="12050" max="12050" width="8.42578125" style="45" customWidth="1"/>
    <col min="12051" max="12051" width="9.140625" style="45"/>
    <col min="12052" max="12052" width="10.7109375" style="45" customWidth="1"/>
    <col min="12053" max="12053" width="5.28515625" style="45" customWidth="1"/>
    <col min="12054" max="12054" width="15.42578125" style="45" bestFit="1" customWidth="1"/>
    <col min="12055" max="12055" width="10.42578125" style="45" bestFit="1" customWidth="1"/>
    <col min="12056" max="12289" width="9.140625" style="45"/>
    <col min="12290" max="12290" width="8.7109375" style="45" customWidth="1"/>
    <col min="12291" max="12291" width="17" style="45" customWidth="1"/>
    <col min="12292" max="12292" width="14.42578125" style="45" customWidth="1"/>
    <col min="12293" max="12293" width="10.28515625" style="45" customWidth="1"/>
    <col min="12294" max="12304" width="8.7109375" style="45" customWidth="1"/>
    <col min="12305" max="12305" width="9.7109375" style="45" customWidth="1"/>
    <col min="12306" max="12306" width="8.42578125" style="45" customWidth="1"/>
    <col min="12307" max="12307" width="9.140625" style="45"/>
    <col min="12308" max="12308" width="10.7109375" style="45" customWidth="1"/>
    <col min="12309" max="12309" width="5.28515625" style="45" customWidth="1"/>
    <col min="12310" max="12310" width="15.42578125" style="45" bestFit="1" customWidth="1"/>
    <col min="12311" max="12311" width="10.42578125" style="45" bestFit="1" customWidth="1"/>
    <col min="12312" max="12545" width="9.140625" style="45"/>
    <col min="12546" max="12546" width="8.7109375" style="45" customWidth="1"/>
    <col min="12547" max="12547" width="17" style="45" customWidth="1"/>
    <col min="12548" max="12548" width="14.42578125" style="45" customWidth="1"/>
    <col min="12549" max="12549" width="10.28515625" style="45" customWidth="1"/>
    <col min="12550" max="12560" width="8.7109375" style="45" customWidth="1"/>
    <col min="12561" max="12561" width="9.7109375" style="45" customWidth="1"/>
    <col min="12562" max="12562" width="8.42578125" style="45" customWidth="1"/>
    <col min="12563" max="12563" width="9.140625" style="45"/>
    <col min="12564" max="12564" width="10.7109375" style="45" customWidth="1"/>
    <col min="12565" max="12565" width="5.28515625" style="45" customWidth="1"/>
    <col min="12566" max="12566" width="15.42578125" style="45" bestFit="1" customWidth="1"/>
    <col min="12567" max="12567" width="10.42578125" style="45" bestFit="1" customWidth="1"/>
    <col min="12568" max="12801" width="9.140625" style="45"/>
    <col min="12802" max="12802" width="8.7109375" style="45" customWidth="1"/>
    <col min="12803" max="12803" width="17" style="45" customWidth="1"/>
    <col min="12804" max="12804" width="14.42578125" style="45" customWidth="1"/>
    <col min="12805" max="12805" width="10.28515625" style="45" customWidth="1"/>
    <col min="12806" max="12816" width="8.7109375" style="45" customWidth="1"/>
    <col min="12817" max="12817" width="9.7109375" style="45" customWidth="1"/>
    <col min="12818" max="12818" width="8.42578125" style="45" customWidth="1"/>
    <col min="12819" max="12819" width="9.140625" style="45"/>
    <col min="12820" max="12820" width="10.7109375" style="45" customWidth="1"/>
    <col min="12821" max="12821" width="5.28515625" style="45" customWidth="1"/>
    <col min="12822" max="12822" width="15.42578125" style="45" bestFit="1" customWidth="1"/>
    <col min="12823" max="12823" width="10.42578125" style="45" bestFit="1" customWidth="1"/>
    <col min="12824" max="13057" width="9.140625" style="45"/>
    <col min="13058" max="13058" width="8.7109375" style="45" customWidth="1"/>
    <col min="13059" max="13059" width="17" style="45" customWidth="1"/>
    <col min="13060" max="13060" width="14.42578125" style="45" customWidth="1"/>
    <col min="13061" max="13061" width="10.28515625" style="45" customWidth="1"/>
    <col min="13062" max="13072" width="8.7109375" style="45" customWidth="1"/>
    <col min="13073" max="13073" width="9.7109375" style="45" customWidth="1"/>
    <col min="13074" max="13074" width="8.42578125" style="45" customWidth="1"/>
    <col min="13075" max="13075" width="9.140625" style="45"/>
    <col min="13076" max="13076" width="10.7109375" style="45" customWidth="1"/>
    <col min="13077" max="13077" width="5.28515625" style="45" customWidth="1"/>
    <col min="13078" max="13078" width="15.42578125" style="45" bestFit="1" customWidth="1"/>
    <col min="13079" max="13079" width="10.42578125" style="45" bestFit="1" customWidth="1"/>
    <col min="13080" max="13313" width="9.140625" style="45"/>
    <col min="13314" max="13314" width="8.7109375" style="45" customWidth="1"/>
    <col min="13315" max="13315" width="17" style="45" customWidth="1"/>
    <col min="13316" max="13316" width="14.42578125" style="45" customWidth="1"/>
    <col min="13317" max="13317" width="10.28515625" style="45" customWidth="1"/>
    <col min="13318" max="13328" width="8.7109375" style="45" customWidth="1"/>
    <col min="13329" max="13329" width="9.7109375" style="45" customWidth="1"/>
    <col min="13330" max="13330" width="8.42578125" style="45" customWidth="1"/>
    <col min="13331" max="13331" width="9.140625" style="45"/>
    <col min="13332" max="13332" width="10.7109375" style="45" customWidth="1"/>
    <col min="13333" max="13333" width="5.28515625" style="45" customWidth="1"/>
    <col min="13334" max="13334" width="15.42578125" style="45" bestFit="1" customWidth="1"/>
    <col min="13335" max="13335" width="10.42578125" style="45" bestFit="1" customWidth="1"/>
    <col min="13336" max="13569" width="9.140625" style="45"/>
    <col min="13570" max="13570" width="8.7109375" style="45" customWidth="1"/>
    <col min="13571" max="13571" width="17" style="45" customWidth="1"/>
    <col min="13572" max="13572" width="14.42578125" style="45" customWidth="1"/>
    <col min="13573" max="13573" width="10.28515625" style="45" customWidth="1"/>
    <col min="13574" max="13584" width="8.7109375" style="45" customWidth="1"/>
    <col min="13585" max="13585" width="9.7109375" style="45" customWidth="1"/>
    <col min="13586" max="13586" width="8.42578125" style="45" customWidth="1"/>
    <col min="13587" max="13587" width="9.140625" style="45"/>
    <col min="13588" max="13588" width="10.7109375" style="45" customWidth="1"/>
    <col min="13589" max="13589" width="5.28515625" style="45" customWidth="1"/>
    <col min="13590" max="13590" width="15.42578125" style="45" bestFit="1" customWidth="1"/>
    <col min="13591" max="13591" width="10.42578125" style="45" bestFit="1" customWidth="1"/>
    <col min="13592" max="13825" width="9.140625" style="45"/>
    <col min="13826" max="13826" width="8.7109375" style="45" customWidth="1"/>
    <col min="13827" max="13827" width="17" style="45" customWidth="1"/>
    <col min="13828" max="13828" width="14.42578125" style="45" customWidth="1"/>
    <col min="13829" max="13829" width="10.28515625" style="45" customWidth="1"/>
    <col min="13830" max="13840" width="8.7109375" style="45" customWidth="1"/>
    <col min="13841" max="13841" width="9.7109375" style="45" customWidth="1"/>
    <col min="13842" max="13842" width="8.42578125" style="45" customWidth="1"/>
    <col min="13843" max="13843" width="9.140625" style="45"/>
    <col min="13844" max="13844" width="10.7109375" style="45" customWidth="1"/>
    <col min="13845" max="13845" width="5.28515625" style="45" customWidth="1"/>
    <col min="13846" max="13846" width="15.42578125" style="45" bestFit="1" customWidth="1"/>
    <col min="13847" max="13847" width="10.42578125" style="45" bestFit="1" customWidth="1"/>
    <col min="13848" max="14081" width="9.140625" style="45"/>
    <col min="14082" max="14082" width="8.7109375" style="45" customWidth="1"/>
    <col min="14083" max="14083" width="17" style="45" customWidth="1"/>
    <col min="14084" max="14084" width="14.42578125" style="45" customWidth="1"/>
    <col min="14085" max="14085" width="10.28515625" style="45" customWidth="1"/>
    <col min="14086" max="14096" width="8.7109375" style="45" customWidth="1"/>
    <col min="14097" max="14097" width="9.7109375" style="45" customWidth="1"/>
    <col min="14098" max="14098" width="8.42578125" style="45" customWidth="1"/>
    <col min="14099" max="14099" width="9.140625" style="45"/>
    <col min="14100" max="14100" width="10.7109375" style="45" customWidth="1"/>
    <col min="14101" max="14101" width="5.28515625" style="45" customWidth="1"/>
    <col min="14102" max="14102" width="15.42578125" style="45" bestFit="1" customWidth="1"/>
    <col min="14103" max="14103" width="10.42578125" style="45" bestFit="1" customWidth="1"/>
    <col min="14104" max="14337" width="9.140625" style="45"/>
    <col min="14338" max="14338" width="8.7109375" style="45" customWidth="1"/>
    <col min="14339" max="14339" width="17" style="45" customWidth="1"/>
    <col min="14340" max="14340" width="14.42578125" style="45" customWidth="1"/>
    <col min="14341" max="14341" width="10.28515625" style="45" customWidth="1"/>
    <col min="14342" max="14352" width="8.7109375" style="45" customWidth="1"/>
    <col min="14353" max="14353" width="9.7109375" style="45" customWidth="1"/>
    <col min="14354" max="14354" width="8.42578125" style="45" customWidth="1"/>
    <col min="14355" max="14355" width="9.140625" style="45"/>
    <col min="14356" max="14356" width="10.7109375" style="45" customWidth="1"/>
    <col min="14357" max="14357" width="5.28515625" style="45" customWidth="1"/>
    <col min="14358" max="14358" width="15.42578125" style="45" bestFit="1" customWidth="1"/>
    <col min="14359" max="14359" width="10.42578125" style="45" bestFit="1" customWidth="1"/>
    <col min="14360" max="14593" width="9.140625" style="45"/>
    <col min="14594" max="14594" width="8.7109375" style="45" customWidth="1"/>
    <col min="14595" max="14595" width="17" style="45" customWidth="1"/>
    <col min="14596" max="14596" width="14.42578125" style="45" customWidth="1"/>
    <col min="14597" max="14597" width="10.28515625" style="45" customWidth="1"/>
    <col min="14598" max="14608" width="8.7109375" style="45" customWidth="1"/>
    <col min="14609" max="14609" width="9.7109375" style="45" customWidth="1"/>
    <col min="14610" max="14610" width="8.42578125" style="45" customWidth="1"/>
    <col min="14611" max="14611" width="9.140625" style="45"/>
    <col min="14612" max="14612" width="10.7109375" style="45" customWidth="1"/>
    <col min="14613" max="14613" width="5.28515625" style="45" customWidth="1"/>
    <col min="14614" max="14614" width="15.42578125" style="45" bestFit="1" customWidth="1"/>
    <col min="14615" max="14615" width="10.42578125" style="45" bestFit="1" customWidth="1"/>
    <col min="14616" max="14849" width="9.140625" style="45"/>
    <col min="14850" max="14850" width="8.7109375" style="45" customWidth="1"/>
    <col min="14851" max="14851" width="17" style="45" customWidth="1"/>
    <col min="14852" max="14852" width="14.42578125" style="45" customWidth="1"/>
    <col min="14853" max="14853" width="10.28515625" style="45" customWidth="1"/>
    <col min="14854" max="14864" width="8.7109375" style="45" customWidth="1"/>
    <col min="14865" max="14865" width="9.7109375" style="45" customWidth="1"/>
    <col min="14866" max="14866" width="8.42578125" style="45" customWidth="1"/>
    <col min="14867" max="14867" width="9.140625" style="45"/>
    <col min="14868" max="14868" width="10.7109375" style="45" customWidth="1"/>
    <col min="14869" max="14869" width="5.28515625" style="45" customWidth="1"/>
    <col min="14870" max="14870" width="15.42578125" style="45" bestFit="1" customWidth="1"/>
    <col min="14871" max="14871" width="10.42578125" style="45" bestFit="1" customWidth="1"/>
    <col min="14872" max="15105" width="9.140625" style="45"/>
    <col min="15106" max="15106" width="8.7109375" style="45" customWidth="1"/>
    <col min="15107" max="15107" width="17" style="45" customWidth="1"/>
    <col min="15108" max="15108" width="14.42578125" style="45" customWidth="1"/>
    <col min="15109" max="15109" width="10.28515625" style="45" customWidth="1"/>
    <col min="15110" max="15120" width="8.7109375" style="45" customWidth="1"/>
    <col min="15121" max="15121" width="9.7109375" style="45" customWidth="1"/>
    <col min="15122" max="15122" width="8.42578125" style="45" customWidth="1"/>
    <col min="15123" max="15123" width="9.140625" style="45"/>
    <col min="15124" max="15124" width="10.7109375" style="45" customWidth="1"/>
    <col min="15125" max="15125" width="5.28515625" style="45" customWidth="1"/>
    <col min="15126" max="15126" width="15.42578125" style="45" bestFit="1" customWidth="1"/>
    <col min="15127" max="15127" width="10.42578125" style="45" bestFit="1" customWidth="1"/>
    <col min="15128" max="15361" width="9.140625" style="45"/>
    <col min="15362" max="15362" width="8.7109375" style="45" customWidth="1"/>
    <col min="15363" max="15363" width="17" style="45" customWidth="1"/>
    <col min="15364" max="15364" width="14.42578125" style="45" customWidth="1"/>
    <col min="15365" max="15365" width="10.28515625" style="45" customWidth="1"/>
    <col min="15366" max="15376" width="8.7109375" style="45" customWidth="1"/>
    <col min="15377" max="15377" width="9.7109375" style="45" customWidth="1"/>
    <col min="15378" max="15378" width="8.42578125" style="45" customWidth="1"/>
    <col min="15379" max="15379" width="9.140625" style="45"/>
    <col min="15380" max="15380" width="10.7109375" style="45" customWidth="1"/>
    <col min="15381" max="15381" width="5.28515625" style="45" customWidth="1"/>
    <col min="15382" max="15382" width="15.42578125" style="45" bestFit="1" customWidth="1"/>
    <col min="15383" max="15383" width="10.42578125" style="45" bestFit="1" customWidth="1"/>
    <col min="15384" max="15617" width="9.140625" style="45"/>
    <col min="15618" max="15618" width="8.7109375" style="45" customWidth="1"/>
    <col min="15619" max="15619" width="17" style="45" customWidth="1"/>
    <col min="15620" max="15620" width="14.42578125" style="45" customWidth="1"/>
    <col min="15621" max="15621" width="10.28515625" style="45" customWidth="1"/>
    <col min="15622" max="15632" width="8.7109375" style="45" customWidth="1"/>
    <col min="15633" max="15633" width="9.7109375" style="45" customWidth="1"/>
    <col min="15634" max="15634" width="8.42578125" style="45" customWidth="1"/>
    <col min="15635" max="15635" width="9.140625" style="45"/>
    <col min="15636" max="15636" width="10.7109375" style="45" customWidth="1"/>
    <col min="15637" max="15637" width="5.28515625" style="45" customWidth="1"/>
    <col min="15638" max="15638" width="15.42578125" style="45" bestFit="1" customWidth="1"/>
    <col min="15639" max="15639" width="10.42578125" style="45" bestFit="1" customWidth="1"/>
    <col min="15640" max="15873" width="9.140625" style="45"/>
    <col min="15874" max="15874" width="8.7109375" style="45" customWidth="1"/>
    <col min="15875" max="15875" width="17" style="45" customWidth="1"/>
    <col min="15876" max="15876" width="14.42578125" style="45" customWidth="1"/>
    <col min="15877" max="15877" width="10.28515625" style="45" customWidth="1"/>
    <col min="15878" max="15888" width="8.7109375" style="45" customWidth="1"/>
    <col min="15889" max="15889" width="9.7109375" style="45" customWidth="1"/>
    <col min="15890" max="15890" width="8.42578125" style="45" customWidth="1"/>
    <col min="15891" max="15891" width="9.140625" style="45"/>
    <col min="15892" max="15892" width="10.7109375" style="45" customWidth="1"/>
    <col min="15893" max="15893" width="5.28515625" style="45" customWidth="1"/>
    <col min="15894" max="15894" width="15.42578125" style="45" bestFit="1" customWidth="1"/>
    <col min="15895" max="15895" width="10.42578125" style="45" bestFit="1" customWidth="1"/>
    <col min="15896" max="16129" width="9.140625" style="45"/>
    <col min="16130" max="16130" width="8.7109375" style="45" customWidth="1"/>
    <col min="16131" max="16131" width="17" style="45" customWidth="1"/>
    <col min="16132" max="16132" width="14.42578125" style="45" customWidth="1"/>
    <col min="16133" max="16133" width="10.28515625" style="45" customWidth="1"/>
    <col min="16134" max="16144" width="8.7109375" style="45" customWidth="1"/>
    <col min="16145" max="16145" width="9.7109375" style="45" customWidth="1"/>
    <col min="16146" max="16146" width="8.42578125" style="45" customWidth="1"/>
    <col min="16147" max="16147" width="9.140625" style="45"/>
    <col min="16148" max="16148" width="10.7109375" style="45" customWidth="1"/>
    <col min="16149" max="16149" width="5.28515625" style="45" customWidth="1"/>
    <col min="16150" max="16150" width="15.42578125" style="45" bestFit="1" customWidth="1"/>
    <col min="16151" max="16151" width="10.42578125" style="45" bestFit="1" customWidth="1"/>
    <col min="16152" max="16384" width="9.140625" style="45"/>
  </cols>
  <sheetData>
    <row r="1" spans="1:30">
      <c r="A1" s="428" t="s">
        <v>0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430"/>
    </row>
    <row r="2" spans="1:30">
      <c r="A2" s="431" t="s">
        <v>52</v>
      </c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3"/>
      <c r="Q2" s="138" t="s">
        <v>95</v>
      </c>
      <c r="R2" s="138"/>
      <c r="S2" s="139"/>
      <c r="T2" s="139"/>
      <c r="U2" s="44"/>
    </row>
    <row r="3" spans="1:30">
      <c r="A3" s="38"/>
      <c r="B3" s="39" t="s">
        <v>53</v>
      </c>
      <c r="C3" s="39"/>
      <c r="D3" s="40"/>
      <c r="E3" s="41" t="s">
        <v>346</v>
      </c>
      <c r="F3" s="42" t="s">
        <v>1</v>
      </c>
      <c r="G3" s="43">
        <v>15.87</v>
      </c>
      <c r="H3" s="44"/>
      <c r="J3" s="46"/>
      <c r="O3" s="47"/>
      <c r="Q3" s="44"/>
      <c r="R3" s="97"/>
      <c r="S3" s="98"/>
      <c r="T3" s="99" t="s">
        <v>217</v>
      </c>
      <c r="U3" s="100">
        <f ca="1">'PERFIL BC10'!C15</f>
        <v>2.171355384574142</v>
      </c>
      <c r="V3" s="44"/>
      <c r="W3" s="434"/>
      <c r="X3" s="434"/>
      <c r="Y3" s="434"/>
      <c r="Z3" s="44"/>
      <c r="AA3" s="44"/>
      <c r="AB3" s="44"/>
      <c r="AC3" s="44"/>
    </row>
    <row r="4" spans="1:30" ht="13.5" thickBot="1">
      <c r="A4" s="48"/>
      <c r="B4" s="49" t="s">
        <v>54</v>
      </c>
      <c r="C4" s="50"/>
      <c r="D4" s="49"/>
      <c r="E4" s="51" t="s">
        <v>257</v>
      </c>
      <c r="F4" s="52" t="s">
        <v>343</v>
      </c>
      <c r="G4" s="88"/>
      <c r="H4" s="89"/>
      <c r="I4" s="49"/>
      <c r="J4" s="49"/>
      <c r="K4" s="49" t="s">
        <v>2</v>
      </c>
      <c r="L4" s="49"/>
      <c r="M4" s="49"/>
      <c r="N4" s="49">
        <v>15</v>
      </c>
      <c r="O4" s="147" t="s">
        <v>3</v>
      </c>
      <c r="Q4" s="96"/>
      <c r="R4" s="97"/>
      <c r="S4" s="98"/>
      <c r="T4" s="99" t="s">
        <v>218</v>
      </c>
      <c r="U4" s="100">
        <f ca="1">100*(E8/(E7*1000))</f>
        <v>5.6966429877378655</v>
      </c>
      <c r="V4" s="44"/>
      <c r="W4" s="435"/>
      <c r="X4" s="94"/>
      <c r="Y4" s="44"/>
      <c r="Z4" s="435"/>
      <c r="AA4" s="94"/>
      <c r="AB4" s="44"/>
      <c r="AC4" s="44"/>
    </row>
    <row r="5" spans="1:30" ht="14.25" thickTop="1" thickBot="1">
      <c r="A5" s="48"/>
      <c r="B5" s="39" t="s">
        <v>4</v>
      </c>
      <c r="C5" s="39"/>
      <c r="D5" s="49"/>
      <c r="E5" s="51" t="s">
        <v>123</v>
      </c>
      <c r="F5" s="52"/>
      <c r="G5" s="52"/>
      <c r="H5" s="52"/>
      <c r="I5" s="49"/>
      <c r="J5" s="49"/>
      <c r="K5" s="150" t="s">
        <v>2</v>
      </c>
      <c r="L5" s="151"/>
      <c r="M5" s="151"/>
      <c r="N5" s="151">
        <v>25</v>
      </c>
      <c r="O5" s="172" t="s">
        <v>3</v>
      </c>
      <c r="Q5" s="96"/>
      <c r="R5" s="97"/>
      <c r="S5" s="98"/>
      <c r="T5" s="99"/>
      <c r="U5" s="44"/>
      <c r="V5" s="44"/>
      <c r="W5" s="435"/>
      <c r="X5" s="94"/>
      <c r="Y5" s="44"/>
      <c r="Z5" s="435"/>
      <c r="AA5" s="94"/>
      <c r="AB5" s="44"/>
      <c r="AC5" s="44"/>
    </row>
    <row r="6" spans="1:30" ht="13.5" thickTop="1">
      <c r="A6" s="48"/>
      <c r="B6" s="39" t="s">
        <v>55</v>
      </c>
      <c r="C6" s="39"/>
      <c r="D6" s="49"/>
      <c r="E6" s="43">
        <f ca="1">VLOOKUP(F10,'AUX BACIAS'!$A$2:$D$12,3,0)</f>
        <v>3.1849131852715482</v>
      </c>
      <c r="F6" s="52"/>
      <c r="G6" s="52"/>
      <c r="H6" s="52"/>
      <c r="I6" s="49"/>
      <c r="J6" s="49"/>
      <c r="K6" s="49" t="s">
        <v>2</v>
      </c>
      <c r="L6" s="49"/>
      <c r="M6" s="49"/>
      <c r="N6" s="49">
        <v>50</v>
      </c>
      <c r="O6" s="147" t="s">
        <v>3</v>
      </c>
      <c r="Q6" s="96"/>
      <c r="R6" s="97"/>
      <c r="S6" s="98"/>
      <c r="T6" s="99"/>
      <c r="U6" s="44"/>
      <c r="V6" s="44"/>
      <c r="W6" s="44"/>
      <c r="X6" s="44"/>
      <c r="Y6" s="44"/>
      <c r="Z6" s="44"/>
      <c r="AA6" s="44"/>
      <c r="AB6" s="44"/>
      <c r="AC6" s="44"/>
    </row>
    <row r="7" spans="1:30">
      <c r="A7" s="48"/>
      <c r="B7" s="39" t="s">
        <v>6</v>
      </c>
      <c r="C7" s="39"/>
      <c r="D7" s="49"/>
      <c r="E7" s="43">
        <f ca="1">(VLOOKUP(F10,'AUX BACIAS'!$A$2:$D$12,4,0)/1000)</f>
        <v>3.7917068081139047</v>
      </c>
      <c r="F7" s="52"/>
      <c r="G7" s="52"/>
      <c r="H7" s="52"/>
      <c r="I7" s="49"/>
      <c r="J7" s="49"/>
      <c r="K7" s="49" t="s">
        <v>2</v>
      </c>
      <c r="L7" s="49"/>
      <c r="M7" s="49"/>
      <c r="N7" s="49">
        <v>100</v>
      </c>
      <c r="O7" s="146" t="s">
        <v>3</v>
      </c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30">
      <c r="A8" s="48"/>
      <c r="B8" s="39" t="s">
        <v>7</v>
      </c>
      <c r="C8" s="39"/>
      <c r="D8" s="49"/>
      <c r="E8" s="179">
        <f>(INDEX('PERFIL BC10'!$C:$C,MATCH("C",'PERFIL BC10'!$B:$B,0))-INDEX('PERFIL BC10'!$C:$C,MATCH("E",'PERFIL BC10'!$B:$B,0)))</f>
        <v>216</v>
      </c>
      <c r="F8" s="52"/>
      <c r="G8" s="52"/>
      <c r="H8" s="52"/>
      <c r="I8" s="49"/>
      <c r="J8" s="49"/>
      <c r="K8" s="49" t="s">
        <v>56</v>
      </c>
      <c r="L8" s="49"/>
      <c r="M8" s="49"/>
      <c r="N8" s="50"/>
      <c r="O8" s="53">
        <f>H26</f>
        <v>0.2</v>
      </c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</row>
    <row r="9" spans="1:30">
      <c r="A9" s="48"/>
      <c r="B9" s="39" t="s">
        <v>94</v>
      </c>
      <c r="C9" s="39"/>
      <c r="D9" s="49"/>
      <c r="E9" s="54">
        <f ca="1">IF(U3&gt;U4,U4,U3)</f>
        <v>2.171355384574142</v>
      </c>
      <c r="F9" s="52"/>
      <c r="G9" s="52"/>
      <c r="H9" s="52"/>
      <c r="I9" s="49"/>
      <c r="J9" s="49"/>
      <c r="K9" s="55" t="s">
        <v>5</v>
      </c>
      <c r="L9" s="49"/>
      <c r="M9" s="55"/>
      <c r="N9" s="56"/>
      <c r="O9" s="53">
        <f ca="1">IF(E6&lt;=0.8,0.39*(E7^2/E9)^0.385,0.59*(E7^2/E9)^0.385)</f>
        <v>1.2215559615122922</v>
      </c>
      <c r="Q9" s="100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</row>
    <row r="10" spans="1:30">
      <c r="A10" s="38"/>
      <c r="B10" s="57"/>
      <c r="C10" s="57"/>
      <c r="D10" s="57"/>
      <c r="E10" s="88" t="s">
        <v>98</v>
      </c>
      <c r="F10" s="89" t="str" cm="1">
        <f t="array" aca="1" ref="F10" ca="1">MID(RIGHT(CELL("nome.arquivo",A1),LEN(CELL("nome.arquivo",A1)) - SEARCH("]",CELL("nome.arquivo",A1))),1,4)</f>
        <v>BC10</v>
      </c>
      <c r="G10" s="59"/>
      <c r="H10" s="60"/>
      <c r="I10" s="61"/>
      <c r="K10" s="62"/>
      <c r="M10" s="62"/>
      <c r="N10" s="63"/>
      <c r="O10" s="6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</row>
    <row r="11" spans="1:30">
      <c r="A11" s="38"/>
      <c r="B11" s="39" t="s">
        <v>215</v>
      </c>
      <c r="C11" s="61" t="s">
        <v>206</v>
      </c>
      <c r="D11" s="57"/>
      <c r="E11" s="101"/>
      <c r="F11" s="58"/>
      <c r="G11" s="59"/>
      <c r="H11" s="60"/>
      <c r="I11" s="61"/>
      <c r="O11" s="47"/>
      <c r="Q11" s="44"/>
      <c r="R11" s="44"/>
      <c r="S11" s="44"/>
      <c r="T11" s="44"/>
      <c r="U11" s="44"/>
      <c r="V11" s="44"/>
      <c r="W11" s="94"/>
      <c r="X11" s="94"/>
      <c r="Y11" s="94"/>
      <c r="Z11" s="94"/>
      <c r="AA11" s="94"/>
      <c r="AB11" s="94"/>
      <c r="AC11" s="44"/>
    </row>
    <row r="12" spans="1:30" ht="24" customHeight="1">
      <c r="A12" s="38"/>
      <c r="B12" s="45" t="s">
        <v>205</v>
      </c>
      <c r="C12" s="136" t="s">
        <v>210</v>
      </c>
      <c r="E12" s="44"/>
      <c r="F12" s="44"/>
      <c r="G12" s="44"/>
      <c r="H12" s="44"/>
      <c r="J12" s="427" t="s">
        <v>57</v>
      </c>
      <c r="K12" s="427"/>
      <c r="L12" s="427"/>
      <c r="M12" s="427"/>
      <c r="N12" s="427"/>
      <c r="O12" s="65"/>
      <c r="Q12" s="112" t="s">
        <v>141</v>
      </c>
      <c r="R12" s="44"/>
      <c r="S12" s="44"/>
      <c r="T12" s="44"/>
      <c r="U12" s="44"/>
      <c r="V12" s="44"/>
      <c r="W12" s="94"/>
      <c r="X12" s="94"/>
      <c r="Y12" s="94"/>
      <c r="Z12" s="94"/>
      <c r="AA12" s="94"/>
      <c r="AB12" s="94"/>
      <c r="AC12" s="44"/>
    </row>
    <row r="13" spans="1:30" ht="15" customHeight="1">
      <c r="A13" s="38"/>
      <c r="B13" s="45" t="s">
        <v>220</v>
      </c>
      <c r="J13" s="66" t="s">
        <v>58</v>
      </c>
      <c r="K13" s="66" t="s">
        <v>59</v>
      </c>
      <c r="L13" s="436" t="s">
        <v>60</v>
      </c>
      <c r="M13" s="437"/>
      <c r="N13" s="66" t="s">
        <v>61</v>
      </c>
      <c r="O13" s="67"/>
      <c r="Q13" s="112" t="str">
        <f ca="1">IF(M21&gt;MAX(Base_Bueiros!$F$2:$F$10),"Não atende em canal 15 anos. Dimensionar para 25 anos",IF(M21&lt;=MAX(Base_Bueiros!$F$2:$F$4),INDEX(Base_Bueiros!$C$2:$C$4,MATCH(_xlfn.MINIFS(Base_Bueiros!$F$2:$F$4,Base_Bueiros!$F$2:$F$4,"&gt;="&amp;M21),Base_Bueiros!$F$2:$F$4,0))&amp;" d="&amp;TEXT(INDEX(Base_Bueiros!$D$2:$D$4,MATCH(_xlfn.MINIFS(Base_Bueiros!$F$2:$F$4,Base_Bueiros!$F$2:$F$4,"&gt;="&amp;M21),Base_Bueiros!$F$2:$F$4,0)),"0,00")&amp;"m",IF(M21&lt;=MAX(Base_Bueiros!$F$5:$F$7),INDEX(Base_Bueiros!$C$5:$C$7,MATCH(_xlfn.MINIFS(Base_Bueiros!$F$5:$F$7,Base_Bueiros!$F$5:$F$7,"&gt;="&amp;M21),Base_Bueiros!$F$5:$F$7,0))&amp;" d="&amp;TEXT(INDEX(Base_Bueiros!$D$5:$D$7,MATCH(_xlfn.MINIFS(Base_Bueiros!$F$5:$F$7,Base_Bueiros!$F$5:$F$7,"&gt;="&amp;M21),Base_Bueiros!$F$5:$F$7,0)),"0,00")&amp;"m",INDEX(Base_Bueiros!$C$8:$C$10,MATCH(_xlfn.MINIFS(Base_Bueiros!$F$8:$F$10,Base_Bueiros!$F$8:$F$10,"&gt;="&amp;M21),Base_Bueiros!$F$8:$F$10,0))&amp;" d="&amp;TEXT(INDEX(Base_Bueiros!$D$8:$D$10,MATCH(_xlfn.MINIFS(Base_Bueiros!$F$8:$F$10,Base_Bueiros!$F$8:$F$10,"&gt;="&amp;M21),Base_Bueiros!$F$8:$F$10,0)),"0,00")&amp;"m")))</f>
        <v>Não atende em canal 15 anos. Dimensionar para 25 anos</v>
      </c>
      <c r="R13" s="44"/>
      <c r="S13" s="44">
        <f ca="1">IF(Q13="Não atende em canal 15 anos. Dimensionar para 25 anos",25,15)</f>
        <v>25</v>
      </c>
      <c r="T13" s="44"/>
      <c r="U13" s="44"/>
      <c r="V13" s="44"/>
      <c r="W13" s="94"/>
      <c r="X13" s="94" t="str">
        <f>'BC01 (RAC)'!X13</f>
        <v>ax</v>
      </c>
      <c r="Y13" s="94"/>
      <c r="Z13" s="94" t="str">
        <f>'BC01 (RAC)'!Z13</f>
        <v>b</v>
      </c>
      <c r="AA13" s="94"/>
      <c r="AB13" s="94" t="str">
        <f>'BC01 (RAC)'!AB13</f>
        <v>ax (1-24h)</v>
      </c>
      <c r="AC13" s="425" t="s">
        <v>216</v>
      </c>
      <c r="AD13" s="425"/>
    </row>
    <row r="14" spans="1:30" ht="15.75" customHeight="1" thickBot="1">
      <c r="A14" s="38"/>
      <c r="E14" s="127"/>
      <c r="F14" s="44"/>
      <c r="G14" s="44"/>
      <c r="J14" s="333" t="s">
        <v>62</v>
      </c>
      <c r="K14" s="392">
        <f ca="1">$O$9*60</f>
        <v>73.293357690737537</v>
      </c>
      <c r="L14" s="547">
        <f ca="1">IF($O$9&lt;=1,(X14*LN((K14/60)))+Z14,(AB14*LN((K14/60)))+Z14)</f>
        <v>88.220599563477293</v>
      </c>
      <c r="M14" s="547"/>
      <c r="N14" s="334">
        <f ca="1">L14/K14</f>
        <v>1.2036643202474839</v>
      </c>
      <c r="O14" s="67"/>
      <c r="Q14" s="112" t="str">
        <f ca="1">IF(M22&gt;MAX(Base_Bueiros!$F$20:$F$28),"Não atende em orificio 25 anos. Dimensionar para 50 anos",TRIM(IFERROR(LEFT(INDEX(Base_Bueiros!$C$20:$C$28,MATCH(_xlfn.MINIFS(Base_Bueiros!$F$20:$F$28,Base_Bueiros!$F$20:$F$28,"&gt;="&amp;M22),Base_Bueiros!$F$20:$F$28,0)),FIND(" OU ",INDEX(Base_Bueiros!$C$20:$C$28,MATCH(_xlfn.MINIFS(Base_Bueiros!$F$20:$F$28,Base_Bueiros!$F$20:$F$28,"&gt;="&amp;M22),Base_Bueiros!$F$20:$F$28,0)))-1),INDEX(Base_Bueiros!$C$20:$C$28,MATCH(_xlfn.MINIFS(Base_Bueiros!$F$20:$F$28,Base_Bueiros!$F$20:$F$28,"&gt;="&amp;M22),Base_Bueiros!$F$20:$F$28,0))))&amp;" d="&amp;INDEX(Base_Bueiros!$D$20:$D$28,MATCH(_xlfn.MINIFS(Base_Bueiros!$F$20:$F$28,Base_Bueiros!$F$20:$F$28,"&gt;="&amp;M22),Base_Bueiros!$F$20:$F$28,0))&amp;"m")</f>
        <v>BTTC d= d=1,50m</v>
      </c>
      <c r="R14" s="44"/>
      <c r="S14" s="44">
        <f ca="1">IF(Q14="Não atende em orifício 25 anos. Dimensionar para 50 anos",50,25)</f>
        <v>25</v>
      </c>
      <c r="U14" s="44"/>
      <c r="W14" s="94">
        <v>15</v>
      </c>
      <c r="X14" s="94">
        <f>'BC01 (RAC)'!X14</f>
        <v>26.41505980258199</v>
      </c>
      <c r="Y14" s="94"/>
      <c r="Z14" s="94">
        <f>'BC01 (RAC)'!Z14</f>
        <v>83.379768522636454</v>
      </c>
      <c r="AA14" s="94"/>
      <c r="AB14" s="94">
        <f>'BC01 (RAC)'!AB14</f>
        <v>24.188985755464877</v>
      </c>
      <c r="AC14" s="426" t="str">
        <f>IF(C11="Plano","Tabelado",IF(C11="Ondulado","Tabelado",IF(C11="Montanhoso","Tabelado","Ponderado")))</f>
        <v>Tabelado</v>
      </c>
      <c r="AD14" s="426"/>
    </row>
    <row r="15" spans="1:30" ht="15.75" customHeight="1" thickTop="1" thickBot="1">
      <c r="A15" s="38"/>
      <c r="J15" s="154" t="s">
        <v>63</v>
      </c>
      <c r="K15" s="389">
        <f ca="1">$O$9*60</f>
        <v>73.293357690737537</v>
      </c>
      <c r="L15" s="439">
        <f ca="1">IF($O$9&lt;=1,(X15*LN((K15/60)))+Z15,(AB15*LN((K15/60)))+Z15)</f>
        <v>97.24230866084045</v>
      </c>
      <c r="M15" s="439"/>
      <c r="N15" s="155">
        <f ca="1">L15/K15</f>
        <v>1.326754725457604</v>
      </c>
      <c r="O15" s="67"/>
      <c r="R15" s="84"/>
      <c r="S15" s="44"/>
      <c r="U15" s="44"/>
      <c r="W15" s="94">
        <v>25</v>
      </c>
      <c r="X15" s="94">
        <f>'BC01 (RAC)'!X15</f>
        <v>29.043206617627984</v>
      </c>
      <c r="Y15" s="94"/>
      <c r="Z15" s="94">
        <f>'BC01 (RAC)'!Z15</f>
        <v>91.924417541518196</v>
      </c>
      <c r="AA15" s="94"/>
      <c r="AB15" s="94">
        <f>'BC01 (RAC)'!AB15</f>
        <v>26.572791210671088</v>
      </c>
      <c r="AC15" s="426"/>
      <c r="AD15" s="426"/>
    </row>
    <row r="16" spans="1:30" ht="13.5" thickTop="1">
      <c r="A16" s="38"/>
      <c r="J16" s="156" t="s">
        <v>64</v>
      </c>
      <c r="K16" s="390">
        <f ca="1">$O$9*60</f>
        <v>73.293357690737537</v>
      </c>
      <c r="L16" s="449">
        <f ca="1">IF($O$9&lt;=1,(X16*LN((K16/60)))+Z16,(AB16*LN((K16/60)))+Z16)</f>
        <v>109.0056652636415</v>
      </c>
      <c r="M16" s="449"/>
      <c r="N16" s="157">
        <f ca="1">L16/K16</f>
        <v>1.4872516241320612</v>
      </c>
      <c r="O16" s="67"/>
      <c r="R16" s="85"/>
      <c r="S16" s="44"/>
      <c r="U16" s="44"/>
      <c r="W16" s="94">
        <v>50</v>
      </c>
      <c r="X16" s="94">
        <f>'BC01 (RAC)'!X16</f>
        <v>32.437160263037789</v>
      </c>
      <c r="Y16" s="94"/>
      <c r="Z16" s="94">
        <f>'BC01 (RAC)'!Z16</f>
        <v>103.0459455052778</v>
      </c>
      <c r="AA16" s="94"/>
      <c r="AB16" s="94">
        <f>'BC01 (RAC)'!AB16</f>
        <v>29.77992314240781</v>
      </c>
      <c r="AC16" s="44"/>
    </row>
    <row r="17" spans="1:29">
      <c r="A17" s="38"/>
      <c r="I17" s="68"/>
      <c r="J17" s="158" t="s">
        <v>65</v>
      </c>
      <c r="K17" s="391">
        <f ca="1">$O$9*60</f>
        <v>73.293357690737537</v>
      </c>
      <c r="L17" s="450">
        <f ca="1">IF($O$9&lt;=1,(X17*LN((K17/60)))+Z17,(AB17*LN((K17/60)))+Z17)</f>
        <v>120.46074858872535</v>
      </c>
      <c r="M17" s="450"/>
      <c r="N17" s="159">
        <f ca="1">L17/K17</f>
        <v>1.6435425034968565</v>
      </c>
      <c r="O17" s="67"/>
      <c r="R17" s="85"/>
      <c r="S17" s="44"/>
      <c r="U17" s="44"/>
      <c r="W17" s="94">
        <v>100</v>
      </c>
      <c r="X17" s="94">
        <f>'BC01 (RAC)'!X17</f>
        <v>37.177212539092373</v>
      </c>
      <c r="Y17" s="94"/>
      <c r="Z17" s="94">
        <f>'BC01 (RAC)'!Z17</f>
        <v>113.85574007527696</v>
      </c>
      <c r="AA17" s="94"/>
      <c r="AB17" s="94">
        <f>'BC01 (RAC)'!AB17</f>
        <v>33.004344811583479</v>
      </c>
      <c r="AC17" s="44"/>
    </row>
    <row r="18" spans="1:29">
      <c r="A18" s="38"/>
      <c r="O18" s="67"/>
      <c r="Q18" s="44"/>
      <c r="R18" s="85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</row>
    <row r="19" spans="1:29">
      <c r="A19" s="38"/>
      <c r="O19" s="47"/>
      <c r="Q19" s="44"/>
      <c r="R19" s="85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</row>
    <row r="20" spans="1:29">
      <c r="A20" s="38"/>
      <c r="B20" s="427" t="s">
        <v>66</v>
      </c>
      <c r="C20" s="427"/>
      <c r="D20" s="427"/>
      <c r="E20" s="427"/>
      <c r="F20" s="427"/>
      <c r="G20" s="427"/>
      <c r="H20" s="427"/>
      <c r="J20" s="440" t="s">
        <v>9</v>
      </c>
      <c r="K20" s="442" t="s">
        <v>10</v>
      </c>
      <c r="L20" s="442"/>
      <c r="M20" s="442" t="s">
        <v>11</v>
      </c>
      <c r="N20" s="442"/>
      <c r="O20" s="47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</row>
    <row r="21" spans="1:29" ht="13.5" thickBot="1">
      <c r="A21" s="38"/>
      <c r="B21" s="443"/>
      <c r="C21" s="443"/>
      <c r="D21" s="69" t="s">
        <v>67</v>
      </c>
      <c r="E21" s="69" t="s">
        <v>68</v>
      </c>
      <c r="F21" s="69" t="s">
        <v>44</v>
      </c>
      <c r="G21" s="69" t="s">
        <v>51</v>
      </c>
      <c r="H21" s="69"/>
      <c r="J21" s="441"/>
      <c r="K21" s="548" t="s">
        <v>12</v>
      </c>
      <c r="L21" s="548"/>
      <c r="M21" s="415">
        <f ca="1">0.278*$O$8*(N14*60)*$E$6</f>
        <v>12.788777390961618</v>
      </c>
      <c r="N21" s="416" t="s">
        <v>13</v>
      </c>
      <c r="O21" s="47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</row>
    <row r="22" spans="1:29" ht="14.25" thickTop="1" thickBot="1">
      <c r="A22" s="38"/>
      <c r="B22" s="446" t="s">
        <v>69</v>
      </c>
      <c r="C22" s="446"/>
      <c r="D22" s="71">
        <f ca="1">E22*10^6</f>
        <v>3184913.1852715481</v>
      </c>
      <c r="E22" s="70">
        <f ca="1">E6</f>
        <v>3.1849131852715482</v>
      </c>
      <c r="F22" s="70" t="s">
        <v>25</v>
      </c>
      <c r="G22" s="70" t="s">
        <v>25</v>
      </c>
      <c r="H22" s="70" t="s">
        <v>25</v>
      </c>
      <c r="J22" s="441"/>
      <c r="K22" s="468" t="s">
        <v>14</v>
      </c>
      <c r="L22" s="469"/>
      <c r="M22" s="398">
        <f ca="1">0.278*$O$8*(N15*60)*$E$6</f>
        <v>14.096596992087473</v>
      </c>
      <c r="N22" s="399" t="s">
        <v>13</v>
      </c>
      <c r="O22" s="47"/>
    </row>
    <row r="23" spans="1:29" ht="13.5" thickTop="1">
      <c r="A23" s="38"/>
      <c r="B23" s="446" t="s">
        <v>219</v>
      </c>
      <c r="C23" s="446"/>
      <c r="D23" s="71" t="s">
        <v>25</v>
      </c>
      <c r="E23" s="70" t="s">
        <v>25</v>
      </c>
      <c r="F23" s="70" t="s">
        <v>25</v>
      </c>
      <c r="G23" s="141" t="s">
        <v>25</v>
      </c>
      <c r="H23" s="70" t="s">
        <v>25</v>
      </c>
      <c r="I23" s="72"/>
      <c r="J23" s="441"/>
      <c r="K23" s="470" t="s">
        <v>75</v>
      </c>
      <c r="L23" s="470"/>
      <c r="M23" s="396">
        <f ca="1">0.278*$O$8*(N16*60)*$E$6</f>
        <v>15.801855737869133</v>
      </c>
      <c r="N23" s="397" t="s">
        <v>13</v>
      </c>
      <c r="O23" s="47"/>
    </row>
    <row r="24" spans="1:29">
      <c r="A24" s="38"/>
      <c r="B24" s="446" t="s">
        <v>70</v>
      </c>
      <c r="C24" s="446"/>
      <c r="D24" s="71">
        <f ca="1">$D$22*G24</f>
        <v>3184913.1852715481</v>
      </c>
      <c r="E24" s="70">
        <f ca="1">D24/10^6</f>
        <v>3.1849131852715482</v>
      </c>
      <c r="F24" s="70" cm="1">
        <f t="array" ref="F24">_xlfn.LET(
_xlpm.superficie,B24,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_xlpm.col,MATCH(_xlpm.terreno,C_CN_IP03!$D$2:$I$2,0),
INDEX(C_CN_IP03!$D$4:$I$19,_xlpm.lin,_xlpm.col)
),
IF(
_xlpm.metodo="Ponderado",
IF(
_xlpm.terreno="Levemente ondulado",
AVERAGE(
INDEX(C_CN_IP03!$D$4:$I$19,_xlpm.lin,1),
INDEX(C_CN_IP03!$D$4:$I$19,_xlpm.lin,3)
),
IF(
_xlpm.terreno="Muito ondulado",
AVERAGE(
INDEX(C_CN_IP03!$D$4:$I$19,_xlpm.lin,3),
INDEX(C_CN_IP03!$D$4:$I$19,_xlpm.lin,5)
),
"Condição de terreno não reconhecida"
)
),
"Método não reconhecido"
)
)
)</f>
        <v>0.2</v>
      </c>
      <c r="G24" s="141">
        <v>1</v>
      </c>
      <c r="H24" s="70">
        <f>(G24*(F24))</f>
        <v>0.2</v>
      </c>
      <c r="I24" s="72"/>
      <c r="J24" s="441"/>
      <c r="K24" s="471" t="s">
        <v>15</v>
      </c>
      <c r="L24" s="471"/>
      <c r="M24" s="394">
        <f ca="1">0.278*$O$8*(N17*60)*$E$6</f>
        <v>17.462426073644341</v>
      </c>
      <c r="N24" s="395" t="s">
        <v>13</v>
      </c>
      <c r="O24" s="47"/>
    </row>
    <row r="25" spans="1:29">
      <c r="A25" s="38"/>
      <c r="B25" s="446" t="s">
        <v>71</v>
      </c>
      <c r="C25" s="446"/>
      <c r="D25" s="71" t="s">
        <v>25</v>
      </c>
      <c r="E25" s="70" t="s">
        <v>25</v>
      </c>
      <c r="F25" s="70" t="s">
        <v>25</v>
      </c>
      <c r="G25" s="141" t="s">
        <v>25</v>
      </c>
      <c r="H25" s="70" t="s">
        <v>25</v>
      </c>
      <c r="I25" s="72"/>
      <c r="O25" s="47"/>
    </row>
    <row r="26" spans="1:29">
      <c r="A26" s="38"/>
      <c r="B26" s="457" t="s">
        <v>72</v>
      </c>
      <c r="C26" s="457"/>
      <c r="D26" s="457"/>
      <c r="E26" s="457"/>
      <c r="F26" s="457"/>
      <c r="G26" s="457"/>
      <c r="H26" s="73">
        <f>SUM(H23:H25)</f>
        <v>0.2</v>
      </c>
      <c r="I26" s="72"/>
      <c r="J26" s="458" t="s">
        <v>74</v>
      </c>
      <c r="K26" s="459"/>
      <c r="L26" s="459"/>
      <c r="M26" s="459"/>
      <c r="N26" s="459"/>
      <c r="O26" s="47"/>
    </row>
    <row r="27" spans="1:29">
      <c r="A27" s="38"/>
      <c r="B27" s="74" t="s">
        <v>73</v>
      </c>
      <c r="C27" s="75"/>
      <c r="D27" s="140"/>
      <c r="E27" s="140"/>
      <c r="F27" s="140"/>
      <c r="G27" s="140"/>
      <c r="H27" s="140"/>
      <c r="I27" s="76"/>
      <c r="J27" s="460" t="str" cm="1">
        <f t="array" aca="1" ref="J27" ca="1">IFERROR(_xlfn.LET(
_xlpm.Func,"Orif",
_xlpm.Funcs,Base_Bueiros!$A$2:$A$37,
_xlpm.Tipos,Base_Bueiros!$C$2:$C$37,
_xlpm.Dims,Base_Bueiros!$D$2:$D$37,
_xlpm.Vazoes,Base_Bueiros!$F$2:$F$37,
_xlpm.DimNum,IFERROR(VALUE(TRIM(LEFT(_xlpm.Dims,FIND("x",_xlpm.Dims)-1))),VALUE(_xlpm.Dims)),
_xlpm.Linhas,IF(MID(_xlpm.Tipos,2,1)="T",3,IF(MID(_xlpm.Tipos,2,1)="D",2,1)),
_xlpm.EhTubular,MID(_xlpm.Tipos,3,1)="T",
_xlpm.QNec,IF(ISNUMBER(FIND("Orif",_xlpm.Func)),IF(_xlpm.EhTubular,M22,M23),IF(_xlpm.EhTubular,M21,M22)),
_xlpm.FiltroBase,(ISNUMBER(FIND(_xlpm.Func,_xlpm.Funcs)))*(_xlpm.Vazoes&gt;=_xlpm.QNec),
_xlpm.TemTubular,SUM(_xlpm.FiltroBase*_xlpm.EhTubular)&gt;0,
_xlpm.Filtro,_xlpm.FiltroBase*IF(_xlpm.TemTubular,_xlpm.EhTubular,NOT(_xlpm.EhTubular)),
_xlpm.Prior1,IF(_xlpm.EhTubular,_xlpm.DimNum,_xlpm.Linhas),
_xlpm.Prior2,IF(_xlpm.EhTubular,_xlpm.Linhas,_xlpm.DimNum),
_xlpm.MenorPrior1,_xlfn.AGGREGATE(15,6,_xlpm.Prior1/_xlpm.Filtro,1),
_xlpm.MenorPrior2,_xlfn.AGGREGATE(15,6,_xlpm.Prior2/(_xlpm.Filtro*(_xlpm.Prior1=_xlpm.MenorPrior1)),1),
_xlpm.MenorVazao,_xlfn.AGGREGATE(15,6,_xlpm.Vazoes/(_xlpm.Filtro*(_xlpm.Prior1=_xlpm.MenorPrior1)*(_xlpm.Prior2=_xlpm.MenorPrior2)),1),
_xlpm.Linha,MATCH(1,(_xlpm.Vazoes=_xlpm.MenorVazao)*(_xlpm.Filtro&gt;0),0),
_xlpm.Tipo,INDEX(_xlpm.Tipos,_xlpm.Linha),
_xlpm.Dim,INDEX(_xlpm.Dims,_xlpm.Linha),
_xlpm.EhTubularEscolhido,MID(_xlpm.Tipo,3,1)="T",
_xlpm.Tipo&amp;" "&amp;IF(_xlpm.EhTubularEscolhido,_xlpm.Dim&amp;"m",SUBSTITUTE(_xlpm.Dim,"0,00","")&amp;"m")
),"Ponte")</f>
        <v>BTTC d= 1,50m</v>
      </c>
      <c r="K27" s="461"/>
      <c r="L27" s="461"/>
      <c r="M27" s="461"/>
      <c r="N27" s="461"/>
      <c r="O27" s="47"/>
    </row>
    <row r="28" spans="1:29">
      <c r="A28" s="38"/>
      <c r="D28" s="142"/>
      <c r="E28" s="142"/>
      <c r="F28" s="142"/>
      <c r="G28" s="142"/>
      <c r="H28" s="142"/>
      <c r="I28" s="76"/>
      <c r="J28" s="142" t="s">
        <v>86</v>
      </c>
      <c r="K28" s="77"/>
      <c r="L28" s="77"/>
      <c r="M28" s="77"/>
      <c r="N28" s="77"/>
      <c r="O28" s="47"/>
    </row>
    <row r="29" spans="1:29">
      <c r="A29" s="38"/>
      <c r="I29" s="76"/>
      <c r="J29" s="45" t="s">
        <v>87</v>
      </c>
      <c r="K29" s="77"/>
      <c r="L29" s="77"/>
      <c r="M29" s="77"/>
      <c r="N29" s="77"/>
      <c r="O29" s="47"/>
    </row>
    <row r="30" spans="1:29">
      <c r="A30" s="38"/>
      <c r="C30" s="78"/>
      <c r="D30" s="78"/>
      <c r="E30" s="78"/>
      <c r="F30" s="78"/>
      <c r="I30" s="76"/>
      <c r="K30" s="77"/>
      <c r="L30" s="77"/>
      <c r="M30" s="77"/>
      <c r="N30" s="77"/>
      <c r="O30" s="47"/>
    </row>
    <row r="31" spans="1:29">
      <c r="A31" s="38"/>
      <c r="I31" s="76"/>
      <c r="J31" s="459" t="s">
        <v>74</v>
      </c>
      <c r="K31" s="459"/>
      <c r="L31" s="459"/>
      <c r="M31" s="459"/>
      <c r="N31" s="459"/>
      <c r="O31" s="47"/>
    </row>
    <row r="32" spans="1:29">
      <c r="A32" s="38"/>
      <c r="I32" s="76"/>
      <c r="J32" s="462" t="str" cm="1">
        <f t="array" aca="1" ref="J32" ca="1">IFERROR(_xlfn.LET(
_xlpm.Func,"Canal",
_xlpm.Funcs,Base_Bueiros!$A$2:$A$37,
_xlpm.Tipos,Base_Bueiros!$C$2:$C$37,
_xlpm.Dims,Base_Bueiros!$D$2:$D$37,
_xlpm.Vazoes,Base_Bueiros!$F$2:$F$37,
_xlpm.DimNum,IFERROR(VALUE(TRIM(LEFT(_xlpm.Dims,FIND("x",_xlpm.Dims)-1))),VALUE(_xlpm.Dims)),
_xlpm.Linhas,IF(MID(_xlpm.Tipos,2,1)="T",3,IF(MID(_xlpm.Tipos,2,1)="D",2,1)),
_xlpm.EhTubular,MID(_xlpm.Tipos,3,1)="T",
_xlpm.QNec,IF(ISNUMBER(FIND("Orif",_xlpm.Func)),IF(_xlpm.EhTubular,M22,M23),IF(_xlpm.EhTubular,M21,M22)),
_xlpm.FiltroBase,(ISNUMBER(FIND(_xlpm.Func,_xlpm.Funcs)))*(_xlpm.Vazoes&gt;=_xlpm.QNec),
_xlpm.TemTubular,SUM(_xlpm.FiltroBase*_xlpm.EhTubular)&gt;0,
_xlpm.Filtro,_xlpm.FiltroBase*IF(_xlpm.TemTubular,_xlpm.EhTubular,NOT(_xlpm.EhTubular)),
_xlpm.Prior1,IF(_xlpm.EhTubular,_xlpm.DimNum,_xlpm.Linhas),
_xlpm.Prior2,IF(_xlpm.EhTubular,_xlpm.Linhas,_xlpm.DimNum),
_xlpm.MenorPrior1,_xlfn.AGGREGATE(15,6,_xlpm.Prior1/_xlpm.Filtro,1),
_xlpm.MenorPrior2,_xlfn.AGGREGATE(15,6,_xlpm.Prior2/(_xlpm.Filtro*(_xlpm.Prior1=_xlpm.MenorPrior1)),1),
_xlpm.MenorVazao,_xlfn.AGGREGATE(15,6,_xlpm.Vazoes/(_xlpm.Filtro*(_xlpm.Prior1=_xlpm.MenorPrior1)*(_xlpm.Prior2=_xlpm.MenorPrior2)),1),
_xlpm.Linha,MATCH(1,(_xlpm.Vazoes=_xlpm.MenorVazao)*(_xlpm.Filtro&gt;0),0),
_xlpm.Tipo,INDEX(_xlpm.Tipos,_xlpm.Linha),
_xlpm.Dim,INDEX(_xlpm.Dims,_xlpm.Linha),
_xlpm.EhTubularEscolhido,MID(_xlpm.Tipo,3,1)="T",
_xlpm.Tipo&amp;" "&amp;IF(_xlpm.EhTubularEscolhido,_xlpm.Dim&amp;"m",SUBSTITUTE(_xlpm.Dim,"0,00","")&amp;"m")
),"Ponte")</f>
        <v>BSCC 2,50 x 2,50m</v>
      </c>
      <c r="K32" s="462"/>
      <c r="L32" s="462"/>
      <c r="M32" s="462"/>
      <c r="N32" s="462"/>
      <c r="O32" s="47"/>
    </row>
    <row r="33" spans="1:15">
      <c r="A33" s="38"/>
      <c r="I33" s="76"/>
      <c r="J33" s="45" t="s">
        <v>88</v>
      </c>
      <c r="K33" s="77"/>
      <c r="L33" s="77"/>
      <c r="M33" s="77"/>
      <c r="N33" s="77"/>
      <c r="O33" s="47"/>
    </row>
    <row r="34" spans="1:15">
      <c r="A34" s="38"/>
      <c r="I34" s="76"/>
      <c r="J34" s="77"/>
      <c r="K34" s="77"/>
      <c r="L34" s="77"/>
      <c r="M34" s="77"/>
      <c r="N34" s="77"/>
      <c r="O34" s="47"/>
    </row>
    <row r="35" spans="1:15">
      <c r="A35" s="38"/>
      <c r="I35" s="76"/>
      <c r="J35" s="459" t="s">
        <v>408</v>
      </c>
      <c r="K35" s="459"/>
      <c r="L35" s="459"/>
      <c r="M35" s="459"/>
      <c r="N35" s="459"/>
      <c r="O35" s="47"/>
    </row>
    <row r="36" spans="1:15">
      <c r="A36" s="38"/>
      <c r="I36" s="76"/>
      <c r="J36" s="452" t="str">
        <f>'Apresentação  - Est. Hid.'!AK28</f>
        <v>Ponte existente 14,80x4,20m</v>
      </c>
      <c r="K36" s="453"/>
      <c r="L36" s="453"/>
      <c r="M36" s="453"/>
      <c r="N36" s="453"/>
      <c r="O36" s="47"/>
    </row>
    <row r="37" spans="1:15">
      <c r="A37" s="38"/>
      <c r="I37" s="76"/>
      <c r="J37" s="116"/>
      <c r="K37" s="77"/>
      <c r="L37" s="77"/>
      <c r="M37" s="77"/>
      <c r="N37" s="77"/>
      <c r="O37" s="47"/>
    </row>
    <row r="38" spans="1:15" ht="13.5" thickBot="1">
      <c r="A38" s="79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1"/>
    </row>
    <row r="41" spans="1:15">
      <c r="C41" s="44"/>
      <c r="D41" s="44"/>
      <c r="E41" s="44"/>
      <c r="F41" s="44"/>
      <c r="G41" s="44"/>
    </row>
    <row r="42" spans="1:15">
      <c r="C42" s="454"/>
      <c r="D42" s="454"/>
      <c r="E42" s="454"/>
      <c r="F42" s="455"/>
      <c r="G42" s="456"/>
      <c r="K42" s="103"/>
    </row>
    <row r="43" spans="1:15">
      <c r="C43" s="95"/>
      <c r="D43" s="86"/>
      <c r="E43" s="87"/>
      <c r="F43" s="86"/>
      <c r="G43" s="58"/>
    </row>
    <row r="44" spans="1:15" ht="15">
      <c r="C44" s="95"/>
      <c r="D44" s="86"/>
      <c r="E44"/>
      <c r="F44"/>
      <c r="G44"/>
      <c r="H44"/>
      <c r="I44"/>
      <c r="J44"/>
    </row>
    <row r="45" spans="1:15" ht="15">
      <c r="C45" s="95"/>
      <c r="D45" s="86"/>
      <c r="E45"/>
      <c r="F45"/>
      <c r="G45"/>
      <c r="H45"/>
      <c r="I45"/>
      <c r="J45"/>
    </row>
    <row r="46" spans="1:15" ht="15">
      <c r="C46" s="95"/>
      <c r="D46" s="86"/>
      <c r="E46"/>
      <c r="F46"/>
      <c r="G46"/>
      <c r="H46"/>
      <c r="I46"/>
      <c r="J46"/>
    </row>
    <row r="47" spans="1:15" ht="15">
      <c r="C47" s="44"/>
      <c r="D47" s="44"/>
      <c r="E47"/>
      <c r="F47"/>
      <c r="G47"/>
      <c r="H47"/>
      <c r="I47"/>
      <c r="J47"/>
    </row>
    <row r="48" spans="1:15" ht="15">
      <c r="C48" s="44"/>
      <c r="D48" s="44"/>
      <c r="E48"/>
      <c r="F48"/>
      <c r="G48"/>
      <c r="H48"/>
      <c r="I48"/>
      <c r="J48"/>
    </row>
    <row r="49" spans="3:7">
      <c r="C49" s="44"/>
      <c r="D49" s="44"/>
      <c r="E49" s="44"/>
      <c r="F49" s="44"/>
      <c r="G49" s="44"/>
    </row>
  </sheetData>
  <mergeCells count="35">
    <mergeCell ref="L16:M16"/>
    <mergeCell ref="L17:M17"/>
    <mergeCell ref="K23:L23"/>
    <mergeCell ref="J36:N36"/>
    <mergeCell ref="C42:E42"/>
    <mergeCell ref="F42:G42"/>
    <mergeCell ref="B26:G26"/>
    <mergeCell ref="J26:N26"/>
    <mergeCell ref="J27:N27"/>
    <mergeCell ref="J31:N31"/>
    <mergeCell ref="J32:N32"/>
    <mergeCell ref="J35:N35"/>
    <mergeCell ref="B25:C25"/>
    <mergeCell ref="B24:C24"/>
    <mergeCell ref="K24:L24"/>
    <mergeCell ref="B20:H20"/>
    <mergeCell ref="J20:J24"/>
    <mergeCell ref="K20:L20"/>
    <mergeCell ref="M20:N20"/>
    <mergeCell ref="B21:C21"/>
    <mergeCell ref="K21:L21"/>
    <mergeCell ref="B22:C22"/>
    <mergeCell ref="K22:L22"/>
    <mergeCell ref="B23:C23"/>
    <mergeCell ref="AC13:AD13"/>
    <mergeCell ref="AC14:AD15"/>
    <mergeCell ref="J12:N12"/>
    <mergeCell ref="A1:O1"/>
    <mergeCell ref="A2:O2"/>
    <mergeCell ref="W3:Y3"/>
    <mergeCell ref="W4:W5"/>
    <mergeCell ref="Z4:Z5"/>
    <mergeCell ref="L13:M13"/>
    <mergeCell ref="L14:M14"/>
    <mergeCell ref="L15:M15"/>
  </mergeCells>
  <conditionalFormatting sqref="K4:O4">
    <cfRule type="expression" dxfId="48" priority="1">
      <formula>AND($M$22&lt;=79.73,OR($S$13=15,$S$13=25),$N$4=$S$13)</formula>
    </cfRule>
  </conditionalFormatting>
  <conditionalFormatting sqref="K5:O5">
    <cfRule type="expression" dxfId="47" priority="2">
      <formula>AND($M$22&lt;=79.73,OR($S$13=15,$S$13=25),$N$5=$S$13)</formula>
    </cfRule>
    <cfRule type="expression" dxfId="46" priority="3">
      <formula>AND($M$22&lt;=79.73,OR($S$14=25,$S$14=50),$N$5=$S$14)</formula>
    </cfRule>
  </conditionalFormatting>
  <conditionalFormatting sqref="K6:O6">
    <cfRule type="expression" dxfId="45" priority="4">
      <formula>AND($M$22&lt;=79.73,OR($S$14=25,$S$14=50),$N$6=$S$14)</formula>
    </cfRule>
  </conditionalFormatting>
  <conditionalFormatting sqref="K7:O7">
    <cfRule type="expression" dxfId="44" priority="5">
      <formula>AND($M$22&gt;79.73,$N$7=100)</formula>
    </cfRule>
  </conditionalFormatting>
  <conditionalFormatting sqref="J14:N14">
    <cfRule type="expression" dxfId="43" priority="6">
      <formula>AND($M$22&lt;=79.73,OR($S$13=15,$S$13=25),$S$13=15)</formula>
    </cfRule>
  </conditionalFormatting>
  <conditionalFormatting sqref="J15:N15">
    <cfRule type="expression" dxfId="42" priority="7">
      <formula>AND($M$22&lt;=79.73,OR($S$13=15,$S$13=25),$S$13=25)</formula>
    </cfRule>
    <cfRule type="expression" dxfId="41" priority="8">
      <formula>AND($M$22&lt;=79.73,OR($S$14=25,$S$14=50),$S$14=25)</formula>
    </cfRule>
  </conditionalFormatting>
  <conditionalFormatting sqref="J16:N16">
    <cfRule type="expression" dxfId="40" priority="9">
      <formula>AND($M$22&lt;=79.73,OR($S$14=25,$S$14=50),$S$14=50)</formula>
    </cfRule>
  </conditionalFormatting>
  <conditionalFormatting sqref="J17:N17">
    <cfRule type="expression" dxfId="39" priority="10">
      <formula>$M$22&gt;79.73</formula>
    </cfRule>
  </conditionalFormatting>
  <conditionalFormatting sqref="K21:N21">
    <cfRule type="expression" dxfId="38" priority="11">
      <formula>AND($M$22&lt;=79.73,OR($S$13=15,$S$13=25),$S$13=15)</formula>
    </cfRule>
  </conditionalFormatting>
  <conditionalFormatting sqref="K22:N22">
    <cfRule type="expression" dxfId="37" priority="12">
      <formula>AND($M$22&lt;=79.73,OR($S$13=15,$S$13=25),$S$13=25)</formula>
    </cfRule>
    <cfRule type="expression" dxfId="36" priority="13">
      <formula>AND($M$22&lt;=79.73,OR($S$14=25,$S$14=50),$S$14=25)</formula>
    </cfRule>
  </conditionalFormatting>
  <conditionalFormatting sqref="K23:N23">
    <cfRule type="expression" dxfId="35" priority="14">
      <formula>AND($M$22&lt;=79.73,OR($S$14=25,$S$14=50),$S$14=50)</formula>
    </cfRule>
  </conditionalFormatting>
  <conditionalFormatting sqref="K24:N24">
    <cfRule type="expression" dxfId="34" priority="15">
      <formula>$M$22&gt;79.73</formula>
    </cfRule>
  </conditionalFormatting>
  <dataValidations disablePrompts="1" count="2">
    <dataValidation type="list" allowBlank="1" showInputMessage="1" showErrorMessage="1" sqref="V13" xr:uid="{BCF7A536-03C3-4208-8086-47D3EC38F459}">
      <formula1>"Grota,Greide"</formula1>
    </dataValidation>
    <dataValidation type="list" allowBlank="1" showInputMessage="1" showErrorMessage="1" sqref="AC14:AD15" xr:uid="{B6558FD0-E4A9-4031-8476-B715ED68D2EE}">
      <formula1>"Tabelado,Ponderado"</formula1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97" orientation="landscape" r:id="rId1"/>
  <colBreaks count="1" manualBreakCount="1">
    <brk id="15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3A70F24A-B68F-4611-92D6-E9AF23FC19F9}">
          <x14:formula1>
            <xm:f>C_CN_IP03!$K$3:$K$6</xm:f>
          </x14:formula1>
          <xm:sqref>C12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8822-9C81-42AF-89A6-2CBB9D62DAA7}">
  <sheetPr codeName="Planilha9">
    <tabColor rgb="FF92D050"/>
  </sheetPr>
  <dimension ref="B2:U30"/>
  <sheetViews>
    <sheetView showGridLines="0" workbookViewId="0">
      <selection activeCell="B2" sqref="B2:H17"/>
    </sheetView>
  </sheetViews>
  <sheetFormatPr defaultRowHeight="15"/>
  <cols>
    <col min="3" max="3" width="8.5703125" bestFit="1" customWidth="1"/>
    <col min="4" max="4" width="12.5703125" bestFit="1" customWidth="1"/>
    <col min="5" max="5" width="10.85546875" bestFit="1" customWidth="1"/>
    <col min="6" max="9" width="8.5703125" customWidth="1"/>
    <col min="10" max="10" width="11" bestFit="1" customWidth="1"/>
    <col min="14" max="14" width="10.42578125" customWidth="1"/>
    <col min="21" max="21" width="9.5703125" bestFit="1" customWidth="1"/>
  </cols>
  <sheetData>
    <row r="2" spans="2:21" ht="45.75" thickBot="1">
      <c r="B2" s="1" t="s">
        <v>37</v>
      </c>
      <c r="C2" s="1" t="s">
        <v>38</v>
      </c>
      <c r="D2" s="1" t="s">
        <v>39</v>
      </c>
      <c r="E2" s="1" t="s">
        <v>40</v>
      </c>
      <c r="F2" s="2" t="s">
        <v>41</v>
      </c>
      <c r="G2" s="2" t="s">
        <v>42</v>
      </c>
      <c r="H2" s="1" t="s">
        <v>43</v>
      </c>
      <c r="I2" s="3"/>
      <c r="J2" s="3"/>
    </row>
    <row r="3" spans="2:21" ht="15.75" thickBot="1">
      <c r="B3" s="14" t="s">
        <v>44</v>
      </c>
      <c r="C3" s="37">
        <v>845</v>
      </c>
      <c r="D3" s="14">
        <v>0</v>
      </c>
      <c r="E3" s="13">
        <f>D3/1000</f>
        <v>0</v>
      </c>
      <c r="F3" s="13">
        <v>0</v>
      </c>
      <c r="G3" s="13">
        <v>0</v>
      </c>
      <c r="H3" s="13">
        <v>0</v>
      </c>
      <c r="J3" s="464" t="s">
        <v>198</v>
      </c>
      <c r="K3" s="465"/>
      <c r="U3" s="36"/>
    </row>
    <row r="4" spans="2:21">
      <c r="B4" s="14">
        <v>1</v>
      </c>
      <c r="C4" s="37">
        <v>762</v>
      </c>
      <c r="D4" s="14">
        <v>500</v>
      </c>
      <c r="E4" s="12">
        <f>D4/1000</f>
        <v>0.5</v>
      </c>
      <c r="F4" s="13">
        <f>C3-C4</f>
        <v>83</v>
      </c>
      <c r="G4" s="12">
        <f>E4-E3</f>
        <v>0.5</v>
      </c>
      <c r="H4" s="12">
        <f t="shared" ref="H4:H11" si="0">F4/G4</f>
        <v>166</v>
      </c>
      <c r="J4" s="120" t="s">
        <v>199</v>
      </c>
      <c r="K4" s="124">
        <f ca="1">(((E11/((G4/SQRT(H4))+(G5/SQRT(H5))+(G6/SQRT(H6))+(G7/SQRT(H7))+(G8/SQRT(H8))+(G9/SQRT(H9))+(G10/SQRT(H10))+(G11/SQRT(H11))))^2)/1000)*1000</f>
        <v>21.713553845741423</v>
      </c>
      <c r="U4" s="36"/>
    </row>
    <row r="5" spans="2:21" ht="15.75" thickBot="1">
      <c r="B5" s="14">
        <v>2</v>
      </c>
      <c r="C5" s="37">
        <v>694</v>
      </c>
      <c r="D5" s="14">
        <f t="shared" ref="D5:D10" si="1">D4+500</f>
        <v>1000</v>
      </c>
      <c r="E5" s="12">
        <f t="shared" ref="E5:E11" si="2">D5/1000</f>
        <v>1</v>
      </c>
      <c r="F5" s="13">
        <f t="shared" ref="F5:F11" si="3">C4-C5</f>
        <v>68</v>
      </c>
      <c r="G5" s="12">
        <f t="shared" ref="G5:G11" si="4">E5-E4</f>
        <v>0.5</v>
      </c>
      <c r="H5" s="12">
        <f t="shared" si="0"/>
        <v>136</v>
      </c>
      <c r="J5" s="121" t="s">
        <v>200</v>
      </c>
      <c r="K5" s="123">
        <f ca="1">((E11/((G4/SQRT(H4))+(G5/SQRT(H5))+(G6/SQRT(H6))+(G7/SQRT(H7))+(G8/SQRT(H8))+(G9/SQRT(H9))+(G10/SQRT(H10))+(G11/SQRT(H11))))^2)/1000</f>
        <v>2.1713553845741421E-2</v>
      </c>
    </row>
    <row r="6" spans="2:21" ht="15.75" thickBot="1">
      <c r="B6" s="14">
        <v>3</v>
      </c>
      <c r="C6" s="37">
        <v>666</v>
      </c>
      <c r="D6" s="14">
        <f t="shared" si="1"/>
        <v>1500</v>
      </c>
      <c r="E6" s="12">
        <f t="shared" si="2"/>
        <v>1.5</v>
      </c>
      <c r="F6" s="13">
        <f t="shared" si="3"/>
        <v>28</v>
      </c>
      <c r="G6" s="12">
        <f t="shared" si="4"/>
        <v>0.5</v>
      </c>
      <c r="H6" s="12">
        <f t="shared" si="0"/>
        <v>56</v>
      </c>
      <c r="J6" s="119" t="s">
        <v>201</v>
      </c>
      <c r="K6" s="122">
        <f ca="1">(((E11/((G4/SQRT(H4))+(G5/SQRT(H5))+(G6/SQRT(H6))+(G7/SQRT(H7))+(G8/SQRT(H8))+(G9/SQRT(H9))+(G10/SQRT(H10))+(G11/SQRT(H11))))^2)/1000)*100</f>
        <v>2.171355384574142</v>
      </c>
    </row>
    <row r="7" spans="2:21">
      <c r="B7" s="14">
        <v>4</v>
      </c>
      <c r="C7" s="37">
        <v>651</v>
      </c>
      <c r="D7" s="14">
        <f t="shared" si="1"/>
        <v>2000</v>
      </c>
      <c r="E7" s="12">
        <f t="shared" si="2"/>
        <v>2</v>
      </c>
      <c r="F7" s="13">
        <f t="shared" si="3"/>
        <v>15</v>
      </c>
      <c r="G7" s="12">
        <f t="shared" si="4"/>
        <v>0.5</v>
      </c>
      <c r="H7" s="12">
        <f t="shared" si="0"/>
        <v>30</v>
      </c>
    </row>
    <row r="8" spans="2:21">
      <c r="B8" s="14">
        <v>5</v>
      </c>
      <c r="C8" s="37">
        <v>639</v>
      </c>
      <c r="D8" s="14">
        <f t="shared" si="1"/>
        <v>2500</v>
      </c>
      <c r="E8" s="12">
        <f t="shared" si="2"/>
        <v>2.5</v>
      </c>
      <c r="F8" s="13">
        <f t="shared" si="3"/>
        <v>12</v>
      </c>
      <c r="G8" s="12">
        <f t="shared" si="4"/>
        <v>0.5</v>
      </c>
      <c r="H8" s="12">
        <f t="shared" si="0"/>
        <v>24</v>
      </c>
    </row>
    <row r="9" spans="2:21">
      <c r="B9" s="14">
        <v>6</v>
      </c>
      <c r="C9" s="37">
        <v>635</v>
      </c>
      <c r="D9" s="14">
        <f t="shared" si="1"/>
        <v>3000</v>
      </c>
      <c r="E9" s="12">
        <f t="shared" si="2"/>
        <v>3</v>
      </c>
      <c r="F9" s="13">
        <f t="shared" si="3"/>
        <v>4</v>
      </c>
      <c r="G9" s="12">
        <f t="shared" si="4"/>
        <v>0.5</v>
      </c>
      <c r="H9" s="12">
        <f t="shared" si="0"/>
        <v>8</v>
      </c>
    </row>
    <row r="10" spans="2:21">
      <c r="B10" s="14">
        <v>7</v>
      </c>
      <c r="C10" s="37">
        <v>632</v>
      </c>
      <c r="D10" s="14">
        <f t="shared" si="1"/>
        <v>3500</v>
      </c>
      <c r="E10" s="12">
        <f t="shared" si="2"/>
        <v>3.5</v>
      </c>
      <c r="F10" s="13">
        <f t="shared" si="3"/>
        <v>3</v>
      </c>
      <c r="G10" s="12">
        <f t="shared" si="4"/>
        <v>0.5</v>
      </c>
      <c r="H10" s="12">
        <f t="shared" si="0"/>
        <v>6</v>
      </c>
    </row>
    <row r="11" spans="2:21">
      <c r="B11" s="14" t="s">
        <v>33</v>
      </c>
      <c r="C11" s="37">
        <v>629</v>
      </c>
      <c r="D11" s="12">
        <f ca="1">'BC10 (RAC)'!E7*1000</f>
        <v>3791.7068081139046</v>
      </c>
      <c r="E11" s="12">
        <f t="shared" ca="1" si="2"/>
        <v>3.7917068081139047</v>
      </c>
      <c r="F11" s="13">
        <f t="shared" si="3"/>
        <v>3</v>
      </c>
      <c r="G11" s="12">
        <f t="shared" ca="1" si="4"/>
        <v>0.2917068081139047</v>
      </c>
      <c r="H11" s="12">
        <f t="shared" ca="1" si="0"/>
        <v>10.284298880088429</v>
      </c>
      <c r="J11" s="184"/>
    </row>
    <row r="12" spans="2:21" ht="15.75" thickBot="1">
      <c r="B12" s="3"/>
      <c r="C12" s="93"/>
      <c r="D12" s="106"/>
      <c r="E12" s="107"/>
      <c r="F12" s="106"/>
      <c r="G12" s="107"/>
      <c r="H12" s="107"/>
    </row>
    <row r="13" spans="2:21" ht="15.75" thickBot="1">
      <c r="B13" s="4" t="s">
        <v>48</v>
      </c>
      <c r="C13" s="5">
        <f ca="1">(((E11/((G4/SQRT(H4))+(G5/SQRT(H5))+(G6/SQRT(H6))+(G7/SQRT(H7))+(G8/SQRT(H8))+(G9/SQRT(H9))+(G10/SQRT(H10))+(G11/SQRT(H11))))^2)/1000)*1000</f>
        <v>21.713553845741423</v>
      </c>
      <c r="D13" s="6" t="s">
        <v>45</v>
      </c>
      <c r="E13" s="6" t="s">
        <v>49</v>
      </c>
      <c r="F13" s="6"/>
      <c r="G13" s="6"/>
      <c r="H13" s="7"/>
    </row>
    <row r="14" spans="2:21" ht="15.75" thickBot="1">
      <c r="B14" s="4" t="s">
        <v>48</v>
      </c>
      <c r="C14" s="8">
        <f ca="1">C13/1000</f>
        <v>2.1713553845741421E-2</v>
      </c>
      <c r="D14" s="6" t="s">
        <v>46</v>
      </c>
      <c r="E14" s="6" t="s">
        <v>50</v>
      </c>
      <c r="F14" s="6"/>
      <c r="G14" s="6"/>
      <c r="H14" s="7"/>
    </row>
    <row r="15" spans="2:21" ht="15.75" thickBot="1">
      <c r="B15" s="9" t="s">
        <v>48</v>
      </c>
      <c r="C15" s="108">
        <f ca="1">C14*100</f>
        <v>2.171355384574142</v>
      </c>
      <c r="D15" s="10" t="s">
        <v>47</v>
      </c>
      <c r="E15" s="10" t="s">
        <v>51</v>
      </c>
      <c r="F15" s="10"/>
      <c r="G15" s="10"/>
      <c r="H15" s="11"/>
    </row>
    <row r="20" spans="2:2" ht="13.5" customHeight="1"/>
    <row r="21" spans="2:2" hidden="1"/>
    <row r="30" spans="2:2">
      <c r="B30" t="str">
        <f>"Perfil Longitudinal - "&amp;'BC10 (RAC)'!E5</f>
        <v>Perfil Longitudinal - Sem talvegue permanente</v>
      </c>
    </row>
  </sheetData>
  <mergeCells count="1">
    <mergeCell ref="J3:K3"/>
  </mergeCells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6E69B-BB46-4EA7-9F6C-81AC60825229}">
  <sheetPr codeName="Planilha6">
    <tabColor rgb="FF92D050"/>
  </sheetPr>
  <dimension ref="A1:AD49"/>
  <sheetViews>
    <sheetView showGridLines="0" workbookViewId="0">
      <selection activeCell="B2" sqref="B2:H17"/>
    </sheetView>
  </sheetViews>
  <sheetFormatPr defaultRowHeight="12.75"/>
  <cols>
    <col min="1" max="1" width="3.7109375" style="45" customWidth="1"/>
    <col min="2" max="2" width="12.7109375" style="45" customWidth="1"/>
    <col min="3" max="3" width="19.28515625" style="45" customWidth="1"/>
    <col min="4" max="4" width="13.42578125" style="45" customWidth="1"/>
    <col min="5" max="5" width="8.85546875" style="45" customWidth="1"/>
    <col min="6" max="6" width="6.7109375" style="45" customWidth="1"/>
    <col min="7" max="7" width="8.28515625" style="45" bestFit="1" customWidth="1"/>
    <col min="8" max="8" width="8.28515625" style="45" customWidth="1"/>
    <col min="9" max="9" width="8.140625" style="45" customWidth="1"/>
    <col min="10" max="10" width="9.7109375" style="45" customWidth="1"/>
    <col min="11" max="11" width="15.7109375" style="45" customWidth="1"/>
    <col min="12" max="12" width="8.7109375" style="45" customWidth="1"/>
    <col min="13" max="13" width="6.28515625" style="45" bestFit="1" customWidth="1"/>
    <col min="14" max="14" width="10.42578125" style="45" customWidth="1"/>
    <col min="15" max="15" width="5.7109375" style="45" bestFit="1" customWidth="1"/>
    <col min="16" max="16" width="8.7109375" style="45" customWidth="1"/>
    <col min="17" max="17" width="15" style="45" bestFit="1" customWidth="1"/>
    <col min="18" max="18" width="8.42578125" style="45" customWidth="1"/>
    <col min="19" max="19" width="12.5703125" style="45" bestFit="1" customWidth="1"/>
    <col min="20" max="20" width="12.28515625" style="45" bestFit="1" customWidth="1"/>
    <col min="21" max="21" width="5.28515625" style="45" customWidth="1"/>
    <col min="22" max="22" width="15.42578125" style="45" bestFit="1" customWidth="1"/>
    <col min="23" max="23" width="10.42578125" style="45" bestFit="1" customWidth="1"/>
    <col min="24" max="24" width="9.140625" style="45"/>
    <col min="25" max="25" width="5.140625" style="45" customWidth="1"/>
    <col min="26" max="26" width="9.140625" style="45"/>
    <col min="27" max="27" width="4.140625" style="45" customWidth="1"/>
    <col min="28" max="257" width="9.140625" style="45"/>
    <col min="258" max="258" width="8.7109375" style="45" customWidth="1"/>
    <col min="259" max="259" width="17" style="45" customWidth="1"/>
    <col min="260" max="260" width="14.42578125" style="45" customWidth="1"/>
    <col min="261" max="261" width="10.28515625" style="45" customWidth="1"/>
    <col min="262" max="272" width="8.7109375" style="45" customWidth="1"/>
    <col min="273" max="273" width="9.7109375" style="45" customWidth="1"/>
    <col min="274" max="274" width="8.42578125" style="45" customWidth="1"/>
    <col min="275" max="275" width="9.140625" style="45"/>
    <col min="276" max="276" width="10.7109375" style="45" customWidth="1"/>
    <col min="277" max="277" width="5.28515625" style="45" customWidth="1"/>
    <col min="278" max="278" width="15.42578125" style="45" bestFit="1" customWidth="1"/>
    <col min="279" max="279" width="10.42578125" style="45" bestFit="1" customWidth="1"/>
    <col min="280" max="513" width="9.140625" style="45"/>
    <col min="514" max="514" width="8.7109375" style="45" customWidth="1"/>
    <col min="515" max="515" width="17" style="45" customWidth="1"/>
    <col min="516" max="516" width="14.42578125" style="45" customWidth="1"/>
    <col min="517" max="517" width="10.28515625" style="45" customWidth="1"/>
    <col min="518" max="528" width="8.7109375" style="45" customWidth="1"/>
    <col min="529" max="529" width="9.7109375" style="45" customWidth="1"/>
    <col min="530" max="530" width="8.42578125" style="45" customWidth="1"/>
    <col min="531" max="531" width="9.140625" style="45"/>
    <col min="532" max="532" width="10.7109375" style="45" customWidth="1"/>
    <col min="533" max="533" width="5.28515625" style="45" customWidth="1"/>
    <col min="534" max="534" width="15.42578125" style="45" bestFit="1" customWidth="1"/>
    <col min="535" max="535" width="10.42578125" style="45" bestFit="1" customWidth="1"/>
    <col min="536" max="769" width="9.140625" style="45"/>
    <col min="770" max="770" width="8.7109375" style="45" customWidth="1"/>
    <col min="771" max="771" width="17" style="45" customWidth="1"/>
    <col min="772" max="772" width="14.42578125" style="45" customWidth="1"/>
    <col min="773" max="773" width="10.28515625" style="45" customWidth="1"/>
    <col min="774" max="784" width="8.7109375" style="45" customWidth="1"/>
    <col min="785" max="785" width="9.7109375" style="45" customWidth="1"/>
    <col min="786" max="786" width="8.42578125" style="45" customWidth="1"/>
    <col min="787" max="787" width="9.140625" style="45"/>
    <col min="788" max="788" width="10.7109375" style="45" customWidth="1"/>
    <col min="789" max="789" width="5.28515625" style="45" customWidth="1"/>
    <col min="790" max="790" width="15.42578125" style="45" bestFit="1" customWidth="1"/>
    <col min="791" max="791" width="10.42578125" style="45" bestFit="1" customWidth="1"/>
    <col min="792" max="1025" width="9.140625" style="45"/>
    <col min="1026" max="1026" width="8.7109375" style="45" customWidth="1"/>
    <col min="1027" max="1027" width="17" style="45" customWidth="1"/>
    <col min="1028" max="1028" width="14.42578125" style="45" customWidth="1"/>
    <col min="1029" max="1029" width="10.28515625" style="45" customWidth="1"/>
    <col min="1030" max="1040" width="8.7109375" style="45" customWidth="1"/>
    <col min="1041" max="1041" width="9.7109375" style="45" customWidth="1"/>
    <col min="1042" max="1042" width="8.42578125" style="45" customWidth="1"/>
    <col min="1043" max="1043" width="9.140625" style="45"/>
    <col min="1044" max="1044" width="10.7109375" style="45" customWidth="1"/>
    <col min="1045" max="1045" width="5.28515625" style="45" customWidth="1"/>
    <col min="1046" max="1046" width="15.42578125" style="45" bestFit="1" customWidth="1"/>
    <col min="1047" max="1047" width="10.42578125" style="45" bestFit="1" customWidth="1"/>
    <col min="1048" max="1281" width="9.140625" style="45"/>
    <col min="1282" max="1282" width="8.7109375" style="45" customWidth="1"/>
    <col min="1283" max="1283" width="17" style="45" customWidth="1"/>
    <col min="1284" max="1284" width="14.42578125" style="45" customWidth="1"/>
    <col min="1285" max="1285" width="10.28515625" style="45" customWidth="1"/>
    <col min="1286" max="1296" width="8.7109375" style="45" customWidth="1"/>
    <col min="1297" max="1297" width="9.7109375" style="45" customWidth="1"/>
    <col min="1298" max="1298" width="8.42578125" style="45" customWidth="1"/>
    <col min="1299" max="1299" width="9.140625" style="45"/>
    <col min="1300" max="1300" width="10.7109375" style="45" customWidth="1"/>
    <col min="1301" max="1301" width="5.28515625" style="45" customWidth="1"/>
    <col min="1302" max="1302" width="15.42578125" style="45" bestFit="1" customWidth="1"/>
    <col min="1303" max="1303" width="10.42578125" style="45" bestFit="1" customWidth="1"/>
    <col min="1304" max="1537" width="9.140625" style="45"/>
    <col min="1538" max="1538" width="8.7109375" style="45" customWidth="1"/>
    <col min="1539" max="1539" width="17" style="45" customWidth="1"/>
    <col min="1540" max="1540" width="14.42578125" style="45" customWidth="1"/>
    <col min="1541" max="1541" width="10.28515625" style="45" customWidth="1"/>
    <col min="1542" max="1552" width="8.7109375" style="45" customWidth="1"/>
    <col min="1553" max="1553" width="9.7109375" style="45" customWidth="1"/>
    <col min="1554" max="1554" width="8.42578125" style="45" customWidth="1"/>
    <col min="1555" max="1555" width="9.140625" style="45"/>
    <col min="1556" max="1556" width="10.7109375" style="45" customWidth="1"/>
    <col min="1557" max="1557" width="5.28515625" style="45" customWidth="1"/>
    <col min="1558" max="1558" width="15.42578125" style="45" bestFit="1" customWidth="1"/>
    <col min="1559" max="1559" width="10.42578125" style="45" bestFit="1" customWidth="1"/>
    <col min="1560" max="1793" width="9.140625" style="45"/>
    <col min="1794" max="1794" width="8.7109375" style="45" customWidth="1"/>
    <col min="1795" max="1795" width="17" style="45" customWidth="1"/>
    <col min="1796" max="1796" width="14.42578125" style="45" customWidth="1"/>
    <col min="1797" max="1797" width="10.28515625" style="45" customWidth="1"/>
    <col min="1798" max="1808" width="8.7109375" style="45" customWidth="1"/>
    <col min="1809" max="1809" width="9.7109375" style="45" customWidth="1"/>
    <col min="1810" max="1810" width="8.42578125" style="45" customWidth="1"/>
    <col min="1811" max="1811" width="9.140625" style="45"/>
    <col min="1812" max="1812" width="10.7109375" style="45" customWidth="1"/>
    <col min="1813" max="1813" width="5.28515625" style="45" customWidth="1"/>
    <col min="1814" max="1814" width="15.42578125" style="45" bestFit="1" customWidth="1"/>
    <col min="1815" max="1815" width="10.42578125" style="45" bestFit="1" customWidth="1"/>
    <col min="1816" max="2049" width="9.140625" style="45"/>
    <col min="2050" max="2050" width="8.7109375" style="45" customWidth="1"/>
    <col min="2051" max="2051" width="17" style="45" customWidth="1"/>
    <col min="2052" max="2052" width="14.42578125" style="45" customWidth="1"/>
    <col min="2053" max="2053" width="10.28515625" style="45" customWidth="1"/>
    <col min="2054" max="2064" width="8.7109375" style="45" customWidth="1"/>
    <col min="2065" max="2065" width="9.7109375" style="45" customWidth="1"/>
    <col min="2066" max="2066" width="8.42578125" style="45" customWidth="1"/>
    <col min="2067" max="2067" width="9.140625" style="45"/>
    <col min="2068" max="2068" width="10.7109375" style="45" customWidth="1"/>
    <col min="2069" max="2069" width="5.28515625" style="45" customWidth="1"/>
    <col min="2070" max="2070" width="15.42578125" style="45" bestFit="1" customWidth="1"/>
    <col min="2071" max="2071" width="10.42578125" style="45" bestFit="1" customWidth="1"/>
    <col min="2072" max="2305" width="9.140625" style="45"/>
    <col min="2306" max="2306" width="8.7109375" style="45" customWidth="1"/>
    <col min="2307" max="2307" width="17" style="45" customWidth="1"/>
    <col min="2308" max="2308" width="14.42578125" style="45" customWidth="1"/>
    <col min="2309" max="2309" width="10.28515625" style="45" customWidth="1"/>
    <col min="2310" max="2320" width="8.7109375" style="45" customWidth="1"/>
    <col min="2321" max="2321" width="9.7109375" style="45" customWidth="1"/>
    <col min="2322" max="2322" width="8.42578125" style="45" customWidth="1"/>
    <col min="2323" max="2323" width="9.140625" style="45"/>
    <col min="2324" max="2324" width="10.7109375" style="45" customWidth="1"/>
    <col min="2325" max="2325" width="5.28515625" style="45" customWidth="1"/>
    <col min="2326" max="2326" width="15.42578125" style="45" bestFit="1" customWidth="1"/>
    <col min="2327" max="2327" width="10.42578125" style="45" bestFit="1" customWidth="1"/>
    <col min="2328" max="2561" width="9.140625" style="45"/>
    <col min="2562" max="2562" width="8.7109375" style="45" customWidth="1"/>
    <col min="2563" max="2563" width="17" style="45" customWidth="1"/>
    <col min="2564" max="2564" width="14.42578125" style="45" customWidth="1"/>
    <col min="2565" max="2565" width="10.28515625" style="45" customWidth="1"/>
    <col min="2566" max="2576" width="8.7109375" style="45" customWidth="1"/>
    <col min="2577" max="2577" width="9.7109375" style="45" customWidth="1"/>
    <col min="2578" max="2578" width="8.42578125" style="45" customWidth="1"/>
    <col min="2579" max="2579" width="9.140625" style="45"/>
    <col min="2580" max="2580" width="10.7109375" style="45" customWidth="1"/>
    <col min="2581" max="2581" width="5.28515625" style="45" customWidth="1"/>
    <col min="2582" max="2582" width="15.42578125" style="45" bestFit="1" customWidth="1"/>
    <col min="2583" max="2583" width="10.42578125" style="45" bestFit="1" customWidth="1"/>
    <col min="2584" max="2817" width="9.140625" style="45"/>
    <col min="2818" max="2818" width="8.7109375" style="45" customWidth="1"/>
    <col min="2819" max="2819" width="17" style="45" customWidth="1"/>
    <col min="2820" max="2820" width="14.42578125" style="45" customWidth="1"/>
    <col min="2821" max="2821" width="10.28515625" style="45" customWidth="1"/>
    <col min="2822" max="2832" width="8.7109375" style="45" customWidth="1"/>
    <col min="2833" max="2833" width="9.7109375" style="45" customWidth="1"/>
    <col min="2834" max="2834" width="8.42578125" style="45" customWidth="1"/>
    <col min="2835" max="2835" width="9.140625" style="45"/>
    <col min="2836" max="2836" width="10.7109375" style="45" customWidth="1"/>
    <col min="2837" max="2837" width="5.28515625" style="45" customWidth="1"/>
    <col min="2838" max="2838" width="15.42578125" style="45" bestFit="1" customWidth="1"/>
    <col min="2839" max="2839" width="10.42578125" style="45" bestFit="1" customWidth="1"/>
    <col min="2840" max="3073" width="9.140625" style="45"/>
    <col min="3074" max="3074" width="8.7109375" style="45" customWidth="1"/>
    <col min="3075" max="3075" width="17" style="45" customWidth="1"/>
    <col min="3076" max="3076" width="14.42578125" style="45" customWidth="1"/>
    <col min="3077" max="3077" width="10.28515625" style="45" customWidth="1"/>
    <col min="3078" max="3088" width="8.7109375" style="45" customWidth="1"/>
    <col min="3089" max="3089" width="9.7109375" style="45" customWidth="1"/>
    <col min="3090" max="3090" width="8.42578125" style="45" customWidth="1"/>
    <col min="3091" max="3091" width="9.140625" style="45"/>
    <col min="3092" max="3092" width="10.7109375" style="45" customWidth="1"/>
    <col min="3093" max="3093" width="5.28515625" style="45" customWidth="1"/>
    <col min="3094" max="3094" width="15.42578125" style="45" bestFit="1" customWidth="1"/>
    <col min="3095" max="3095" width="10.42578125" style="45" bestFit="1" customWidth="1"/>
    <col min="3096" max="3329" width="9.140625" style="45"/>
    <col min="3330" max="3330" width="8.7109375" style="45" customWidth="1"/>
    <col min="3331" max="3331" width="17" style="45" customWidth="1"/>
    <col min="3332" max="3332" width="14.42578125" style="45" customWidth="1"/>
    <col min="3333" max="3333" width="10.28515625" style="45" customWidth="1"/>
    <col min="3334" max="3344" width="8.7109375" style="45" customWidth="1"/>
    <col min="3345" max="3345" width="9.7109375" style="45" customWidth="1"/>
    <col min="3346" max="3346" width="8.42578125" style="45" customWidth="1"/>
    <col min="3347" max="3347" width="9.140625" style="45"/>
    <col min="3348" max="3348" width="10.7109375" style="45" customWidth="1"/>
    <col min="3349" max="3349" width="5.28515625" style="45" customWidth="1"/>
    <col min="3350" max="3350" width="15.42578125" style="45" bestFit="1" customWidth="1"/>
    <col min="3351" max="3351" width="10.42578125" style="45" bestFit="1" customWidth="1"/>
    <col min="3352" max="3585" width="9.140625" style="45"/>
    <col min="3586" max="3586" width="8.7109375" style="45" customWidth="1"/>
    <col min="3587" max="3587" width="17" style="45" customWidth="1"/>
    <col min="3588" max="3588" width="14.42578125" style="45" customWidth="1"/>
    <col min="3589" max="3589" width="10.28515625" style="45" customWidth="1"/>
    <col min="3590" max="3600" width="8.7109375" style="45" customWidth="1"/>
    <col min="3601" max="3601" width="9.7109375" style="45" customWidth="1"/>
    <col min="3602" max="3602" width="8.42578125" style="45" customWidth="1"/>
    <col min="3603" max="3603" width="9.140625" style="45"/>
    <col min="3604" max="3604" width="10.7109375" style="45" customWidth="1"/>
    <col min="3605" max="3605" width="5.28515625" style="45" customWidth="1"/>
    <col min="3606" max="3606" width="15.42578125" style="45" bestFit="1" customWidth="1"/>
    <col min="3607" max="3607" width="10.42578125" style="45" bestFit="1" customWidth="1"/>
    <col min="3608" max="3841" width="9.140625" style="45"/>
    <col min="3842" max="3842" width="8.7109375" style="45" customWidth="1"/>
    <col min="3843" max="3843" width="17" style="45" customWidth="1"/>
    <col min="3844" max="3844" width="14.42578125" style="45" customWidth="1"/>
    <col min="3845" max="3845" width="10.28515625" style="45" customWidth="1"/>
    <col min="3846" max="3856" width="8.7109375" style="45" customWidth="1"/>
    <col min="3857" max="3857" width="9.7109375" style="45" customWidth="1"/>
    <col min="3858" max="3858" width="8.42578125" style="45" customWidth="1"/>
    <col min="3859" max="3859" width="9.140625" style="45"/>
    <col min="3860" max="3860" width="10.7109375" style="45" customWidth="1"/>
    <col min="3861" max="3861" width="5.28515625" style="45" customWidth="1"/>
    <col min="3862" max="3862" width="15.42578125" style="45" bestFit="1" customWidth="1"/>
    <col min="3863" max="3863" width="10.42578125" style="45" bestFit="1" customWidth="1"/>
    <col min="3864" max="4097" width="9.140625" style="45"/>
    <col min="4098" max="4098" width="8.7109375" style="45" customWidth="1"/>
    <col min="4099" max="4099" width="17" style="45" customWidth="1"/>
    <col min="4100" max="4100" width="14.42578125" style="45" customWidth="1"/>
    <col min="4101" max="4101" width="10.28515625" style="45" customWidth="1"/>
    <col min="4102" max="4112" width="8.7109375" style="45" customWidth="1"/>
    <col min="4113" max="4113" width="9.7109375" style="45" customWidth="1"/>
    <col min="4114" max="4114" width="8.42578125" style="45" customWidth="1"/>
    <col min="4115" max="4115" width="9.140625" style="45"/>
    <col min="4116" max="4116" width="10.7109375" style="45" customWidth="1"/>
    <col min="4117" max="4117" width="5.28515625" style="45" customWidth="1"/>
    <col min="4118" max="4118" width="15.42578125" style="45" bestFit="1" customWidth="1"/>
    <col min="4119" max="4119" width="10.42578125" style="45" bestFit="1" customWidth="1"/>
    <col min="4120" max="4353" width="9.140625" style="45"/>
    <col min="4354" max="4354" width="8.7109375" style="45" customWidth="1"/>
    <col min="4355" max="4355" width="17" style="45" customWidth="1"/>
    <col min="4356" max="4356" width="14.42578125" style="45" customWidth="1"/>
    <col min="4357" max="4357" width="10.28515625" style="45" customWidth="1"/>
    <col min="4358" max="4368" width="8.7109375" style="45" customWidth="1"/>
    <col min="4369" max="4369" width="9.7109375" style="45" customWidth="1"/>
    <col min="4370" max="4370" width="8.42578125" style="45" customWidth="1"/>
    <col min="4371" max="4371" width="9.140625" style="45"/>
    <col min="4372" max="4372" width="10.7109375" style="45" customWidth="1"/>
    <col min="4373" max="4373" width="5.28515625" style="45" customWidth="1"/>
    <col min="4374" max="4374" width="15.42578125" style="45" bestFit="1" customWidth="1"/>
    <col min="4375" max="4375" width="10.42578125" style="45" bestFit="1" customWidth="1"/>
    <col min="4376" max="4609" width="9.140625" style="45"/>
    <col min="4610" max="4610" width="8.7109375" style="45" customWidth="1"/>
    <col min="4611" max="4611" width="17" style="45" customWidth="1"/>
    <col min="4612" max="4612" width="14.42578125" style="45" customWidth="1"/>
    <col min="4613" max="4613" width="10.28515625" style="45" customWidth="1"/>
    <col min="4614" max="4624" width="8.7109375" style="45" customWidth="1"/>
    <col min="4625" max="4625" width="9.7109375" style="45" customWidth="1"/>
    <col min="4626" max="4626" width="8.42578125" style="45" customWidth="1"/>
    <col min="4627" max="4627" width="9.140625" style="45"/>
    <col min="4628" max="4628" width="10.7109375" style="45" customWidth="1"/>
    <col min="4629" max="4629" width="5.28515625" style="45" customWidth="1"/>
    <col min="4630" max="4630" width="15.42578125" style="45" bestFit="1" customWidth="1"/>
    <col min="4631" max="4631" width="10.42578125" style="45" bestFit="1" customWidth="1"/>
    <col min="4632" max="4865" width="9.140625" style="45"/>
    <col min="4866" max="4866" width="8.7109375" style="45" customWidth="1"/>
    <col min="4867" max="4867" width="17" style="45" customWidth="1"/>
    <col min="4868" max="4868" width="14.42578125" style="45" customWidth="1"/>
    <col min="4869" max="4869" width="10.28515625" style="45" customWidth="1"/>
    <col min="4870" max="4880" width="8.7109375" style="45" customWidth="1"/>
    <col min="4881" max="4881" width="9.7109375" style="45" customWidth="1"/>
    <col min="4882" max="4882" width="8.42578125" style="45" customWidth="1"/>
    <col min="4883" max="4883" width="9.140625" style="45"/>
    <col min="4884" max="4884" width="10.7109375" style="45" customWidth="1"/>
    <col min="4885" max="4885" width="5.28515625" style="45" customWidth="1"/>
    <col min="4886" max="4886" width="15.42578125" style="45" bestFit="1" customWidth="1"/>
    <col min="4887" max="4887" width="10.42578125" style="45" bestFit="1" customWidth="1"/>
    <col min="4888" max="5121" width="9.140625" style="45"/>
    <col min="5122" max="5122" width="8.7109375" style="45" customWidth="1"/>
    <col min="5123" max="5123" width="17" style="45" customWidth="1"/>
    <col min="5124" max="5124" width="14.42578125" style="45" customWidth="1"/>
    <col min="5125" max="5125" width="10.28515625" style="45" customWidth="1"/>
    <col min="5126" max="5136" width="8.7109375" style="45" customWidth="1"/>
    <col min="5137" max="5137" width="9.7109375" style="45" customWidth="1"/>
    <col min="5138" max="5138" width="8.42578125" style="45" customWidth="1"/>
    <col min="5139" max="5139" width="9.140625" style="45"/>
    <col min="5140" max="5140" width="10.7109375" style="45" customWidth="1"/>
    <col min="5141" max="5141" width="5.28515625" style="45" customWidth="1"/>
    <col min="5142" max="5142" width="15.42578125" style="45" bestFit="1" customWidth="1"/>
    <col min="5143" max="5143" width="10.42578125" style="45" bestFit="1" customWidth="1"/>
    <col min="5144" max="5377" width="9.140625" style="45"/>
    <col min="5378" max="5378" width="8.7109375" style="45" customWidth="1"/>
    <col min="5379" max="5379" width="17" style="45" customWidth="1"/>
    <col min="5380" max="5380" width="14.42578125" style="45" customWidth="1"/>
    <col min="5381" max="5381" width="10.28515625" style="45" customWidth="1"/>
    <col min="5382" max="5392" width="8.7109375" style="45" customWidth="1"/>
    <col min="5393" max="5393" width="9.7109375" style="45" customWidth="1"/>
    <col min="5394" max="5394" width="8.42578125" style="45" customWidth="1"/>
    <col min="5395" max="5395" width="9.140625" style="45"/>
    <col min="5396" max="5396" width="10.7109375" style="45" customWidth="1"/>
    <col min="5397" max="5397" width="5.28515625" style="45" customWidth="1"/>
    <col min="5398" max="5398" width="15.42578125" style="45" bestFit="1" customWidth="1"/>
    <col min="5399" max="5399" width="10.42578125" style="45" bestFit="1" customWidth="1"/>
    <col min="5400" max="5633" width="9.140625" style="45"/>
    <col min="5634" max="5634" width="8.7109375" style="45" customWidth="1"/>
    <col min="5635" max="5635" width="17" style="45" customWidth="1"/>
    <col min="5636" max="5636" width="14.42578125" style="45" customWidth="1"/>
    <col min="5637" max="5637" width="10.28515625" style="45" customWidth="1"/>
    <col min="5638" max="5648" width="8.7109375" style="45" customWidth="1"/>
    <col min="5649" max="5649" width="9.7109375" style="45" customWidth="1"/>
    <col min="5650" max="5650" width="8.42578125" style="45" customWidth="1"/>
    <col min="5651" max="5651" width="9.140625" style="45"/>
    <col min="5652" max="5652" width="10.7109375" style="45" customWidth="1"/>
    <col min="5653" max="5653" width="5.28515625" style="45" customWidth="1"/>
    <col min="5654" max="5654" width="15.42578125" style="45" bestFit="1" customWidth="1"/>
    <col min="5655" max="5655" width="10.42578125" style="45" bestFit="1" customWidth="1"/>
    <col min="5656" max="5889" width="9.140625" style="45"/>
    <col min="5890" max="5890" width="8.7109375" style="45" customWidth="1"/>
    <col min="5891" max="5891" width="17" style="45" customWidth="1"/>
    <col min="5892" max="5892" width="14.42578125" style="45" customWidth="1"/>
    <col min="5893" max="5893" width="10.28515625" style="45" customWidth="1"/>
    <col min="5894" max="5904" width="8.7109375" style="45" customWidth="1"/>
    <col min="5905" max="5905" width="9.7109375" style="45" customWidth="1"/>
    <col min="5906" max="5906" width="8.42578125" style="45" customWidth="1"/>
    <col min="5907" max="5907" width="9.140625" style="45"/>
    <col min="5908" max="5908" width="10.7109375" style="45" customWidth="1"/>
    <col min="5909" max="5909" width="5.28515625" style="45" customWidth="1"/>
    <col min="5910" max="5910" width="15.42578125" style="45" bestFit="1" customWidth="1"/>
    <col min="5911" max="5911" width="10.42578125" style="45" bestFit="1" customWidth="1"/>
    <col min="5912" max="6145" width="9.140625" style="45"/>
    <col min="6146" max="6146" width="8.7109375" style="45" customWidth="1"/>
    <col min="6147" max="6147" width="17" style="45" customWidth="1"/>
    <col min="6148" max="6148" width="14.42578125" style="45" customWidth="1"/>
    <col min="6149" max="6149" width="10.28515625" style="45" customWidth="1"/>
    <col min="6150" max="6160" width="8.7109375" style="45" customWidth="1"/>
    <col min="6161" max="6161" width="9.7109375" style="45" customWidth="1"/>
    <col min="6162" max="6162" width="8.42578125" style="45" customWidth="1"/>
    <col min="6163" max="6163" width="9.140625" style="45"/>
    <col min="6164" max="6164" width="10.7109375" style="45" customWidth="1"/>
    <col min="6165" max="6165" width="5.28515625" style="45" customWidth="1"/>
    <col min="6166" max="6166" width="15.42578125" style="45" bestFit="1" customWidth="1"/>
    <col min="6167" max="6167" width="10.42578125" style="45" bestFit="1" customWidth="1"/>
    <col min="6168" max="6401" width="9.140625" style="45"/>
    <col min="6402" max="6402" width="8.7109375" style="45" customWidth="1"/>
    <col min="6403" max="6403" width="17" style="45" customWidth="1"/>
    <col min="6404" max="6404" width="14.42578125" style="45" customWidth="1"/>
    <col min="6405" max="6405" width="10.28515625" style="45" customWidth="1"/>
    <col min="6406" max="6416" width="8.7109375" style="45" customWidth="1"/>
    <col min="6417" max="6417" width="9.7109375" style="45" customWidth="1"/>
    <col min="6418" max="6418" width="8.42578125" style="45" customWidth="1"/>
    <col min="6419" max="6419" width="9.140625" style="45"/>
    <col min="6420" max="6420" width="10.7109375" style="45" customWidth="1"/>
    <col min="6421" max="6421" width="5.28515625" style="45" customWidth="1"/>
    <col min="6422" max="6422" width="15.42578125" style="45" bestFit="1" customWidth="1"/>
    <col min="6423" max="6423" width="10.42578125" style="45" bestFit="1" customWidth="1"/>
    <col min="6424" max="6657" width="9.140625" style="45"/>
    <col min="6658" max="6658" width="8.7109375" style="45" customWidth="1"/>
    <col min="6659" max="6659" width="17" style="45" customWidth="1"/>
    <col min="6660" max="6660" width="14.42578125" style="45" customWidth="1"/>
    <col min="6661" max="6661" width="10.28515625" style="45" customWidth="1"/>
    <col min="6662" max="6672" width="8.7109375" style="45" customWidth="1"/>
    <col min="6673" max="6673" width="9.7109375" style="45" customWidth="1"/>
    <col min="6674" max="6674" width="8.42578125" style="45" customWidth="1"/>
    <col min="6675" max="6675" width="9.140625" style="45"/>
    <col min="6676" max="6676" width="10.7109375" style="45" customWidth="1"/>
    <col min="6677" max="6677" width="5.28515625" style="45" customWidth="1"/>
    <col min="6678" max="6678" width="15.42578125" style="45" bestFit="1" customWidth="1"/>
    <col min="6679" max="6679" width="10.42578125" style="45" bestFit="1" customWidth="1"/>
    <col min="6680" max="6913" width="9.140625" style="45"/>
    <col min="6914" max="6914" width="8.7109375" style="45" customWidth="1"/>
    <col min="6915" max="6915" width="17" style="45" customWidth="1"/>
    <col min="6916" max="6916" width="14.42578125" style="45" customWidth="1"/>
    <col min="6917" max="6917" width="10.28515625" style="45" customWidth="1"/>
    <col min="6918" max="6928" width="8.7109375" style="45" customWidth="1"/>
    <col min="6929" max="6929" width="9.7109375" style="45" customWidth="1"/>
    <col min="6930" max="6930" width="8.42578125" style="45" customWidth="1"/>
    <col min="6931" max="6931" width="9.140625" style="45"/>
    <col min="6932" max="6932" width="10.7109375" style="45" customWidth="1"/>
    <col min="6933" max="6933" width="5.28515625" style="45" customWidth="1"/>
    <col min="6934" max="6934" width="15.42578125" style="45" bestFit="1" customWidth="1"/>
    <col min="6935" max="6935" width="10.42578125" style="45" bestFit="1" customWidth="1"/>
    <col min="6936" max="7169" width="9.140625" style="45"/>
    <col min="7170" max="7170" width="8.7109375" style="45" customWidth="1"/>
    <col min="7171" max="7171" width="17" style="45" customWidth="1"/>
    <col min="7172" max="7172" width="14.42578125" style="45" customWidth="1"/>
    <col min="7173" max="7173" width="10.28515625" style="45" customWidth="1"/>
    <col min="7174" max="7184" width="8.7109375" style="45" customWidth="1"/>
    <col min="7185" max="7185" width="9.7109375" style="45" customWidth="1"/>
    <col min="7186" max="7186" width="8.42578125" style="45" customWidth="1"/>
    <col min="7187" max="7187" width="9.140625" style="45"/>
    <col min="7188" max="7188" width="10.7109375" style="45" customWidth="1"/>
    <col min="7189" max="7189" width="5.28515625" style="45" customWidth="1"/>
    <col min="7190" max="7190" width="15.42578125" style="45" bestFit="1" customWidth="1"/>
    <col min="7191" max="7191" width="10.42578125" style="45" bestFit="1" customWidth="1"/>
    <col min="7192" max="7425" width="9.140625" style="45"/>
    <col min="7426" max="7426" width="8.7109375" style="45" customWidth="1"/>
    <col min="7427" max="7427" width="17" style="45" customWidth="1"/>
    <col min="7428" max="7428" width="14.42578125" style="45" customWidth="1"/>
    <col min="7429" max="7429" width="10.28515625" style="45" customWidth="1"/>
    <col min="7430" max="7440" width="8.7109375" style="45" customWidth="1"/>
    <col min="7441" max="7441" width="9.7109375" style="45" customWidth="1"/>
    <col min="7442" max="7442" width="8.42578125" style="45" customWidth="1"/>
    <col min="7443" max="7443" width="9.140625" style="45"/>
    <col min="7444" max="7444" width="10.7109375" style="45" customWidth="1"/>
    <col min="7445" max="7445" width="5.28515625" style="45" customWidth="1"/>
    <col min="7446" max="7446" width="15.42578125" style="45" bestFit="1" customWidth="1"/>
    <col min="7447" max="7447" width="10.42578125" style="45" bestFit="1" customWidth="1"/>
    <col min="7448" max="7681" width="9.140625" style="45"/>
    <col min="7682" max="7682" width="8.7109375" style="45" customWidth="1"/>
    <col min="7683" max="7683" width="17" style="45" customWidth="1"/>
    <col min="7684" max="7684" width="14.42578125" style="45" customWidth="1"/>
    <col min="7685" max="7685" width="10.28515625" style="45" customWidth="1"/>
    <col min="7686" max="7696" width="8.7109375" style="45" customWidth="1"/>
    <col min="7697" max="7697" width="9.7109375" style="45" customWidth="1"/>
    <col min="7698" max="7698" width="8.42578125" style="45" customWidth="1"/>
    <col min="7699" max="7699" width="9.140625" style="45"/>
    <col min="7700" max="7700" width="10.7109375" style="45" customWidth="1"/>
    <col min="7701" max="7701" width="5.28515625" style="45" customWidth="1"/>
    <col min="7702" max="7702" width="15.42578125" style="45" bestFit="1" customWidth="1"/>
    <col min="7703" max="7703" width="10.42578125" style="45" bestFit="1" customWidth="1"/>
    <col min="7704" max="7937" width="9.140625" style="45"/>
    <col min="7938" max="7938" width="8.7109375" style="45" customWidth="1"/>
    <col min="7939" max="7939" width="17" style="45" customWidth="1"/>
    <col min="7940" max="7940" width="14.42578125" style="45" customWidth="1"/>
    <col min="7941" max="7941" width="10.28515625" style="45" customWidth="1"/>
    <col min="7942" max="7952" width="8.7109375" style="45" customWidth="1"/>
    <col min="7953" max="7953" width="9.7109375" style="45" customWidth="1"/>
    <col min="7954" max="7954" width="8.42578125" style="45" customWidth="1"/>
    <col min="7955" max="7955" width="9.140625" style="45"/>
    <col min="7956" max="7956" width="10.7109375" style="45" customWidth="1"/>
    <col min="7957" max="7957" width="5.28515625" style="45" customWidth="1"/>
    <col min="7958" max="7958" width="15.42578125" style="45" bestFit="1" customWidth="1"/>
    <col min="7959" max="7959" width="10.42578125" style="45" bestFit="1" customWidth="1"/>
    <col min="7960" max="8193" width="9.140625" style="45"/>
    <col min="8194" max="8194" width="8.7109375" style="45" customWidth="1"/>
    <col min="8195" max="8195" width="17" style="45" customWidth="1"/>
    <col min="8196" max="8196" width="14.42578125" style="45" customWidth="1"/>
    <col min="8197" max="8197" width="10.28515625" style="45" customWidth="1"/>
    <col min="8198" max="8208" width="8.7109375" style="45" customWidth="1"/>
    <col min="8209" max="8209" width="9.7109375" style="45" customWidth="1"/>
    <col min="8210" max="8210" width="8.42578125" style="45" customWidth="1"/>
    <col min="8211" max="8211" width="9.140625" style="45"/>
    <col min="8212" max="8212" width="10.7109375" style="45" customWidth="1"/>
    <col min="8213" max="8213" width="5.28515625" style="45" customWidth="1"/>
    <col min="8214" max="8214" width="15.42578125" style="45" bestFit="1" customWidth="1"/>
    <col min="8215" max="8215" width="10.42578125" style="45" bestFit="1" customWidth="1"/>
    <col min="8216" max="8449" width="9.140625" style="45"/>
    <col min="8450" max="8450" width="8.7109375" style="45" customWidth="1"/>
    <col min="8451" max="8451" width="17" style="45" customWidth="1"/>
    <col min="8452" max="8452" width="14.42578125" style="45" customWidth="1"/>
    <col min="8453" max="8453" width="10.28515625" style="45" customWidth="1"/>
    <col min="8454" max="8464" width="8.7109375" style="45" customWidth="1"/>
    <col min="8465" max="8465" width="9.7109375" style="45" customWidth="1"/>
    <col min="8466" max="8466" width="8.42578125" style="45" customWidth="1"/>
    <col min="8467" max="8467" width="9.140625" style="45"/>
    <col min="8468" max="8468" width="10.7109375" style="45" customWidth="1"/>
    <col min="8469" max="8469" width="5.28515625" style="45" customWidth="1"/>
    <col min="8470" max="8470" width="15.42578125" style="45" bestFit="1" customWidth="1"/>
    <col min="8471" max="8471" width="10.42578125" style="45" bestFit="1" customWidth="1"/>
    <col min="8472" max="8705" width="9.140625" style="45"/>
    <col min="8706" max="8706" width="8.7109375" style="45" customWidth="1"/>
    <col min="8707" max="8707" width="17" style="45" customWidth="1"/>
    <col min="8708" max="8708" width="14.42578125" style="45" customWidth="1"/>
    <col min="8709" max="8709" width="10.28515625" style="45" customWidth="1"/>
    <col min="8710" max="8720" width="8.7109375" style="45" customWidth="1"/>
    <col min="8721" max="8721" width="9.7109375" style="45" customWidth="1"/>
    <col min="8722" max="8722" width="8.42578125" style="45" customWidth="1"/>
    <col min="8723" max="8723" width="9.140625" style="45"/>
    <col min="8724" max="8724" width="10.7109375" style="45" customWidth="1"/>
    <col min="8725" max="8725" width="5.28515625" style="45" customWidth="1"/>
    <col min="8726" max="8726" width="15.42578125" style="45" bestFit="1" customWidth="1"/>
    <col min="8727" max="8727" width="10.42578125" style="45" bestFit="1" customWidth="1"/>
    <col min="8728" max="8961" width="9.140625" style="45"/>
    <col min="8962" max="8962" width="8.7109375" style="45" customWidth="1"/>
    <col min="8963" max="8963" width="17" style="45" customWidth="1"/>
    <col min="8964" max="8964" width="14.42578125" style="45" customWidth="1"/>
    <col min="8965" max="8965" width="10.28515625" style="45" customWidth="1"/>
    <col min="8966" max="8976" width="8.7109375" style="45" customWidth="1"/>
    <col min="8977" max="8977" width="9.7109375" style="45" customWidth="1"/>
    <col min="8978" max="8978" width="8.42578125" style="45" customWidth="1"/>
    <col min="8979" max="8979" width="9.140625" style="45"/>
    <col min="8980" max="8980" width="10.7109375" style="45" customWidth="1"/>
    <col min="8981" max="8981" width="5.28515625" style="45" customWidth="1"/>
    <col min="8982" max="8982" width="15.42578125" style="45" bestFit="1" customWidth="1"/>
    <col min="8983" max="8983" width="10.42578125" style="45" bestFit="1" customWidth="1"/>
    <col min="8984" max="9217" width="9.140625" style="45"/>
    <col min="9218" max="9218" width="8.7109375" style="45" customWidth="1"/>
    <col min="9219" max="9219" width="17" style="45" customWidth="1"/>
    <col min="9220" max="9220" width="14.42578125" style="45" customWidth="1"/>
    <col min="9221" max="9221" width="10.28515625" style="45" customWidth="1"/>
    <col min="9222" max="9232" width="8.7109375" style="45" customWidth="1"/>
    <col min="9233" max="9233" width="9.7109375" style="45" customWidth="1"/>
    <col min="9234" max="9234" width="8.42578125" style="45" customWidth="1"/>
    <col min="9235" max="9235" width="9.140625" style="45"/>
    <col min="9236" max="9236" width="10.7109375" style="45" customWidth="1"/>
    <col min="9237" max="9237" width="5.28515625" style="45" customWidth="1"/>
    <col min="9238" max="9238" width="15.42578125" style="45" bestFit="1" customWidth="1"/>
    <col min="9239" max="9239" width="10.42578125" style="45" bestFit="1" customWidth="1"/>
    <col min="9240" max="9473" width="9.140625" style="45"/>
    <col min="9474" max="9474" width="8.7109375" style="45" customWidth="1"/>
    <col min="9475" max="9475" width="17" style="45" customWidth="1"/>
    <col min="9476" max="9476" width="14.42578125" style="45" customWidth="1"/>
    <col min="9477" max="9477" width="10.28515625" style="45" customWidth="1"/>
    <col min="9478" max="9488" width="8.7109375" style="45" customWidth="1"/>
    <col min="9489" max="9489" width="9.7109375" style="45" customWidth="1"/>
    <col min="9490" max="9490" width="8.42578125" style="45" customWidth="1"/>
    <col min="9491" max="9491" width="9.140625" style="45"/>
    <col min="9492" max="9492" width="10.7109375" style="45" customWidth="1"/>
    <col min="9493" max="9493" width="5.28515625" style="45" customWidth="1"/>
    <col min="9494" max="9494" width="15.42578125" style="45" bestFit="1" customWidth="1"/>
    <col min="9495" max="9495" width="10.42578125" style="45" bestFit="1" customWidth="1"/>
    <col min="9496" max="9729" width="9.140625" style="45"/>
    <col min="9730" max="9730" width="8.7109375" style="45" customWidth="1"/>
    <col min="9731" max="9731" width="17" style="45" customWidth="1"/>
    <col min="9732" max="9732" width="14.42578125" style="45" customWidth="1"/>
    <col min="9733" max="9733" width="10.28515625" style="45" customWidth="1"/>
    <col min="9734" max="9744" width="8.7109375" style="45" customWidth="1"/>
    <col min="9745" max="9745" width="9.7109375" style="45" customWidth="1"/>
    <col min="9746" max="9746" width="8.42578125" style="45" customWidth="1"/>
    <col min="9747" max="9747" width="9.140625" style="45"/>
    <col min="9748" max="9748" width="10.7109375" style="45" customWidth="1"/>
    <col min="9749" max="9749" width="5.28515625" style="45" customWidth="1"/>
    <col min="9750" max="9750" width="15.42578125" style="45" bestFit="1" customWidth="1"/>
    <col min="9751" max="9751" width="10.42578125" style="45" bestFit="1" customWidth="1"/>
    <col min="9752" max="9985" width="9.140625" style="45"/>
    <col min="9986" max="9986" width="8.7109375" style="45" customWidth="1"/>
    <col min="9987" max="9987" width="17" style="45" customWidth="1"/>
    <col min="9988" max="9988" width="14.42578125" style="45" customWidth="1"/>
    <col min="9989" max="9989" width="10.28515625" style="45" customWidth="1"/>
    <col min="9990" max="10000" width="8.7109375" style="45" customWidth="1"/>
    <col min="10001" max="10001" width="9.7109375" style="45" customWidth="1"/>
    <col min="10002" max="10002" width="8.42578125" style="45" customWidth="1"/>
    <col min="10003" max="10003" width="9.140625" style="45"/>
    <col min="10004" max="10004" width="10.7109375" style="45" customWidth="1"/>
    <col min="10005" max="10005" width="5.28515625" style="45" customWidth="1"/>
    <col min="10006" max="10006" width="15.42578125" style="45" bestFit="1" customWidth="1"/>
    <col min="10007" max="10007" width="10.42578125" style="45" bestFit="1" customWidth="1"/>
    <col min="10008" max="10241" width="9.140625" style="45"/>
    <col min="10242" max="10242" width="8.7109375" style="45" customWidth="1"/>
    <col min="10243" max="10243" width="17" style="45" customWidth="1"/>
    <col min="10244" max="10244" width="14.42578125" style="45" customWidth="1"/>
    <col min="10245" max="10245" width="10.28515625" style="45" customWidth="1"/>
    <col min="10246" max="10256" width="8.7109375" style="45" customWidth="1"/>
    <col min="10257" max="10257" width="9.7109375" style="45" customWidth="1"/>
    <col min="10258" max="10258" width="8.42578125" style="45" customWidth="1"/>
    <col min="10259" max="10259" width="9.140625" style="45"/>
    <col min="10260" max="10260" width="10.7109375" style="45" customWidth="1"/>
    <col min="10261" max="10261" width="5.28515625" style="45" customWidth="1"/>
    <col min="10262" max="10262" width="15.42578125" style="45" bestFit="1" customWidth="1"/>
    <col min="10263" max="10263" width="10.42578125" style="45" bestFit="1" customWidth="1"/>
    <col min="10264" max="10497" width="9.140625" style="45"/>
    <col min="10498" max="10498" width="8.7109375" style="45" customWidth="1"/>
    <col min="10499" max="10499" width="17" style="45" customWidth="1"/>
    <col min="10500" max="10500" width="14.42578125" style="45" customWidth="1"/>
    <col min="10501" max="10501" width="10.28515625" style="45" customWidth="1"/>
    <col min="10502" max="10512" width="8.7109375" style="45" customWidth="1"/>
    <col min="10513" max="10513" width="9.7109375" style="45" customWidth="1"/>
    <col min="10514" max="10514" width="8.42578125" style="45" customWidth="1"/>
    <col min="10515" max="10515" width="9.140625" style="45"/>
    <col min="10516" max="10516" width="10.7109375" style="45" customWidth="1"/>
    <col min="10517" max="10517" width="5.28515625" style="45" customWidth="1"/>
    <col min="10518" max="10518" width="15.42578125" style="45" bestFit="1" customWidth="1"/>
    <col min="10519" max="10519" width="10.42578125" style="45" bestFit="1" customWidth="1"/>
    <col min="10520" max="10753" width="9.140625" style="45"/>
    <col min="10754" max="10754" width="8.7109375" style="45" customWidth="1"/>
    <col min="10755" max="10755" width="17" style="45" customWidth="1"/>
    <col min="10756" max="10756" width="14.42578125" style="45" customWidth="1"/>
    <col min="10757" max="10757" width="10.28515625" style="45" customWidth="1"/>
    <col min="10758" max="10768" width="8.7109375" style="45" customWidth="1"/>
    <col min="10769" max="10769" width="9.7109375" style="45" customWidth="1"/>
    <col min="10770" max="10770" width="8.42578125" style="45" customWidth="1"/>
    <col min="10771" max="10771" width="9.140625" style="45"/>
    <col min="10772" max="10772" width="10.7109375" style="45" customWidth="1"/>
    <col min="10773" max="10773" width="5.28515625" style="45" customWidth="1"/>
    <col min="10774" max="10774" width="15.42578125" style="45" bestFit="1" customWidth="1"/>
    <col min="10775" max="10775" width="10.42578125" style="45" bestFit="1" customWidth="1"/>
    <col min="10776" max="11009" width="9.140625" style="45"/>
    <col min="11010" max="11010" width="8.7109375" style="45" customWidth="1"/>
    <col min="11011" max="11011" width="17" style="45" customWidth="1"/>
    <col min="11012" max="11012" width="14.42578125" style="45" customWidth="1"/>
    <col min="11013" max="11013" width="10.28515625" style="45" customWidth="1"/>
    <col min="11014" max="11024" width="8.7109375" style="45" customWidth="1"/>
    <col min="11025" max="11025" width="9.7109375" style="45" customWidth="1"/>
    <col min="11026" max="11026" width="8.42578125" style="45" customWidth="1"/>
    <col min="11027" max="11027" width="9.140625" style="45"/>
    <col min="11028" max="11028" width="10.7109375" style="45" customWidth="1"/>
    <col min="11029" max="11029" width="5.28515625" style="45" customWidth="1"/>
    <col min="11030" max="11030" width="15.42578125" style="45" bestFit="1" customWidth="1"/>
    <col min="11031" max="11031" width="10.42578125" style="45" bestFit="1" customWidth="1"/>
    <col min="11032" max="11265" width="9.140625" style="45"/>
    <col min="11266" max="11266" width="8.7109375" style="45" customWidth="1"/>
    <col min="11267" max="11267" width="17" style="45" customWidth="1"/>
    <col min="11268" max="11268" width="14.42578125" style="45" customWidth="1"/>
    <col min="11269" max="11269" width="10.28515625" style="45" customWidth="1"/>
    <col min="11270" max="11280" width="8.7109375" style="45" customWidth="1"/>
    <col min="11281" max="11281" width="9.7109375" style="45" customWidth="1"/>
    <col min="11282" max="11282" width="8.42578125" style="45" customWidth="1"/>
    <col min="11283" max="11283" width="9.140625" style="45"/>
    <col min="11284" max="11284" width="10.7109375" style="45" customWidth="1"/>
    <col min="11285" max="11285" width="5.28515625" style="45" customWidth="1"/>
    <col min="11286" max="11286" width="15.42578125" style="45" bestFit="1" customWidth="1"/>
    <col min="11287" max="11287" width="10.42578125" style="45" bestFit="1" customWidth="1"/>
    <col min="11288" max="11521" width="9.140625" style="45"/>
    <col min="11522" max="11522" width="8.7109375" style="45" customWidth="1"/>
    <col min="11523" max="11523" width="17" style="45" customWidth="1"/>
    <col min="11524" max="11524" width="14.42578125" style="45" customWidth="1"/>
    <col min="11525" max="11525" width="10.28515625" style="45" customWidth="1"/>
    <col min="11526" max="11536" width="8.7109375" style="45" customWidth="1"/>
    <col min="11537" max="11537" width="9.7109375" style="45" customWidth="1"/>
    <col min="11538" max="11538" width="8.42578125" style="45" customWidth="1"/>
    <col min="11539" max="11539" width="9.140625" style="45"/>
    <col min="11540" max="11540" width="10.7109375" style="45" customWidth="1"/>
    <col min="11541" max="11541" width="5.28515625" style="45" customWidth="1"/>
    <col min="11542" max="11542" width="15.42578125" style="45" bestFit="1" customWidth="1"/>
    <col min="11543" max="11543" width="10.42578125" style="45" bestFit="1" customWidth="1"/>
    <col min="11544" max="11777" width="9.140625" style="45"/>
    <col min="11778" max="11778" width="8.7109375" style="45" customWidth="1"/>
    <col min="11779" max="11779" width="17" style="45" customWidth="1"/>
    <col min="11780" max="11780" width="14.42578125" style="45" customWidth="1"/>
    <col min="11781" max="11781" width="10.28515625" style="45" customWidth="1"/>
    <col min="11782" max="11792" width="8.7109375" style="45" customWidth="1"/>
    <col min="11793" max="11793" width="9.7109375" style="45" customWidth="1"/>
    <col min="11794" max="11794" width="8.42578125" style="45" customWidth="1"/>
    <col min="11795" max="11795" width="9.140625" style="45"/>
    <col min="11796" max="11796" width="10.7109375" style="45" customWidth="1"/>
    <col min="11797" max="11797" width="5.28515625" style="45" customWidth="1"/>
    <col min="11798" max="11798" width="15.42578125" style="45" bestFit="1" customWidth="1"/>
    <col min="11799" max="11799" width="10.42578125" style="45" bestFit="1" customWidth="1"/>
    <col min="11800" max="12033" width="9.140625" style="45"/>
    <col min="12034" max="12034" width="8.7109375" style="45" customWidth="1"/>
    <col min="12035" max="12035" width="17" style="45" customWidth="1"/>
    <col min="12036" max="12036" width="14.42578125" style="45" customWidth="1"/>
    <col min="12037" max="12037" width="10.28515625" style="45" customWidth="1"/>
    <col min="12038" max="12048" width="8.7109375" style="45" customWidth="1"/>
    <col min="12049" max="12049" width="9.7109375" style="45" customWidth="1"/>
    <col min="12050" max="12050" width="8.42578125" style="45" customWidth="1"/>
    <col min="12051" max="12051" width="9.140625" style="45"/>
    <col min="12052" max="12052" width="10.7109375" style="45" customWidth="1"/>
    <col min="12053" max="12053" width="5.28515625" style="45" customWidth="1"/>
    <col min="12054" max="12054" width="15.42578125" style="45" bestFit="1" customWidth="1"/>
    <col min="12055" max="12055" width="10.42578125" style="45" bestFit="1" customWidth="1"/>
    <col min="12056" max="12289" width="9.140625" style="45"/>
    <col min="12290" max="12290" width="8.7109375" style="45" customWidth="1"/>
    <col min="12291" max="12291" width="17" style="45" customWidth="1"/>
    <col min="12292" max="12292" width="14.42578125" style="45" customWidth="1"/>
    <col min="12293" max="12293" width="10.28515625" style="45" customWidth="1"/>
    <col min="12294" max="12304" width="8.7109375" style="45" customWidth="1"/>
    <col min="12305" max="12305" width="9.7109375" style="45" customWidth="1"/>
    <col min="12306" max="12306" width="8.42578125" style="45" customWidth="1"/>
    <col min="12307" max="12307" width="9.140625" style="45"/>
    <col min="12308" max="12308" width="10.7109375" style="45" customWidth="1"/>
    <col min="12309" max="12309" width="5.28515625" style="45" customWidth="1"/>
    <col min="12310" max="12310" width="15.42578125" style="45" bestFit="1" customWidth="1"/>
    <col min="12311" max="12311" width="10.42578125" style="45" bestFit="1" customWidth="1"/>
    <col min="12312" max="12545" width="9.140625" style="45"/>
    <col min="12546" max="12546" width="8.7109375" style="45" customWidth="1"/>
    <col min="12547" max="12547" width="17" style="45" customWidth="1"/>
    <col min="12548" max="12548" width="14.42578125" style="45" customWidth="1"/>
    <col min="12549" max="12549" width="10.28515625" style="45" customWidth="1"/>
    <col min="12550" max="12560" width="8.7109375" style="45" customWidth="1"/>
    <col min="12561" max="12561" width="9.7109375" style="45" customWidth="1"/>
    <col min="12562" max="12562" width="8.42578125" style="45" customWidth="1"/>
    <col min="12563" max="12563" width="9.140625" style="45"/>
    <col min="12564" max="12564" width="10.7109375" style="45" customWidth="1"/>
    <col min="12565" max="12565" width="5.28515625" style="45" customWidth="1"/>
    <col min="12566" max="12566" width="15.42578125" style="45" bestFit="1" customWidth="1"/>
    <col min="12567" max="12567" width="10.42578125" style="45" bestFit="1" customWidth="1"/>
    <col min="12568" max="12801" width="9.140625" style="45"/>
    <col min="12802" max="12802" width="8.7109375" style="45" customWidth="1"/>
    <col min="12803" max="12803" width="17" style="45" customWidth="1"/>
    <col min="12804" max="12804" width="14.42578125" style="45" customWidth="1"/>
    <col min="12805" max="12805" width="10.28515625" style="45" customWidth="1"/>
    <col min="12806" max="12816" width="8.7109375" style="45" customWidth="1"/>
    <col min="12817" max="12817" width="9.7109375" style="45" customWidth="1"/>
    <col min="12818" max="12818" width="8.42578125" style="45" customWidth="1"/>
    <col min="12819" max="12819" width="9.140625" style="45"/>
    <col min="12820" max="12820" width="10.7109375" style="45" customWidth="1"/>
    <col min="12821" max="12821" width="5.28515625" style="45" customWidth="1"/>
    <col min="12822" max="12822" width="15.42578125" style="45" bestFit="1" customWidth="1"/>
    <col min="12823" max="12823" width="10.42578125" style="45" bestFit="1" customWidth="1"/>
    <col min="12824" max="13057" width="9.140625" style="45"/>
    <col min="13058" max="13058" width="8.7109375" style="45" customWidth="1"/>
    <col min="13059" max="13059" width="17" style="45" customWidth="1"/>
    <col min="13060" max="13060" width="14.42578125" style="45" customWidth="1"/>
    <col min="13061" max="13061" width="10.28515625" style="45" customWidth="1"/>
    <col min="13062" max="13072" width="8.7109375" style="45" customWidth="1"/>
    <col min="13073" max="13073" width="9.7109375" style="45" customWidth="1"/>
    <col min="13074" max="13074" width="8.42578125" style="45" customWidth="1"/>
    <col min="13075" max="13075" width="9.140625" style="45"/>
    <col min="13076" max="13076" width="10.7109375" style="45" customWidth="1"/>
    <col min="13077" max="13077" width="5.28515625" style="45" customWidth="1"/>
    <col min="13078" max="13078" width="15.42578125" style="45" bestFit="1" customWidth="1"/>
    <col min="13079" max="13079" width="10.42578125" style="45" bestFit="1" customWidth="1"/>
    <col min="13080" max="13313" width="9.140625" style="45"/>
    <col min="13314" max="13314" width="8.7109375" style="45" customWidth="1"/>
    <col min="13315" max="13315" width="17" style="45" customWidth="1"/>
    <col min="13316" max="13316" width="14.42578125" style="45" customWidth="1"/>
    <col min="13317" max="13317" width="10.28515625" style="45" customWidth="1"/>
    <col min="13318" max="13328" width="8.7109375" style="45" customWidth="1"/>
    <col min="13329" max="13329" width="9.7109375" style="45" customWidth="1"/>
    <col min="13330" max="13330" width="8.42578125" style="45" customWidth="1"/>
    <col min="13331" max="13331" width="9.140625" style="45"/>
    <col min="13332" max="13332" width="10.7109375" style="45" customWidth="1"/>
    <col min="13333" max="13333" width="5.28515625" style="45" customWidth="1"/>
    <col min="13334" max="13334" width="15.42578125" style="45" bestFit="1" customWidth="1"/>
    <col min="13335" max="13335" width="10.42578125" style="45" bestFit="1" customWidth="1"/>
    <col min="13336" max="13569" width="9.140625" style="45"/>
    <col min="13570" max="13570" width="8.7109375" style="45" customWidth="1"/>
    <col min="13571" max="13571" width="17" style="45" customWidth="1"/>
    <col min="13572" max="13572" width="14.42578125" style="45" customWidth="1"/>
    <col min="13573" max="13573" width="10.28515625" style="45" customWidth="1"/>
    <col min="13574" max="13584" width="8.7109375" style="45" customWidth="1"/>
    <col min="13585" max="13585" width="9.7109375" style="45" customWidth="1"/>
    <col min="13586" max="13586" width="8.42578125" style="45" customWidth="1"/>
    <col min="13587" max="13587" width="9.140625" style="45"/>
    <col min="13588" max="13588" width="10.7109375" style="45" customWidth="1"/>
    <col min="13589" max="13589" width="5.28515625" style="45" customWidth="1"/>
    <col min="13590" max="13590" width="15.42578125" style="45" bestFit="1" customWidth="1"/>
    <col min="13591" max="13591" width="10.42578125" style="45" bestFit="1" customWidth="1"/>
    <col min="13592" max="13825" width="9.140625" style="45"/>
    <col min="13826" max="13826" width="8.7109375" style="45" customWidth="1"/>
    <col min="13827" max="13827" width="17" style="45" customWidth="1"/>
    <col min="13828" max="13828" width="14.42578125" style="45" customWidth="1"/>
    <col min="13829" max="13829" width="10.28515625" style="45" customWidth="1"/>
    <col min="13830" max="13840" width="8.7109375" style="45" customWidth="1"/>
    <col min="13841" max="13841" width="9.7109375" style="45" customWidth="1"/>
    <col min="13842" max="13842" width="8.42578125" style="45" customWidth="1"/>
    <col min="13843" max="13843" width="9.140625" style="45"/>
    <col min="13844" max="13844" width="10.7109375" style="45" customWidth="1"/>
    <col min="13845" max="13845" width="5.28515625" style="45" customWidth="1"/>
    <col min="13846" max="13846" width="15.42578125" style="45" bestFit="1" customWidth="1"/>
    <col min="13847" max="13847" width="10.42578125" style="45" bestFit="1" customWidth="1"/>
    <col min="13848" max="14081" width="9.140625" style="45"/>
    <col min="14082" max="14082" width="8.7109375" style="45" customWidth="1"/>
    <col min="14083" max="14083" width="17" style="45" customWidth="1"/>
    <col min="14084" max="14084" width="14.42578125" style="45" customWidth="1"/>
    <col min="14085" max="14085" width="10.28515625" style="45" customWidth="1"/>
    <col min="14086" max="14096" width="8.7109375" style="45" customWidth="1"/>
    <col min="14097" max="14097" width="9.7109375" style="45" customWidth="1"/>
    <col min="14098" max="14098" width="8.42578125" style="45" customWidth="1"/>
    <col min="14099" max="14099" width="9.140625" style="45"/>
    <col min="14100" max="14100" width="10.7109375" style="45" customWidth="1"/>
    <col min="14101" max="14101" width="5.28515625" style="45" customWidth="1"/>
    <col min="14102" max="14102" width="15.42578125" style="45" bestFit="1" customWidth="1"/>
    <col min="14103" max="14103" width="10.42578125" style="45" bestFit="1" customWidth="1"/>
    <col min="14104" max="14337" width="9.140625" style="45"/>
    <col min="14338" max="14338" width="8.7109375" style="45" customWidth="1"/>
    <col min="14339" max="14339" width="17" style="45" customWidth="1"/>
    <col min="14340" max="14340" width="14.42578125" style="45" customWidth="1"/>
    <col min="14341" max="14341" width="10.28515625" style="45" customWidth="1"/>
    <col min="14342" max="14352" width="8.7109375" style="45" customWidth="1"/>
    <col min="14353" max="14353" width="9.7109375" style="45" customWidth="1"/>
    <col min="14354" max="14354" width="8.42578125" style="45" customWidth="1"/>
    <col min="14355" max="14355" width="9.140625" style="45"/>
    <col min="14356" max="14356" width="10.7109375" style="45" customWidth="1"/>
    <col min="14357" max="14357" width="5.28515625" style="45" customWidth="1"/>
    <col min="14358" max="14358" width="15.42578125" style="45" bestFit="1" customWidth="1"/>
    <col min="14359" max="14359" width="10.42578125" style="45" bestFit="1" customWidth="1"/>
    <col min="14360" max="14593" width="9.140625" style="45"/>
    <col min="14594" max="14594" width="8.7109375" style="45" customWidth="1"/>
    <col min="14595" max="14595" width="17" style="45" customWidth="1"/>
    <col min="14596" max="14596" width="14.42578125" style="45" customWidth="1"/>
    <col min="14597" max="14597" width="10.28515625" style="45" customWidth="1"/>
    <col min="14598" max="14608" width="8.7109375" style="45" customWidth="1"/>
    <col min="14609" max="14609" width="9.7109375" style="45" customWidth="1"/>
    <col min="14610" max="14610" width="8.42578125" style="45" customWidth="1"/>
    <col min="14611" max="14611" width="9.140625" style="45"/>
    <col min="14612" max="14612" width="10.7109375" style="45" customWidth="1"/>
    <col min="14613" max="14613" width="5.28515625" style="45" customWidth="1"/>
    <col min="14614" max="14614" width="15.42578125" style="45" bestFit="1" customWidth="1"/>
    <col min="14615" max="14615" width="10.42578125" style="45" bestFit="1" customWidth="1"/>
    <col min="14616" max="14849" width="9.140625" style="45"/>
    <col min="14850" max="14850" width="8.7109375" style="45" customWidth="1"/>
    <col min="14851" max="14851" width="17" style="45" customWidth="1"/>
    <col min="14852" max="14852" width="14.42578125" style="45" customWidth="1"/>
    <col min="14853" max="14853" width="10.28515625" style="45" customWidth="1"/>
    <col min="14854" max="14864" width="8.7109375" style="45" customWidth="1"/>
    <col min="14865" max="14865" width="9.7109375" style="45" customWidth="1"/>
    <col min="14866" max="14866" width="8.42578125" style="45" customWidth="1"/>
    <col min="14867" max="14867" width="9.140625" style="45"/>
    <col min="14868" max="14868" width="10.7109375" style="45" customWidth="1"/>
    <col min="14869" max="14869" width="5.28515625" style="45" customWidth="1"/>
    <col min="14870" max="14870" width="15.42578125" style="45" bestFit="1" customWidth="1"/>
    <col min="14871" max="14871" width="10.42578125" style="45" bestFit="1" customWidth="1"/>
    <col min="14872" max="15105" width="9.140625" style="45"/>
    <col min="15106" max="15106" width="8.7109375" style="45" customWidth="1"/>
    <col min="15107" max="15107" width="17" style="45" customWidth="1"/>
    <col min="15108" max="15108" width="14.42578125" style="45" customWidth="1"/>
    <col min="15109" max="15109" width="10.28515625" style="45" customWidth="1"/>
    <col min="15110" max="15120" width="8.7109375" style="45" customWidth="1"/>
    <col min="15121" max="15121" width="9.7109375" style="45" customWidth="1"/>
    <col min="15122" max="15122" width="8.42578125" style="45" customWidth="1"/>
    <col min="15123" max="15123" width="9.140625" style="45"/>
    <col min="15124" max="15124" width="10.7109375" style="45" customWidth="1"/>
    <col min="15125" max="15125" width="5.28515625" style="45" customWidth="1"/>
    <col min="15126" max="15126" width="15.42578125" style="45" bestFit="1" customWidth="1"/>
    <col min="15127" max="15127" width="10.42578125" style="45" bestFit="1" customWidth="1"/>
    <col min="15128" max="15361" width="9.140625" style="45"/>
    <col min="15362" max="15362" width="8.7109375" style="45" customWidth="1"/>
    <col min="15363" max="15363" width="17" style="45" customWidth="1"/>
    <col min="15364" max="15364" width="14.42578125" style="45" customWidth="1"/>
    <col min="15365" max="15365" width="10.28515625" style="45" customWidth="1"/>
    <col min="15366" max="15376" width="8.7109375" style="45" customWidth="1"/>
    <col min="15377" max="15377" width="9.7109375" style="45" customWidth="1"/>
    <col min="15378" max="15378" width="8.42578125" style="45" customWidth="1"/>
    <col min="15379" max="15379" width="9.140625" style="45"/>
    <col min="15380" max="15380" width="10.7109375" style="45" customWidth="1"/>
    <col min="15381" max="15381" width="5.28515625" style="45" customWidth="1"/>
    <col min="15382" max="15382" width="15.42578125" style="45" bestFit="1" customWidth="1"/>
    <col min="15383" max="15383" width="10.42578125" style="45" bestFit="1" customWidth="1"/>
    <col min="15384" max="15617" width="9.140625" style="45"/>
    <col min="15618" max="15618" width="8.7109375" style="45" customWidth="1"/>
    <col min="15619" max="15619" width="17" style="45" customWidth="1"/>
    <col min="15620" max="15620" width="14.42578125" style="45" customWidth="1"/>
    <col min="15621" max="15621" width="10.28515625" style="45" customWidth="1"/>
    <col min="15622" max="15632" width="8.7109375" style="45" customWidth="1"/>
    <col min="15633" max="15633" width="9.7109375" style="45" customWidth="1"/>
    <col min="15634" max="15634" width="8.42578125" style="45" customWidth="1"/>
    <col min="15635" max="15635" width="9.140625" style="45"/>
    <col min="15636" max="15636" width="10.7109375" style="45" customWidth="1"/>
    <col min="15637" max="15637" width="5.28515625" style="45" customWidth="1"/>
    <col min="15638" max="15638" width="15.42578125" style="45" bestFit="1" customWidth="1"/>
    <col min="15639" max="15639" width="10.42578125" style="45" bestFit="1" customWidth="1"/>
    <col min="15640" max="15873" width="9.140625" style="45"/>
    <col min="15874" max="15874" width="8.7109375" style="45" customWidth="1"/>
    <col min="15875" max="15875" width="17" style="45" customWidth="1"/>
    <col min="15876" max="15876" width="14.42578125" style="45" customWidth="1"/>
    <col min="15877" max="15877" width="10.28515625" style="45" customWidth="1"/>
    <col min="15878" max="15888" width="8.7109375" style="45" customWidth="1"/>
    <col min="15889" max="15889" width="9.7109375" style="45" customWidth="1"/>
    <col min="15890" max="15890" width="8.42578125" style="45" customWidth="1"/>
    <col min="15891" max="15891" width="9.140625" style="45"/>
    <col min="15892" max="15892" width="10.7109375" style="45" customWidth="1"/>
    <col min="15893" max="15893" width="5.28515625" style="45" customWidth="1"/>
    <col min="15894" max="15894" width="15.42578125" style="45" bestFit="1" customWidth="1"/>
    <col min="15895" max="15895" width="10.42578125" style="45" bestFit="1" customWidth="1"/>
    <col min="15896" max="16129" width="9.140625" style="45"/>
    <col min="16130" max="16130" width="8.7109375" style="45" customWidth="1"/>
    <col min="16131" max="16131" width="17" style="45" customWidth="1"/>
    <col min="16132" max="16132" width="14.42578125" style="45" customWidth="1"/>
    <col min="16133" max="16133" width="10.28515625" style="45" customWidth="1"/>
    <col min="16134" max="16144" width="8.7109375" style="45" customWidth="1"/>
    <col min="16145" max="16145" width="9.7109375" style="45" customWidth="1"/>
    <col min="16146" max="16146" width="8.42578125" style="45" customWidth="1"/>
    <col min="16147" max="16147" width="9.140625" style="45"/>
    <col min="16148" max="16148" width="10.7109375" style="45" customWidth="1"/>
    <col min="16149" max="16149" width="5.28515625" style="45" customWidth="1"/>
    <col min="16150" max="16150" width="15.42578125" style="45" bestFit="1" customWidth="1"/>
    <col min="16151" max="16151" width="10.42578125" style="45" bestFit="1" customWidth="1"/>
    <col min="16152" max="16384" width="9.140625" style="45"/>
  </cols>
  <sheetData>
    <row r="1" spans="1:30">
      <c r="A1" s="428" t="s">
        <v>0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430"/>
    </row>
    <row r="2" spans="1:30">
      <c r="A2" s="431" t="s">
        <v>52</v>
      </c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3"/>
      <c r="Q2" s="138" t="s">
        <v>95</v>
      </c>
      <c r="R2" s="138"/>
      <c r="S2" s="139"/>
      <c r="T2" s="139"/>
      <c r="U2" s="44"/>
    </row>
    <row r="3" spans="1:30" ht="13.5" thickBot="1">
      <c r="A3" s="38"/>
      <c r="B3" s="39" t="s">
        <v>53</v>
      </c>
      <c r="C3" s="39"/>
      <c r="D3" s="40"/>
      <c r="E3" s="41" t="s">
        <v>378</v>
      </c>
      <c r="F3" s="42" t="s">
        <v>1</v>
      </c>
      <c r="G3" s="43">
        <v>18.600000000000001</v>
      </c>
      <c r="H3" s="44"/>
      <c r="J3" s="46"/>
      <c r="O3" s="47"/>
      <c r="Q3" s="44"/>
      <c r="R3" s="97"/>
      <c r="S3" s="98"/>
      <c r="T3" s="99" t="s">
        <v>217</v>
      </c>
      <c r="U3" s="100">
        <f ca="1">'PERFIL BC11'!C21</f>
        <v>2.8553088313230597</v>
      </c>
      <c r="V3" s="44"/>
      <c r="W3" s="434"/>
      <c r="X3" s="434"/>
      <c r="Y3" s="434"/>
      <c r="Z3" s="44"/>
      <c r="AA3" s="44"/>
      <c r="AB3" s="44"/>
      <c r="AC3" s="44"/>
    </row>
    <row r="4" spans="1:30" ht="14.25" thickTop="1" thickBot="1">
      <c r="A4" s="48"/>
      <c r="B4" s="49" t="s">
        <v>54</v>
      </c>
      <c r="C4" s="50"/>
      <c r="D4" s="49"/>
      <c r="E4" s="51" t="s">
        <v>257</v>
      </c>
      <c r="F4" s="52" t="s">
        <v>343</v>
      </c>
      <c r="G4" s="126"/>
      <c r="H4" s="89"/>
      <c r="I4" s="49"/>
      <c r="J4" s="49"/>
      <c r="K4" s="148" t="s">
        <v>2</v>
      </c>
      <c r="L4" s="149"/>
      <c r="M4" s="149"/>
      <c r="N4" s="149">
        <v>15</v>
      </c>
      <c r="O4" s="171" t="s">
        <v>3</v>
      </c>
      <c r="Q4" s="96"/>
      <c r="R4" s="97"/>
      <c r="S4" s="98"/>
      <c r="T4" s="99" t="s">
        <v>218</v>
      </c>
      <c r="U4" s="100">
        <f ca="1">100*(E8/(E7*1000))</f>
        <v>4.3379967872437799</v>
      </c>
      <c r="V4" s="44"/>
      <c r="W4" s="435"/>
      <c r="X4" s="94"/>
      <c r="Y4" s="44"/>
      <c r="Z4" s="435"/>
      <c r="AA4" s="94"/>
      <c r="AB4" s="44"/>
      <c r="AC4" s="44"/>
    </row>
    <row r="5" spans="1:30" ht="14.25" thickTop="1" thickBot="1">
      <c r="A5" s="48"/>
      <c r="B5" s="39" t="s">
        <v>4</v>
      </c>
      <c r="C5" s="39"/>
      <c r="D5" s="49"/>
      <c r="E5" s="51" t="s">
        <v>347</v>
      </c>
      <c r="F5" s="52"/>
      <c r="G5" s="52"/>
      <c r="H5" s="52"/>
      <c r="I5" s="49"/>
      <c r="J5" s="49"/>
      <c r="K5" s="150" t="s">
        <v>2</v>
      </c>
      <c r="L5" s="151"/>
      <c r="M5" s="151"/>
      <c r="N5" s="151">
        <v>25</v>
      </c>
      <c r="O5" s="172" t="s">
        <v>3</v>
      </c>
      <c r="Q5" s="96"/>
      <c r="R5" s="97"/>
      <c r="S5" s="98"/>
      <c r="T5" s="99"/>
      <c r="U5" s="44"/>
      <c r="V5" s="44"/>
      <c r="W5" s="435"/>
      <c r="X5" s="94"/>
      <c r="Y5" s="44"/>
      <c r="Z5" s="435"/>
      <c r="AA5" s="94"/>
      <c r="AB5" s="44"/>
      <c r="AC5" s="44"/>
    </row>
    <row r="6" spans="1:30" ht="13.5" thickTop="1">
      <c r="A6" s="48"/>
      <c r="B6" s="39" t="s">
        <v>55</v>
      </c>
      <c r="C6" s="39"/>
      <c r="D6" s="49"/>
      <c r="E6" s="43">
        <f ca="1">VLOOKUP(F10,'AUX BACIAS'!$A$2:$D$12,3,0)</f>
        <v>1.4311120339943537</v>
      </c>
      <c r="F6" s="52"/>
      <c r="G6" s="52"/>
      <c r="H6" s="52"/>
      <c r="I6" s="49"/>
      <c r="J6" s="49"/>
      <c r="K6" s="49" t="s">
        <v>2</v>
      </c>
      <c r="L6" s="49"/>
      <c r="M6" s="49"/>
      <c r="N6" s="49">
        <v>50</v>
      </c>
      <c r="O6" s="147" t="s">
        <v>3</v>
      </c>
      <c r="Q6" s="96"/>
      <c r="R6" s="97"/>
      <c r="S6" s="98"/>
      <c r="T6" s="99"/>
      <c r="U6" s="44"/>
      <c r="V6" s="44"/>
      <c r="W6" s="44"/>
      <c r="X6" s="44"/>
      <c r="Y6" s="44"/>
      <c r="Z6" s="44"/>
      <c r="AA6" s="44"/>
      <c r="AB6" s="44"/>
      <c r="AC6" s="44"/>
    </row>
    <row r="7" spans="1:30">
      <c r="A7" s="48"/>
      <c r="B7" s="39" t="s">
        <v>6</v>
      </c>
      <c r="C7" s="39"/>
      <c r="D7" s="49"/>
      <c r="E7" s="43">
        <f ca="1">(VLOOKUP(F10,'AUX BACIAS'!$A$2:$D$12,4,0)/1000)</f>
        <v>1.3600747739946264</v>
      </c>
      <c r="F7" s="52"/>
      <c r="G7" s="52"/>
      <c r="H7" s="52"/>
      <c r="I7" s="49"/>
      <c r="J7" s="49"/>
      <c r="K7" s="49" t="s">
        <v>2</v>
      </c>
      <c r="L7" s="49"/>
      <c r="M7" s="49"/>
      <c r="N7" s="49">
        <v>100</v>
      </c>
      <c r="O7" s="146" t="s">
        <v>3</v>
      </c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30">
      <c r="A8" s="48"/>
      <c r="B8" s="39" t="s">
        <v>7</v>
      </c>
      <c r="C8" s="39"/>
      <c r="D8" s="185"/>
      <c r="E8" s="179">
        <f>(INDEX('PERFIL BC11'!$C:$C,MATCH("C",'PERFIL BC11'!$B:$B,0))-INDEX('PERFIL BC11'!$C:$C,MATCH("E",'PERFIL BC11'!$B:$B,0)))</f>
        <v>59</v>
      </c>
      <c r="F8" s="52"/>
      <c r="G8" s="52"/>
      <c r="H8" s="52"/>
      <c r="I8" s="49"/>
      <c r="J8" s="49"/>
      <c r="K8" s="49" t="s">
        <v>56</v>
      </c>
      <c r="L8" s="49"/>
      <c r="M8" s="49"/>
      <c r="N8" s="50"/>
      <c r="O8" s="53">
        <f>H26</f>
        <v>0.20788000000000001</v>
      </c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</row>
    <row r="9" spans="1:30">
      <c r="A9" s="48"/>
      <c r="B9" s="39" t="s">
        <v>94</v>
      </c>
      <c r="C9" s="39"/>
      <c r="D9" s="49"/>
      <c r="E9" s="54">
        <f ca="1">IF(U3&gt;U4,U4,U3)</f>
        <v>2.8553088313230597</v>
      </c>
      <c r="F9" s="52"/>
      <c r="G9" s="52"/>
      <c r="H9" s="52"/>
      <c r="I9" s="49"/>
      <c r="J9" s="49"/>
      <c r="K9" s="55" t="s">
        <v>5</v>
      </c>
      <c r="L9" s="49"/>
      <c r="M9" s="55"/>
      <c r="N9" s="56"/>
      <c r="O9" s="53">
        <f ca="1">IF(E6&lt;=0.8,0.39*(E7^2/E9)^0.385,0.59*(E7^2/E9)^0.385)</f>
        <v>0.49919349504872629</v>
      </c>
      <c r="Q9" s="100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</row>
    <row r="10" spans="1:30">
      <c r="A10" s="38"/>
      <c r="B10" s="57"/>
      <c r="C10" s="57"/>
      <c r="D10" s="57"/>
      <c r="E10" s="88" t="s">
        <v>98</v>
      </c>
      <c r="F10" s="89" t="str" cm="1">
        <f t="array" aca="1" ref="F10" ca="1">MID(RIGHT(CELL("nome.arquivo",A1),LEN(CELL("nome.arquivo",A1)) - SEARCH("]",CELL("nome.arquivo",A1))),1,4)</f>
        <v>BC11</v>
      </c>
      <c r="G10" s="59"/>
      <c r="H10" s="60"/>
      <c r="I10" s="61"/>
      <c r="K10" s="62"/>
      <c r="M10" s="62"/>
      <c r="N10" s="63"/>
      <c r="O10" s="6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</row>
    <row r="11" spans="1:30">
      <c r="A11" s="38"/>
      <c r="B11" s="39" t="s">
        <v>215</v>
      </c>
      <c r="C11" s="61" t="s">
        <v>206</v>
      </c>
      <c r="D11" s="57"/>
      <c r="E11" s="101"/>
      <c r="F11" s="58"/>
      <c r="G11" s="59"/>
      <c r="H11" s="61"/>
      <c r="I11" s="61"/>
      <c r="O11" s="47"/>
      <c r="Q11" s="44"/>
      <c r="R11" s="44"/>
      <c r="S11" s="44"/>
      <c r="T11" s="44"/>
      <c r="U11" s="44"/>
      <c r="V11" s="44"/>
      <c r="W11" s="94"/>
      <c r="X11" s="94"/>
      <c r="Y11" s="94"/>
      <c r="Z11" s="94"/>
      <c r="AA11" s="94"/>
      <c r="AB11" s="94"/>
      <c r="AC11" s="44"/>
    </row>
    <row r="12" spans="1:30" ht="24" customHeight="1">
      <c r="A12" s="38"/>
      <c r="B12" s="45" t="s">
        <v>205</v>
      </c>
      <c r="C12" s="136" t="s">
        <v>210</v>
      </c>
      <c r="E12" s="44"/>
      <c r="F12" s="44"/>
      <c r="G12" s="44"/>
      <c r="H12" s="44"/>
      <c r="J12" s="427" t="s">
        <v>57</v>
      </c>
      <c r="K12" s="427"/>
      <c r="L12" s="427"/>
      <c r="M12" s="427"/>
      <c r="N12" s="427"/>
      <c r="O12" s="65"/>
      <c r="Q12" s="112" t="s">
        <v>141</v>
      </c>
      <c r="R12" s="44"/>
      <c r="S12" s="44"/>
      <c r="T12" s="44"/>
      <c r="U12" s="44"/>
      <c r="V12" s="44"/>
      <c r="W12" s="94"/>
      <c r="X12" s="94"/>
      <c r="Y12" s="94"/>
      <c r="Z12" s="94"/>
      <c r="AA12" s="94"/>
      <c r="AB12" s="94"/>
      <c r="AC12" s="44"/>
    </row>
    <row r="13" spans="1:30" ht="15" customHeight="1" thickBot="1">
      <c r="A13" s="38"/>
      <c r="B13" s="45" t="s">
        <v>220</v>
      </c>
      <c r="J13" s="66" t="s">
        <v>58</v>
      </c>
      <c r="K13" s="66" t="s">
        <v>59</v>
      </c>
      <c r="L13" s="436" t="s">
        <v>60</v>
      </c>
      <c r="M13" s="437"/>
      <c r="N13" s="66" t="s">
        <v>61</v>
      </c>
      <c r="O13" s="67"/>
      <c r="Q13" s="112" t="str">
        <f ca="1">IF(M21&gt;MAX(Base_Bueiros!$F$2:$F$10),"Não atende em canal 15 anos. Dimensionar para 25 anos",IF(M21&lt;=MAX(Base_Bueiros!$F$2:$F$4),INDEX(Base_Bueiros!$C$2:$C$4,MATCH(_xlfn.MINIFS(Base_Bueiros!$F$2:$F$4,Base_Bueiros!$F$2:$F$4,"&gt;="&amp;M21),Base_Bueiros!$F$2:$F$4,0))&amp;" d="&amp;TEXT(INDEX(Base_Bueiros!$D$2:$D$4,MATCH(_xlfn.MINIFS(Base_Bueiros!$F$2:$F$4,Base_Bueiros!$F$2:$F$4,"&gt;="&amp;M21),Base_Bueiros!$F$2:$F$4,0)),"0,00")&amp;"m",IF(M21&lt;=MAX(Base_Bueiros!$F$5:$F$7),INDEX(Base_Bueiros!$C$5:$C$7,MATCH(_xlfn.MINIFS(Base_Bueiros!$F$5:$F$7,Base_Bueiros!$F$5:$F$7,"&gt;="&amp;M21),Base_Bueiros!$F$5:$F$7,0))&amp;" d="&amp;TEXT(INDEX(Base_Bueiros!$D$5:$D$7,MATCH(_xlfn.MINIFS(Base_Bueiros!$F$5:$F$7,Base_Bueiros!$F$5:$F$7,"&gt;="&amp;M21),Base_Bueiros!$F$5:$F$7,0)),"0,00")&amp;"m",INDEX(Base_Bueiros!$C$8:$C$10,MATCH(_xlfn.MINIFS(Base_Bueiros!$F$8:$F$10,Base_Bueiros!$F$8:$F$10,"&gt;="&amp;M21),Base_Bueiros!$F$8:$F$10,0))&amp;" d="&amp;TEXT(INDEX(Base_Bueiros!$D$8:$D$10,MATCH(_xlfn.MINIFS(Base_Bueiros!$F$8:$F$10,Base_Bueiros!$F$8:$F$10,"&gt;="&amp;M21),Base_Bueiros!$F$8:$F$10,0)),"0,00")&amp;"m")))</f>
        <v>BTTC d= d=1,50m</v>
      </c>
      <c r="R13" s="44"/>
      <c r="S13" s="44">
        <f ca="1">IF(Q13="Não atende em canal 15 anos. Dimensionar para 25 anos",25,15)</f>
        <v>15</v>
      </c>
      <c r="T13" s="44"/>
      <c r="U13" s="44"/>
      <c r="V13" s="44"/>
      <c r="W13" s="94"/>
      <c r="X13" s="94" t="str">
        <f>'BC01 (RAC)'!X13</f>
        <v>ax</v>
      </c>
      <c r="Y13" s="94"/>
      <c r="Z13" s="94" t="str">
        <f>'BC01 (RAC)'!Z13</f>
        <v>b</v>
      </c>
      <c r="AA13" s="94"/>
      <c r="AB13" s="94" t="str">
        <f>'BC01 (RAC)'!AB13</f>
        <v>ax (1-24h)</v>
      </c>
      <c r="AC13" s="425" t="s">
        <v>216</v>
      </c>
      <c r="AD13" s="425"/>
    </row>
    <row r="14" spans="1:30" ht="15.75" customHeight="1" thickTop="1" thickBot="1">
      <c r="A14" s="38"/>
      <c r="J14" s="152" t="s">
        <v>62</v>
      </c>
      <c r="K14" s="388">
        <f ca="1">$O$9*60</f>
        <v>29.951609702923577</v>
      </c>
      <c r="L14" s="438">
        <f ca="1">IF($O$9&lt;=1,(X14*LN((K14/60)))+Z14,(AB14*LN((K14/60)))+Z14)</f>
        <v>65.027602142755612</v>
      </c>
      <c r="M14" s="438"/>
      <c r="N14" s="153">
        <f ca="1">L14/K14</f>
        <v>2.1710887257057263</v>
      </c>
      <c r="O14" s="67"/>
      <c r="Q14" s="112" t="str">
        <f ca="1">IF(M22&gt;MAX(Base_Bueiros!$F$20:$F$28),"Não atende em orificio 25 anos. Dimensionar para 50 anos",TRIM(IFERROR(LEFT(INDEX(Base_Bueiros!$C$20:$C$28,MATCH(_xlfn.MINIFS(Base_Bueiros!$F$20:$F$28,Base_Bueiros!$F$20:$F$28,"&gt;="&amp;M22),Base_Bueiros!$F$20:$F$28,0)),FIND(" OU ",INDEX(Base_Bueiros!$C$20:$C$28,MATCH(_xlfn.MINIFS(Base_Bueiros!$F$20:$F$28,Base_Bueiros!$F$20:$F$28,"&gt;="&amp;M22),Base_Bueiros!$F$20:$F$28,0)))-1),INDEX(Base_Bueiros!$C$20:$C$28,MATCH(_xlfn.MINIFS(Base_Bueiros!$F$20:$F$28,Base_Bueiros!$F$20:$F$28,"&gt;="&amp;M22),Base_Bueiros!$F$20:$F$28,0))))&amp;" d="&amp;INDEX(Base_Bueiros!$D$20:$D$28,MATCH(_xlfn.MINIFS(Base_Bueiros!$F$20:$F$28,Base_Bueiros!$F$20:$F$28,"&gt;="&amp;M22),Base_Bueiros!$F$20:$F$28,0))&amp;"m")</f>
        <v>BDTC d= d=1,50m</v>
      </c>
      <c r="R14" s="44"/>
      <c r="S14" s="44">
        <f ca="1">IF(Q14="Não atende em orifício 25 anos. Dimensionar para 50 anos",50,25)</f>
        <v>25</v>
      </c>
      <c r="T14" s="44"/>
      <c r="U14" s="44"/>
      <c r="V14" s="44"/>
      <c r="W14" s="94">
        <v>15</v>
      </c>
      <c r="X14" s="145">
        <f>'BC01 (RAC)'!X14</f>
        <v>26.41505980258199</v>
      </c>
      <c r="Y14" s="145"/>
      <c r="Z14" s="145">
        <f>'BC01 (RAC)'!Z14</f>
        <v>83.379768522636454</v>
      </c>
      <c r="AA14" s="145"/>
      <c r="AB14" s="145">
        <f>'BC01 (RAC)'!AB14</f>
        <v>24.188985755464877</v>
      </c>
      <c r="AC14" s="426" t="str">
        <f>IF(C11="Plano","Tabelado",IF(C11="Ondulado","Tabelado",IF(C11="Montanhoso","Tabelado","Ponderado")))</f>
        <v>Tabelado</v>
      </c>
      <c r="AD14" s="426"/>
    </row>
    <row r="15" spans="1:30" ht="15.75" customHeight="1" thickTop="1" thickBot="1">
      <c r="A15" s="38"/>
      <c r="E15" s="142"/>
      <c r="J15" s="154" t="s">
        <v>63</v>
      </c>
      <c r="K15" s="389">
        <f ca="1">$O$9*60</f>
        <v>29.951609702923577</v>
      </c>
      <c r="L15" s="439">
        <f ca="1">IF($O$9&lt;=1,(X15*LN((K15/60)))+Z15,(AB15*LN((K15/60)))+Z15)</f>
        <v>71.746315957214165</v>
      </c>
      <c r="M15" s="439"/>
      <c r="N15" s="155">
        <f ca="1">L15/K15</f>
        <v>2.3954076815514527</v>
      </c>
      <c r="O15" s="67"/>
      <c r="R15" s="84"/>
      <c r="S15" s="44"/>
      <c r="U15" s="44"/>
      <c r="W15" s="94">
        <v>25</v>
      </c>
      <c r="X15" s="145">
        <f>'BC01 (RAC)'!X15</f>
        <v>29.043206617627984</v>
      </c>
      <c r="Y15" s="145"/>
      <c r="Z15" s="145">
        <f>'BC01 (RAC)'!Z15</f>
        <v>91.924417541518196</v>
      </c>
      <c r="AA15" s="145"/>
      <c r="AB15" s="145">
        <f>'BC01 (RAC)'!AB15</f>
        <v>26.572791210671088</v>
      </c>
      <c r="AC15" s="426"/>
      <c r="AD15" s="426"/>
    </row>
    <row r="16" spans="1:30" ht="13.5" thickTop="1">
      <c r="A16" s="38"/>
      <c r="F16" s="183"/>
      <c r="J16" s="156" t="s">
        <v>64</v>
      </c>
      <c r="K16" s="390">
        <f ca="1">$O$9*60</f>
        <v>29.951609702923577</v>
      </c>
      <c r="L16" s="449">
        <f ca="1">IF($O$9&lt;=1,(X16*LN((K16/60)))+Z16,(AB16*LN((K16/60)))+Z16)</f>
        <v>80.509855619918497</v>
      </c>
      <c r="M16" s="449"/>
      <c r="N16" s="157">
        <f ca="1">L16/K16</f>
        <v>2.6879976207776215</v>
      </c>
      <c r="O16" s="67"/>
      <c r="R16" s="85"/>
      <c r="S16" s="44"/>
      <c r="U16" s="44"/>
      <c r="W16" s="94">
        <v>50</v>
      </c>
      <c r="X16" s="145">
        <f>'BC01 (RAC)'!X16</f>
        <v>32.437160263037789</v>
      </c>
      <c r="Y16" s="145"/>
      <c r="Z16" s="145">
        <f>'BC01 (RAC)'!Z16</f>
        <v>103.0459455052778</v>
      </c>
      <c r="AA16" s="145"/>
      <c r="AB16" s="145">
        <f>'BC01 (RAC)'!AB16</f>
        <v>29.77992314240781</v>
      </c>
      <c r="AC16" s="44"/>
    </row>
    <row r="17" spans="1:29">
      <c r="A17" s="38"/>
      <c r="I17" s="68"/>
      <c r="J17" s="158" t="s">
        <v>65</v>
      </c>
      <c r="K17" s="391">
        <f ca="1">$O$9*60</f>
        <v>29.951609702923577</v>
      </c>
      <c r="L17" s="450">
        <f ca="1">IF($O$9&lt;=1,(X17*LN((K17/60)))+Z17,(AB17*LN((K17/60)))+Z17)</f>
        <v>88.026444394828616</v>
      </c>
      <c r="M17" s="450"/>
      <c r="N17" s="159">
        <f ca="1">L17/K17</f>
        <v>2.9389553772876638</v>
      </c>
      <c r="O17" s="67"/>
      <c r="R17" s="85"/>
      <c r="S17" s="44"/>
      <c r="U17" s="44"/>
      <c r="W17" s="94">
        <v>100</v>
      </c>
      <c r="X17" s="145">
        <f>'BC01 (RAC)'!X17</f>
        <v>37.177212539092373</v>
      </c>
      <c r="Y17" s="145"/>
      <c r="Z17" s="145">
        <f>'BC01 (RAC)'!Z17</f>
        <v>113.85574007527696</v>
      </c>
      <c r="AA17" s="145"/>
      <c r="AB17" s="145">
        <f>'BC01 (RAC)'!AB17</f>
        <v>33.004344811583479</v>
      </c>
      <c r="AC17" s="44"/>
    </row>
    <row r="18" spans="1:29">
      <c r="A18" s="38"/>
      <c r="O18" s="67"/>
      <c r="Q18" s="44"/>
      <c r="R18" s="85"/>
      <c r="S18" s="44"/>
      <c r="U18" s="44"/>
      <c r="X18" s="44"/>
      <c r="Y18" s="44"/>
      <c r="Z18" s="44"/>
      <c r="AA18" s="44"/>
      <c r="AB18" s="44"/>
      <c r="AC18" s="44"/>
    </row>
    <row r="19" spans="1:29">
      <c r="A19" s="38"/>
      <c r="O19" s="47"/>
      <c r="Q19" s="44"/>
      <c r="R19" s="85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</row>
    <row r="20" spans="1:29" ht="13.5" thickBot="1">
      <c r="A20" s="38"/>
      <c r="B20" s="427" t="s">
        <v>66</v>
      </c>
      <c r="C20" s="427"/>
      <c r="D20" s="427"/>
      <c r="E20" s="427"/>
      <c r="F20" s="427"/>
      <c r="G20" s="427"/>
      <c r="H20" s="427"/>
      <c r="J20" s="440" t="s">
        <v>9</v>
      </c>
      <c r="K20" s="442" t="s">
        <v>10</v>
      </c>
      <c r="L20" s="442"/>
      <c r="M20" s="442" t="s">
        <v>11</v>
      </c>
      <c r="N20" s="442"/>
      <c r="O20" s="47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</row>
    <row r="21" spans="1:29" ht="14.25" thickTop="1" thickBot="1">
      <c r="A21" s="38"/>
      <c r="B21" s="443"/>
      <c r="C21" s="443"/>
      <c r="D21" s="69" t="s">
        <v>67</v>
      </c>
      <c r="E21" s="69" t="s">
        <v>68</v>
      </c>
      <c r="F21" s="69" t="s">
        <v>44</v>
      </c>
      <c r="G21" s="69" t="s">
        <v>51</v>
      </c>
      <c r="H21" s="69"/>
      <c r="J21" s="441"/>
      <c r="K21" s="466" t="s">
        <v>12</v>
      </c>
      <c r="L21" s="467"/>
      <c r="M21" s="400">
        <f ca="1">0.278*$O$8*(N14*60)*$E$6</f>
        <v>10.77357799813583</v>
      </c>
      <c r="N21" s="401" t="s">
        <v>13</v>
      </c>
      <c r="O21" s="47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</row>
    <row r="22" spans="1:29" ht="14.25" thickTop="1" thickBot="1">
      <c r="A22" s="38"/>
      <c r="B22" s="446" t="s">
        <v>69</v>
      </c>
      <c r="C22" s="446"/>
      <c r="D22" s="71">
        <f ca="1">E22*10^6</f>
        <v>1431112.0339943536</v>
      </c>
      <c r="E22" s="70">
        <f ca="1">E6</f>
        <v>1.4311120339943537</v>
      </c>
      <c r="F22" s="70" t="s">
        <v>25</v>
      </c>
      <c r="G22" s="70" t="s">
        <v>25</v>
      </c>
      <c r="H22" s="70" t="s">
        <v>25</v>
      </c>
      <c r="J22" s="441"/>
      <c r="K22" s="468" t="s">
        <v>14</v>
      </c>
      <c r="L22" s="469"/>
      <c r="M22" s="398">
        <f ca="1">0.278*$O$8*(N15*60)*$E$6</f>
        <v>11.886714342427217</v>
      </c>
      <c r="N22" s="399" t="s">
        <v>13</v>
      </c>
      <c r="O22" s="47"/>
    </row>
    <row r="23" spans="1:29" ht="13.5" thickTop="1">
      <c r="A23" s="38"/>
      <c r="B23" s="446" t="s">
        <v>70</v>
      </c>
      <c r="C23" s="446"/>
      <c r="D23" s="71">
        <f ca="1">$D$22*G23</f>
        <v>1205568.7774368436</v>
      </c>
      <c r="E23" s="70">
        <f ca="1">D23/10^6</f>
        <v>1.2055687774368435</v>
      </c>
      <c r="F23" s="70" cm="1">
        <f t="array" ref="F23">_xlfn.LET(
_xlpm.superficie,B23,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_xlpm.col,MATCH(_xlpm.terreno,C_CN_IP03!$D$2:$I$2,0),
INDEX(C_CN_IP03!$D$4:$I$19,_xlpm.lin,_xlpm.col)
),
IF(
_xlpm.metodo="Ponderado",
IF(
_xlpm.terreno="Levemente ondulado",
AVERAGE(
INDEX(C_CN_IP03!$D$4:$I$19,_xlpm.lin,1),
INDEX(C_CN_IP03!$D$4:$I$19,_xlpm.lin,3)
),
IF(
_xlpm.terreno="Muito ondulado",
AVERAGE(
INDEX(C_CN_IP03!$D$4:$I$19,_xlpm.lin,3),
INDEX(C_CN_IP03!$D$4:$I$19,_xlpm.lin,5)
),
"Condição de terreno não reconhecida"
)
),
"Método não reconhecido"
)
)
)</f>
        <v>0.2</v>
      </c>
      <c r="G23" s="141">
        <v>0.84240000000000004</v>
      </c>
      <c r="H23" s="70">
        <f>(G23*(F23))</f>
        <v>0.16848000000000002</v>
      </c>
      <c r="I23" s="72"/>
      <c r="J23" s="441"/>
      <c r="K23" s="470" t="s">
        <v>75</v>
      </c>
      <c r="L23" s="470"/>
      <c r="M23" s="396">
        <f ca="1">0.278*$O$8*(N16*60)*$E$6</f>
        <v>13.338631297455528</v>
      </c>
      <c r="N23" s="397" t="s">
        <v>13</v>
      </c>
      <c r="O23" s="47"/>
    </row>
    <row r="24" spans="1:29">
      <c r="A24" s="38"/>
      <c r="B24" s="446" t="s">
        <v>71</v>
      </c>
      <c r="C24" s="446"/>
      <c r="D24" s="71">
        <f ca="1">$D$22*G24</f>
        <v>225543.25655751012</v>
      </c>
      <c r="E24" s="70">
        <f ca="1">D24/10^6</f>
        <v>0.22554325655751012</v>
      </c>
      <c r="F24" s="70" cm="1">
        <f t="array" ref="F24">_xlfn.LET(
_xlpm.superficie,B24,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_xlpm.col,MATCH(_xlpm.terreno,C_CN_IP03!$D$2:$I$2,0),
INDEX(C_CN_IP03!$D$4:$I$19,_xlpm.lin,_xlpm.col)
),
IF(
_xlpm.metodo="Ponderado",
IF(
_xlpm.terreno="Levemente ondulado",
AVERAGE(
INDEX(C_CN_IP03!$D$4:$I$19,_xlpm.lin,1),
INDEX(C_CN_IP03!$D$4:$I$19,_xlpm.lin,3)
),
IF(
_xlpm.terreno="Muito ondulado",
AVERAGE(
INDEX(C_CN_IP03!$D$4:$I$19,_xlpm.lin,3),
INDEX(C_CN_IP03!$D$4:$I$19,_xlpm.lin,5)
),
"Condição de terreno não reconhecida"
)
),
"Método não reconhecido"
)
)
)</f>
        <v>0.25</v>
      </c>
      <c r="G24" s="141">
        <v>0.15759999999999999</v>
      </c>
      <c r="H24" s="70">
        <f>(G24*(F24))</f>
        <v>3.9399999999999998E-2</v>
      </c>
      <c r="I24" s="72"/>
      <c r="J24" s="441"/>
      <c r="K24" s="471" t="s">
        <v>15</v>
      </c>
      <c r="L24" s="471"/>
      <c r="M24" s="394">
        <f ca="1">0.278*$O$8*(N17*60)*$E$6</f>
        <v>14.583957171053468</v>
      </c>
      <c r="N24" s="395" t="s">
        <v>13</v>
      </c>
      <c r="O24" s="47"/>
    </row>
    <row r="25" spans="1:29">
      <c r="A25" s="38"/>
      <c r="B25" s="446" t="s">
        <v>219</v>
      </c>
      <c r="C25" s="446"/>
      <c r="D25" s="71" t="s">
        <v>25</v>
      </c>
      <c r="E25" s="70" t="s">
        <v>25</v>
      </c>
      <c r="F25" s="70" t="s">
        <v>25</v>
      </c>
      <c r="G25" s="141" t="s">
        <v>25</v>
      </c>
      <c r="H25" s="70" t="s">
        <v>25</v>
      </c>
      <c r="I25" s="72"/>
      <c r="O25" s="47"/>
    </row>
    <row r="26" spans="1:29">
      <c r="A26" s="38"/>
      <c r="B26" s="457" t="s">
        <v>72</v>
      </c>
      <c r="C26" s="457"/>
      <c r="D26" s="457"/>
      <c r="E26" s="457"/>
      <c r="F26" s="457"/>
      <c r="G26" s="457"/>
      <c r="H26" s="73">
        <f>SUM(H23:H25)</f>
        <v>0.20788000000000001</v>
      </c>
      <c r="I26" s="72"/>
      <c r="J26" s="458" t="s">
        <v>74</v>
      </c>
      <c r="K26" s="459"/>
      <c r="L26" s="459"/>
      <c r="M26" s="459"/>
      <c r="N26" s="459"/>
      <c r="O26" s="47"/>
    </row>
    <row r="27" spans="1:29">
      <c r="A27" s="38"/>
      <c r="B27" s="74" t="s">
        <v>73</v>
      </c>
      <c r="C27" s="75"/>
      <c r="D27" s="140"/>
      <c r="E27" s="140"/>
      <c r="F27" s="140"/>
      <c r="G27" s="140"/>
      <c r="H27" s="140"/>
      <c r="I27" s="76"/>
      <c r="J27" s="460" t="str" cm="1">
        <f t="array" aca="1" ref="J27" ca="1">IFERROR(_xlfn.LET(
_xlpm.Func,"Orif",
_xlpm.Funcs,Base_Bueiros!$A$2:$A$37,
_xlpm.Tipos,Base_Bueiros!$C$2:$C$37,
_xlpm.Dims,Base_Bueiros!$D$2:$D$37,
_xlpm.Vazoes,Base_Bueiros!$F$2:$F$37,
_xlpm.DimNum,IFERROR(VALUE(TRIM(LEFT(_xlpm.Dims,FIND("x",_xlpm.Dims)-1))),VALUE(_xlpm.Dims)),
_xlpm.Linhas,IF(MID(_xlpm.Tipos,2,1)="T",3,IF(MID(_xlpm.Tipos,2,1)="D",2,1)),
_xlpm.EhTubular,MID(_xlpm.Tipos,3,1)="T",
_xlpm.QNec,IF(ISNUMBER(FIND("Orif",_xlpm.Func)),IF(_xlpm.EhTubular,M22,M23),IF(_xlpm.EhTubular,M21,M22)),
_xlpm.FiltroBase,(ISNUMBER(FIND(_xlpm.Func,_xlpm.Funcs)))*(_xlpm.Vazoes&gt;=_xlpm.QNec),
_xlpm.TemTubular,SUM(_xlpm.FiltroBase*_xlpm.EhTubular)&gt;0,
_xlpm.Filtro,_xlpm.FiltroBase*IF(_xlpm.TemTubular,_xlpm.EhTubular,NOT(_xlpm.EhTubular)),
_xlpm.Prior1,IF(_xlpm.EhTubular,_xlpm.DimNum,_xlpm.Linhas),
_xlpm.Prior2,IF(_xlpm.EhTubular,_xlpm.Linhas,_xlpm.DimNum),
_xlpm.MenorPrior1,_xlfn.AGGREGATE(15,6,_xlpm.Prior1/_xlpm.Filtro,1),
_xlpm.MenorPrior2,_xlfn.AGGREGATE(15,6,_xlpm.Prior2/(_xlpm.Filtro*(_xlpm.Prior1=_xlpm.MenorPrior1)),1),
_xlpm.MenorVazao,_xlfn.AGGREGATE(15,6,_xlpm.Vazoes/(_xlpm.Filtro*(_xlpm.Prior1=_xlpm.MenorPrior1)*(_xlpm.Prior2=_xlpm.MenorPrior2)),1),
_xlpm.Linha,MATCH(1,(_xlpm.Vazoes=_xlpm.MenorVazao)*(_xlpm.Filtro&gt;0),0),
_xlpm.Tipo,INDEX(_xlpm.Tipos,_xlpm.Linha),
_xlpm.Dim,INDEX(_xlpm.Dims,_xlpm.Linha),
_xlpm.EhTubularEscolhido,MID(_xlpm.Tipo,3,1)="T",
_xlpm.Tipo&amp;" "&amp;IF(_xlpm.EhTubularEscolhido,_xlpm.Dim&amp;"m",SUBSTITUTE(_xlpm.Dim,"0,00","")&amp;"m")
),"Ponte")</f>
        <v>BDTC d= 1,50m</v>
      </c>
      <c r="K27" s="461"/>
      <c r="L27" s="461"/>
      <c r="M27" s="461"/>
      <c r="N27" s="461"/>
      <c r="O27" s="47"/>
    </row>
    <row r="28" spans="1:29">
      <c r="A28" s="38"/>
      <c r="D28" s="142"/>
      <c r="E28" s="142"/>
      <c r="F28" s="142"/>
      <c r="G28" s="142"/>
      <c r="H28" s="142"/>
      <c r="I28" s="76"/>
      <c r="J28" s="142" t="s">
        <v>86</v>
      </c>
      <c r="K28" s="77"/>
      <c r="L28" s="77"/>
      <c r="M28" s="77"/>
      <c r="N28" s="77"/>
      <c r="O28" s="47"/>
    </row>
    <row r="29" spans="1:29">
      <c r="A29" s="38"/>
      <c r="I29" s="76"/>
      <c r="J29" s="45" t="s">
        <v>87</v>
      </c>
      <c r="K29" s="77"/>
      <c r="L29" s="77"/>
      <c r="M29" s="77"/>
      <c r="N29" s="77"/>
      <c r="O29" s="47"/>
    </row>
    <row r="30" spans="1:29">
      <c r="A30" s="38"/>
      <c r="C30" s="78"/>
      <c r="D30" s="78"/>
      <c r="E30" s="78"/>
      <c r="F30" s="78"/>
      <c r="I30" s="76"/>
      <c r="K30" s="77"/>
      <c r="L30" s="77"/>
      <c r="M30" s="77"/>
      <c r="N30" s="77"/>
      <c r="O30" s="47"/>
    </row>
    <row r="31" spans="1:29">
      <c r="A31" s="38"/>
      <c r="I31" s="76"/>
      <c r="J31" s="459" t="s">
        <v>74</v>
      </c>
      <c r="K31" s="459"/>
      <c r="L31" s="459"/>
      <c r="M31" s="459"/>
      <c r="N31" s="459"/>
      <c r="O31" s="47"/>
    </row>
    <row r="32" spans="1:29">
      <c r="A32" s="38"/>
      <c r="I32" s="76"/>
      <c r="J32" s="462" t="str" cm="1">
        <f t="array" aca="1" ref="J32" ca="1">IFERROR(_xlfn.LET(
_xlpm.Func,"Canal",
_xlpm.Funcs,Base_Bueiros!$A$2:$A$37,
_xlpm.Tipos,Base_Bueiros!$C$2:$C$37,
_xlpm.Dims,Base_Bueiros!$D$2:$D$37,
_xlpm.Vazoes,Base_Bueiros!$F$2:$F$37,
_xlpm.DimNum,IFERROR(VALUE(TRIM(LEFT(_xlpm.Dims,FIND("x",_xlpm.Dims)-1))),VALUE(_xlpm.Dims)),
_xlpm.Linhas,IF(MID(_xlpm.Tipos,2,1)="T",3,IF(MID(_xlpm.Tipos,2,1)="D",2,1)),
_xlpm.EhTubular,MID(_xlpm.Tipos,3,1)="T",
_xlpm.QNec,IF(ISNUMBER(FIND("Orif",_xlpm.Func)),IF(_xlpm.EhTubular,M22,M23),IF(_xlpm.EhTubular,M21,M22)),
_xlpm.FiltroBase,(ISNUMBER(FIND(_xlpm.Func,_xlpm.Funcs)))*(_xlpm.Vazoes&gt;=_xlpm.QNec),
_xlpm.TemTubular,SUM(_xlpm.FiltroBase*_xlpm.EhTubular)&gt;0,
_xlpm.Filtro,_xlpm.FiltroBase*IF(_xlpm.TemTubular,_xlpm.EhTubular,NOT(_xlpm.EhTubular)),
_xlpm.Prior1,IF(_xlpm.EhTubular,_xlpm.DimNum,_xlpm.Linhas),
_xlpm.Prior2,IF(_xlpm.EhTubular,_xlpm.Linhas,_xlpm.DimNum),
_xlpm.MenorPrior1,_xlfn.AGGREGATE(15,6,_xlpm.Prior1/_xlpm.Filtro,1),
_xlpm.MenorPrior2,_xlfn.AGGREGATE(15,6,_xlpm.Prior2/(_xlpm.Filtro*(_xlpm.Prior1=_xlpm.MenorPrior1)),1),
_xlpm.MenorVazao,_xlfn.AGGREGATE(15,6,_xlpm.Vazoes/(_xlpm.Filtro*(_xlpm.Prior1=_xlpm.MenorPrior1)*(_xlpm.Prior2=_xlpm.MenorPrior2)),1),
_xlpm.Linha,MATCH(1,(_xlpm.Vazoes=_xlpm.MenorVazao)*(_xlpm.Filtro&gt;0),0),
_xlpm.Tipo,INDEX(_xlpm.Tipos,_xlpm.Linha),
_xlpm.Dim,INDEX(_xlpm.Dims,_xlpm.Linha),
_xlpm.EhTubularEscolhido,MID(_xlpm.Tipo,3,1)="T",
_xlpm.Tipo&amp;" "&amp;IF(_xlpm.EhTubularEscolhido,_xlpm.Dim&amp;"m",SUBSTITUTE(_xlpm.Dim,"0,00","")&amp;"m")
),"Ponte")</f>
        <v>BTTC d= 1,50m</v>
      </c>
      <c r="K32" s="462"/>
      <c r="L32" s="462"/>
      <c r="M32" s="462"/>
      <c r="N32" s="462"/>
      <c r="O32" s="47"/>
    </row>
    <row r="33" spans="1:15">
      <c r="A33" s="38"/>
      <c r="I33" s="76"/>
      <c r="J33" s="45" t="s">
        <v>88</v>
      </c>
      <c r="K33" s="77"/>
      <c r="L33" s="77"/>
      <c r="M33" s="77"/>
      <c r="N33" s="77"/>
      <c r="O33" s="47"/>
    </row>
    <row r="34" spans="1:15">
      <c r="A34" s="38"/>
      <c r="I34" s="76"/>
      <c r="J34" s="77"/>
      <c r="K34" s="77"/>
      <c r="L34" s="77"/>
      <c r="M34" s="77"/>
      <c r="N34" s="77"/>
      <c r="O34" s="47"/>
    </row>
    <row r="35" spans="1:15">
      <c r="A35" s="38"/>
      <c r="I35" s="76"/>
      <c r="J35" s="459" t="s">
        <v>408</v>
      </c>
      <c r="K35" s="459"/>
      <c r="L35" s="459"/>
      <c r="M35" s="459"/>
      <c r="N35" s="459"/>
      <c r="O35" s="47"/>
    </row>
    <row r="36" spans="1:15">
      <c r="A36" s="38"/>
      <c r="I36" s="76"/>
      <c r="J36" s="452" t="str">
        <f>'Apresentação  - Est. Hid.'!AK29</f>
        <v>Ponte existente 9,80x4,00m</v>
      </c>
      <c r="K36" s="453"/>
      <c r="L36" s="453"/>
      <c r="M36" s="453"/>
      <c r="N36" s="453"/>
      <c r="O36" s="47"/>
    </row>
    <row r="37" spans="1:15">
      <c r="A37" s="38"/>
      <c r="I37" s="76"/>
      <c r="J37" s="102"/>
      <c r="K37" s="77"/>
      <c r="L37" s="77"/>
      <c r="M37" s="77"/>
      <c r="N37" s="77"/>
      <c r="O37" s="47"/>
    </row>
    <row r="38" spans="1:15" ht="13.5" thickBot="1">
      <c r="A38" s="79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1"/>
    </row>
    <row r="41" spans="1:15">
      <c r="C41" s="44"/>
      <c r="D41" s="44"/>
      <c r="E41" s="44"/>
      <c r="F41" s="44"/>
      <c r="G41" s="44"/>
    </row>
    <row r="42" spans="1:15">
      <c r="C42" s="454"/>
      <c r="D42" s="454"/>
      <c r="E42" s="454"/>
      <c r="F42" s="455"/>
      <c r="G42" s="456"/>
      <c r="K42" s="103"/>
    </row>
    <row r="43" spans="1:15">
      <c r="C43" s="95"/>
      <c r="D43" s="86"/>
      <c r="E43" s="87"/>
      <c r="F43" s="86"/>
      <c r="G43" s="58"/>
    </row>
    <row r="44" spans="1:15" ht="15">
      <c r="C44" s="95"/>
      <c r="D44"/>
      <c r="E44"/>
      <c r="F44"/>
      <c r="G44"/>
      <c r="H44"/>
      <c r="I44"/>
      <c r="J44"/>
    </row>
    <row r="45" spans="1:15" ht="15">
      <c r="C45" s="95"/>
      <c r="D45"/>
      <c r="E45"/>
      <c r="F45"/>
      <c r="G45"/>
      <c r="H45"/>
      <c r="I45"/>
      <c r="J45"/>
    </row>
    <row r="46" spans="1:15" ht="15">
      <c r="C46" s="95"/>
      <c r="D46"/>
      <c r="E46"/>
      <c r="F46"/>
      <c r="G46"/>
      <c r="H46"/>
      <c r="I46"/>
      <c r="J46"/>
    </row>
    <row r="47" spans="1:15" ht="15">
      <c r="C47" s="44"/>
      <c r="D47"/>
      <c r="E47"/>
      <c r="F47"/>
      <c r="G47"/>
      <c r="H47"/>
      <c r="I47"/>
      <c r="J47"/>
    </row>
    <row r="48" spans="1:15" ht="15">
      <c r="C48" s="44"/>
      <c r="D48"/>
      <c r="E48"/>
      <c r="F48"/>
      <c r="G48"/>
      <c r="H48"/>
      <c r="I48"/>
      <c r="J48"/>
    </row>
    <row r="49" spans="3:10" ht="15">
      <c r="C49" s="44"/>
      <c r="D49"/>
      <c r="E49"/>
      <c r="F49"/>
      <c r="G49"/>
      <c r="H49"/>
      <c r="I49"/>
      <c r="J49"/>
    </row>
  </sheetData>
  <mergeCells count="35">
    <mergeCell ref="L16:M16"/>
    <mergeCell ref="L17:M17"/>
    <mergeCell ref="K23:L23"/>
    <mergeCell ref="J36:N36"/>
    <mergeCell ref="C42:E42"/>
    <mergeCell ref="F42:G42"/>
    <mergeCell ref="B26:G26"/>
    <mergeCell ref="J26:N26"/>
    <mergeCell ref="J27:N27"/>
    <mergeCell ref="J31:N31"/>
    <mergeCell ref="J32:N32"/>
    <mergeCell ref="J35:N35"/>
    <mergeCell ref="B25:C25"/>
    <mergeCell ref="B24:C24"/>
    <mergeCell ref="K24:L24"/>
    <mergeCell ref="B20:H20"/>
    <mergeCell ref="J20:J24"/>
    <mergeCell ref="K20:L20"/>
    <mergeCell ref="M20:N20"/>
    <mergeCell ref="B21:C21"/>
    <mergeCell ref="K21:L21"/>
    <mergeCell ref="B22:C22"/>
    <mergeCell ref="K22:L22"/>
    <mergeCell ref="B23:C23"/>
    <mergeCell ref="AC13:AD13"/>
    <mergeCell ref="AC14:AD15"/>
    <mergeCell ref="J12:N12"/>
    <mergeCell ref="A1:O1"/>
    <mergeCell ref="A2:O2"/>
    <mergeCell ref="W3:Y3"/>
    <mergeCell ref="W4:W5"/>
    <mergeCell ref="Z4:Z5"/>
    <mergeCell ref="L13:M13"/>
    <mergeCell ref="L14:M14"/>
    <mergeCell ref="L15:M15"/>
  </mergeCells>
  <conditionalFormatting sqref="K4:O4">
    <cfRule type="expression" dxfId="33" priority="1">
      <formula>AND($M$22&lt;=79.73,OR($S$13=15,$S$13=25),$N$4=$S$13)</formula>
    </cfRule>
  </conditionalFormatting>
  <conditionalFormatting sqref="K5:O5">
    <cfRule type="expression" dxfId="32" priority="2">
      <formula>AND($M$22&lt;=79.73,OR($S$13=15,$S$13=25),$N$5=$S$13)</formula>
    </cfRule>
    <cfRule type="expression" dxfId="31" priority="3">
      <formula>AND($M$22&lt;=79.73,OR($S$14=25,$S$14=50),$N$5=$S$14)</formula>
    </cfRule>
  </conditionalFormatting>
  <conditionalFormatting sqref="K6:O6">
    <cfRule type="expression" dxfId="30" priority="4">
      <formula>AND($M$22&lt;=79.73,OR($S$14=25,$S$14=50),$N$6=$S$14)</formula>
    </cfRule>
  </conditionalFormatting>
  <conditionalFormatting sqref="K7:O7">
    <cfRule type="expression" dxfId="29" priority="5">
      <formula>AND($M$22&gt;79.73,$N$7=100)</formula>
    </cfRule>
  </conditionalFormatting>
  <conditionalFormatting sqref="J14:N14">
    <cfRule type="expression" dxfId="28" priority="6">
      <formula>AND($M$22&lt;=79.73,OR($S$13=15,$S$13=25),$S$13=15)</formula>
    </cfRule>
  </conditionalFormatting>
  <conditionalFormatting sqref="J15:N15">
    <cfRule type="expression" dxfId="27" priority="7">
      <formula>AND($M$22&lt;=79.73,OR($S$13=15,$S$13=25),$S$13=25)</formula>
    </cfRule>
    <cfRule type="expression" dxfId="26" priority="8">
      <formula>AND($M$22&lt;=79.73,OR($S$14=25,$S$14=50),$S$14=25)</formula>
    </cfRule>
  </conditionalFormatting>
  <conditionalFormatting sqref="J16:N16">
    <cfRule type="expression" dxfId="25" priority="9">
      <formula>AND($M$22&lt;=79.73,OR($S$14=25,$S$14=50),$S$14=50)</formula>
    </cfRule>
  </conditionalFormatting>
  <conditionalFormatting sqref="J17:N17">
    <cfRule type="expression" dxfId="24" priority="10">
      <formula>$M$22&gt;79.73</formula>
    </cfRule>
  </conditionalFormatting>
  <conditionalFormatting sqref="K21:N21">
    <cfRule type="expression" dxfId="23" priority="11">
      <formula>AND($M$22&lt;=79.73,OR($S$13=15,$S$13=25),$S$13=15)</formula>
    </cfRule>
  </conditionalFormatting>
  <conditionalFormatting sqref="K22:N22">
    <cfRule type="expression" dxfId="22" priority="12">
      <formula>AND($M$22&lt;=79.73,OR($S$13=15,$S$13=25),$S$13=25)</formula>
    </cfRule>
    <cfRule type="expression" dxfId="21" priority="13">
      <formula>AND($M$22&lt;=79.73,OR($S$14=25,$S$14=50),$S$14=25)</formula>
    </cfRule>
  </conditionalFormatting>
  <conditionalFormatting sqref="K23:N23">
    <cfRule type="expression" dxfId="20" priority="14">
      <formula>AND($M$22&lt;=79.73,OR($S$14=25,$S$14=50),$S$14=50)</formula>
    </cfRule>
  </conditionalFormatting>
  <conditionalFormatting sqref="K24:N24">
    <cfRule type="expression" dxfId="19" priority="15">
      <formula>$M$22&gt;79.73</formula>
    </cfRule>
  </conditionalFormatting>
  <dataValidations disablePrompts="1" count="2">
    <dataValidation type="list" allowBlank="1" showInputMessage="1" showErrorMessage="1" sqref="V14" xr:uid="{642D0025-89DF-4328-9766-2F69D39C0647}">
      <formula1>"Grota,Greide"</formula1>
    </dataValidation>
    <dataValidation type="list" allowBlank="1" showInputMessage="1" showErrorMessage="1" sqref="AC14:AD15" xr:uid="{BF7A8E7B-5442-4AE7-8C56-6AE58E966D99}">
      <formula1>"Tabelado,Ponderado"</formula1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97" orientation="landscape" r:id="rId1"/>
  <colBreaks count="1" manualBreakCount="1">
    <brk id="15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9A21F05-0589-4952-BAF5-04E1F23B62A5}">
          <x14:formula1>
            <xm:f>C_CN_IP03!$K$3:$K$6</xm:f>
          </x14:formula1>
          <xm:sqref>C12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61BA-1CA9-42F6-A09E-6F7D3222F69D}">
  <sheetPr codeName="Planilha7">
    <tabColor rgb="FF92D050"/>
  </sheetPr>
  <dimension ref="B2:U39"/>
  <sheetViews>
    <sheetView showGridLines="0" workbookViewId="0">
      <selection activeCell="B2" sqref="B2:H17"/>
    </sheetView>
  </sheetViews>
  <sheetFormatPr defaultRowHeight="15"/>
  <cols>
    <col min="3" max="3" width="8.5703125" bestFit="1" customWidth="1"/>
    <col min="4" max="4" width="12.5703125" bestFit="1" customWidth="1"/>
    <col min="5" max="5" width="10.85546875" bestFit="1" customWidth="1"/>
    <col min="6" max="9" width="8.5703125" customWidth="1"/>
    <col min="10" max="10" width="11" bestFit="1" customWidth="1"/>
    <col min="14" max="14" width="10.42578125" customWidth="1"/>
    <col min="21" max="21" width="9.5703125" bestFit="1" customWidth="1"/>
  </cols>
  <sheetData>
    <row r="2" spans="2:21" ht="45.75" thickBot="1">
      <c r="B2" s="1" t="s">
        <v>37</v>
      </c>
      <c r="C2" s="1" t="s">
        <v>38</v>
      </c>
      <c r="D2" s="1" t="s">
        <v>39</v>
      </c>
      <c r="E2" s="1" t="s">
        <v>40</v>
      </c>
      <c r="F2" s="2" t="s">
        <v>41</v>
      </c>
      <c r="G2" s="2" t="s">
        <v>42</v>
      </c>
      <c r="H2" s="1" t="s">
        <v>43</v>
      </c>
      <c r="I2" s="3"/>
      <c r="J2" s="3"/>
    </row>
    <row r="3" spans="2:21" ht="15.75" thickBot="1">
      <c r="B3" s="14" t="s">
        <v>44</v>
      </c>
      <c r="C3" s="37">
        <v>687</v>
      </c>
      <c r="D3" s="14">
        <v>0</v>
      </c>
      <c r="E3" s="13">
        <f>D3/1000</f>
        <v>0</v>
      </c>
      <c r="F3" s="13">
        <v>0</v>
      </c>
      <c r="G3" s="13">
        <v>0</v>
      </c>
      <c r="H3" s="13">
        <v>0</v>
      </c>
      <c r="J3" s="464" t="s">
        <v>198</v>
      </c>
      <c r="K3" s="465"/>
      <c r="R3" s="184"/>
      <c r="U3" s="36"/>
    </row>
    <row r="4" spans="2:21">
      <c r="B4" s="14">
        <v>1</v>
      </c>
      <c r="C4" s="37">
        <v>678</v>
      </c>
      <c r="D4" s="14">
        <v>100</v>
      </c>
      <c r="E4" s="12">
        <f>D4/1000</f>
        <v>0.1</v>
      </c>
      <c r="F4" s="13">
        <f>C3-C4</f>
        <v>9</v>
      </c>
      <c r="G4" s="12">
        <f>E4-E3</f>
        <v>0.1</v>
      </c>
      <c r="H4" s="12">
        <f t="shared" ref="H4:H17" si="0">F4/G4</f>
        <v>90</v>
      </c>
      <c r="J4" s="120" t="s">
        <v>199</v>
      </c>
      <c r="K4" s="124">
        <f ca="1">(((E17/((G4/SQRT(H4))+(G5/SQRT(H5))+(G6/SQRT(H6))+(G7/SQRT(H7))+(G8/SQRT(H8))+(G9/SQRT(H9))+(G10/SQRT(H10))+(G11/SQRT(H11))+(G12/SQRT(H12))+(G13/SQRT(H13))+(G14/SQRT(H14))+(G15/SQRT(H15))+(G16/SQRT(H16))+(G17/SQRT(H17))))^2)/1000)*1000</f>
        <v>28.553088313230596</v>
      </c>
      <c r="U4" s="36"/>
    </row>
    <row r="5" spans="2:21" ht="15.75" thickBot="1">
      <c r="B5" s="14">
        <v>2</v>
      </c>
      <c r="C5" s="37">
        <v>670</v>
      </c>
      <c r="D5" s="14">
        <f>D4+100</f>
        <v>200</v>
      </c>
      <c r="E5" s="12">
        <f t="shared" ref="E5:E17" si="1">D5/1000</f>
        <v>0.2</v>
      </c>
      <c r="F5" s="13">
        <f t="shared" ref="F5:F17" si="2">C4-C5</f>
        <v>8</v>
      </c>
      <c r="G5" s="12">
        <f t="shared" ref="G5:G17" si="3">E5-E4</f>
        <v>0.1</v>
      </c>
      <c r="H5" s="12">
        <f t="shared" si="0"/>
        <v>80</v>
      </c>
      <c r="J5" s="121" t="s">
        <v>200</v>
      </c>
      <c r="K5" s="123">
        <f ca="1">((E17/((G4/SQRT(H4))+(G5/SQRT(H5))+(G6/SQRT(H6))+(G7/SQRT(H7))+(G8/SQRT(H8))+(G9/SQRT(H9))+(G10/SQRT(H10))+(G11/SQRT(H11))+(G12/SQRT(H12))+(G13/SQRT(H13))+(G14/SQRT(H14))+(G15/SQRT(H15))+(G16/SQRT(H16))+(G17/SQRT(H17))))^2)/1000</f>
        <v>2.8553088313230595E-2</v>
      </c>
    </row>
    <row r="6" spans="2:21" ht="15.75" thickBot="1">
      <c r="B6" s="14">
        <v>3</v>
      </c>
      <c r="C6" s="37">
        <v>662</v>
      </c>
      <c r="D6" s="14">
        <f t="shared" ref="D6:D16" si="4">D5+100</f>
        <v>300</v>
      </c>
      <c r="E6" s="12">
        <f t="shared" si="1"/>
        <v>0.3</v>
      </c>
      <c r="F6" s="13">
        <f t="shared" si="2"/>
        <v>8</v>
      </c>
      <c r="G6" s="12">
        <f t="shared" si="3"/>
        <v>9.9999999999999978E-2</v>
      </c>
      <c r="H6" s="12">
        <f t="shared" si="0"/>
        <v>80.000000000000014</v>
      </c>
      <c r="J6" s="119" t="s">
        <v>201</v>
      </c>
      <c r="K6" s="122">
        <f ca="1">(((E17/((G4/SQRT(H4))+(G5/SQRT(H5))+(G6/SQRT(H6))+(G7/SQRT(H7))+(G8/SQRT(H8))+(G9/SQRT(H9))+(G10/SQRT(H10))+(G11/SQRT(H11))+(G12/SQRT(H12))+(G13/SQRT(H13))+(G14/SQRT(H14))+(G15/SQRT(H15))+(G16/SQRT(H16))+(G17/SQRT(H17))))^2)/1000)*100</f>
        <v>2.8553088313230597</v>
      </c>
    </row>
    <row r="7" spans="2:21">
      <c r="B7" s="14">
        <v>4</v>
      </c>
      <c r="C7" s="37">
        <v>655</v>
      </c>
      <c r="D7" s="14">
        <f t="shared" si="4"/>
        <v>400</v>
      </c>
      <c r="E7" s="12">
        <f t="shared" si="1"/>
        <v>0.4</v>
      </c>
      <c r="F7" s="13">
        <f t="shared" si="2"/>
        <v>7</v>
      </c>
      <c r="G7" s="12">
        <f t="shared" si="3"/>
        <v>0.10000000000000003</v>
      </c>
      <c r="H7" s="12">
        <f t="shared" si="0"/>
        <v>69.999999999999972</v>
      </c>
      <c r="J7" s="186"/>
      <c r="K7" s="36"/>
    </row>
    <row r="8" spans="2:21">
      <c r="B8" s="14">
        <v>5</v>
      </c>
      <c r="C8" s="37">
        <v>650</v>
      </c>
      <c r="D8" s="14">
        <f t="shared" si="4"/>
        <v>500</v>
      </c>
      <c r="E8" s="12">
        <f t="shared" si="1"/>
        <v>0.5</v>
      </c>
      <c r="F8" s="13">
        <f t="shared" si="2"/>
        <v>5</v>
      </c>
      <c r="G8" s="12">
        <f t="shared" si="3"/>
        <v>9.9999999999999978E-2</v>
      </c>
      <c r="H8" s="12">
        <f t="shared" si="0"/>
        <v>50.000000000000014</v>
      </c>
      <c r="J8" s="186"/>
      <c r="K8" s="36"/>
    </row>
    <row r="9" spans="2:21">
      <c r="B9" s="14">
        <v>6</v>
      </c>
      <c r="C9" s="37">
        <v>644</v>
      </c>
      <c r="D9" s="14">
        <f t="shared" si="4"/>
        <v>600</v>
      </c>
      <c r="E9" s="12">
        <f t="shared" si="1"/>
        <v>0.6</v>
      </c>
      <c r="F9" s="13">
        <f t="shared" si="2"/>
        <v>6</v>
      </c>
      <c r="G9" s="12">
        <f t="shared" si="3"/>
        <v>9.9999999999999978E-2</v>
      </c>
      <c r="H9" s="12">
        <f t="shared" si="0"/>
        <v>60.000000000000014</v>
      </c>
      <c r="J9" s="186"/>
      <c r="K9" s="36"/>
    </row>
    <row r="10" spans="2:21">
      <c r="B10" s="14">
        <v>7</v>
      </c>
      <c r="C10" s="37">
        <v>641</v>
      </c>
      <c r="D10" s="14">
        <f t="shared" si="4"/>
        <v>700</v>
      </c>
      <c r="E10" s="12">
        <f t="shared" si="1"/>
        <v>0.7</v>
      </c>
      <c r="F10" s="13">
        <f t="shared" si="2"/>
        <v>3</v>
      </c>
      <c r="G10" s="12">
        <f t="shared" si="3"/>
        <v>9.9999999999999978E-2</v>
      </c>
      <c r="H10" s="12">
        <f t="shared" si="0"/>
        <v>30.000000000000007</v>
      </c>
      <c r="J10" s="186"/>
      <c r="K10" s="36"/>
    </row>
    <row r="11" spans="2:21">
      <c r="B11" s="14">
        <v>8</v>
      </c>
      <c r="C11" s="37">
        <v>638</v>
      </c>
      <c r="D11" s="14">
        <f t="shared" si="4"/>
        <v>800</v>
      </c>
      <c r="E11" s="12">
        <f t="shared" si="1"/>
        <v>0.8</v>
      </c>
      <c r="F11" s="13">
        <f t="shared" si="2"/>
        <v>3</v>
      </c>
      <c r="G11" s="12">
        <f t="shared" si="3"/>
        <v>0.10000000000000009</v>
      </c>
      <c r="H11" s="12">
        <f t="shared" si="0"/>
        <v>29.999999999999972</v>
      </c>
      <c r="J11" s="186"/>
      <c r="K11" s="36"/>
    </row>
    <row r="12" spans="2:21">
      <c r="B12" s="14">
        <v>9</v>
      </c>
      <c r="C12" s="37">
        <v>635</v>
      </c>
      <c r="D12" s="14">
        <f t="shared" si="4"/>
        <v>900</v>
      </c>
      <c r="E12" s="12">
        <f t="shared" si="1"/>
        <v>0.9</v>
      </c>
      <c r="F12" s="13">
        <f t="shared" si="2"/>
        <v>3</v>
      </c>
      <c r="G12" s="12">
        <f t="shared" si="3"/>
        <v>9.9999999999999978E-2</v>
      </c>
      <c r="H12" s="12">
        <f t="shared" si="0"/>
        <v>30.000000000000007</v>
      </c>
      <c r="J12" s="186"/>
      <c r="K12" s="36"/>
    </row>
    <row r="13" spans="2:21">
      <c r="B13" s="14">
        <v>10</v>
      </c>
      <c r="C13" s="37">
        <v>634</v>
      </c>
      <c r="D13" s="14">
        <f t="shared" si="4"/>
        <v>1000</v>
      </c>
      <c r="E13" s="12">
        <f t="shared" si="1"/>
        <v>1</v>
      </c>
      <c r="F13" s="13">
        <f t="shared" si="2"/>
        <v>1</v>
      </c>
      <c r="G13" s="12">
        <f t="shared" si="3"/>
        <v>9.9999999999999978E-2</v>
      </c>
      <c r="H13" s="12">
        <f t="shared" si="0"/>
        <v>10.000000000000002</v>
      </c>
      <c r="J13" s="186"/>
      <c r="K13" s="36"/>
    </row>
    <row r="14" spans="2:21">
      <c r="B14" s="14">
        <v>11</v>
      </c>
      <c r="C14" s="37">
        <v>631</v>
      </c>
      <c r="D14" s="14">
        <f t="shared" si="4"/>
        <v>1100</v>
      </c>
      <c r="E14" s="12">
        <f t="shared" si="1"/>
        <v>1.1000000000000001</v>
      </c>
      <c r="F14" s="13">
        <f t="shared" si="2"/>
        <v>3</v>
      </c>
      <c r="G14" s="12">
        <f t="shared" si="3"/>
        <v>0.10000000000000009</v>
      </c>
      <c r="H14" s="12">
        <f t="shared" si="0"/>
        <v>29.999999999999972</v>
      </c>
      <c r="J14" s="186"/>
      <c r="K14" s="36"/>
    </row>
    <row r="15" spans="2:21">
      <c r="B15" s="14">
        <v>12</v>
      </c>
      <c r="C15" s="37">
        <v>630</v>
      </c>
      <c r="D15" s="14">
        <f t="shared" si="4"/>
        <v>1200</v>
      </c>
      <c r="E15" s="12">
        <f t="shared" si="1"/>
        <v>1.2</v>
      </c>
      <c r="F15" s="13">
        <f t="shared" si="2"/>
        <v>1</v>
      </c>
      <c r="G15" s="12">
        <f t="shared" si="3"/>
        <v>9.9999999999999867E-2</v>
      </c>
      <c r="H15" s="12">
        <f t="shared" si="0"/>
        <v>10.000000000000014</v>
      </c>
      <c r="J15" s="186"/>
      <c r="K15" s="36"/>
    </row>
    <row r="16" spans="2:21">
      <c r="B16" s="14">
        <v>13</v>
      </c>
      <c r="C16" s="37">
        <v>629</v>
      </c>
      <c r="D16" s="14">
        <f t="shared" si="4"/>
        <v>1300</v>
      </c>
      <c r="E16" s="12">
        <f t="shared" si="1"/>
        <v>1.3</v>
      </c>
      <c r="F16" s="13">
        <f t="shared" si="2"/>
        <v>1</v>
      </c>
      <c r="G16" s="12">
        <f t="shared" si="3"/>
        <v>0.10000000000000009</v>
      </c>
      <c r="H16" s="12">
        <f t="shared" si="0"/>
        <v>9.9999999999999911</v>
      </c>
      <c r="J16" s="186"/>
      <c r="K16" s="36"/>
    </row>
    <row r="17" spans="2:8">
      <c r="B17" s="14" t="s">
        <v>33</v>
      </c>
      <c r="C17" s="37">
        <v>628</v>
      </c>
      <c r="D17" s="37">
        <f ca="1">'BC11 (RAC)'!E7*1000</f>
        <v>1360.0747739946264</v>
      </c>
      <c r="E17" s="12">
        <f t="shared" ca="1" si="1"/>
        <v>1.3600747739946264</v>
      </c>
      <c r="F17" s="13">
        <f t="shared" si="2"/>
        <v>1</v>
      </c>
      <c r="G17" s="12">
        <f t="shared" ca="1" si="3"/>
        <v>6.0074773994626351E-2</v>
      </c>
      <c r="H17" s="12">
        <f t="shared" ca="1" si="0"/>
        <v>16.645921965340218</v>
      </c>
    </row>
    <row r="18" spans="2:8" ht="15.75" thickBot="1">
      <c r="B18" s="3"/>
      <c r="C18" s="93"/>
      <c r="D18" s="106"/>
      <c r="E18" s="107"/>
      <c r="F18" s="106"/>
      <c r="G18" s="107"/>
      <c r="H18" s="107"/>
    </row>
    <row r="19" spans="2:8" ht="15.75" thickBot="1">
      <c r="B19" s="4" t="s">
        <v>48</v>
      </c>
      <c r="C19" s="5">
        <f ca="1">(((E17/((G4/SQRT(H4))+(G5/SQRT(H5))+(G6/SQRT(H6))+(G7/SQRT(H7))+(G8/SQRT(H8))+(G9/SQRT(H9))+(G10/SQRT(H10))+(G11/SQRT(H11))+(G12/SQRT(H12))+(G13/SQRT(H13))+(G14/SQRT(H14))+(G15/SQRT(H15))+(G16/SQRT(H16))+(G17/SQRT(H17))))^2)/1000)*1000</f>
        <v>28.553088313230596</v>
      </c>
      <c r="D19" s="6" t="s">
        <v>45</v>
      </c>
      <c r="E19" s="6" t="s">
        <v>49</v>
      </c>
      <c r="F19" s="6"/>
      <c r="G19" s="6"/>
      <c r="H19" s="7"/>
    </row>
    <row r="20" spans="2:8" ht="15.75" thickBot="1">
      <c r="B20" s="4" t="s">
        <v>48</v>
      </c>
      <c r="C20" s="8">
        <f ca="1">C19/1000</f>
        <v>2.8553088313230595E-2</v>
      </c>
      <c r="D20" s="6" t="s">
        <v>46</v>
      </c>
      <c r="E20" s="6" t="s">
        <v>50</v>
      </c>
      <c r="F20" s="6"/>
      <c r="G20" s="6"/>
      <c r="H20" s="7"/>
    </row>
    <row r="21" spans="2:8" ht="15.75" thickBot="1">
      <c r="B21" s="9" t="s">
        <v>48</v>
      </c>
      <c r="C21" s="108">
        <f ca="1">C20*100</f>
        <v>2.8553088313230597</v>
      </c>
      <c r="D21" s="10" t="s">
        <v>47</v>
      </c>
      <c r="E21" s="10" t="s">
        <v>51</v>
      </c>
      <c r="F21" s="10"/>
      <c r="G21" s="10"/>
      <c r="H21" s="11"/>
    </row>
    <row r="26" spans="2:8" ht="13.5" customHeight="1"/>
    <row r="27" spans="2:8" hidden="1"/>
    <row r="39" spans="2:2">
      <c r="B39" t="str">
        <f>"Perfil Longitudinal - "&amp;'BC11 (RAC)'!E5</f>
        <v>Perfil Longitudinal - Córrego Landim</v>
      </c>
    </row>
  </sheetData>
  <mergeCells count="1">
    <mergeCell ref="J3:K3"/>
  </mergeCells>
  <pageMargins left="0.511811024" right="0.511811024" top="0.78740157499999996" bottom="0.78740157499999996" header="0.31496062000000002" footer="0.3149606200000000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D4D62-810B-4A06-B3A5-D0B03F1D0527}">
  <sheetPr codeName="Planilha12">
    <tabColor rgb="FF92D050"/>
  </sheetPr>
  <dimension ref="A1:AD51"/>
  <sheetViews>
    <sheetView showGridLines="0" workbookViewId="0">
      <selection activeCell="B2" sqref="B2:H17"/>
    </sheetView>
  </sheetViews>
  <sheetFormatPr defaultRowHeight="12.75"/>
  <cols>
    <col min="1" max="1" width="3.7109375" style="45" customWidth="1"/>
    <col min="2" max="2" width="12.7109375" style="45" customWidth="1"/>
    <col min="3" max="3" width="19.85546875" style="45" customWidth="1"/>
    <col min="4" max="4" width="13.42578125" style="45" customWidth="1"/>
    <col min="5" max="5" width="8.85546875" style="45" customWidth="1"/>
    <col min="6" max="6" width="6.7109375" style="45" customWidth="1"/>
    <col min="7" max="7" width="8.28515625" style="45" bestFit="1" customWidth="1"/>
    <col min="8" max="8" width="8.28515625" style="45" customWidth="1"/>
    <col min="9" max="9" width="8.140625" style="45" customWidth="1"/>
    <col min="10" max="10" width="9.7109375" style="45" customWidth="1"/>
    <col min="11" max="11" width="15.7109375" style="45" customWidth="1"/>
    <col min="12" max="12" width="8.7109375" style="45" customWidth="1"/>
    <col min="13" max="13" width="6.28515625" style="45" bestFit="1" customWidth="1"/>
    <col min="14" max="14" width="10.42578125" style="45" customWidth="1"/>
    <col min="15" max="15" width="5.7109375" style="45" bestFit="1" customWidth="1"/>
    <col min="16" max="16" width="8.7109375" style="45" customWidth="1"/>
    <col min="17" max="17" width="15" style="45" bestFit="1" customWidth="1"/>
    <col min="18" max="18" width="8.42578125" style="45" customWidth="1"/>
    <col min="19" max="19" width="12.5703125" style="45" bestFit="1" customWidth="1"/>
    <col min="20" max="20" width="12.28515625" style="45" bestFit="1" customWidth="1"/>
    <col min="21" max="21" width="5.28515625" style="45" customWidth="1"/>
    <col min="22" max="22" width="15.42578125" style="45" bestFit="1" customWidth="1"/>
    <col min="23" max="23" width="10.42578125" style="45" bestFit="1" customWidth="1"/>
    <col min="24" max="24" width="9.140625" style="45"/>
    <col min="25" max="25" width="5.140625" style="45" customWidth="1"/>
    <col min="26" max="26" width="9.140625" style="45"/>
    <col min="27" max="27" width="4.140625" style="45" customWidth="1"/>
    <col min="28" max="257" width="9.140625" style="45"/>
    <col min="258" max="258" width="8.7109375" style="45" customWidth="1"/>
    <col min="259" max="259" width="17" style="45" customWidth="1"/>
    <col min="260" max="260" width="14.42578125" style="45" customWidth="1"/>
    <col min="261" max="261" width="10.28515625" style="45" customWidth="1"/>
    <col min="262" max="272" width="8.7109375" style="45" customWidth="1"/>
    <col min="273" max="273" width="9.7109375" style="45" customWidth="1"/>
    <col min="274" max="274" width="8.42578125" style="45" customWidth="1"/>
    <col min="275" max="275" width="9.140625" style="45"/>
    <col min="276" max="276" width="10.7109375" style="45" customWidth="1"/>
    <col min="277" max="277" width="5.28515625" style="45" customWidth="1"/>
    <col min="278" max="278" width="15.42578125" style="45" bestFit="1" customWidth="1"/>
    <col min="279" max="279" width="10.42578125" style="45" bestFit="1" customWidth="1"/>
    <col min="280" max="513" width="9.140625" style="45"/>
    <col min="514" max="514" width="8.7109375" style="45" customWidth="1"/>
    <col min="515" max="515" width="17" style="45" customWidth="1"/>
    <col min="516" max="516" width="14.42578125" style="45" customWidth="1"/>
    <col min="517" max="517" width="10.28515625" style="45" customWidth="1"/>
    <col min="518" max="528" width="8.7109375" style="45" customWidth="1"/>
    <col min="529" max="529" width="9.7109375" style="45" customWidth="1"/>
    <col min="530" max="530" width="8.42578125" style="45" customWidth="1"/>
    <col min="531" max="531" width="9.140625" style="45"/>
    <col min="532" max="532" width="10.7109375" style="45" customWidth="1"/>
    <col min="533" max="533" width="5.28515625" style="45" customWidth="1"/>
    <col min="534" max="534" width="15.42578125" style="45" bestFit="1" customWidth="1"/>
    <col min="535" max="535" width="10.42578125" style="45" bestFit="1" customWidth="1"/>
    <col min="536" max="769" width="9.140625" style="45"/>
    <col min="770" max="770" width="8.7109375" style="45" customWidth="1"/>
    <col min="771" max="771" width="17" style="45" customWidth="1"/>
    <col min="772" max="772" width="14.42578125" style="45" customWidth="1"/>
    <col min="773" max="773" width="10.28515625" style="45" customWidth="1"/>
    <col min="774" max="784" width="8.7109375" style="45" customWidth="1"/>
    <col min="785" max="785" width="9.7109375" style="45" customWidth="1"/>
    <col min="786" max="786" width="8.42578125" style="45" customWidth="1"/>
    <col min="787" max="787" width="9.140625" style="45"/>
    <col min="788" max="788" width="10.7109375" style="45" customWidth="1"/>
    <col min="789" max="789" width="5.28515625" style="45" customWidth="1"/>
    <col min="790" max="790" width="15.42578125" style="45" bestFit="1" customWidth="1"/>
    <col min="791" max="791" width="10.42578125" style="45" bestFit="1" customWidth="1"/>
    <col min="792" max="1025" width="9.140625" style="45"/>
    <col min="1026" max="1026" width="8.7109375" style="45" customWidth="1"/>
    <col min="1027" max="1027" width="17" style="45" customWidth="1"/>
    <col min="1028" max="1028" width="14.42578125" style="45" customWidth="1"/>
    <col min="1029" max="1029" width="10.28515625" style="45" customWidth="1"/>
    <col min="1030" max="1040" width="8.7109375" style="45" customWidth="1"/>
    <col min="1041" max="1041" width="9.7109375" style="45" customWidth="1"/>
    <col min="1042" max="1042" width="8.42578125" style="45" customWidth="1"/>
    <col min="1043" max="1043" width="9.140625" style="45"/>
    <col min="1044" max="1044" width="10.7109375" style="45" customWidth="1"/>
    <col min="1045" max="1045" width="5.28515625" style="45" customWidth="1"/>
    <col min="1046" max="1046" width="15.42578125" style="45" bestFit="1" customWidth="1"/>
    <col min="1047" max="1047" width="10.42578125" style="45" bestFit="1" customWidth="1"/>
    <col min="1048" max="1281" width="9.140625" style="45"/>
    <col min="1282" max="1282" width="8.7109375" style="45" customWidth="1"/>
    <col min="1283" max="1283" width="17" style="45" customWidth="1"/>
    <col min="1284" max="1284" width="14.42578125" style="45" customWidth="1"/>
    <col min="1285" max="1285" width="10.28515625" style="45" customWidth="1"/>
    <col min="1286" max="1296" width="8.7109375" style="45" customWidth="1"/>
    <col min="1297" max="1297" width="9.7109375" style="45" customWidth="1"/>
    <col min="1298" max="1298" width="8.42578125" style="45" customWidth="1"/>
    <col min="1299" max="1299" width="9.140625" style="45"/>
    <col min="1300" max="1300" width="10.7109375" style="45" customWidth="1"/>
    <col min="1301" max="1301" width="5.28515625" style="45" customWidth="1"/>
    <col min="1302" max="1302" width="15.42578125" style="45" bestFit="1" customWidth="1"/>
    <col min="1303" max="1303" width="10.42578125" style="45" bestFit="1" customWidth="1"/>
    <col min="1304" max="1537" width="9.140625" style="45"/>
    <col min="1538" max="1538" width="8.7109375" style="45" customWidth="1"/>
    <col min="1539" max="1539" width="17" style="45" customWidth="1"/>
    <col min="1540" max="1540" width="14.42578125" style="45" customWidth="1"/>
    <col min="1541" max="1541" width="10.28515625" style="45" customWidth="1"/>
    <col min="1542" max="1552" width="8.7109375" style="45" customWidth="1"/>
    <col min="1553" max="1553" width="9.7109375" style="45" customWidth="1"/>
    <col min="1554" max="1554" width="8.42578125" style="45" customWidth="1"/>
    <col min="1555" max="1555" width="9.140625" style="45"/>
    <col min="1556" max="1556" width="10.7109375" style="45" customWidth="1"/>
    <col min="1557" max="1557" width="5.28515625" style="45" customWidth="1"/>
    <col min="1558" max="1558" width="15.42578125" style="45" bestFit="1" customWidth="1"/>
    <col min="1559" max="1559" width="10.42578125" style="45" bestFit="1" customWidth="1"/>
    <col min="1560" max="1793" width="9.140625" style="45"/>
    <col min="1794" max="1794" width="8.7109375" style="45" customWidth="1"/>
    <col min="1795" max="1795" width="17" style="45" customWidth="1"/>
    <col min="1796" max="1796" width="14.42578125" style="45" customWidth="1"/>
    <col min="1797" max="1797" width="10.28515625" style="45" customWidth="1"/>
    <col min="1798" max="1808" width="8.7109375" style="45" customWidth="1"/>
    <col min="1809" max="1809" width="9.7109375" style="45" customWidth="1"/>
    <col min="1810" max="1810" width="8.42578125" style="45" customWidth="1"/>
    <col min="1811" max="1811" width="9.140625" style="45"/>
    <col min="1812" max="1812" width="10.7109375" style="45" customWidth="1"/>
    <col min="1813" max="1813" width="5.28515625" style="45" customWidth="1"/>
    <col min="1814" max="1814" width="15.42578125" style="45" bestFit="1" customWidth="1"/>
    <col min="1815" max="1815" width="10.42578125" style="45" bestFit="1" customWidth="1"/>
    <col min="1816" max="2049" width="9.140625" style="45"/>
    <col min="2050" max="2050" width="8.7109375" style="45" customWidth="1"/>
    <col min="2051" max="2051" width="17" style="45" customWidth="1"/>
    <col min="2052" max="2052" width="14.42578125" style="45" customWidth="1"/>
    <col min="2053" max="2053" width="10.28515625" style="45" customWidth="1"/>
    <col min="2054" max="2064" width="8.7109375" style="45" customWidth="1"/>
    <col min="2065" max="2065" width="9.7109375" style="45" customWidth="1"/>
    <col min="2066" max="2066" width="8.42578125" style="45" customWidth="1"/>
    <col min="2067" max="2067" width="9.140625" style="45"/>
    <col min="2068" max="2068" width="10.7109375" style="45" customWidth="1"/>
    <col min="2069" max="2069" width="5.28515625" style="45" customWidth="1"/>
    <col min="2070" max="2070" width="15.42578125" style="45" bestFit="1" customWidth="1"/>
    <col min="2071" max="2071" width="10.42578125" style="45" bestFit="1" customWidth="1"/>
    <col min="2072" max="2305" width="9.140625" style="45"/>
    <col min="2306" max="2306" width="8.7109375" style="45" customWidth="1"/>
    <col min="2307" max="2307" width="17" style="45" customWidth="1"/>
    <col min="2308" max="2308" width="14.42578125" style="45" customWidth="1"/>
    <col min="2309" max="2309" width="10.28515625" style="45" customWidth="1"/>
    <col min="2310" max="2320" width="8.7109375" style="45" customWidth="1"/>
    <col min="2321" max="2321" width="9.7109375" style="45" customWidth="1"/>
    <col min="2322" max="2322" width="8.42578125" style="45" customWidth="1"/>
    <col min="2323" max="2323" width="9.140625" style="45"/>
    <col min="2324" max="2324" width="10.7109375" style="45" customWidth="1"/>
    <col min="2325" max="2325" width="5.28515625" style="45" customWidth="1"/>
    <col min="2326" max="2326" width="15.42578125" style="45" bestFit="1" customWidth="1"/>
    <col min="2327" max="2327" width="10.42578125" style="45" bestFit="1" customWidth="1"/>
    <col min="2328" max="2561" width="9.140625" style="45"/>
    <col min="2562" max="2562" width="8.7109375" style="45" customWidth="1"/>
    <col min="2563" max="2563" width="17" style="45" customWidth="1"/>
    <col min="2564" max="2564" width="14.42578125" style="45" customWidth="1"/>
    <col min="2565" max="2565" width="10.28515625" style="45" customWidth="1"/>
    <col min="2566" max="2576" width="8.7109375" style="45" customWidth="1"/>
    <col min="2577" max="2577" width="9.7109375" style="45" customWidth="1"/>
    <col min="2578" max="2578" width="8.42578125" style="45" customWidth="1"/>
    <col min="2579" max="2579" width="9.140625" style="45"/>
    <col min="2580" max="2580" width="10.7109375" style="45" customWidth="1"/>
    <col min="2581" max="2581" width="5.28515625" style="45" customWidth="1"/>
    <col min="2582" max="2582" width="15.42578125" style="45" bestFit="1" customWidth="1"/>
    <col min="2583" max="2583" width="10.42578125" style="45" bestFit="1" customWidth="1"/>
    <col min="2584" max="2817" width="9.140625" style="45"/>
    <col min="2818" max="2818" width="8.7109375" style="45" customWidth="1"/>
    <col min="2819" max="2819" width="17" style="45" customWidth="1"/>
    <col min="2820" max="2820" width="14.42578125" style="45" customWidth="1"/>
    <col min="2821" max="2821" width="10.28515625" style="45" customWidth="1"/>
    <col min="2822" max="2832" width="8.7109375" style="45" customWidth="1"/>
    <col min="2833" max="2833" width="9.7109375" style="45" customWidth="1"/>
    <col min="2834" max="2834" width="8.42578125" style="45" customWidth="1"/>
    <col min="2835" max="2835" width="9.140625" style="45"/>
    <col min="2836" max="2836" width="10.7109375" style="45" customWidth="1"/>
    <col min="2837" max="2837" width="5.28515625" style="45" customWidth="1"/>
    <col min="2838" max="2838" width="15.42578125" style="45" bestFit="1" customWidth="1"/>
    <col min="2839" max="2839" width="10.42578125" style="45" bestFit="1" customWidth="1"/>
    <col min="2840" max="3073" width="9.140625" style="45"/>
    <col min="3074" max="3074" width="8.7109375" style="45" customWidth="1"/>
    <col min="3075" max="3075" width="17" style="45" customWidth="1"/>
    <col min="3076" max="3076" width="14.42578125" style="45" customWidth="1"/>
    <col min="3077" max="3077" width="10.28515625" style="45" customWidth="1"/>
    <col min="3078" max="3088" width="8.7109375" style="45" customWidth="1"/>
    <col min="3089" max="3089" width="9.7109375" style="45" customWidth="1"/>
    <col min="3090" max="3090" width="8.42578125" style="45" customWidth="1"/>
    <col min="3091" max="3091" width="9.140625" style="45"/>
    <col min="3092" max="3092" width="10.7109375" style="45" customWidth="1"/>
    <col min="3093" max="3093" width="5.28515625" style="45" customWidth="1"/>
    <col min="3094" max="3094" width="15.42578125" style="45" bestFit="1" customWidth="1"/>
    <col min="3095" max="3095" width="10.42578125" style="45" bestFit="1" customWidth="1"/>
    <col min="3096" max="3329" width="9.140625" style="45"/>
    <col min="3330" max="3330" width="8.7109375" style="45" customWidth="1"/>
    <col min="3331" max="3331" width="17" style="45" customWidth="1"/>
    <col min="3332" max="3332" width="14.42578125" style="45" customWidth="1"/>
    <col min="3333" max="3333" width="10.28515625" style="45" customWidth="1"/>
    <col min="3334" max="3344" width="8.7109375" style="45" customWidth="1"/>
    <col min="3345" max="3345" width="9.7109375" style="45" customWidth="1"/>
    <col min="3346" max="3346" width="8.42578125" style="45" customWidth="1"/>
    <col min="3347" max="3347" width="9.140625" style="45"/>
    <col min="3348" max="3348" width="10.7109375" style="45" customWidth="1"/>
    <col min="3349" max="3349" width="5.28515625" style="45" customWidth="1"/>
    <col min="3350" max="3350" width="15.42578125" style="45" bestFit="1" customWidth="1"/>
    <col min="3351" max="3351" width="10.42578125" style="45" bestFit="1" customWidth="1"/>
    <col min="3352" max="3585" width="9.140625" style="45"/>
    <col min="3586" max="3586" width="8.7109375" style="45" customWidth="1"/>
    <col min="3587" max="3587" width="17" style="45" customWidth="1"/>
    <col min="3588" max="3588" width="14.42578125" style="45" customWidth="1"/>
    <col min="3589" max="3589" width="10.28515625" style="45" customWidth="1"/>
    <col min="3590" max="3600" width="8.7109375" style="45" customWidth="1"/>
    <col min="3601" max="3601" width="9.7109375" style="45" customWidth="1"/>
    <col min="3602" max="3602" width="8.42578125" style="45" customWidth="1"/>
    <col min="3603" max="3603" width="9.140625" style="45"/>
    <col min="3604" max="3604" width="10.7109375" style="45" customWidth="1"/>
    <col min="3605" max="3605" width="5.28515625" style="45" customWidth="1"/>
    <col min="3606" max="3606" width="15.42578125" style="45" bestFit="1" customWidth="1"/>
    <col min="3607" max="3607" width="10.42578125" style="45" bestFit="1" customWidth="1"/>
    <col min="3608" max="3841" width="9.140625" style="45"/>
    <col min="3842" max="3842" width="8.7109375" style="45" customWidth="1"/>
    <col min="3843" max="3843" width="17" style="45" customWidth="1"/>
    <col min="3844" max="3844" width="14.42578125" style="45" customWidth="1"/>
    <col min="3845" max="3845" width="10.28515625" style="45" customWidth="1"/>
    <col min="3846" max="3856" width="8.7109375" style="45" customWidth="1"/>
    <col min="3857" max="3857" width="9.7109375" style="45" customWidth="1"/>
    <col min="3858" max="3858" width="8.42578125" style="45" customWidth="1"/>
    <col min="3859" max="3859" width="9.140625" style="45"/>
    <col min="3860" max="3860" width="10.7109375" style="45" customWidth="1"/>
    <col min="3861" max="3861" width="5.28515625" style="45" customWidth="1"/>
    <col min="3862" max="3862" width="15.42578125" style="45" bestFit="1" customWidth="1"/>
    <col min="3863" max="3863" width="10.42578125" style="45" bestFit="1" customWidth="1"/>
    <col min="3864" max="4097" width="9.140625" style="45"/>
    <col min="4098" max="4098" width="8.7109375" style="45" customWidth="1"/>
    <col min="4099" max="4099" width="17" style="45" customWidth="1"/>
    <col min="4100" max="4100" width="14.42578125" style="45" customWidth="1"/>
    <col min="4101" max="4101" width="10.28515625" style="45" customWidth="1"/>
    <col min="4102" max="4112" width="8.7109375" style="45" customWidth="1"/>
    <col min="4113" max="4113" width="9.7109375" style="45" customWidth="1"/>
    <col min="4114" max="4114" width="8.42578125" style="45" customWidth="1"/>
    <col min="4115" max="4115" width="9.140625" style="45"/>
    <col min="4116" max="4116" width="10.7109375" style="45" customWidth="1"/>
    <col min="4117" max="4117" width="5.28515625" style="45" customWidth="1"/>
    <col min="4118" max="4118" width="15.42578125" style="45" bestFit="1" customWidth="1"/>
    <col min="4119" max="4119" width="10.42578125" style="45" bestFit="1" customWidth="1"/>
    <col min="4120" max="4353" width="9.140625" style="45"/>
    <col min="4354" max="4354" width="8.7109375" style="45" customWidth="1"/>
    <col min="4355" max="4355" width="17" style="45" customWidth="1"/>
    <col min="4356" max="4356" width="14.42578125" style="45" customWidth="1"/>
    <col min="4357" max="4357" width="10.28515625" style="45" customWidth="1"/>
    <col min="4358" max="4368" width="8.7109375" style="45" customWidth="1"/>
    <col min="4369" max="4369" width="9.7109375" style="45" customWidth="1"/>
    <col min="4370" max="4370" width="8.42578125" style="45" customWidth="1"/>
    <col min="4371" max="4371" width="9.140625" style="45"/>
    <col min="4372" max="4372" width="10.7109375" style="45" customWidth="1"/>
    <col min="4373" max="4373" width="5.28515625" style="45" customWidth="1"/>
    <col min="4374" max="4374" width="15.42578125" style="45" bestFit="1" customWidth="1"/>
    <col min="4375" max="4375" width="10.42578125" style="45" bestFit="1" customWidth="1"/>
    <col min="4376" max="4609" width="9.140625" style="45"/>
    <col min="4610" max="4610" width="8.7109375" style="45" customWidth="1"/>
    <col min="4611" max="4611" width="17" style="45" customWidth="1"/>
    <col min="4612" max="4612" width="14.42578125" style="45" customWidth="1"/>
    <col min="4613" max="4613" width="10.28515625" style="45" customWidth="1"/>
    <col min="4614" max="4624" width="8.7109375" style="45" customWidth="1"/>
    <col min="4625" max="4625" width="9.7109375" style="45" customWidth="1"/>
    <col min="4626" max="4626" width="8.42578125" style="45" customWidth="1"/>
    <col min="4627" max="4627" width="9.140625" style="45"/>
    <col min="4628" max="4628" width="10.7109375" style="45" customWidth="1"/>
    <col min="4629" max="4629" width="5.28515625" style="45" customWidth="1"/>
    <col min="4630" max="4630" width="15.42578125" style="45" bestFit="1" customWidth="1"/>
    <col min="4631" max="4631" width="10.42578125" style="45" bestFit="1" customWidth="1"/>
    <col min="4632" max="4865" width="9.140625" style="45"/>
    <col min="4866" max="4866" width="8.7109375" style="45" customWidth="1"/>
    <col min="4867" max="4867" width="17" style="45" customWidth="1"/>
    <col min="4868" max="4868" width="14.42578125" style="45" customWidth="1"/>
    <col min="4869" max="4869" width="10.28515625" style="45" customWidth="1"/>
    <col min="4870" max="4880" width="8.7109375" style="45" customWidth="1"/>
    <col min="4881" max="4881" width="9.7109375" style="45" customWidth="1"/>
    <col min="4882" max="4882" width="8.42578125" style="45" customWidth="1"/>
    <col min="4883" max="4883" width="9.140625" style="45"/>
    <col min="4884" max="4884" width="10.7109375" style="45" customWidth="1"/>
    <col min="4885" max="4885" width="5.28515625" style="45" customWidth="1"/>
    <col min="4886" max="4886" width="15.42578125" style="45" bestFit="1" customWidth="1"/>
    <col min="4887" max="4887" width="10.42578125" style="45" bestFit="1" customWidth="1"/>
    <col min="4888" max="5121" width="9.140625" style="45"/>
    <col min="5122" max="5122" width="8.7109375" style="45" customWidth="1"/>
    <col min="5123" max="5123" width="17" style="45" customWidth="1"/>
    <col min="5124" max="5124" width="14.42578125" style="45" customWidth="1"/>
    <col min="5125" max="5125" width="10.28515625" style="45" customWidth="1"/>
    <col min="5126" max="5136" width="8.7109375" style="45" customWidth="1"/>
    <col min="5137" max="5137" width="9.7109375" style="45" customWidth="1"/>
    <col min="5138" max="5138" width="8.42578125" style="45" customWidth="1"/>
    <col min="5139" max="5139" width="9.140625" style="45"/>
    <col min="5140" max="5140" width="10.7109375" style="45" customWidth="1"/>
    <col min="5141" max="5141" width="5.28515625" style="45" customWidth="1"/>
    <col min="5142" max="5142" width="15.42578125" style="45" bestFit="1" customWidth="1"/>
    <col min="5143" max="5143" width="10.42578125" style="45" bestFit="1" customWidth="1"/>
    <col min="5144" max="5377" width="9.140625" style="45"/>
    <col min="5378" max="5378" width="8.7109375" style="45" customWidth="1"/>
    <col min="5379" max="5379" width="17" style="45" customWidth="1"/>
    <col min="5380" max="5380" width="14.42578125" style="45" customWidth="1"/>
    <col min="5381" max="5381" width="10.28515625" style="45" customWidth="1"/>
    <col min="5382" max="5392" width="8.7109375" style="45" customWidth="1"/>
    <col min="5393" max="5393" width="9.7109375" style="45" customWidth="1"/>
    <col min="5394" max="5394" width="8.42578125" style="45" customWidth="1"/>
    <col min="5395" max="5395" width="9.140625" style="45"/>
    <col min="5396" max="5396" width="10.7109375" style="45" customWidth="1"/>
    <col min="5397" max="5397" width="5.28515625" style="45" customWidth="1"/>
    <col min="5398" max="5398" width="15.42578125" style="45" bestFit="1" customWidth="1"/>
    <col min="5399" max="5399" width="10.42578125" style="45" bestFit="1" customWidth="1"/>
    <col min="5400" max="5633" width="9.140625" style="45"/>
    <col min="5634" max="5634" width="8.7109375" style="45" customWidth="1"/>
    <col min="5635" max="5635" width="17" style="45" customWidth="1"/>
    <col min="5636" max="5636" width="14.42578125" style="45" customWidth="1"/>
    <col min="5637" max="5637" width="10.28515625" style="45" customWidth="1"/>
    <col min="5638" max="5648" width="8.7109375" style="45" customWidth="1"/>
    <col min="5649" max="5649" width="9.7109375" style="45" customWidth="1"/>
    <col min="5650" max="5650" width="8.42578125" style="45" customWidth="1"/>
    <col min="5651" max="5651" width="9.140625" style="45"/>
    <col min="5652" max="5652" width="10.7109375" style="45" customWidth="1"/>
    <col min="5653" max="5653" width="5.28515625" style="45" customWidth="1"/>
    <col min="5654" max="5654" width="15.42578125" style="45" bestFit="1" customWidth="1"/>
    <col min="5655" max="5655" width="10.42578125" style="45" bestFit="1" customWidth="1"/>
    <col min="5656" max="5889" width="9.140625" style="45"/>
    <col min="5890" max="5890" width="8.7109375" style="45" customWidth="1"/>
    <col min="5891" max="5891" width="17" style="45" customWidth="1"/>
    <col min="5892" max="5892" width="14.42578125" style="45" customWidth="1"/>
    <col min="5893" max="5893" width="10.28515625" style="45" customWidth="1"/>
    <col min="5894" max="5904" width="8.7109375" style="45" customWidth="1"/>
    <col min="5905" max="5905" width="9.7109375" style="45" customWidth="1"/>
    <col min="5906" max="5906" width="8.42578125" style="45" customWidth="1"/>
    <col min="5907" max="5907" width="9.140625" style="45"/>
    <col min="5908" max="5908" width="10.7109375" style="45" customWidth="1"/>
    <col min="5909" max="5909" width="5.28515625" style="45" customWidth="1"/>
    <col min="5910" max="5910" width="15.42578125" style="45" bestFit="1" customWidth="1"/>
    <col min="5911" max="5911" width="10.42578125" style="45" bestFit="1" customWidth="1"/>
    <col min="5912" max="6145" width="9.140625" style="45"/>
    <col min="6146" max="6146" width="8.7109375" style="45" customWidth="1"/>
    <col min="6147" max="6147" width="17" style="45" customWidth="1"/>
    <col min="6148" max="6148" width="14.42578125" style="45" customWidth="1"/>
    <col min="6149" max="6149" width="10.28515625" style="45" customWidth="1"/>
    <col min="6150" max="6160" width="8.7109375" style="45" customWidth="1"/>
    <col min="6161" max="6161" width="9.7109375" style="45" customWidth="1"/>
    <col min="6162" max="6162" width="8.42578125" style="45" customWidth="1"/>
    <col min="6163" max="6163" width="9.140625" style="45"/>
    <col min="6164" max="6164" width="10.7109375" style="45" customWidth="1"/>
    <col min="6165" max="6165" width="5.28515625" style="45" customWidth="1"/>
    <col min="6166" max="6166" width="15.42578125" style="45" bestFit="1" customWidth="1"/>
    <col min="6167" max="6167" width="10.42578125" style="45" bestFit="1" customWidth="1"/>
    <col min="6168" max="6401" width="9.140625" style="45"/>
    <col min="6402" max="6402" width="8.7109375" style="45" customWidth="1"/>
    <col min="6403" max="6403" width="17" style="45" customWidth="1"/>
    <col min="6404" max="6404" width="14.42578125" style="45" customWidth="1"/>
    <col min="6405" max="6405" width="10.28515625" style="45" customWidth="1"/>
    <col min="6406" max="6416" width="8.7109375" style="45" customWidth="1"/>
    <col min="6417" max="6417" width="9.7109375" style="45" customWidth="1"/>
    <col min="6418" max="6418" width="8.42578125" style="45" customWidth="1"/>
    <col min="6419" max="6419" width="9.140625" style="45"/>
    <col min="6420" max="6420" width="10.7109375" style="45" customWidth="1"/>
    <col min="6421" max="6421" width="5.28515625" style="45" customWidth="1"/>
    <col min="6422" max="6422" width="15.42578125" style="45" bestFit="1" customWidth="1"/>
    <col min="6423" max="6423" width="10.42578125" style="45" bestFit="1" customWidth="1"/>
    <col min="6424" max="6657" width="9.140625" style="45"/>
    <col min="6658" max="6658" width="8.7109375" style="45" customWidth="1"/>
    <col min="6659" max="6659" width="17" style="45" customWidth="1"/>
    <col min="6660" max="6660" width="14.42578125" style="45" customWidth="1"/>
    <col min="6661" max="6661" width="10.28515625" style="45" customWidth="1"/>
    <col min="6662" max="6672" width="8.7109375" style="45" customWidth="1"/>
    <col min="6673" max="6673" width="9.7109375" style="45" customWidth="1"/>
    <col min="6674" max="6674" width="8.42578125" style="45" customWidth="1"/>
    <col min="6675" max="6675" width="9.140625" style="45"/>
    <col min="6676" max="6676" width="10.7109375" style="45" customWidth="1"/>
    <col min="6677" max="6677" width="5.28515625" style="45" customWidth="1"/>
    <col min="6678" max="6678" width="15.42578125" style="45" bestFit="1" customWidth="1"/>
    <col min="6679" max="6679" width="10.42578125" style="45" bestFit="1" customWidth="1"/>
    <col min="6680" max="6913" width="9.140625" style="45"/>
    <col min="6914" max="6914" width="8.7109375" style="45" customWidth="1"/>
    <col min="6915" max="6915" width="17" style="45" customWidth="1"/>
    <col min="6916" max="6916" width="14.42578125" style="45" customWidth="1"/>
    <col min="6917" max="6917" width="10.28515625" style="45" customWidth="1"/>
    <col min="6918" max="6928" width="8.7109375" style="45" customWidth="1"/>
    <col min="6929" max="6929" width="9.7109375" style="45" customWidth="1"/>
    <col min="6930" max="6930" width="8.42578125" style="45" customWidth="1"/>
    <col min="6931" max="6931" width="9.140625" style="45"/>
    <col min="6932" max="6932" width="10.7109375" style="45" customWidth="1"/>
    <col min="6933" max="6933" width="5.28515625" style="45" customWidth="1"/>
    <col min="6934" max="6934" width="15.42578125" style="45" bestFit="1" customWidth="1"/>
    <col min="6935" max="6935" width="10.42578125" style="45" bestFit="1" customWidth="1"/>
    <col min="6936" max="7169" width="9.140625" style="45"/>
    <col min="7170" max="7170" width="8.7109375" style="45" customWidth="1"/>
    <col min="7171" max="7171" width="17" style="45" customWidth="1"/>
    <col min="7172" max="7172" width="14.42578125" style="45" customWidth="1"/>
    <col min="7173" max="7173" width="10.28515625" style="45" customWidth="1"/>
    <col min="7174" max="7184" width="8.7109375" style="45" customWidth="1"/>
    <col min="7185" max="7185" width="9.7109375" style="45" customWidth="1"/>
    <col min="7186" max="7186" width="8.42578125" style="45" customWidth="1"/>
    <col min="7187" max="7187" width="9.140625" style="45"/>
    <col min="7188" max="7188" width="10.7109375" style="45" customWidth="1"/>
    <col min="7189" max="7189" width="5.28515625" style="45" customWidth="1"/>
    <col min="7190" max="7190" width="15.42578125" style="45" bestFit="1" customWidth="1"/>
    <col min="7191" max="7191" width="10.42578125" style="45" bestFit="1" customWidth="1"/>
    <col min="7192" max="7425" width="9.140625" style="45"/>
    <col min="7426" max="7426" width="8.7109375" style="45" customWidth="1"/>
    <col min="7427" max="7427" width="17" style="45" customWidth="1"/>
    <col min="7428" max="7428" width="14.42578125" style="45" customWidth="1"/>
    <col min="7429" max="7429" width="10.28515625" style="45" customWidth="1"/>
    <col min="7430" max="7440" width="8.7109375" style="45" customWidth="1"/>
    <col min="7441" max="7441" width="9.7109375" style="45" customWidth="1"/>
    <col min="7442" max="7442" width="8.42578125" style="45" customWidth="1"/>
    <col min="7443" max="7443" width="9.140625" style="45"/>
    <col min="7444" max="7444" width="10.7109375" style="45" customWidth="1"/>
    <col min="7445" max="7445" width="5.28515625" style="45" customWidth="1"/>
    <col min="7446" max="7446" width="15.42578125" style="45" bestFit="1" customWidth="1"/>
    <col min="7447" max="7447" width="10.42578125" style="45" bestFit="1" customWidth="1"/>
    <col min="7448" max="7681" width="9.140625" style="45"/>
    <col min="7682" max="7682" width="8.7109375" style="45" customWidth="1"/>
    <col min="7683" max="7683" width="17" style="45" customWidth="1"/>
    <col min="7684" max="7684" width="14.42578125" style="45" customWidth="1"/>
    <col min="7685" max="7685" width="10.28515625" style="45" customWidth="1"/>
    <col min="7686" max="7696" width="8.7109375" style="45" customWidth="1"/>
    <col min="7697" max="7697" width="9.7109375" style="45" customWidth="1"/>
    <col min="7698" max="7698" width="8.42578125" style="45" customWidth="1"/>
    <col min="7699" max="7699" width="9.140625" style="45"/>
    <col min="7700" max="7700" width="10.7109375" style="45" customWidth="1"/>
    <col min="7701" max="7701" width="5.28515625" style="45" customWidth="1"/>
    <col min="7702" max="7702" width="15.42578125" style="45" bestFit="1" customWidth="1"/>
    <col min="7703" max="7703" width="10.42578125" style="45" bestFit="1" customWidth="1"/>
    <col min="7704" max="7937" width="9.140625" style="45"/>
    <col min="7938" max="7938" width="8.7109375" style="45" customWidth="1"/>
    <col min="7939" max="7939" width="17" style="45" customWidth="1"/>
    <col min="7940" max="7940" width="14.42578125" style="45" customWidth="1"/>
    <col min="7941" max="7941" width="10.28515625" style="45" customWidth="1"/>
    <col min="7942" max="7952" width="8.7109375" style="45" customWidth="1"/>
    <col min="7953" max="7953" width="9.7109375" style="45" customWidth="1"/>
    <col min="7954" max="7954" width="8.42578125" style="45" customWidth="1"/>
    <col min="7955" max="7955" width="9.140625" style="45"/>
    <col min="7956" max="7956" width="10.7109375" style="45" customWidth="1"/>
    <col min="7957" max="7957" width="5.28515625" style="45" customWidth="1"/>
    <col min="7958" max="7958" width="15.42578125" style="45" bestFit="1" customWidth="1"/>
    <col min="7959" max="7959" width="10.42578125" style="45" bestFit="1" customWidth="1"/>
    <col min="7960" max="8193" width="9.140625" style="45"/>
    <col min="8194" max="8194" width="8.7109375" style="45" customWidth="1"/>
    <col min="8195" max="8195" width="17" style="45" customWidth="1"/>
    <col min="8196" max="8196" width="14.42578125" style="45" customWidth="1"/>
    <col min="8197" max="8197" width="10.28515625" style="45" customWidth="1"/>
    <col min="8198" max="8208" width="8.7109375" style="45" customWidth="1"/>
    <col min="8209" max="8209" width="9.7109375" style="45" customWidth="1"/>
    <col min="8210" max="8210" width="8.42578125" style="45" customWidth="1"/>
    <col min="8211" max="8211" width="9.140625" style="45"/>
    <col min="8212" max="8212" width="10.7109375" style="45" customWidth="1"/>
    <col min="8213" max="8213" width="5.28515625" style="45" customWidth="1"/>
    <col min="8214" max="8214" width="15.42578125" style="45" bestFit="1" customWidth="1"/>
    <col min="8215" max="8215" width="10.42578125" style="45" bestFit="1" customWidth="1"/>
    <col min="8216" max="8449" width="9.140625" style="45"/>
    <col min="8450" max="8450" width="8.7109375" style="45" customWidth="1"/>
    <col min="8451" max="8451" width="17" style="45" customWidth="1"/>
    <col min="8452" max="8452" width="14.42578125" style="45" customWidth="1"/>
    <col min="8453" max="8453" width="10.28515625" style="45" customWidth="1"/>
    <col min="8454" max="8464" width="8.7109375" style="45" customWidth="1"/>
    <col min="8465" max="8465" width="9.7109375" style="45" customWidth="1"/>
    <col min="8466" max="8466" width="8.42578125" style="45" customWidth="1"/>
    <col min="8467" max="8467" width="9.140625" style="45"/>
    <col min="8468" max="8468" width="10.7109375" style="45" customWidth="1"/>
    <col min="8469" max="8469" width="5.28515625" style="45" customWidth="1"/>
    <col min="8470" max="8470" width="15.42578125" style="45" bestFit="1" customWidth="1"/>
    <col min="8471" max="8471" width="10.42578125" style="45" bestFit="1" customWidth="1"/>
    <col min="8472" max="8705" width="9.140625" style="45"/>
    <col min="8706" max="8706" width="8.7109375" style="45" customWidth="1"/>
    <col min="8707" max="8707" width="17" style="45" customWidth="1"/>
    <col min="8708" max="8708" width="14.42578125" style="45" customWidth="1"/>
    <col min="8709" max="8709" width="10.28515625" style="45" customWidth="1"/>
    <col min="8710" max="8720" width="8.7109375" style="45" customWidth="1"/>
    <col min="8721" max="8721" width="9.7109375" style="45" customWidth="1"/>
    <col min="8722" max="8722" width="8.42578125" style="45" customWidth="1"/>
    <col min="8723" max="8723" width="9.140625" style="45"/>
    <col min="8724" max="8724" width="10.7109375" style="45" customWidth="1"/>
    <col min="8725" max="8725" width="5.28515625" style="45" customWidth="1"/>
    <col min="8726" max="8726" width="15.42578125" style="45" bestFit="1" customWidth="1"/>
    <col min="8727" max="8727" width="10.42578125" style="45" bestFit="1" customWidth="1"/>
    <col min="8728" max="8961" width="9.140625" style="45"/>
    <col min="8962" max="8962" width="8.7109375" style="45" customWidth="1"/>
    <col min="8963" max="8963" width="17" style="45" customWidth="1"/>
    <col min="8964" max="8964" width="14.42578125" style="45" customWidth="1"/>
    <col min="8965" max="8965" width="10.28515625" style="45" customWidth="1"/>
    <col min="8966" max="8976" width="8.7109375" style="45" customWidth="1"/>
    <col min="8977" max="8977" width="9.7109375" style="45" customWidth="1"/>
    <col min="8978" max="8978" width="8.42578125" style="45" customWidth="1"/>
    <col min="8979" max="8979" width="9.140625" style="45"/>
    <col min="8980" max="8980" width="10.7109375" style="45" customWidth="1"/>
    <col min="8981" max="8981" width="5.28515625" style="45" customWidth="1"/>
    <col min="8982" max="8982" width="15.42578125" style="45" bestFit="1" customWidth="1"/>
    <col min="8983" max="8983" width="10.42578125" style="45" bestFit="1" customWidth="1"/>
    <col min="8984" max="9217" width="9.140625" style="45"/>
    <col min="9218" max="9218" width="8.7109375" style="45" customWidth="1"/>
    <col min="9219" max="9219" width="17" style="45" customWidth="1"/>
    <col min="9220" max="9220" width="14.42578125" style="45" customWidth="1"/>
    <col min="9221" max="9221" width="10.28515625" style="45" customWidth="1"/>
    <col min="9222" max="9232" width="8.7109375" style="45" customWidth="1"/>
    <col min="9233" max="9233" width="9.7109375" style="45" customWidth="1"/>
    <col min="9234" max="9234" width="8.42578125" style="45" customWidth="1"/>
    <col min="9235" max="9235" width="9.140625" style="45"/>
    <col min="9236" max="9236" width="10.7109375" style="45" customWidth="1"/>
    <col min="9237" max="9237" width="5.28515625" style="45" customWidth="1"/>
    <col min="9238" max="9238" width="15.42578125" style="45" bestFit="1" customWidth="1"/>
    <col min="9239" max="9239" width="10.42578125" style="45" bestFit="1" customWidth="1"/>
    <col min="9240" max="9473" width="9.140625" style="45"/>
    <col min="9474" max="9474" width="8.7109375" style="45" customWidth="1"/>
    <col min="9475" max="9475" width="17" style="45" customWidth="1"/>
    <col min="9476" max="9476" width="14.42578125" style="45" customWidth="1"/>
    <col min="9477" max="9477" width="10.28515625" style="45" customWidth="1"/>
    <col min="9478" max="9488" width="8.7109375" style="45" customWidth="1"/>
    <col min="9489" max="9489" width="9.7109375" style="45" customWidth="1"/>
    <col min="9490" max="9490" width="8.42578125" style="45" customWidth="1"/>
    <col min="9491" max="9491" width="9.140625" style="45"/>
    <col min="9492" max="9492" width="10.7109375" style="45" customWidth="1"/>
    <col min="9493" max="9493" width="5.28515625" style="45" customWidth="1"/>
    <col min="9494" max="9494" width="15.42578125" style="45" bestFit="1" customWidth="1"/>
    <col min="9495" max="9495" width="10.42578125" style="45" bestFit="1" customWidth="1"/>
    <col min="9496" max="9729" width="9.140625" style="45"/>
    <col min="9730" max="9730" width="8.7109375" style="45" customWidth="1"/>
    <col min="9731" max="9731" width="17" style="45" customWidth="1"/>
    <col min="9732" max="9732" width="14.42578125" style="45" customWidth="1"/>
    <col min="9733" max="9733" width="10.28515625" style="45" customWidth="1"/>
    <col min="9734" max="9744" width="8.7109375" style="45" customWidth="1"/>
    <col min="9745" max="9745" width="9.7109375" style="45" customWidth="1"/>
    <col min="9746" max="9746" width="8.42578125" style="45" customWidth="1"/>
    <col min="9747" max="9747" width="9.140625" style="45"/>
    <col min="9748" max="9748" width="10.7109375" style="45" customWidth="1"/>
    <col min="9749" max="9749" width="5.28515625" style="45" customWidth="1"/>
    <col min="9750" max="9750" width="15.42578125" style="45" bestFit="1" customWidth="1"/>
    <col min="9751" max="9751" width="10.42578125" style="45" bestFit="1" customWidth="1"/>
    <col min="9752" max="9985" width="9.140625" style="45"/>
    <col min="9986" max="9986" width="8.7109375" style="45" customWidth="1"/>
    <col min="9987" max="9987" width="17" style="45" customWidth="1"/>
    <col min="9988" max="9988" width="14.42578125" style="45" customWidth="1"/>
    <col min="9989" max="9989" width="10.28515625" style="45" customWidth="1"/>
    <col min="9990" max="10000" width="8.7109375" style="45" customWidth="1"/>
    <col min="10001" max="10001" width="9.7109375" style="45" customWidth="1"/>
    <col min="10002" max="10002" width="8.42578125" style="45" customWidth="1"/>
    <col min="10003" max="10003" width="9.140625" style="45"/>
    <col min="10004" max="10004" width="10.7109375" style="45" customWidth="1"/>
    <col min="10005" max="10005" width="5.28515625" style="45" customWidth="1"/>
    <col min="10006" max="10006" width="15.42578125" style="45" bestFit="1" customWidth="1"/>
    <col min="10007" max="10007" width="10.42578125" style="45" bestFit="1" customWidth="1"/>
    <col min="10008" max="10241" width="9.140625" style="45"/>
    <col min="10242" max="10242" width="8.7109375" style="45" customWidth="1"/>
    <col min="10243" max="10243" width="17" style="45" customWidth="1"/>
    <col min="10244" max="10244" width="14.42578125" style="45" customWidth="1"/>
    <col min="10245" max="10245" width="10.28515625" style="45" customWidth="1"/>
    <col min="10246" max="10256" width="8.7109375" style="45" customWidth="1"/>
    <col min="10257" max="10257" width="9.7109375" style="45" customWidth="1"/>
    <col min="10258" max="10258" width="8.42578125" style="45" customWidth="1"/>
    <col min="10259" max="10259" width="9.140625" style="45"/>
    <col min="10260" max="10260" width="10.7109375" style="45" customWidth="1"/>
    <col min="10261" max="10261" width="5.28515625" style="45" customWidth="1"/>
    <col min="10262" max="10262" width="15.42578125" style="45" bestFit="1" customWidth="1"/>
    <col min="10263" max="10263" width="10.42578125" style="45" bestFit="1" customWidth="1"/>
    <col min="10264" max="10497" width="9.140625" style="45"/>
    <col min="10498" max="10498" width="8.7109375" style="45" customWidth="1"/>
    <col min="10499" max="10499" width="17" style="45" customWidth="1"/>
    <col min="10500" max="10500" width="14.42578125" style="45" customWidth="1"/>
    <col min="10501" max="10501" width="10.28515625" style="45" customWidth="1"/>
    <col min="10502" max="10512" width="8.7109375" style="45" customWidth="1"/>
    <col min="10513" max="10513" width="9.7109375" style="45" customWidth="1"/>
    <col min="10514" max="10514" width="8.42578125" style="45" customWidth="1"/>
    <col min="10515" max="10515" width="9.140625" style="45"/>
    <col min="10516" max="10516" width="10.7109375" style="45" customWidth="1"/>
    <col min="10517" max="10517" width="5.28515625" style="45" customWidth="1"/>
    <col min="10518" max="10518" width="15.42578125" style="45" bestFit="1" customWidth="1"/>
    <col min="10519" max="10519" width="10.42578125" style="45" bestFit="1" customWidth="1"/>
    <col min="10520" max="10753" width="9.140625" style="45"/>
    <col min="10754" max="10754" width="8.7109375" style="45" customWidth="1"/>
    <col min="10755" max="10755" width="17" style="45" customWidth="1"/>
    <col min="10756" max="10756" width="14.42578125" style="45" customWidth="1"/>
    <col min="10757" max="10757" width="10.28515625" style="45" customWidth="1"/>
    <col min="10758" max="10768" width="8.7109375" style="45" customWidth="1"/>
    <col min="10769" max="10769" width="9.7109375" style="45" customWidth="1"/>
    <col min="10770" max="10770" width="8.42578125" style="45" customWidth="1"/>
    <col min="10771" max="10771" width="9.140625" style="45"/>
    <col min="10772" max="10772" width="10.7109375" style="45" customWidth="1"/>
    <col min="10773" max="10773" width="5.28515625" style="45" customWidth="1"/>
    <col min="10774" max="10774" width="15.42578125" style="45" bestFit="1" customWidth="1"/>
    <col min="10775" max="10775" width="10.42578125" style="45" bestFit="1" customWidth="1"/>
    <col min="10776" max="11009" width="9.140625" style="45"/>
    <col min="11010" max="11010" width="8.7109375" style="45" customWidth="1"/>
    <col min="11011" max="11011" width="17" style="45" customWidth="1"/>
    <col min="11012" max="11012" width="14.42578125" style="45" customWidth="1"/>
    <col min="11013" max="11013" width="10.28515625" style="45" customWidth="1"/>
    <col min="11014" max="11024" width="8.7109375" style="45" customWidth="1"/>
    <col min="11025" max="11025" width="9.7109375" style="45" customWidth="1"/>
    <col min="11026" max="11026" width="8.42578125" style="45" customWidth="1"/>
    <col min="11027" max="11027" width="9.140625" style="45"/>
    <col min="11028" max="11028" width="10.7109375" style="45" customWidth="1"/>
    <col min="11029" max="11029" width="5.28515625" style="45" customWidth="1"/>
    <col min="11030" max="11030" width="15.42578125" style="45" bestFit="1" customWidth="1"/>
    <col min="11031" max="11031" width="10.42578125" style="45" bestFit="1" customWidth="1"/>
    <col min="11032" max="11265" width="9.140625" style="45"/>
    <col min="11266" max="11266" width="8.7109375" style="45" customWidth="1"/>
    <col min="11267" max="11267" width="17" style="45" customWidth="1"/>
    <col min="11268" max="11268" width="14.42578125" style="45" customWidth="1"/>
    <col min="11269" max="11269" width="10.28515625" style="45" customWidth="1"/>
    <col min="11270" max="11280" width="8.7109375" style="45" customWidth="1"/>
    <col min="11281" max="11281" width="9.7109375" style="45" customWidth="1"/>
    <col min="11282" max="11282" width="8.42578125" style="45" customWidth="1"/>
    <col min="11283" max="11283" width="9.140625" style="45"/>
    <col min="11284" max="11284" width="10.7109375" style="45" customWidth="1"/>
    <col min="11285" max="11285" width="5.28515625" style="45" customWidth="1"/>
    <col min="11286" max="11286" width="15.42578125" style="45" bestFit="1" customWidth="1"/>
    <col min="11287" max="11287" width="10.42578125" style="45" bestFit="1" customWidth="1"/>
    <col min="11288" max="11521" width="9.140625" style="45"/>
    <col min="11522" max="11522" width="8.7109375" style="45" customWidth="1"/>
    <col min="11523" max="11523" width="17" style="45" customWidth="1"/>
    <col min="11524" max="11524" width="14.42578125" style="45" customWidth="1"/>
    <col min="11525" max="11525" width="10.28515625" style="45" customWidth="1"/>
    <col min="11526" max="11536" width="8.7109375" style="45" customWidth="1"/>
    <col min="11537" max="11537" width="9.7109375" style="45" customWidth="1"/>
    <col min="11538" max="11538" width="8.42578125" style="45" customWidth="1"/>
    <col min="11539" max="11539" width="9.140625" style="45"/>
    <col min="11540" max="11540" width="10.7109375" style="45" customWidth="1"/>
    <col min="11541" max="11541" width="5.28515625" style="45" customWidth="1"/>
    <col min="11542" max="11542" width="15.42578125" style="45" bestFit="1" customWidth="1"/>
    <col min="11543" max="11543" width="10.42578125" style="45" bestFit="1" customWidth="1"/>
    <col min="11544" max="11777" width="9.140625" style="45"/>
    <col min="11778" max="11778" width="8.7109375" style="45" customWidth="1"/>
    <col min="11779" max="11779" width="17" style="45" customWidth="1"/>
    <col min="11780" max="11780" width="14.42578125" style="45" customWidth="1"/>
    <col min="11781" max="11781" width="10.28515625" style="45" customWidth="1"/>
    <col min="11782" max="11792" width="8.7109375" style="45" customWidth="1"/>
    <col min="11793" max="11793" width="9.7109375" style="45" customWidth="1"/>
    <col min="11794" max="11794" width="8.42578125" style="45" customWidth="1"/>
    <col min="11795" max="11795" width="9.140625" style="45"/>
    <col min="11796" max="11796" width="10.7109375" style="45" customWidth="1"/>
    <col min="11797" max="11797" width="5.28515625" style="45" customWidth="1"/>
    <col min="11798" max="11798" width="15.42578125" style="45" bestFit="1" customWidth="1"/>
    <col min="11799" max="11799" width="10.42578125" style="45" bestFit="1" customWidth="1"/>
    <col min="11800" max="12033" width="9.140625" style="45"/>
    <col min="12034" max="12034" width="8.7109375" style="45" customWidth="1"/>
    <col min="12035" max="12035" width="17" style="45" customWidth="1"/>
    <col min="12036" max="12036" width="14.42578125" style="45" customWidth="1"/>
    <col min="12037" max="12037" width="10.28515625" style="45" customWidth="1"/>
    <col min="12038" max="12048" width="8.7109375" style="45" customWidth="1"/>
    <col min="12049" max="12049" width="9.7109375" style="45" customWidth="1"/>
    <col min="12050" max="12050" width="8.42578125" style="45" customWidth="1"/>
    <col min="12051" max="12051" width="9.140625" style="45"/>
    <col min="12052" max="12052" width="10.7109375" style="45" customWidth="1"/>
    <col min="12053" max="12053" width="5.28515625" style="45" customWidth="1"/>
    <col min="12054" max="12054" width="15.42578125" style="45" bestFit="1" customWidth="1"/>
    <col min="12055" max="12055" width="10.42578125" style="45" bestFit="1" customWidth="1"/>
    <col min="12056" max="12289" width="9.140625" style="45"/>
    <col min="12290" max="12290" width="8.7109375" style="45" customWidth="1"/>
    <col min="12291" max="12291" width="17" style="45" customWidth="1"/>
    <col min="12292" max="12292" width="14.42578125" style="45" customWidth="1"/>
    <col min="12293" max="12293" width="10.28515625" style="45" customWidth="1"/>
    <col min="12294" max="12304" width="8.7109375" style="45" customWidth="1"/>
    <col min="12305" max="12305" width="9.7109375" style="45" customWidth="1"/>
    <col min="12306" max="12306" width="8.42578125" style="45" customWidth="1"/>
    <col min="12307" max="12307" width="9.140625" style="45"/>
    <col min="12308" max="12308" width="10.7109375" style="45" customWidth="1"/>
    <col min="12309" max="12309" width="5.28515625" style="45" customWidth="1"/>
    <col min="12310" max="12310" width="15.42578125" style="45" bestFit="1" customWidth="1"/>
    <col min="12311" max="12311" width="10.42578125" style="45" bestFit="1" customWidth="1"/>
    <col min="12312" max="12545" width="9.140625" style="45"/>
    <col min="12546" max="12546" width="8.7109375" style="45" customWidth="1"/>
    <col min="12547" max="12547" width="17" style="45" customWidth="1"/>
    <col min="12548" max="12548" width="14.42578125" style="45" customWidth="1"/>
    <col min="12549" max="12549" width="10.28515625" style="45" customWidth="1"/>
    <col min="12550" max="12560" width="8.7109375" style="45" customWidth="1"/>
    <col min="12561" max="12561" width="9.7109375" style="45" customWidth="1"/>
    <col min="12562" max="12562" width="8.42578125" style="45" customWidth="1"/>
    <col min="12563" max="12563" width="9.140625" style="45"/>
    <col min="12564" max="12564" width="10.7109375" style="45" customWidth="1"/>
    <col min="12565" max="12565" width="5.28515625" style="45" customWidth="1"/>
    <col min="12566" max="12566" width="15.42578125" style="45" bestFit="1" customWidth="1"/>
    <col min="12567" max="12567" width="10.42578125" style="45" bestFit="1" customWidth="1"/>
    <col min="12568" max="12801" width="9.140625" style="45"/>
    <col min="12802" max="12802" width="8.7109375" style="45" customWidth="1"/>
    <col min="12803" max="12803" width="17" style="45" customWidth="1"/>
    <col min="12804" max="12804" width="14.42578125" style="45" customWidth="1"/>
    <col min="12805" max="12805" width="10.28515625" style="45" customWidth="1"/>
    <col min="12806" max="12816" width="8.7109375" style="45" customWidth="1"/>
    <col min="12817" max="12817" width="9.7109375" style="45" customWidth="1"/>
    <col min="12818" max="12818" width="8.42578125" style="45" customWidth="1"/>
    <col min="12819" max="12819" width="9.140625" style="45"/>
    <col min="12820" max="12820" width="10.7109375" style="45" customWidth="1"/>
    <col min="12821" max="12821" width="5.28515625" style="45" customWidth="1"/>
    <col min="12822" max="12822" width="15.42578125" style="45" bestFit="1" customWidth="1"/>
    <col min="12823" max="12823" width="10.42578125" style="45" bestFit="1" customWidth="1"/>
    <col min="12824" max="13057" width="9.140625" style="45"/>
    <col min="13058" max="13058" width="8.7109375" style="45" customWidth="1"/>
    <col min="13059" max="13059" width="17" style="45" customWidth="1"/>
    <col min="13060" max="13060" width="14.42578125" style="45" customWidth="1"/>
    <col min="13061" max="13061" width="10.28515625" style="45" customWidth="1"/>
    <col min="13062" max="13072" width="8.7109375" style="45" customWidth="1"/>
    <col min="13073" max="13073" width="9.7109375" style="45" customWidth="1"/>
    <col min="13074" max="13074" width="8.42578125" style="45" customWidth="1"/>
    <col min="13075" max="13075" width="9.140625" style="45"/>
    <col min="13076" max="13076" width="10.7109375" style="45" customWidth="1"/>
    <col min="13077" max="13077" width="5.28515625" style="45" customWidth="1"/>
    <col min="13078" max="13078" width="15.42578125" style="45" bestFit="1" customWidth="1"/>
    <col min="13079" max="13079" width="10.42578125" style="45" bestFit="1" customWidth="1"/>
    <col min="13080" max="13313" width="9.140625" style="45"/>
    <col min="13314" max="13314" width="8.7109375" style="45" customWidth="1"/>
    <col min="13315" max="13315" width="17" style="45" customWidth="1"/>
    <col min="13316" max="13316" width="14.42578125" style="45" customWidth="1"/>
    <col min="13317" max="13317" width="10.28515625" style="45" customWidth="1"/>
    <col min="13318" max="13328" width="8.7109375" style="45" customWidth="1"/>
    <col min="13329" max="13329" width="9.7109375" style="45" customWidth="1"/>
    <col min="13330" max="13330" width="8.42578125" style="45" customWidth="1"/>
    <col min="13331" max="13331" width="9.140625" style="45"/>
    <col min="13332" max="13332" width="10.7109375" style="45" customWidth="1"/>
    <col min="13333" max="13333" width="5.28515625" style="45" customWidth="1"/>
    <col min="13334" max="13334" width="15.42578125" style="45" bestFit="1" customWidth="1"/>
    <col min="13335" max="13335" width="10.42578125" style="45" bestFit="1" customWidth="1"/>
    <col min="13336" max="13569" width="9.140625" style="45"/>
    <col min="13570" max="13570" width="8.7109375" style="45" customWidth="1"/>
    <col min="13571" max="13571" width="17" style="45" customWidth="1"/>
    <col min="13572" max="13572" width="14.42578125" style="45" customWidth="1"/>
    <col min="13573" max="13573" width="10.28515625" style="45" customWidth="1"/>
    <col min="13574" max="13584" width="8.7109375" style="45" customWidth="1"/>
    <col min="13585" max="13585" width="9.7109375" style="45" customWidth="1"/>
    <col min="13586" max="13586" width="8.42578125" style="45" customWidth="1"/>
    <col min="13587" max="13587" width="9.140625" style="45"/>
    <col min="13588" max="13588" width="10.7109375" style="45" customWidth="1"/>
    <col min="13589" max="13589" width="5.28515625" style="45" customWidth="1"/>
    <col min="13590" max="13590" width="15.42578125" style="45" bestFit="1" customWidth="1"/>
    <col min="13591" max="13591" width="10.42578125" style="45" bestFit="1" customWidth="1"/>
    <col min="13592" max="13825" width="9.140625" style="45"/>
    <col min="13826" max="13826" width="8.7109375" style="45" customWidth="1"/>
    <col min="13827" max="13827" width="17" style="45" customWidth="1"/>
    <col min="13828" max="13828" width="14.42578125" style="45" customWidth="1"/>
    <col min="13829" max="13829" width="10.28515625" style="45" customWidth="1"/>
    <col min="13830" max="13840" width="8.7109375" style="45" customWidth="1"/>
    <col min="13841" max="13841" width="9.7109375" style="45" customWidth="1"/>
    <col min="13842" max="13842" width="8.42578125" style="45" customWidth="1"/>
    <col min="13843" max="13843" width="9.140625" style="45"/>
    <col min="13844" max="13844" width="10.7109375" style="45" customWidth="1"/>
    <col min="13845" max="13845" width="5.28515625" style="45" customWidth="1"/>
    <col min="13846" max="13846" width="15.42578125" style="45" bestFit="1" customWidth="1"/>
    <col min="13847" max="13847" width="10.42578125" style="45" bestFit="1" customWidth="1"/>
    <col min="13848" max="14081" width="9.140625" style="45"/>
    <col min="14082" max="14082" width="8.7109375" style="45" customWidth="1"/>
    <col min="14083" max="14083" width="17" style="45" customWidth="1"/>
    <col min="14084" max="14084" width="14.42578125" style="45" customWidth="1"/>
    <col min="14085" max="14085" width="10.28515625" style="45" customWidth="1"/>
    <col min="14086" max="14096" width="8.7109375" style="45" customWidth="1"/>
    <col min="14097" max="14097" width="9.7109375" style="45" customWidth="1"/>
    <col min="14098" max="14098" width="8.42578125" style="45" customWidth="1"/>
    <col min="14099" max="14099" width="9.140625" style="45"/>
    <col min="14100" max="14100" width="10.7109375" style="45" customWidth="1"/>
    <col min="14101" max="14101" width="5.28515625" style="45" customWidth="1"/>
    <col min="14102" max="14102" width="15.42578125" style="45" bestFit="1" customWidth="1"/>
    <col min="14103" max="14103" width="10.42578125" style="45" bestFit="1" customWidth="1"/>
    <col min="14104" max="14337" width="9.140625" style="45"/>
    <col min="14338" max="14338" width="8.7109375" style="45" customWidth="1"/>
    <col min="14339" max="14339" width="17" style="45" customWidth="1"/>
    <col min="14340" max="14340" width="14.42578125" style="45" customWidth="1"/>
    <col min="14341" max="14341" width="10.28515625" style="45" customWidth="1"/>
    <col min="14342" max="14352" width="8.7109375" style="45" customWidth="1"/>
    <col min="14353" max="14353" width="9.7109375" style="45" customWidth="1"/>
    <col min="14354" max="14354" width="8.42578125" style="45" customWidth="1"/>
    <col min="14355" max="14355" width="9.140625" style="45"/>
    <col min="14356" max="14356" width="10.7109375" style="45" customWidth="1"/>
    <col min="14357" max="14357" width="5.28515625" style="45" customWidth="1"/>
    <col min="14358" max="14358" width="15.42578125" style="45" bestFit="1" customWidth="1"/>
    <col min="14359" max="14359" width="10.42578125" style="45" bestFit="1" customWidth="1"/>
    <col min="14360" max="14593" width="9.140625" style="45"/>
    <col min="14594" max="14594" width="8.7109375" style="45" customWidth="1"/>
    <col min="14595" max="14595" width="17" style="45" customWidth="1"/>
    <col min="14596" max="14596" width="14.42578125" style="45" customWidth="1"/>
    <col min="14597" max="14597" width="10.28515625" style="45" customWidth="1"/>
    <col min="14598" max="14608" width="8.7109375" style="45" customWidth="1"/>
    <col min="14609" max="14609" width="9.7109375" style="45" customWidth="1"/>
    <col min="14610" max="14610" width="8.42578125" style="45" customWidth="1"/>
    <col min="14611" max="14611" width="9.140625" style="45"/>
    <col min="14612" max="14612" width="10.7109375" style="45" customWidth="1"/>
    <col min="14613" max="14613" width="5.28515625" style="45" customWidth="1"/>
    <col min="14614" max="14614" width="15.42578125" style="45" bestFit="1" customWidth="1"/>
    <col min="14615" max="14615" width="10.42578125" style="45" bestFit="1" customWidth="1"/>
    <col min="14616" max="14849" width="9.140625" style="45"/>
    <col min="14850" max="14850" width="8.7109375" style="45" customWidth="1"/>
    <col min="14851" max="14851" width="17" style="45" customWidth="1"/>
    <col min="14852" max="14852" width="14.42578125" style="45" customWidth="1"/>
    <col min="14853" max="14853" width="10.28515625" style="45" customWidth="1"/>
    <col min="14854" max="14864" width="8.7109375" style="45" customWidth="1"/>
    <col min="14865" max="14865" width="9.7109375" style="45" customWidth="1"/>
    <col min="14866" max="14866" width="8.42578125" style="45" customWidth="1"/>
    <col min="14867" max="14867" width="9.140625" style="45"/>
    <col min="14868" max="14868" width="10.7109375" style="45" customWidth="1"/>
    <col min="14869" max="14869" width="5.28515625" style="45" customWidth="1"/>
    <col min="14870" max="14870" width="15.42578125" style="45" bestFit="1" customWidth="1"/>
    <col min="14871" max="14871" width="10.42578125" style="45" bestFit="1" customWidth="1"/>
    <col min="14872" max="15105" width="9.140625" style="45"/>
    <col min="15106" max="15106" width="8.7109375" style="45" customWidth="1"/>
    <col min="15107" max="15107" width="17" style="45" customWidth="1"/>
    <col min="15108" max="15108" width="14.42578125" style="45" customWidth="1"/>
    <col min="15109" max="15109" width="10.28515625" style="45" customWidth="1"/>
    <col min="15110" max="15120" width="8.7109375" style="45" customWidth="1"/>
    <col min="15121" max="15121" width="9.7109375" style="45" customWidth="1"/>
    <col min="15122" max="15122" width="8.42578125" style="45" customWidth="1"/>
    <col min="15123" max="15123" width="9.140625" style="45"/>
    <col min="15124" max="15124" width="10.7109375" style="45" customWidth="1"/>
    <col min="15125" max="15125" width="5.28515625" style="45" customWidth="1"/>
    <col min="15126" max="15126" width="15.42578125" style="45" bestFit="1" customWidth="1"/>
    <col min="15127" max="15127" width="10.42578125" style="45" bestFit="1" customWidth="1"/>
    <col min="15128" max="15361" width="9.140625" style="45"/>
    <col min="15362" max="15362" width="8.7109375" style="45" customWidth="1"/>
    <col min="15363" max="15363" width="17" style="45" customWidth="1"/>
    <col min="15364" max="15364" width="14.42578125" style="45" customWidth="1"/>
    <col min="15365" max="15365" width="10.28515625" style="45" customWidth="1"/>
    <col min="15366" max="15376" width="8.7109375" style="45" customWidth="1"/>
    <col min="15377" max="15377" width="9.7109375" style="45" customWidth="1"/>
    <col min="15378" max="15378" width="8.42578125" style="45" customWidth="1"/>
    <col min="15379" max="15379" width="9.140625" style="45"/>
    <col min="15380" max="15380" width="10.7109375" style="45" customWidth="1"/>
    <col min="15381" max="15381" width="5.28515625" style="45" customWidth="1"/>
    <col min="15382" max="15382" width="15.42578125" style="45" bestFit="1" customWidth="1"/>
    <col min="15383" max="15383" width="10.42578125" style="45" bestFit="1" customWidth="1"/>
    <col min="15384" max="15617" width="9.140625" style="45"/>
    <col min="15618" max="15618" width="8.7109375" style="45" customWidth="1"/>
    <col min="15619" max="15619" width="17" style="45" customWidth="1"/>
    <col min="15620" max="15620" width="14.42578125" style="45" customWidth="1"/>
    <col min="15621" max="15621" width="10.28515625" style="45" customWidth="1"/>
    <col min="15622" max="15632" width="8.7109375" style="45" customWidth="1"/>
    <col min="15633" max="15633" width="9.7109375" style="45" customWidth="1"/>
    <col min="15634" max="15634" width="8.42578125" style="45" customWidth="1"/>
    <col min="15635" max="15635" width="9.140625" style="45"/>
    <col min="15636" max="15636" width="10.7109375" style="45" customWidth="1"/>
    <col min="15637" max="15637" width="5.28515625" style="45" customWidth="1"/>
    <col min="15638" max="15638" width="15.42578125" style="45" bestFit="1" customWidth="1"/>
    <col min="15639" max="15639" width="10.42578125" style="45" bestFit="1" customWidth="1"/>
    <col min="15640" max="15873" width="9.140625" style="45"/>
    <col min="15874" max="15874" width="8.7109375" style="45" customWidth="1"/>
    <col min="15875" max="15875" width="17" style="45" customWidth="1"/>
    <col min="15876" max="15876" width="14.42578125" style="45" customWidth="1"/>
    <col min="15877" max="15877" width="10.28515625" style="45" customWidth="1"/>
    <col min="15878" max="15888" width="8.7109375" style="45" customWidth="1"/>
    <col min="15889" max="15889" width="9.7109375" style="45" customWidth="1"/>
    <col min="15890" max="15890" width="8.42578125" style="45" customWidth="1"/>
    <col min="15891" max="15891" width="9.140625" style="45"/>
    <col min="15892" max="15892" width="10.7109375" style="45" customWidth="1"/>
    <col min="15893" max="15893" width="5.28515625" style="45" customWidth="1"/>
    <col min="15894" max="15894" width="15.42578125" style="45" bestFit="1" customWidth="1"/>
    <col min="15895" max="15895" width="10.42578125" style="45" bestFit="1" customWidth="1"/>
    <col min="15896" max="16129" width="9.140625" style="45"/>
    <col min="16130" max="16130" width="8.7109375" style="45" customWidth="1"/>
    <col min="16131" max="16131" width="17" style="45" customWidth="1"/>
    <col min="16132" max="16132" width="14.42578125" style="45" customWidth="1"/>
    <col min="16133" max="16133" width="10.28515625" style="45" customWidth="1"/>
    <col min="16134" max="16144" width="8.7109375" style="45" customWidth="1"/>
    <col min="16145" max="16145" width="9.7109375" style="45" customWidth="1"/>
    <col min="16146" max="16146" width="8.42578125" style="45" customWidth="1"/>
    <col min="16147" max="16147" width="9.140625" style="45"/>
    <col min="16148" max="16148" width="10.7109375" style="45" customWidth="1"/>
    <col min="16149" max="16149" width="5.28515625" style="45" customWidth="1"/>
    <col min="16150" max="16150" width="15.42578125" style="45" bestFit="1" customWidth="1"/>
    <col min="16151" max="16151" width="10.42578125" style="45" bestFit="1" customWidth="1"/>
    <col min="16152" max="16384" width="9.140625" style="45"/>
  </cols>
  <sheetData>
    <row r="1" spans="1:30">
      <c r="A1" s="428" t="s">
        <v>0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430"/>
    </row>
    <row r="2" spans="1:30">
      <c r="A2" s="431" t="s">
        <v>52</v>
      </c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3"/>
      <c r="Q2" s="138" t="s">
        <v>95</v>
      </c>
      <c r="R2" s="82"/>
      <c r="S2" s="83"/>
      <c r="T2" s="83"/>
    </row>
    <row r="3" spans="1:30" ht="13.5" thickBot="1">
      <c r="A3" s="38"/>
      <c r="B3" s="39" t="s">
        <v>53</v>
      </c>
      <c r="C3" s="39"/>
      <c r="D3" s="40"/>
      <c r="E3" s="41" t="s">
        <v>379</v>
      </c>
      <c r="F3" s="42" t="s">
        <v>1</v>
      </c>
      <c r="G3" s="43">
        <v>0</v>
      </c>
      <c r="H3" s="44"/>
      <c r="J3" s="46"/>
      <c r="O3" s="47"/>
      <c r="R3" s="97"/>
      <c r="S3" s="98"/>
      <c r="T3" s="99" t="s">
        <v>217</v>
      </c>
      <c r="U3" s="100">
        <f ca="1">'PERFIL BC12'!C13</f>
        <v>0.84315882640720285</v>
      </c>
      <c r="V3" s="44"/>
      <c r="W3" s="434"/>
      <c r="X3" s="434"/>
      <c r="Y3" s="434"/>
      <c r="Z3" s="44"/>
      <c r="AA3" s="44"/>
      <c r="AB3" s="44"/>
      <c r="AC3" s="44"/>
    </row>
    <row r="4" spans="1:30" ht="14.25" thickTop="1" thickBot="1">
      <c r="A4" s="48"/>
      <c r="B4" s="49" t="s">
        <v>54</v>
      </c>
      <c r="C4" s="50"/>
      <c r="D4" s="49"/>
      <c r="E4" s="51" t="s">
        <v>257</v>
      </c>
      <c r="F4" s="52" t="s">
        <v>173</v>
      </c>
      <c r="G4" s="88"/>
      <c r="H4" s="89"/>
      <c r="I4" s="49"/>
      <c r="J4" s="49"/>
      <c r="K4" s="148" t="s">
        <v>2</v>
      </c>
      <c r="L4" s="149"/>
      <c r="M4" s="149"/>
      <c r="N4" s="149">
        <v>15</v>
      </c>
      <c r="O4" s="171" t="s">
        <v>3</v>
      </c>
      <c r="Q4" s="96"/>
      <c r="R4" s="97"/>
      <c r="S4" s="98"/>
      <c r="T4" s="99" t="s">
        <v>218</v>
      </c>
      <c r="U4" s="100">
        <f ca="1">100*(E8/(E7*1000))</f>
        <v>1.3363122490835124</v>
      </c>
      <c r="V4" s="44"/>
      <c r="W4" s="435"/>
      <c r="X4" s="94"/>
      <c r="Y4" s="44"/>
      <c r="Z4" s="435"/>
      <c r="AA4" s="94"/>
      <c r="AB4" s="44"/>
      <c r="AC4" s="44"/>
    </row>
    <row r="5" spans="1:30" ht="14.25" thickTop="1" thickBot="1">
      <c r="A5" s="48"/>
      <c r="B5" s="39" t="s">
        <v>4</v>
      </c>
      <c r="C5" s="39"/>
      <c r="D5" s="49"/>
      <c r="E5" s="51" t="s">
        <v>123</v>
      </c>
      <c r="F5" s="52"/>
      <c r="G5" s="52"/>
      <c r="H5" s="52"/>
      <c r="I5" s="49"/>
      <c r="J5" s="49"/>
      <c r="K5" s="150" t="s">
        <v>2</v>
      </c>
      <c r="L5" s="151"/>
      <c r="M5" s="151"/>
      <c r="N5" s="151">
        <v>25</v>
      </c>
      <c r="O5" s="172" t="s">
        <v>3</v>
      </c>
      <c r="Q5" s="96"/>
      <c r="R5" s="97"/>
      <c r="S5" s="98"/>
      <c r="T5" s="99"/>
      <c r="U5" s="44"/>
      <c r="V5" s="44"/>
      <c r="W5" s="435"/>
      <c r="X5" s="94"/>
      <c r="Y5" s="44"/>
      <c r="Z5" s="435"/>
      <c r="AA5" s="94"/>
      <c r="AB5" s="44"/>
      <c r="AC5" s="44"/>
    </row>
    <row r="6" spans="1:30" ht="13.5" thickTop="1">
      <c r="A6" s="48"/>
      <c r="B6" s="39" t="s">
        <v>55</v>
      </c>
      <c r="C6" s="39"/>
      <c r="D6" s="49"/>
      <c r="E6" s="43">
        <f ca="1">VLOOKUP(F10,'AUX BACIAS'!$A$2:$D$13,3,0)</f>
        <v>0.86126269799999999</v>
      </c>
      <c r="F6" s="52"/>
      <c r="G6" s="52"/>
      <c r="H6" s="52"/>
      <c r="I6" s="49"/>
      <c r="J6" s="49"/>
      <c r="K6" s="49" t="s">
        <v>2</v>
      </c>
      <c r="L6" s="49"/>
      <c r="M6" s="49"/>
      <c r="N6" s="49">
        <v>50</v>
      </c>
      <c r="O6" s="147" t="s">
        <v>3</v>
      </c>
      <c r="Q6" s="96"/>
      <c r="R6" s="97"/>
      <c r="S6" s="98"/>
      <c r="T6" s="99"/>
      <c r="U6" s="44"/>
      <c r="V6" s="44"/>
      <c r="W6" s="44"/>
      <c r="X6" s="44"/>
      <c r="Y6" s="44"/>
      <c r="Z6" s="44"/>
      <c r="AA6" s="44"/>
      <c r="AB6" s="44"/>
      <c r="AC6" s="44"/>
    </row>
    <row r="7" spans="1:30">
      <c r="A7" s="48"/>
      <c r="B7" s="39" t="s">
        <v>6</v>
      </c>
      <c r="C7" s="39"/>
      <c r="D7" s="49"/>
      <c r="E7" s="43">
        <f ca="1">(VLOOKUP(F10,'AUX BACIAS'!$A$2:$D$13,4,0)/1000)</f>
        <v>1.5714890000000001</v>
      </c>
      <c r="F7" s="52"/>
      <c r="G7" s="52"/>
      <c r="H7" s="52"/>
      <c r="I7" s="49"/>
      <c r="J7" s="49"/>
      <c r="K7" s="49" t="s">
        <v>2</v>
      </c>
      <c r="L7" s="49"/>
      <c r="M7" s="49"/>
      <c r="N7" s="49">
        <v>100</v>
      </c>
      <c r="O7" s="146" t="s">
        <v>3</v>
      </c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30">
      <c r="A8" s="48"/>
      <c r="B8" s="39" t="s">
        <v>7</v>
      </c>
      <c r="C8" s="39"/>
      <c r="D8" s="49"/>
      <c r="E8" s="179">
        <f>(INDEX('PERFIL BC12'!$C:$C,MATCH("C",'PERFIL BC12'!$B:$B,0))-INDEX('PERFIL BC12'!$C:$C,MATCH("E",'PERFIL BC12'!$B:$B,0)))</f>
        <v>21</v>
      </c>
      <c r="F8" s="52"/>
      <c r="G8" s="52"/>
      <c r="H8" s="52"/>
      <c r="I8" s="49"/>
      <c r="J8" s="49"/>
      <c r="K8" s="49" t="s">
        <v>56</v>
      </c>
      <c r="L8" s="49"/>
      <c r="M8" s="49"/>
      <c r="N8" s="50"/>
      <c r="O8" s="53">
        <f ca="1">H26</f>
        <v>0.24030500000000002</v>
      </c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</row>
    <row r="9" spans="1:30">
      <c r="A9" s="48"/>
      <c r="B9" s="39" t="s">
        <v>94</v>
      </c>
      <c r="C9" s="39"/>
      <c r="D9" s="49"/>
      <c r="E9" s="54">
        <f ca="1">IF(U3&gt;U4,U4,U3)</f>
        <v>0.84315882640720285</v>
      </c>
      <c r="F9" s="52"/>
      <c r="G9" s="52"/>
      <c r="H9" s="52"/>
      <c r="I9" s="49"/>
      <c r="J9" s="49"/>
      <c r="K9" s="55" t="s">
        <v>5</v>
      </c>
      <c r="L9" s="49"/>
      <c r="M9" s="55"/>
      <c r="N9" s="56"/>
      <c r="O9" s="53">
        <f ca="1">IF(E6&lt;=0.8,0.39*(E7^2/E9)^0.385,0.59*(E7^2/E9)^0.385)</f>
        <v>0.89235288527753187</v>
      </c>
      <c r="Q9" s="100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</row>
    <row r="10" spans="1:30">
      <c r="A10" s="38"/>
      <c r="B10" s="57"/>
      <c r="C10" s="57"/>
      <c r="D10" s="57"/>
      <c r="E10" s="88" t="s">
        <v>98</v>
      </c>
      <c r="F10" s="89" t="str" cm="1">
        <f t="array" aca="1" ref="F10" ca="1">MID(RIGHT(CELL("nome.arquivo",A1),LEN(CELL("nome.arquivo",A1)) - SEARCH("]",CELL("nome.arquivo",A1))),1,4)</f>
        <v>BC12</v>
      </c>
      <c r="G10" s="59"/>
      <c r="H10" s="60"/>
      <c r="I10" s="61"/>
      <c r="K10" s="62"/>
      <c r="M10" s="62"/>
      <c r="N10" s="63"/>
      <c r="O10" s="6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</row>
    <row r="11" spans="1:30">
      <c r="A11" s="38"/>
      <c r="B11" s="39" t="s">
        <v>215</v>
      </c>
      <c r="C11" s="61" t="str">
        <f ca="1">IF(E9&lt;=2,"Plano",IF(AND(E9&gt;2,E9&lt;=5),"Levemente ondulado",IF(AND(E9&gt;5,E9&lt;=10),"Ondulado",IF(AND(E9&gt;10,E9&lt;=20),"Muito ondulado",IF(AND(E9&gt;20,E9&lt;=50),"Montanhoso",IF(AND(E9&gt;50,E9&lt;=100),"Muito montanhoso","Escarpado"))))))</f>
        <v>Plano</v>
      </c>
      <c r="D11" s="57"/>
      <c r="E11" s="101"/>
      <c r="F11" s="58"/>
      <c r="G11" s="59"/>
      <c r="H11" s="60"/>
      <c r="I11" s="61"/>
      <c r="O11" s="47"/>
      <c r="Q11" s="44"/>
      <c r="R11" s="44"/>
      <c r="S11" s="44"/>
      <c r="T11" s="44"/>
      <c r="U11" s="44"/>
      <c r="V11" s="44"/>
      <c r="W11" s="94"/>
      <c r="X11" s="94"/>
      <c r="Y11" s="94"/>
      <c r="Z11" s="94"/>
      <c r="AA11" s="94"/>
      <c r="AB11" s="94"/>
      <c r="AC11" s="44"/>
    </row>
    <row r="12" spans="1:30" ht="24" customHeight="1">
      <c r="A12" s="38"/>
      <c r="B12" s="45" t="s">
        <v>205</v>
      </c>
      <c r="C12" s="136" t="s">
        <v>210</v>
      </c>
      <c r="E12" s="44"/>
      <c r="F12" s="44"/>
      <c r="G12" s="44"/>
      <c r="H12" s="44"/>
      <c r="J12" s="427" t="s">
        <v>57</v>
      </c>
      <c r="K12" s="427"/>
      <c r="L12" s="427"/>
      <c r="M12" s="427"/>
      <c r="N12" s="427"/>
      <c r="O12" s="65"/>
      <c r="Q12" s="112" t="s">
        <v>141</v>
      </c>
      <c r="R12" s="44"/>
      <c r="S12" s="44"/>
      <c r="T12" s="44"/>
      <c r="U12" s="44"/>
      <c r="V12" s="44"/>
      <c r="W12" s="94"/>
      <c r="X12" s="94"/>
      <c r="Y12" s="94"/>
      <c r="Z12" s="94"/>
      <c r="AA12" s="94"/>
      <c r="AB12" s="94"/>
      <c r="AC12" s="44"/>
    </row>
    <row r="13" spans="1:30" ht="15" customHeight="1" thickBot="1">
      <c r="A13" s="38"/>
      <c r="B13" s="45" t="s">
        <v>220</v>
      </c>
      <c r="J13" s="66" t="s">
        <v>58</v>
      </c>
      <c r="K13" s="66" t="s">
        <v>59</v>
      </c>
      <c r="L13" s="436" t="s">
        <v>60</v>
      </c>
      <c r="M13" s="437"/>
      <c r="N13" s="66" t="s">
        <v>61</v>
      </c>
      <c r="O13" s="67"/>
      <c r="Q13" s="112" t="str">
        <f ca="1">IF(M21&gt;MAX(Base_Bueiros!$F$2:$F$10),"Não atende em canal 15 anos. Dimensionar para 25 anos",IF(M21&lt;=MAX(Base_Bueiros!$F$2:$F$4),INDEX(Base_Bueiros!$C$2:$C$4,MATCH(_xlfn.MINIFS(Base_Bueiros!$F$2:$F$4,Base_Bueiros!$F$2:$F$4,"&gt;="&amp;M21),Base_Bueiros!$F$2:$F$4,0))&amp;" d="&amp;TEXT(INDEX(Base_Bueiros!$D$2:$D$4,MATCH(_xlfn.MINIFS(Base_Bueiros!$F$2:$F$4,Base_Bueiros!$F$2:$F$4,"&gt;="&amp;M21),Base_Bueiros!$F$2:$F$4,0)),"0,00")&amp;"m",IF(M21&lt;=MAX(Base_Bueiros!$F$5:$F$7),INDEX(Base_Bueiros!$C$5:$C$7,MATCH(_xlfn.MINIFS(Base_Bueiros!$F$5:$F$7,Base_Bueiros!$F$5:$F$7,"&gt;="&amp;M21),Base_Bueiros!$F$5:$F$7,0))&amp;" d="&amp;TEXT(INDEX(Base_Bueiros!$D$5:$D$7,MATCH(_xlfn.MINIFS(Base_Bueiros!$F$5:$F$7,Base_Bueiros!$F$5:$F$7,"&gt;="&amp;M21),Base_Bueiros!$F$5:$F$7,0)),"0,00")&amp;"m",INDEX(Base_Bueiros!$C$8:$C$10,MATCH(_xlfn.MINIFS(Base_Bueiros!$F$8:$F$10,Base_Bueiros!$F$8:$F$10,"&gt;="&amp;M21),Base_Bueiros!$F$8:$F$10,0))&amp;" d="&amp;TEXT(INDEX(Base_Bueiros!$D$8:$D$10,MATCH(_xlfn.MINIFS(Base_Bueiros!$F$8:$F$10,Base_Bueiros!$F$8:$F$10,"&gt;="&amp;M21),Base_Bueiros!$F$8:$F$10,0)),"0,00")&amp;"m")))</f>
        <v>BDTC d= d=1,50m</v>
      </c>
      <c r="R13" s="44"/>
      <c r="S13" s="44">
        <f ca="1">IF(Q13="Não atende em canal 15 anos. Dimensionar para 25 anos",25,15)</f>
        <v>15</v>
      </c>
      <c r="T13" s="44"/>
      <c r="U13" s="44"/>
      <c r="V13" s="44"/>
      <c r="W13" s="94"/>
      <c r="X13" s="94" t="str">
        <f>'BC01 (RAC)'!X13</f>
        <v>ax</v>
      </c>
      <c r="Y13" s="94"/>
      <c r="Z13" s="94" t="str">
        <f>'BC01 (RAC)'!Z13</f>
        <v>b</v>
      </c>
      <c r="AA13" s="94"/>
      <c r="AB13" s="94" t="str">
        <f>'BC01 (RAC)'!AB13</f>
        <v>ax (1-24h)</v>
      </c>
      <c r="AC13" s="425" t="s">
        <v>216</v>
      </c>
      <c r="AD13" s="425"/>
    </row>
    <row r="14" spans="1:30" ht="15.75" customHeight="1" thickTop="1" thickBot="1">
      <c r="A14" s="38"/>
      <c r="J14" s="152" t="s">
        <v>62</v>
      </c>
      <c r="K14" s="388">
        <f ca="1">$O$9*60</f>
        <v>53.541173116651912</v>
      </c>
      <c r="L14" s="438">
        <f ca="1">IF($O$9&lt;=1,(X14*LN((K14/60)))+Z14,(AB14*LN((K14/60)))+Z14)</f>
        <v>80.371261915182018</v>
      </c>
      <c r="M14" s="438"/>
      <c r="N14" s="153">
        <f ca="1">L14/K14</f>
        <v>1.5011113361314388</v>
      </c>
      <c r="O14" s="67"/>
      <c r="Q14" s="112" t="str">
        <f ca="1">IF(M22&gt;MAX(Base_Bueiros!$F$20:$F$28),"Não atende em orificio 25 anos. Dimensionar para 50 anos",TRIM(IFERROR(LEFT(INDEX(Base_Bueiros!$C$20:$C$28,MATCH(_xlfn.MINIFS(Base_Bueiros!$F$20:$F$28,Base_Bueiros!$F$20:$F$28,"&gt;="&amp;M22),Base_Bueiros!$F$20:$F$28,0)),FIND(" OU ",INDEX(Base_Bueiros!$C$20:$C$28,MATCH(_xlfn.MINIFS(Base_Bueiros!$F$20:$F$28,Base_Bueiros!$F$20:$F$28,"&gt;="&amp;M22),Base_Bueiros!$F$20:$F$28,0)))-1),INDEX(Base_Bueiros!$C$20:$C$28,MATCH(_xlfn.MINIFS(Base_Bueiros!$F$20:$F$28,Base_Bueiros!$F$20:$F$28,"&gt;="&amp;M22),Base_Bueiros!$F$20:$F$28,0))))&amp;" d="&amp;INDEX(Base_Bueiros!$D$20:$D$28,MATCH(_xlfn.MINIFS(Base_Bueiros!$F$20:$F$28,Base_Bueiros!$F$20:$F$28,"&gt;="&amp;M22),Base_Bueiros!$F$20:$F$28,0))&amp;"m")</f>
        <v>BSTC d= d=1,50m</v>
      </c>
      <c r="R14" s="44"/>
      <c r="S14" s="44">
        <f ca="1">IF(Q14="Não atende em orifício 25 anos. Dimensionar para 50 anos",50,25)</f>
        <v>25</v>
      </c>
      <c r="U14" s="44"/>
      <c r="W14" s="94">
        <v>15</v>
      </c>
      <c r="X14" s="94">
        <f>'BC01 (RAC)'!X14</f>
        <v>26.41505980258199</v>
      </c>
      <c r="Y14" s="94"/>
      <c r="Z14" s="94">
        <f>'BC01 (RAC)'!Z14</f>
        <v>83.379768522636454</v>
      </c>
      <c r="AA14" s="94"/>
      <c r="AB14" s="94">
        <f>'BC01 (RAC)'!AB14</f>
        <v>24.188985755464877</v>
      </c>
      <c r="AC14" s="426" t="str">
        <f ca="1">IF(C11="Plano","Tabelado",IF(C11="Ondulado","Tabelado",IF(C11="Montanhoso","Tabelado","Ponderado")))</f>
        <v>Tabelado</v>
      </c>
      <c r="AD14" s="426"/>
    </row>
    <row r="15" spans="1:30" ht="15.75" customHeight="1" thickTop="1" thickBot="1">
      <c r="A15" s="38"/>
      <c r="J15" s="154" t="s">
        <v>63</v>
      </c>
      <c r="K15" s="389">
        <f ca="1">$O$9*60</f>
        <v>53.541173116651912</v>
      </c>
      <c r="L15" s="439">
        <f ca="1">IF($O$9&lt;=1,(X15*LN((K15/60)))+Z15,(AB15*LN((K15/60)))+Z15)</f>
        <v>88.616581796915511</v>
      </c>
      <c r="M15" s="439"/>
      <c r="N15" s="155">
        <f ca="1">L15/K15</f>
        <v>1.6551109480519535</v>
      </c>
      <c r="O15" s="67"/>
      <c r="R15" s="84"/>
      <c r="S15" s="44"/>
      <c r="U15" s="44"/>
      <c r="W15" s="94">
        <v>25</v>
      </c>
      <c r="X15" s="94">
        <f>'BC01 (RAC)'!X15</f>
        <v>29.043206617627984</v>
      </c>
      <c r="Y15" s="94"/>
      <c r="Z15" s="94">
        <f>'BC01 (RAC)'!Z15</f>
        <v>91.924417541518196</v>
      </c>
      <c r="AA15" s="94"/>
      <c r="AB15" s="94">
        <f>'BC01 (RAC)'!AB15</f>
        <v>26.572791210671088</v>
      </c>
      <c r="AC15" s="426"/>
      <c r="AD15" s="426"/>
    </row>
    <row r="16" spans="1:30" ht="13.5" thickTop="1">
      <c r="A16" s="38"/>
      <c r="J16" s="156" t="s">
        <v>64</v>
      </c>
      <c r="K16" s="390">
        <f ca="1">$O$9*60</f>
        <v>53.541173116651912</v>
      </c>
      <c r="L16" s="449">
        <f ca="1">IF($O$9&lt;=1,(X16*LN((K16/60)))+Z16,(AB16*LN((K16/60)))+Z16)</f>
        <v>99.351560116497836</v>
      </c>
      <c r="M16" s="449"/>
      <c r="N16" s="157">
        <f ca="1">L16/K16</f>
        <v>1.8556104458159206</v>
      </c>
      <c r="O16" s="67"/>
      <c r="R16" s="85"/>
      <c r="S16" s="44"/>
      <c r="U16" s="44"/>
      <c r="W16" s="94">
        <v>50</v>
      </c>
      <c r="X16" s="94">
        <f>'BC01 (RAC)'!X16</f>
        <v>32.437160263037789</v>
      </c>
      <c r="Y16" s="94"/>
      <c r="Z16" s="94">
        <f>'BC01 (RAC)'!Z16</f>
        <v>103.0459455052778</v>
      </c>
      <c r="AA16" s="94"/>
      <c r="AB16" s="94">
        <f>'BC01 (RAC)'!AB16</f>
        <v>29.77992314240781</v>
      </c>
      <c r="AC16" s="44"/>
    </row>
    <row r="17" spans="1:29">
      <c r="A17" s="38"/>
      <c r="I17" s="68"/>
      <c r="J17" s="158" t="s">
        <v>65</v>
      </c>
      <c r="K17" s="391">
        <f ca="1">$O$9*60</f>
        <v>53.541173116651912</v>
      </c>
      <c r="L17" s="450">
        <f ca="1">IF($O$9&lt;=1,(X17*LN((K17/60)))+Z17,(AB17*LN((K17/60)))+Z17)</f>
        <v>109.6214930053663</v>
      </c>
      <c r="M17" s="450"/>
      <c r="N17" s="159">
        <f ca="1">L17/K17</f>
        <v>2.0474241901000254</v>
      </c>
      <c r="O17" s="67"/>
      <c r="R17" s="85"/>
      <c r="S17" s="44"/>
      <c r="U17" s="44"/>
      <c r="W17" s="94">
        <v>100</v>
      </c>
      <c r="X17" s="94">
        <f>'BC01 (RAC)'!X17</f>
        <v>37.177212539092373</v>
      </c>
      <c r="Y17" s="94"/>
      <c r="Z17" s="94">
        <f>'BC01 (RAC)'!Z17</f>
        <v>113.85574007527696</v>
      </c>
      <c r="AA17" s="94"/>
      <c r="AB17" s="94">
        <f>'BC01 (RAC)'!AB17</f>
        <v>33.004344811583479</v>
      </c>
      <c r="AC17" s="44"/>
    </row>
    <row r="18" spans="1:29">
      <c r="A18" s="38"/>
      <c r="O18" s="67"/>
      <c r="R18" s="85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</row>
    <row r="19" spans="1:29">
      <c r="A19" s="38"/>
      <c r="O19" s="47"/>
      <c r="Q19" s="44"/>
      <c r="R19" s="85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</row>
    <row r="20" spans="1:29" ht="13.5" thickBot="1">
      <c r="A20" s="38"/>
      <c r="B20" s="427" t="s">
        <v>66</v>
      </c>
      <c r="C20" s="427"/>
      <c r="D20" s="427"/>
      <c r="E20" s="427"/>
      <c r="F20" s="427"/>
      <c r="G20" s="427"/>
      <c r="H20" s="427"/>
      <c r="J20" s="440" t="s">
        <v>9</v>
      </c>
      <c r="K20" s="442" t="s">
        <v>10</v>
      </c>
      <c r="L20" s="442"/>
      <c r="M20" s="442" t="s">
        <v>11</v>
      </c>
      <c r="N20" s="442"/>
      <c r="O20" s="47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</row>
    <row r="21" spans="1:29" ht="14.25" thickTop="1" thickBot="1">
      <c r="A21" s="38"/>
      <c r="B21" s="443"/>
      <c r="C21" s="443"/>
      <c r="D21" s="69" t="s">
        <v>67</v>
      </c>
      <c r="E21" s="69" t="s">
        <v>68</v>
      </c>
      <c r="F21" s="69" t="s">
        <v>44</v>
      </c>
      <c r="G21" s="69" t="s">
        <v>51</v>
      </c>
      <c r="H21" s="69"/>
      <c r="J21" s="441"/>
      <c r="K21" s="466" t="s">
        <v>12</v>
      </c>
      <c r="L21" s="467"/>
      <c r="M21" s="400">
        <f ca="1">0.278*$O$8*(N14*60)*$E$6</f>
        <v>5.1821191724493278</v>
      </c>
      <c r="N21" s="401" t="s">
        <v>13</v>
      </c>
      <c r="O21" s="47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</row>
    <row r="22" spans="1:29" ht="14.25" thickTop="1" thickBot="1">
      <c r="A22" s="38"/>
      <c r="B22" s="446" t="s">
        <v>69</v>
      </c>
      <c r="C22" s="446"/>
      <c r="D22" s="71">
        <f ca="1">E22*10^6</f>
        <v>861262.69799999997</v>
      </c>
      <c r="E22" s="70">
        <f ca="1">E6</f>
        <v>0.86126269799999999</v>
      </c>
      <c r="F22" s="70" t="s">
        <v>25</v>
      </c>
      <c r="G22" s="70" t="s">
        <v>25</v>
      </c>
      <c r="H22" s="70" t="s">
        <v>25</v>
      </c>
      <c r="J22" s="441"/>
      <c r="K22" s="468" t="s">
        <v>14</v>
      </c>
      <c r="L22" s="469"/>
      <c r="M22" s="398">
        <f ca="1">0.278*$O$8*(N15*60)*$E$6</f>
        <v>5.7137548494802664</v>
      </c>
      <c r="N22" s="399" t="s">
        <v>13</v>
      </c>
      <c r="O22" s="47"/>
    </row>
    <row r="23" spans="1:29" ht="13.5" thickTop="1">
      <c r="A23" s="38"/>
      <c r="B23" s="446" t="s">
        <v>70</v>
      </c>
      <c r="C23" s="446"/>
      <c r="D23" s="71">
        <f ca="1">$D$22*G23</f>
        <v>166998.83714219998</v>
      </c>
      <c r="E23" s="70">
        <f ca="1">D23/10^6</f>
        <v>0.16699883714219999</v>
      </c>
      <c r="F23" s="70" cm="1">
        <f t="array" aca="1" ref="F23" ca="1">_xlfn.LET(
_xlpm.superficie,B23,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_xlpm.col,MATCH(_xlpm.terreno,C_CN_IP03!$D$2:$I$2,0),
INDEX(C_CN_IP03!$D$4:$I$19,_xlpm.lin,_xlpm.col)
),
IF(
_xlpm.metodo="Ponderado",
IF(
_xlpm.terreno="Levemente ondulado",
AVERAGE(
INDEX(C_CN_IP03!$D$4:$I$19,_xlpm.lin,1),
INDEX(C_CN_IP03!$D$4:$I$19,_xlpm.lin,3)
),
IF(
_xlpm.terreno="Muito ondulado",
AVERAGE(
INDEX(C_CN_IP03!$D$4:$I$19,_xlpm.lin,3),
INDEX(C_CN_IP03!$D$4:$I$19,_xlpm.lin,5)
),
"Condição de terreno não reconhecida"
)
),
"Método não reconhecido"
)
)
)</f>
        <v>0.2</v>
      </c>
      <c r="G23" s="141">
        <v>0.19389999999999999</v>
      </c>
      <c r="H23" s="70">
        <f ca="1">(G23*(F23))</f>
        <v>3.8780000000000002E-2</v>
      </c>
      <c r="I23" s="72"/>
      <c r="J23" s="441"/>
      <c r="K23" s="470" t="s">
        <v>75</v>
      </c>
      <c r="L23" s="470"/>
      <c r="M23" s="396">
        <f ca="1">0.278*$O$8*(N16*60)*$E$6</f>
        <v>6.4059168939737718</v>
      </c>
      <c r="N23" s="397" t="s">
        <v>13</v>
      </c>
      <c r="O23" s="47"/>
    </row>
    <row r="24" spans="1:29">
      <c r="A24" s="38"/>
      <c r="B24" s="446" t="s">
        <v>71</v>
      </c>
      <c r="C24" s="446"/>
      <c r="D24" s="71">
        <f ca="1">$D$22*G24</f>
        <v>694263.8608578</v>
      </c>
      <c r="E24" s="70">
        <f ca="1">D24/10^6</f>
        <v>0.69426386085780001</v>
      </c>
      <c r="F24" s="70" cm="1">
        <f t="array" aca="1" ref="F24" ca="1">_xlfn.LET(
_xlpm.superficie,B24,
_xlpm.oro,$C$12,
_xlpm.terreno,$C$11,
_xlpm.metodo,$AC$14,
_xlpm.linInicial,MATCH(_xlpm.superficie,C_CN_IP03!$B$4:$B$19,0),
_xlpm.lin,_xlpm.linInicial+MATCH(_xlpm.oro,INDEX(C_CN_IP03!$C$4:$C$19,_xlpm.linInicial):INDEX(C_CN_IP03!$C$4:$C$19,_xlpm.linInicial+3),0)-1,
IF(
_xlpm.metodo="Tabelado",
_xlfn.LET(
_xlpm.col,MATCH(_xlpm.terreno,C_CN_IP03!$D$2:$I$2,0),
INDEX(C_CN_IP03!$D$4:$I$19,_xlpm.lin,_xlpm.col)
),
IF(
_xlpm.metodo="Ponderado",
IF(
_xlpm.terreno="Levemente ondulado",
AVERAGE(
INDEX(C_CN_IP03!$D$4:$I$19,_xlpm.lin,1),
INDEX(C_CN_IP03!$D$4:$I$19,_xlpm.lin,3)
),
IF(
_xlpm.terreno="Muito ondulado",
AVERAGE(
INDEX(C_CN_IP03!$D$4:$I$19,_xlpm.lin,3),
INDEX(C_CN_IP03!$D$4:$I$19,_xlpm.lin,5)
),
"Condição de terreno não reconhecida"
)
),
"Método não reconhecido"
)
)
)</f>
        <v>0.25</v>
      </c>
      <c r="G24" s="141">
        <v>0.80610000000000004</v>
      </c>
      <c r="H24" s="70">
        <f ca="1">(G24*(F24))</f>
        <v>0.20152500000000001</v>
      </c>
      <c r="I24" s="72"/>
      <c r="J24" s="441"/>
      <c r="K24" s="471" t="s">
        <v>15</v>
      </c>
      <c r="L24" s="471"/>
      <c r="M24" s="394">
        <f ca="1">0.278*$O$8*(N17*60)*$E$6</f>
        <v>7.0680940808809236</v>
      </c>
      <c r="N24" s="395" t="s">
        <v>13</v>
      </c>
      <c r="O24" s="47"/>
    </row>
    <row r="25" spans="1:29">
      <c r="A25" s="38"/>
      <c r="B25" s="446" t="s">
        <v>219</v>
      </c>
      <c r="C25" s="446"/>
      <c r="D25" s="71" t="s">
        <v>25</v>
      </c>
      <c r="E25" s="70" t="s">
        <v>25</v>
      </c>
      <c r="F25" s="70" t="s">
        <v>25</v>
      </c>
      <c r="G25" s="141" t="s">
        <v>25</v>
      </c>
      <c r="H25" s="70" t="s">
        <v>25</v>
      </c>
      <c r="I25" s="72"/>
      <c r="O25" s="47"/>
    </row>
    <row r="26" spans="1:29">
      <c r="A26" s="38"/>
      <c r="B26" s="457" t="s">
        <v>72</v>
      </c>
      <c r="C26" s="457"/>
      <c r="D26" s="457"/>
      <c r="E26" s="457"/>
      <c r="F26" s="457"/>
      <c r="G26" s="457"/>
      <c r="H26" s="73">
        <f ca="1">SUM(H23:H25)</f>
        <v>0.24030500000000002</v>
      </c>
      <c r="I26" s="72"/>
      <c r="J26" s="458" t="s">
        <v>74</v>
      </c>
      <c r="K26" s="459"/>
      <c r="L26" s="459"/>
      <c r="M26" s="459"/>
      <c r="N26" s="459"/>
      <c r="O26" s="47"/>
    </row>
    <row r="27" spans="1:29">
      <c r="A27" s="38"/>
      <c r="B27" s="74" t="s">
        <v>73</v>
      </c>
      <c r="C27" s="75"/>
      <c r="D27" s="140"/>
      <c r="E27" s="140"/>
      <c r="F27" s="140"/>
      <c r="G27" s="140"/>
      <c r="H27" s="140"/>
      <c r="I27" s="76"/>
      <c r="J27" s="460" t="str" cm="1">
        <f t="array" aca="1" ref="J27" ca="1">IFERROR(_xlfn.LET(
_xlpm.Func,"Orif",
_xlpm.Funcs,Base_Bueiros!$A$2:$A$37,
_xlpm.Tipos,Base_Bueiros!$C$2:$C$37,
_xlpm.Dims,Base_Bueiros!$D$2:$D$37,
_xlpm.Vazoes,Base_Bueiros!$F$2:$F$37,
_xlpm.DimNum,IFERROR(VALUE(TRIM(LEFT(_xlpm.Dims,FIND("x",_xlpm.Dims)-1))),VALUE(_xlpm.Dims)),
_xlpm.Linhas,IF(MID(_xlpm.Tipos,2,1)="T",3,IF(MID(_xlpm.Tipos,2,1)="D",2,1)),
_xlpm.EhTubular,MID(_xlpm.Tipos,3,1)="T",
_xlpm.QNec,IF(ISNUMBER(FIND("Orif",_xlpm.Func)),IF(_xlpm.EhTubular,M22,M23),IF(_xlpm.EhTubular,M21,M22)),
_xlpm.FiltroBase,(ISNUMBER(FIND(_xlpm.Func,_xlpm.Funcs)))*(_xlpm.Vazoes&gt;=_xlpm.QNec),
_xlpm.TemTubular,SUM(_xlpm.FiltroBase*_xlpm.EhTubular)&gt;0,
_xlpm.Filtro,_xlpm.FiltroBase*IF(_xlpm.TemTubular,_xlpm.EhTubular,NOT(_xlpm.EhTubular)),
_xlpm.Prior1,IF(_xlpm.EhTubular,_xlpm.DimNum,_xlpm.Linhas),
_xlpm.Prior2,IF(_xlpm.EhTubular,_xlpm.Linhas,_xlpm.DimNum),
_xlpm.MenorPrior1,_xlfn.AGGREGATE(15,6,_xlpm.Prior1/_xlpm.Filtro,1),
_xlpm.MenorPrior2,_xlfn.AGGREGATE(15,6,_xlpm.Prior2/(_xlpm.Filtro*(_xlpm.Prior1=_xlpm.MenorPrior1)),1),
_xlpm.MenorVazao,_xlfn.AGGREGATE(15,6,_xlpm.Vazoes/(_xlpm.Filtro*(_xlpm.Prior1=_xlpm.MenorPrior1)*(_xlpm.Prior2=_xlpm.MenorPrior2)),1),
_xlpm.Linha,MATCH(1,(_xlpm.Vazoes=_xlpm.MenorVazao)*(_xlpm.Filtro&gt;0),0),
_xlpm.Tipo,INDEX(_xlpm.Tipos,_xlpm.Linha),
_xlpm.Dim,INDEX(_xlpm.Dims,_xlpm.Linha),
_xlpm.EhTubularEscolhido,MID(_xlpm.Tipo,3,1)="T",
_xlpm.Tipo&amp;" "&amp;IF(_xlpm.EhTubularEscolhido,_xlpm.Dim&amp;"m",SUBSTITUTE(_xlpm.Dim,"0,00","")&amp;"m")
),"Ponte")</f>
        <v>BTTC d= 1,00m</v>
      </c>
      <c r="K27" s="461"/>
      <c r="L27" s="461"/>
      <c r="M27" s="461"/>
      <c r="N27" s="461"/>
      <c r="O27" s="47"/>
    </row>
    <row r="28" spans="1:29">
      <c r="A28" s="38"/>
      <c r="D28" s="142"/>
      <c r="E28" s="142"/>
      <c r="F28" s="142"/>
      <c r="G28" s="142"/>
      <c r="H28" s="142"/>
      <c r="I28" s="76"/>
      <c r="J28" s="142" t="s">
        <v>86</v>
      </c>
      <c r="K28" s="77"/>
      <c r="L28" s="77"/>
      <c r="M28" s="77"/>
      <c r="N28" s="77"/>
      <c r="O28" s="47"/>
    </row>
    <row r="29" spans="1:29">
      <c r="A29" s="38"/>
      <c r="I29" s="76"/>
      <c r="J29" s="45" t="s">
        <v>87</v>
      </c>
      <c r="K29" s="77"/>
      <c r="L29" s="77"/>
      <c r="M29" s="77"/>
      <c r="N29" s="77"/>
      <c r="O29" s="47"/>
    </row>
    <row r="30" spans="1:29">
      <c r="A30" s="38"/>
      <c r="C30" s="78"/>
      <c r="D30" s="78"/>
      <c r="E30" s="78"/>
      <c r="F30" s="78"/>
      <c r="I30" s="76"/>
      <c r="K30" s="77"/>
      <c r="L30" s="77"/>
      <c r="M30" s="77"/>
      <c r="N30" s="77"/>
      <c r="O30" s="47"/>
    </row>
    <row r="31" spans="1:29">
      <c r="A31" s="38"/>
      <c r="I31" s="76"/>
      <c r="J31" s="459" t="s">
        <v>74</v>
      </c>
      <c r="K31" s="459"/>
      <c r="L31" s="459"/>
      <c r="M31" s="459"/>
      <c r="N31" s="459"/>
      <c r="O31" s="47"/>
    </row>
    <row r="32" spans="1:29">
      <c r="A32" s="38"/>
      <c r="I32" s="76"/>
      <c r="J32" s="462" t="str" cm="1">
        <f t="array" aca="1" ref="J32" ca="1">IFERROR(_xlfn.LET(
_xlpm.Func,"Canal",
_xlpm.Funcs,Base_Bueiros!$A$2:$A$37,
_xlpm.Tipos,Base_Bueiros!$C$2:$C$37,
_xlpm.Dims,Base_Bueiros!$D$2:$D$37,
_xlpm.Vazoes,Base_Bueiros!$F$2:$F$37,
_xlpm.DimNum,IFERROR(VALUE(TRIM(LEFT(_xlpm.Dims,FIND("x",_xlpm.Dims)-1))),VALUE(_xlpm.Dims)),
_xlpm.Linhas,IF(MID(_xlpm.Tipos,2,1)="T",3,IF(MID(_xlpm.Tipos,2,1)="D",2,1)),
_xlpm.EhTubular,MID(_xlpm.Tipos,3,1)="T",
_xlpm.QNec,IF(ISNUMBER(FIND("Orif",_xlpm.Func)),IF(_xlpm.EhTubular,M22,M23),IF(_xlpm.EhTubular,M21,M22)),
_xlpm.FiltroBase,(ISNUMBER(FIND(_xlpm.Func,_xlpm.Funcs)))*(_xlpm.Vazoes&gt;=_xlpm.QNec),
_xlpm.TemTubular,SUM(_xlpm.FiltroBase*_xlpm.EhTubular)&gt;0,
_xlpm.Filtro,_xlpm.FiltroBase*IF(_xlpm.TemTubular,_xlpm.EhTubular,NOT(_xlpm.EhTubular)),
_xlpm.Prior1,IF(_xlpm.EhTubular,_xlpm.DimNum,_xlpm.Linhas),
_xlpm.Prior2,IF(_xlpm.EhTubular,_xlpm.Linhas,_xlpm.DimNum),
_xlpm.MenorPrior1,_xlfn.AGGREGATE(15,6,_xlpm.Prior1/_xlpm.Filtro,1),
_xlpm.MenorPrior2,_xlfn.AGGREGATE(15,6,_xlpm.Prior2/(_xlpm.Filtro*(_xlpm.Prior1=_xlpm.MenorPrior1)),1),
_xlpm.MenorVazao,_xlfn.AGGREGATE(15,6,_xlpm.Vazoes/(_xlpm.Filtro*(_xlpm.Prior1=_xlpm.MenorPrior1)*(_xlpm.Prior2=_xlpm.MenorPrior2)),1),
_xlpm.Linha,MATCH(1,(_xlpm.Vazoes=_xlpm.MenorVazao)*(_xlpm.Filtro&gt;0),0),
_xlpm.Tipo,INDEX(_xlpm.Tipos,_xlpm.Linha),
_xlpm.Dim,INDEX(_xlpm.Dims,_xlpm.Linha),
_xlpm.EhTubularEscolhido,MID(_xlpm.Tipo,3,1)="T",
_xlpm.Tipo&amp;" "&amp;IF(_xlpm.EhTubularEscolhido,_xlpm.Dim&amp;"m",SUBSTITUTE(_xlpm.Dim,"0,00","")&amp;"m")
),"Ponte")</f>
        <v>BTTC d= 1,20m</v>
      </c>
      <c r="K32" s="462"/>
      <c r="L32" s="462"/>
      <c r="M32" s="462"/>
      <c r="N32" s="462"/>
      <c r="O32" s="47"/>
    </row>
    <row r="33" spans="1:15">
      <c r="A33" s="38"/>
      <c r="I33" s="76"/>
      <c r="J33" s="45" t="s">
        <v>88</v>
      </c>
      <c r="K33" s="77"/>
      <c r="L33" s="77"/>
      <c r="M33" s="77"/>
      <c r="N33" s="77"/>
      <c r="O33" s="47"/>
    </row>
    <row r="34" spans="1:15">
      <c r="A34" s="38"/>
      <c r="I34" s="76"/>
      <c r="J34" s="77"/>
      <c r="K34" s="77"/>
      <c r="L34" s="77"/>
      <c r="M34" s="77"/>
      <c r="N34" s="77"/>
      <c r="O34" s="47"/>
    </row>
    <row r="35" spans="1:15">
      <c r="A35" s="38"/>
      <c r="I35" s="76"/>
      <c r="J35" s="459" t="s">
        <v>408</v>
      </c>
      <c r="K35" s="459"/>
      <c r="L35" s="459"/>
      <c r="M35" s="459"/>
      <c r="N35" s="459"/>
      <c r="O35" s="47"/>
    </row>
    <row r="36" spans="1:15">
      <c r="A36" s="38"/>
      <c r="I36" s="76"/>
      <c r="J36" s="452" t="str">
        <f>'Apresentação  - Est. Hid.'!AK30</f>
        <v>-</v>
      </c>
      <c r="K36" s="453"/>
      <c r="L36" s="453"/>
      <c r="M36" s="453"/>
      <c r="N36" s="453"/>
      <c r="O36" s="47"/>
    </row>
    <row r="37" spans="1:15">
      <c r="A37" s="38"/>
      <c r="I37" s="76"/>
      <c r="J37" s="116"/>
      <c r="K37" s="77"/>
      <c r="L37" s="77"/>
      <c r="M37" s="77"/>
      <c r="N37" s="77"/>
      <c r="O37" s="47"/>
    </row>
    <row r="38" spans="1:15" ht="13.5" thickBot="1">
      <c r="A38" s="79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1"/>
    </row>
    <row r="41" spans="1:15">
      <c r="C41" s="44"/>
      <c r="D41" s="44"/>
      <c r="E41" s="44"/>
      <c r="F41" s="44"/>
      <c r="G41" s="44"/>
    </row>
    <row r="42" spans="1:15">
      <c r="C42" s="454"/>
      <c r="D42" s="454"/>
      <c r="E42" s="454"/>
      <c r="F42" s="455"/>
      <c r="G42" s="456"/>
      <c r="K42" s="103"/>
    </row>
    <row r="43" spans="1:15">
      <c r="C43" s="95"/>
      <c r="D43" s="86"/>
      <c r="E43" s="87"/>
      <c r="F43" s="86"/>
      <c r="G43" s="58"/>
    </row>
    <row r="44" spans="1:15" ht="15">
      <c r="C44" s="95"/>
      <c r="D44" s="86"/>
      <c r="E44" s="87"/>
      <c r="F44" s="86"/>
      <c r="G44" s="58"/>
      <c r="H44"/>
      <c r="I44"/>
      <c r="J44"/>
      <c r="K44"/>
      <c r="L44"/>
      <c r="M44"/>
    </row>
    <row r="45" spans="1:15" ht="15">
      <c r="C45" s="95"/>
      <c r="D45" s="86"/>
      <c r="E45" s="87"/>
      <c r="F45" s="86"/>
      <c r="G45" s="58"/>
      <c r="H45"/>
      <c r="I45"/>
      <c r="J45"/>
      <c r="K45"/>
      <c r="L45"/>
      <c r="M45"/>
    </row>
    <row r="46" spans="1:15" ht="15">
      <c r="C46" s="95"/>
      <c r="D46" s="86"/>
      <c r="E46" s="87"/>
      <c r="F46" s="86"/>
      <c r="G46" s="58"/>
      <c r="H46"/>
      <c r="I46"/>
      <c r="J46"/>
      <c r="K46"/>
      <c r="L46"/>
      <c r="M46"/>
    </row>
    <row r="47" spans="1:15" ht="15">
      <c r="C47" s="44"/>
      <c r="D47" s="44"/>
      <c r="E47" s="44"/>
      <c r="F47" s="44"/>
      <c r="G47" s="44"/>
      <c r="H47"/>
      <c r="I47"/>
      <c r="J47"/>
      <c r="K47"/>
      <c r="L47"/>
      <c r="M47"/>
    </row>
    <row r="48" spans="1:15" ht="15">
      <c r="C48" s="44"/>
      <c r="D48" s="44"/>
      <c r="E48" s="44"/>
      <c r="F48" s="44"/>
      <c r="G48" s="44"/>
      <c r="H48"/>
      <c r="I48"/>
      <c r="J48"/>
      <c r="K48"/>
      <c r="L48"/>
      <c r="M48"/>
    </row>
    <row r="49" spans="3:13" ht="15">
      <c r="C49" s="44"/>
      <c r="D49" s="44"/>
      <c r="E49" s="44"/>
      <c r="F49" s="44"/>
      <c r="G49" s="44"/>
      <c r="H49"/>
      <c r="I49"/>
      <c r="J49"/>
      <c r="K49"/>
      <c r="L49"/>
      <c r="M49"/>
    </row>
    <row r="50" spans="3:13" ht="15">
      <c r="H50"/>
      <c r="I50"/>
      <c r="J50"/>
      <c r="K50"/>
      <c r="L50"/>
      <c r="M50"/>
    </row>
    <row r="51" spans="3:13" ht="15">
      <c r="H51"/>
      <c r="I51"/>
      <c r="J51"/>
      <c r="K51"/>
      <c r="L51"/>
      <c r="M51"/>
    </row>
  </sheetData>
  <mergeCells count="35">
    <mergeCell ref="J12:N12"/>
    <mergeCell ref="A1:O1"/>
    <mergeCell ref="A2:O2"/>
    <mergeCell ref="W3:Y3"/>
    <mergeCell ref="W4:W5"/>
    <mergeCell ref="Z4:Z5"/>
    <mergeCell ref="B24:C24"/>
    <mergeCell ref="K24:L24"/>
    <mergeCell ref="L13:M13"/>
    <mergeCell ref="L14:M14"/>
    <mergeCell ref="L15:M15"/>
    <mergeCell ref="L16:M16"/>
    <mergeCell ref="L17:M17"/>
    <mergeCell ref="B20:H20"/>
    <mergeCell ref="J20:J24"/>
    <mergeCell ref="K20:L20"/>
    <mergeCell ref="M20:N20"/>
    <mergeCell ref="B21:C21"/>
    <mergeCell ref="K21:L21"/>
    <mergeCell ref="B22:C22"/>
    <mergeCell ref="K22:L22"/>
    <mergeCell ref="C42:E42"/>
    <mergeCell ref="F42:G42"/>
    <mergeCell ref="B26:G26"/>
    <mergeCell ref="J26:N26"/>
    <mergeCell ref="J27:N27"/>
    <mergeCell ref="J31:N31"/>
    <mergeCell ref="J32:N32"/>
    <mergeCell ref="J35:N35"/>
    <mergeCell ref="AC13:AD13"/>
    <mergeCell ref="AC14:AD15"/>
    <mergeCell ref="B23:C23"/>
    <mergeCell ref="K23:L23"/>
    <mergeCell ref="J36:N36"/>
    <mergeCell ref="B25:C25"/>
  </mergeCells>
  <conditionalFormatting sqref="K4:O4">
    <cfRule type="expression" dxfId="18" priority="1">
      <formula>AND($M$22&lt;=79.73,OR($S$13=15,$S$13=25),$N$4=$S$13)</formula>
    </cfRule>
  </conditionalFormatting>
  <conditionalFormatting sqref="K5:O5">
    <cfRule type="expression" dxfId="17" priority="2">
      <formula>AND($M$22&lt;=79.73,OR($S$13=15,$S$13=25),$N$5=$S$13)</formula>
    </cfRule>
    <cfRule type="expression" dxfId="16" priority="3">
      <formula>AND($M$22&lt;=79.73,OR($S$14=25,$S$14=50),$N$5=$S$14)</formula>
    </cfRule>
  </conditionalFormatting>
  <conditionalFormatting sqref="K6:O6">
    <cfRule type="expression" dxfId="15" priority="4">
      <formula>AND($M$22&lt;=79.73,OR($S$14=25,$S$14=50),$N$6=$S$14)</formula>
    </cfRule>
  </conditionalFormatting>
  <conditionalFormatting sqref="K7:O7">
    <cfRule type="expression" dxfId="14" priority="5">
      <formula>AND($M$22&gt;79.73,$N$7=100)</formula>
    </cfRule>
  </conditionalFormatting>
  <conditionalFormatting sqref="J14:N14">
    <cfRule type="expression" dxfId="13" priority="6">
      <formula>AND($M$22&lt;=79.73,OR($S$13=15,$S$13=25),$S$13=15)</formula>
    </cfRule>
  </conditionalFormatting>
  <conditionalFormatting sqref="J15:N15">
    <cfRule type="expression" dxfId="12" priority="7">
      <formula>AND($M$22&lt;=79.73,OR($S$13=15,$S$13=25),$S$13=25)</formula>
    </cfRule>
    <cfRule type="expression" dxfId="11" priority="8">
      <formula>AND($M$22&lt;=79.73,OR($S$14=25,$S$14=50),$S$14=25)</formula>
    </cfRule>
  </conditionalFormatting>
  <conditionalFormatting sqref="J16:N16">
    <cfRule type="expression" dxfId="10" priority="9">
      <formula>AND($M$22&lt;=79.73,OR($S$14=25,$S$14=50),$S$14=50)</formula>
    </cfRule>
  </conditionalFormatting>
  <conditionalFormatting sqref="J17:N17">
    <cfRule type="expression" dxfId="9" priority="10">
      <formula>$M$22&gt;79.73</formula>
    </cfRule>
  </conditionalFormatting>
  <conditionalFormatting sqref="K21:N21">
    <cfRule type="expression" dxfId="8" priority="11">
      <formula>AND($M$22&lt;=79.73,OR($S$13=15,$S$13=25),$S$13=15)</formula>
    </cfRule>
  </conditionalFormatting>
  <conditionalFormatting sqref="K22:N22">
    <cfRule type="expression" dxfId="7" priority="12">
      <formula>AND($M$22&lt;=79.73,OR($S$13=15,$S$13=25),$S$13=25)</formula>
    </cfRule>
    <cfRule type="expression" dxfId="6" priority="13">
      <formula>AND($M$22&lt;=79.73,OR($S$14=25,$S$14=50),$S$14=25)</formula>
    </cfRule>
  </conditionalFormatting>
  <conditionalFormatting sqref="K23:N23">
    <cfRule type="expression" dxfId="5" priority="14">
      <formula>AND($M$22&lt;=79.73,OR($S$14=25,$S$14=50),$S$14=50)</formula>
    </cfRule>
  </conditionalFormatting>
  <conditionalFormatting sqref="K24:N24">
    <cfRule type="expression" dxfId="4" priority="15">
      <formula>$M$22&gt;79.73</formula>
    </cfRule>
  </conditionalFormatting>
  <dataValidations disablePrompts="1" count="2">
    <dataValidation type="list" allowBlank="1" showInputMessage="1" showErrorMessage="1" sqref="V13" xr:uid="{7AB262E2-B2D1-42A9-A936-C7AF8D1FA6BD}">
      <formula1>"Grota,Greide"</formula1>
    </dataValidation>
    <dataValidation type="list" allowBlank="1" showInputMessage="1" showErrorMessage="1" sqref="AC14:AD15" xr:uid="{B3D347A4-A663-4B40-9132-50F0ADD3B0B5}">
      <formula1>"Tabelado,Ponderado"</formula1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97" orientation="landscape" r:id="rId1"/>
  <colBreaks count="1" manualBreakCount="1">
    <brk id="15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7D201377-A837-4BC6-9C82-F4B5916BAE46}">
          <x14:formula1>
            <xm:f>C_CN_IP03!$K$3:$K$6</xm:f>
          </x14:formula1>
          <xm:sqref>C12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278E-BEC8-4CF4-994B-448F6EA11451}">
  <sheetPr codeName="Planilha13">
    <tabColor rgb="FF92D050"/>
  </sheetPr>
  <dimension ref="A2:U28"/>
  <sheetViews>
    <sheetView showGridLines="0" workbookViewId="0">
      <selection activeCell="B2" sqref="B2:H17"/>
    </sheetView>
  </sheetViews>
  <sheetFormatPr defaultRowHeight="15"/>
  <cols>
    <col min="3" max="3" width="8.5703125" bestFit="1" customWidth="1"/>
    <col min="4" max="4" width="12.5703125" bestFit="1" customWidth="1"/>
    <col min="5" max="5" width="10.85546875" bestFit="1" customWidth="1"/>
    <col min="6" max="9" width="8.5703125" customWidth="1"/>
    <col min="10" max="10" width="11" bestFit="1" customWidth="1"/>
    <col min="14" max="14" width="10.42578125" customWidth="1"/>
    <col min="21" max="21" width="9.5703125" bestFit="1" customWidth="1"/>
  </cols>
  <sheetData>
    <row r="2" spans="1:21" ht="45.75" thickBot="1">
      <c r="B2" s="1" t="s">
        <v>37</v>
      </c>
      <c r="C2" s="1" t="s">
        <v>38</v>
      </c>
      <c r="D2" s="1" t="s">
        <v>39</v>
      </c>
      <c r="E2" s="1" t="s">
        <v>40</v>
      </c>
      <c r="F2" s="2" t="s">
        <v>41</v>
      </c>
      <c r="G2" s="2" t="s">
        <v>42</v>
      </c>
      <c r="H2" s="1" t="s">
        <v>43</v>
      </c>
      <c r="I2" s="3"/>
      <c r="J2" s="3"/>
    </row>
    <row r="3" spans="1:21" ht="15.75" thickBot="1">
      <c r="B3" s="14" t="s">
        <v>44</v>
      </c>
      <c r="C3" s="37">
        <v>631</v>
      </c>
      <c r="D3" s="14">
        <v>0</v>
      </c>
      <c r="E3" s="13">
        <f>D3/1000</f>
        <v>0</v>
      </c>
      <c r="F3" s="13">
        <v>0</v>
      </c>
      <c r="G3" s="13">
        <v>0</v>
      </c>
      <c r="H3" s="13">
        <v>0</v>
      </c>
      <c r="J3" s="464" t="s">
        <v>198</v>
      </c>
      <c r="K3" s="465"/>
      <c r="U3" s="36"/>
    </row>
    <row r="4" spans="1:21">
      <c r="B4" s="14">
        <v>1</v>
      </c>
      <c r="C4" s="37">
        <v>629</v>
      </c>
      <c r="D4" s="14">
        <v>250</v>
      </c>
      <c r="E4" s="12">
        <f>D4/1000</f>
        <v>0.25</v>
      </c>
      <c r="F4" s="13">
        <f t="shared" ref="F4:F8" si="0">C3-C4</f>
        <v>2</v>
      </c>
      <c r="G4" s="12">
        <f t="shared" ref="G4:G8" si="1">E4-E3</f>
        <v>0.25</v>
      </c>
      <c r="H4" s="12">
        <f t="shared" ref="H4:H9" si="2">F4/G4</f>
        <v>8</v>
      </c>
      <c r="J4" s="120" t="s">
        <v>199</v>
      </c>
      <c r="K4" s="124">
        <f ca="1">(((E9/((G4/SQRT(H4))+(G5/SQRT(H5))+(G6/SQRT(H6))+(G7/SQRT(H7))+(G8/SQRT(H8))+(G9/SQRT(H9))))^2)/1000)*1000</f>
        <v>8.4315882640720279</v>
      </c>
      <c r="U4" s="36"/>
    </row>
    <row r="5" spans="1:21" ht="15.75" thickBot="1">
      <c r="B5" s="14">
        <v>2</v>
      </c>
      <c r="C5" s="37">
        <v>628</v>
      </c>
      <c r="D5" s="14">
        <f>D4+$D$4</f>
        <v>500</v>
      </c>
      <c r="E5" s="12">
        <f t="shared" ref="E5:E9" si="3">D5/1000</f>
        <v>0.5</v>
      </c>
      <c r="F5" s="13">
        <f t="shared" si="0"/>
        <v>1</v>
      </c>
      <c r="G5" s="12">
        <f t="shared" si="1"/>
        <v>0.25</v>
      </c>
      <c r="H5" s="12">
        <f t="shared" si="2"/>
        <v>4</v>
      </c>
      <c r="J5" s="121" t="s">
        <v>200</v>
      </c>
      <c r="K5" s="123">
        <f ca="1">((E9/((G4/SQRT(H4))+(G5/SQRT(H5))+(G6/SQRT(H6))+(G7/SQRT(H7))+(G8/SQRT(H8))+(G9/SQRT(H9))))^2)/1000</f>
        <v>8.4315882640720284E-3</v>
      </c>
    </row>
    <row r="6" spans="1:21" ht="15.75" thickBot="1">
      <c r="B6" s="14">
        <v>3</v>
      </c>
      <c r="C6" s="37">
        <v>623</v>
      </c>
      <c r="D6" s="14">
        <f t="shared" ref="D6:D8" si="4">D5+$D$4</f>
        <v>750</v>
      </c>
      <c r="E6" s="12">
        <f t="shared" si="3"/>
        <v>0.75</v>
      </c>
      <c r="F6" s="13">
        <f t="shared" si="0"/>
        <v>5</v>
      </c>
      <c r="G6" s="12">
        <f t="shared" si="1"/>
        <v>0.25</v>
      </c>
      <c r="H6" s="12">
        <f t="shared" si="2"/>
        <v>20</v>
      </c>
      <c r="J6" s="119" t="s">
        <v>201</v>
      </c>
      <c r="K6" s="122">
        <f ca="1">(((E9/((G4/SQRT(H4))+(G5/SQRT(H5))+(G6/SQRT(H6))+(G7/SQRT(H7))+(G8/SQRT(H8))+(G9/SQRT(H9))))^2)/1000)*100</f>
        <v>0.84315882640720285</v>
      </c>
    </row>
    <row r="7" spans="1:21">
      <c r="A7" s="184"/>
      <c r="B7" s="14">
        <v>4</v>
      </c>
      <c r="C7" s="37">
        <v>614</v>
      </c>
      <c r="D7" s="14">
        <f t="shared" si="4"/>
        <v>1000</v>
      </c>
      <c r="E7" s="12">
        <f t="shared" si="3"/>
        <v>1</v>
      </c>
      <c r="F7" s="13">
        <f t="shared" si="0"/>
        <v>9</v>
      </c>
      <c r="G7" s="12">
        <f t="shared" si="1"/>
        <v>0.25</v>
      </c>
      <c r="H7" s="12">
        <f t="shared" si="2"/>
        <v>36</v>
      </c>
    </row>
    <row r="8" spans="1:21">
      <c r="B8" s="14">
        <v>5</v>
      </c>
      <c r="C8" s="37">
        <v>613</v>
      </c>
      <c r="D8" s="14">
        <f t="shared" si="4"/>
        <v>1250</v>
      </c>
      <c r="E8" s="12">
        <f t="shared" si="3"/>
        <v>1.25</v>
      </c>
      <c r="F8" s="13">
        <f t="shared" si="0"/>
        <v>1</v>
      </c>
      <c r="G8" s="12">
        <f t="shared" si="1"/>
        <v>0.25</v>
      </c>
      <c r="H8" s="12">
        <f t="shared" si="2"/>
        <v>4</v>
      </c>
    </row>
    <row r="9" spans="1:21">
      <c r="A9" s="184"/>
      <c r="B9" s="14" t="s">
        <v>33</v>
      </c>
      <c r="C9" s="37">
        <v>610</v>
      </c>
      <c r="D9" s="37">
        <f ca="1">'BC12 (RAC)'!E7*1000</f>
        <v>1571.489</v>
      </c>
      <c r="E9" s="12">
        <f t="shared" ca="1" si="3"/>
        <v>1.5714890000000001</v>
      </c>
      <c r="F9" s="13">
        <f t="shared" ref="F9" si="5">C8-C9</f>
        <v>3</v>
      </c>
      <c r="G9" s="12">
        <f t="shared" ref="G9" ca="1" si="6">E9-E8</f>
        <v>0.32148900000000014</v>
      </c>
      <c r="H9" s="12">
        <f t="shared" ca="1" si="2"/>
        <v>9.3315789964819906</v>
      </c>
    </row>
    <row r="10" spans="1:21" ht="15.75" thickBot="1">
      <c r="B10" s="3"/>
      <c r="C10" s="335"/>
      <c r="D10" s="106"/>
      <c r="E10" s="107"/>
      <c r="F10" s="106"/>
      <c r="G10" s="107"/>
      <c r="H10" s="107"/>
    </row>
    <row r="11" spans="1:21" ht="15.75" thickBot="1">
      <c r="B11" s="4" t="s">
        <v>48</v>
      </c>
      <c r="C11" s="5">
        <f ca="1">(((E9/((G4/SQRT(H4))+(G5/SQRT(H5))+(G6/SQRT(H6))+(G7/SQRT(H7))+(G8/SQRT(H8))+(G9/SQRT(H9))))^2)/1000)*1000</f>
        <v>8.4315882640720279</v>
      </c>
      <c r="D11" s="6" t="s">
        <v>45</v>
      </c>
      <c r="E11" s="6" t="s">
        <v>49</v>
      </c>
      <c r="F11" s="6"/>
      <c r="G11" s="6"/>
      <c r="H11" s="7"/>
    </row>
    <row r="12" spans="1:21" ht="15.75" thickBot="1">
      <c r="B12" s="4" t="s">
        <v>48</v>
      </c>
      <c r="C12" s="8">
        <f ca="1">C11/1000</f>
        <v>8.4315882640720284E-3</v>
      </c>
      <c r="D12" s="6" t="s">
        <v>46</v>
      </c>
      <c r="E12" s="6" t="s">
        <v>50</v>
      </c>
      <c r="F12" s="6"/>
      <c r="G12" s="6"/>
      <c r="H12" s="7"/>
    </row>
    <row r="13" spans="1:21" ht="15.75" thickBot="1">
      <c r="B13" s="9" t="s">
        <v>48</v>
      </c>
      <c r="C13" s="108">
        <f ca="1">C12*100</f>
        <v>0.84315882640720285</v>
      </c>
      <c r="D13" s="10" t="s">
        <v>47</v>
      </c>
      <c r="E13" s="10" t="s">
        <v>51</v>
      </c>
      <c r="F13" s="10"/>
      <c r="G13" s="10"/>
      <c r="H13" s="11"/>
    </row>
    <row r="18" spans="2:2" ht="13.5" customHeight="1"/>
    <row r="19" spans="2:2" hidden="1"/>
    <row r="28" spans="2:2">
      <c r="B28" t="str">
        <f>"Perfil Longitudinal - "&amp;'BC12 (RAC)'!E5</f>
        <v>Perfil Longitudinal - Sem talvegue permanente</v>
      </c>
    </row>
  </sheetData>
  <mergeCells count="1">
    <mergeCell ref="J3:K3"/>
  </mergeCells>
  <pageMargins left="0.511811024" right="0.511811024" top="0.78740157499999996" bottom="0.78740157499999996" header="0.31496062000000002" footer="0.3149606200000000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A15DD-78F6-4C37-B451-74503C3F87F1}">
  <sheetPr codeName="Planilha27"/>
  <dimension ref="B3:CP81"/>
  <sheetViews>
    <sheetView showGridLines="0" view="pageBreakPreview" zoomScale="70" zoomScaleNormal="100" zoomScaleSheetLayoutView="70" workbookViewId="0">
      <selection activeCell="F40" sqref="F40"/>
    </sheetView>
  </sheetViews>
  <sheetFormatPr defaultRowHeight="15.75"/>
  <cols>
    <col min="1" max="1" width="9.140625" style="34"/>
    <col min="2" max="3" width="7.7109375" style="34" customWidth="1"/>
    <col min="4" max="5" width="6.7109375" style="34" bestFit="1" customWidth="1"/>
    <col min="6" max="6" width="8.85546875" style="34" customWidth="1"/>
    <col min="7" max="7" width="9.140625" style="34" hidden="1" customWidth="1"/>
    <col min="8" max="8" width="10" style="92" customWidth="1"/>
    <col min="9" max="9" width="11.28515625" style="34" customWidth="1"/>
    <col min="10" max="13" width="6.140625" style="34" customWidth="1"/>
    <col min="14" max="14" width="10.42578125" style="34" customWidth="1"/>
    <col min="15" max="20" width="8.28515625" style="34" customWidth="1"/>
    <col min="21" max="21" width="8.28515625" style="92" customWidth="1"/>
    <col min="22" max="24" width="8.28515625" style="34" customWidth="1"/>
    <col min="25" max="36" width="10.7109375" style="34" customWidth="1"/>
    <col min="37" max="37" width="23.5703125" style="34" customWidth="1"/>
    <col min="38" max="38" width="27.42578125" style="34" customWidth="1"/>
    <col min="39" max="39" width="26.5703125" style="34" customWidth="1"/>
    <col min="40" max="40" width="26.42578125" style="34" customWidth="1"/>
    <col min="41" max="41" width="35.42578125" style="34" customWidth="1"/>
    <col min="42" max="42" width="27.7109375" style="34" customWidth="1"/>
    <col min="43" max="43" width="14.85546875" style="34" customWidth="1"/>
    <col min="44" max="44" width="9.140625" style="34" customWidth="1"/>
    <col min="45" max="45" width="9.140625" style="34"/>
    <col min="46" max="48" width="9.140625" style="34" customWidth="1"/>
    <col min="49" max="49" width="18" style="34" customWidth="1"/>
    <col min="50" max="50" width="9.140625" style="34" customWidth="1"/>
    <col min="51" max="51" width="11.28515625" style="34" customWidth="1"/>
    <col min="52" max="52" width="9.140625" style="34" customWidth="1"/>
    <col min="53" max="53" width="16.85546875" style="34" customWidth="1"/>
    <col min="54" max="56" width="9.140625" style="34" customWidth="1"/>
    <col min="57" max="57" width="12" style="34" bestFit="1" customWidth="1"/>
    <col min="58" max="58" width="12" style="34" customWidth="1"/>
    <col min="59" max="61" width="9.140625" style="34"/>
    <col min="62" max="62" width="9.140625" style="34" customWidth="1"/>
    <col min="63" max="65" width="9.140625" style="34"/>
    <col min="66" max="66" width="9.140625" style="34" customWidth="1"/>
    <col min="67" max="73" width="9.140625" style="34"/>
    <col min="74" max="74" width="16.28515625" style="34" bestFit="1" customWidth="1"/>
    <col min="75" max="75" width="14.85546875" style="34" bestFit="1" customWidth="1"/>
    <col min="76" max="91" width="9.140625" style="34"/>
    <col min="92" max="92" width="14.42578125" style="34" bestFit="1" customWidth="1"/>
    <col min="93" max="93" width="14.42578125" style="34" customWidth="1"/>
    <col min="94" max="256" width="9.140625" style="34"/>
    <col min="257" max="257" width="7.7109375" style="34" customWidth="1"/>
    <col min="258" max="258" width="5.140625" style="34" customWidth="1"/>
    <col min="259" max="259" width="1.85546875" style="34" customWidth="1"/>
    <col min="260" max="260" width="5.140625" style="34" customWidth="1"/>
    <col min="261" max="261" width="29.5703125" style="34" customWidth="1"/>
    <col min="262" max="262" width="12.7109375" style="34" customWidth="1"/>
    <col min="263" max="263" width="16.7109375" style="34" customWidth="1"/>
    <col min="264" max="266" width="11.7109375" style="34" customWidth="1"/>
    <col min="267" max="274" width="9.85546875" style="34" customWidth="1"/>
    <col min="275" max="275" width="9.140625" style="34"/>
    <col min="276" max="276" width="24" style="34" customWidth="1"/>
    <col min="277" max="512" width="9.140625" style="34"/>
    <col min="513" max="513" width="7.7109375" style="34" customWidth="1"/>
    <col min="514" max="514" width="5.140625" style="34" customWidth="1"/>
    <col min="515" max="515" width="1.85546875" style="34" customWidth="1"/>
    <col min="516" max="516" width="5.140625" style="34" customWidth="1"/>
    <col min="517" max="517" width="29.5703125" style="34" customWidth="1"/>
    <col min="518" max="518" width="12.7109375" style="34" customWidth="1"/>
    <col min="519" max="519" width="16.7109375" style="34" customWidth="1"/>
    <col min="520" max="522" width="11.7109375" style="34" customWidth="1"/>
    <col min="523" max="530" width="9.85546875" style="34" customWidth="1"/>
    <col min="531" max="531" width="9.140625" style="34"/>
    <col min="532" max="532" width="24" style="34" customWidth="1"/>
    <col min="533" max="768" width="9.140625" style="34"/>
    <col min="769" max="769" width="7.7109375" style="34" customWidth="1"/>
    <col min="770" max="770" width="5.140625" style="34" customWidth="1"/>
    <col min="771" max="771" width="1.85546875" style="34" customWidth="1"/>
    <col min="772" max="772" width="5.140625" style="34" customWidth="1"/>
    <col min="773" max="773" width="29.5703125" style="34" customWidth="1"/>
    <col min="774" max="774" width="12.7109375" style="34" customWidth="1"/>
    <col min="775" max="775" width="16.7109375" style="34" customWidth="1"/>
    <col min="776" max="778" width="11.7109375" style="34" customWidth="1"/>
    <col min="779" max="786" width="9.85546875" style="34" customWidth="1"/>
    <col min="787" max="787" width="9.140625" style="34"/>
    <col min="788" max="788" width="24" style="34" customWidth="1"/>
    <col min="789" max="1024" width="9.140625" style="34"/>
    <col min="1025" max="1025" width="7.7109375" style="34" customWidth="1"/>
    <col min="1026" max="1026" width="5.140625" style="34" customWidth="1"/>
    <col min="1027" max="1027" width="1.85546875" style="34" customWidth="1"/>
    <col min="1028" max="1028" width="5.140625" style="34" customWidth="1"/>
    <col min="1029" max="1029" width="29.5703125" style="34" customWidth="1"/>
    <col min="1030" max="1030" width="12.7109375" style="34" customWidth="1"/>
    <col min="1031" max="1031" width="16.7109375" style="34" customWidth="1"/>
    <col min="1032" max="1034" width="11.7109375" style="34" customWidth="1"/>
    <col min="1035" max="1042" width="9.85546875" style="34" customWidth="1"/>
    <col min="1043" max="1043" width="9.140625" style="34"/>
    <col min="1044" max="1044" width="24" style="34" customWidth="1"/>
    <col min="1045" max="1280" width="9.140625" style="34"/>
    <col min="1281" max="1281" width="7.7109375" style="34" customWidth="1"/>
    <col min="1282" max="1282" width="5.140625" style="34" customWidth="1"/>
    <col min="1283" max="1283" width="1.85546875" style="34" customWidth="1"/>
    <col min="1284" max="1284" width="5.140625" style="34" customWidth="1"/>
    <col min="1285" max="1285" width="29.5703125" style="34" customWidth="1"/>
    <col min="1286" max="1286" width="12.7109375" style="34" customWidth="1"/>
    <col min="1287" max="1287" width="16.7109375" style="34" customWidth="1"/>
    <col min="1288" max="1290" width="11.7109375" style="34" customWidth="1"/>
    <col min="1291" max="1298" width="9.85546875" style="34" customWidth="1"/>
    <col min="1299" max="1299" width="9.140625" style="34"/>
    <col min="1300" max="1300" width="24" style="34" customWidth="1"/>
    <col min="1301" max="1536" width="9.140625" style="34"/>
    <col min="1537" max="1537" width="7.7109375" style="34" customWidth="1"/>
    <col min="1538" max="1538" width="5.140625" style="34" customWidth="1"/>
    <col min="1539" max="1539" width="1.85546875" style="34" customWidth="1"/>
    <col min="1540" max="1540" width="5.140625" style="34" customWidth="1"/>
    <col min="1541" max="1541" width="29.5703125" style="34" customWidth="1"/>
    <col min="1542" max="1542" width="12.7109375" style="34" customWidth="1"/>
    <col min="1543" max="1543" width="16.7109375" style="34" customWidth="1"/>
    <col min="1544" max="1546" width="11.7109375" style="34" customWidth="1"/>
    <col min="1547" max="1554" width="9.85546875" style="34" customWidth="1"/>
    <col min="1555" max="1555" width="9.140625" style="34"/>
    <col min="1556" max="1556" width="24" style="34" customWidth="1"/>
    <col min="1557" max="1792" width="9.140625" style="34"/>
    <col min="1793" max="1793" width="7.7109375" style="34" customWidth="1"/>
    <col min="1794" max="1794" width="5.140625" style="34" customWidth="1"/>
    <col min="1795" max="1795" width="1.85546875" style="34" customWidth="1"/>
    <col min="1796" max="1796" width="5.140625" style="34" customWidth="1"/>
    <col min="1797" max="1797" width="29.5703125" style="34" customWidth="1"/>
    <col min="1798" max="1798" width="12.7109375" style="34" customWidth="1"/>
    <col min="1799" max="1799" width="16.7109375" style="34" customWidth="1"/>
    <col min="1800" max="1802" width="11.7109375" style="34" customWidth="1"/>
    <col min="1803" max="1810" width="9.85546875" style="34" customWidth="1"/>
    <col min="1811" max="1811" width="9.140625" style="34"/>
    <col min="1812" max="1812" width="24" style="34" customWidth="1"/>
    <col min="1813" max="2048" width="9.140625" style="34"/>
    <col min="2049" max="2049" width="7.7109375" style="34" customWidth="1"/>
    <col min="2050" max="2050" width="5.140625" style="34" customWidth="1"/>
    <col min="2051" max="2051" width="1.85546875" style="34" customWidth="1"/>
    <col min="2052" max="2052" width="5.140625" style="34" customWidth="1"/>
    <col min="2053" max="2053" width="29.5703125" style="34" customWidth="1"/>
    <col min="2054" max="2054" width="12.7109375" style="34" customWidth="1"/>
    <col min="2055" max="2055" width="16.7109375" style="34" customWidth="1"/>
    <col min="2056" max="2058" width="11.7109375" style="34" customWidth="1"/>
    <col min="2059" max="2066" width="9.85546875" style="34" customWidth="1"/>
    <col min="2067" max="2067" width="9.140625" style="34"/>
    <col min="2068" max="2068" width="24" style="34" customWidth="1"/>
    <col min="2069" max="2304" width="9.140625" style="34"/>
    <col min="2305" max="2305" width="7.7109375" style="34" customWidth="1"/>
    <col min="2306" max="2306" width="5.140625" style="34" customWidth="1"/>
    <col min="2307" max="2307" width="1.85546875" style="34" customWidth="1"/>
    <col min="2308" max="2308" width="5.140625" style="34" customWidth="1"/>
    <col min="2309" max="2309" width="29.5703125" style="34" customWidth="1"/>
    <col min="2310" max="2310" width="12.7109375" style="34" customWidth="1"/>
    <col min="2311" max="2311" width="16.7109375" style="34" customWidth="1"/>
    <col min="2312" max="2314" width="11.7109375" style="34" customWidth="1"/>
    <col min="2315" max="2322" width="9.85546875" style="34" customWidth="1"/>
    <col min="2323" max="2323" width="9.140625" style="34"/>
    <col min="2324" max="2324" width="24" style="34" customWidth="1"/>
    <col min="2325" max="2560" width="9.140625" style="34"/>
    <col min="2561" max="2561" width="7.7109375" style="34" customWidth="1"/>
    <col min="2562" max="2562" width="5.140625" style="34" customWidth="1"/>
    <col min="2563" max="2563" width="1.85546875" style="34" customWidth="1"/>
    <col min="2564" max="2564" width="5.140625" style="34" customWidth="1"/>
    <col min="2565" max="2565" width="29.5703125" style="34" customWidth="1"/>
    <col min="2566" max="2566" width="12.7109375" style="34" customWidth="1"/>
    <col min="2567" max="2567" width="16.7109375" style="34" customWidth="1"/>
    <col min="2568" max="2570" width="11.7109375" style="34" customWidth="1"/>
    <col min="2571" max="2578" width="9.85546875" style="34" customWidth="1"/>
    <col min="2579" max="2579" width="9.140625" style="34"/>
    <col min="2580" max="2580" width="24" style="34" customWidth="1"/>
    <col min="2581" max="2816" width="9.140625" style="34"/>
    <col min="2817" max="2817" width="7.7109375" style="34" customWidth="1"/>
    <col min="2818" max="2818" width="5.140625" style="34" customWidth="1"/>
    <col min="2819" max="2819" width="1.85546875" style="34" customWidth="1"/>
    <col min="2820" max="2820" width="5.140625" style="34" customWidth="1"/>
    <col min="2821" max="2821" width="29.5703125" style="34" customWidth="1"/>
    <col min="2822" max="2822" width="12.7109375" style="34" customWidth="1"/>
    <col min="2823" max="2823" width="16.7109375" style="34" customWidth="1"/>
    <col min="2824" max="2826" width="11.7109375" style="34" customWidth="1"/>
    <col min="2827" max="2834" width="9.85546875" style="34" customWidth="1"/>
    <col min="2835" max="2835" width="9.140625" style="34"/>
    <col min="2836" max="2836" width="24" style="34" customWidth="1"/>
    <col min="2837" max="3072" width="9.140625" style="34"/>
    <col min="3073" max="3073" width="7.7109375" style="34" customWidth="1"/>
    <col min="3074" max="3074" width="5.140625" style="34" customWidth="1"/>
    <col min="3075" max="3075" width="1.85546875" style="34" customWidth="1"/>
    <col min="3076" max="3076" width="5.140625" style="34" customWidth="1"/>
    <col min="3077" max="3077" width="29.5703125" style="34" customWidth="1"/>
    <col min="3078" max="3078" width="12.7109375" style="34" customWidth="1"/>
    <col min="3079" max="3079" width="16.7109375" style="34" customWidth="1"/>
    <col min="3080" max="3082" width="11.7109375" style="34" customWidth="1"/>
    <col min="3083" max="3090" width="9.85546875" style="34" customWidth="1"/>
    <col min="3091" max="3091" width="9.140625" style="34"/>
    <col min="3092" max="3092" width="24" style="34" customWidth="1"/>
    <col min="3093" max="3328" width="9.140625" style="34"/>
    <col min="3329" max="3329" width="7.7109375" style="34" customWidth="1"/>
    <col min="3330" max="3330" width="5.140625" style="34" customWidth="1"/>
    <col min="3331" max="3331" width="1.85546875" style="34" customWidth="1"/>
    <col min="3332" max="3332" width="5.140625" style="34" customWidth="1"/>
    <col min="3333" max="3333" width="29.5703125" style="34" customWidth="1"/>
    <col min="3334" max="3334" width="12.7109375" style="34" customWidth="1"/>
    <col min="3335" max="3335" width="16.7109375" style="34" customWidth="1"/>
    <col min="3336" max="3338" width="11.7109375" style="34" customWidth="1"/>
    <col min="3339" max="3346" width="9.85546875" style="34" customWidth="1"/>
    <col min="3347" max="3347" width="9.140625" style="34"/>
    <col min="3348" max="3348" width="24" style="34" customWidth="1"/>
    <col min="3349" max="3584" width="9.140625" style="34"/>
    <col min="3585" max="3585" width="7.7109375" style="34" customWidth="1"/>
    <col min="3586" max="3586" width="5.140625" style="34" customWidth="1"/>
    <col min="3587" max="3587" width="1.85546875" style="34" customWidth="1"/>
    <col min="3588" max="3588" width="5.140625" style="34" customWidth="1"/>
    <col min="3589" max="3589" width="29.5703125" style="34" customWidth="1"/>
    <col min="3590" max="3590" width="12.7109375" style="34" customWidth="1"/>
    <col min="3591" max="3591" width="16.7109375" style="34" customWidth="1"/>
    <col min="3592" max="3594" width="11.7109375" style="34" customWidth="1"/>
    <col min="3595" max="3602" width="9.85546875" style="34" customWidth="1"/>
    <col min="3603" max="3603" width="9.140625" style="34"/>
    <col min="3604" max="3604" width="24" style="34" customWidth="1"/>
    <col min="3605" max="3840" width="9.140625" style="34"/>
    <col min="3841" max="3841" width="7.7109375" style="34" customWidth="1"/>
    <col min="3842" max="3842" width="5.140625" style="34" customWidth="1"/>
    <col min="3843" max="3843" width="1.85546875" style="34" customWidth="1"/>
    <col min="3844" max="3844" width="5.140625" style="34" customWidth="1"/>
    <col min="3845" max="3845" width="29.5703125" style="34" customWidth="1"/>
    <col min="3846" max="3846" width="12.7109375" style="34" customWidth="1"/>
    <col min="3847" max="3847" width="16.7109375" style="34" customWidth="1"/>
    <col min="3848" max="3850" width="11.7109375" style="34" customWidth="1"/>
    <col min="3851" max="3858" width="9.85546875" style="34" customWidth="1"/>
    <col min="3859" max="3859" width="9.140625" style="34"/>
    <col min="3860" max="3860" width="24" style="34" customWidth="1"/>
    <col min="3861" max="4096" width="9.140625" style="34"/>
    <col min="4097" max="4097" width="7.7109375" style="34" customWidth="1"/>
    <col min="4098" max="4098" width="5.140625" style="34" customWidth="1"/>
    <col min="4099" max="4099" width="1.85546875" style="34" customWidth="1"/>
    <col min="4100" max="4100" width="5.140625" style="34" customWidth="1"/>
    <col min="4101" max="4101" width="29.5703125" style="34" customWidth="1"/>
    <col min="4102" max="4102" width="12.7109375" style="34" customWidth="1"/>
    <col min="4103" max="4103" width="16.7109375" style="34" customWidth="1"/>
    <col min="4104" max="4106" width="11.7109375" style="34" customWidth="1"/>
    <col min="4107" max="4114" width="9.85546875" style="34" customWidth="1"/>
    <col min="4115" max="4115" width="9.140625" style="34"/>
    <col min="4116" max="4116" width="24" style="34" customWidth="1"/>
    <col min="4117" max="4352" width="9.140625" style="34"/>
    <col min="4353" max="4353" width="7.7109375" style="34" customWidth="1"/>
    <col min="4354" max="4354" width="5.140625" style="34" customWidth="1"/>
    <col min="4355" max="4355" width="1.85546875" style="34" customWidth="1"/>
    <col min="4356" max="4356" width="5.140625" style="34" customWidth="1"/>
    <col min="4357" max="4357" width="29.5703125" style="34" customWidth="1"/>
    <col min="4358" max="4358" width="12.7109375" style="34" customWidth="1"/>
    <col min="4359" max="4359" width="16.7109375" style="34" customWidth="1"/>
    <col min="4360" max="4362" width="11.7109375" style="34" customWidth="1"/>
    <col min="4363" max="4370" width="9.85546875" style="34" customWidth="1"/>
    <col min="4371" max="4371" width="9.140625" style="34"/>
    <col min="4372" max="4372" width="24" style="34" customWidth="1"/>
    <col min="4373" max="4608" width="9.140625" style="34"/>
    <col min="4609" max="4609" width="7.7109375" style="34" customWidth="1"/>
    <col min="4610" max="4610" width="5.140625" style="34" customWidth="1"/>
    <col min="4611" max="4611" width="1.85546875" style="34" customWidth="1"/>
    <col min="4612" max="4612" width="5.140625" style="34" customWidth="1"/>
    <col min="4613" max="4613" width="29.5703125" style="34" customWidth="1"/>
    <col min="4614" max="4614" width="12.7109375" style="34" customWidth="1"/>
    <col min="4615" max="4615" width="16.7109375" style="34" customWidth="1"/>
    <col min="4616" max="4618" width="11.7109375" style="34" customWidth="1"/>
    <col min="4619" max="4626" width="9.85546875" style="34" customWidth="1"/>
    <col min="4627" max="4627" width="9.140625" style="34"/>
    <col min="4628" max="4628" width="24" style="34" customWidth="1"/>
    <col min="4629" max="4864" width="9.140625" style="34"/>
    <col min="4865" max="4865" width="7.7109375" style="34" customWidth="1"/>
    <col min="4866" max="4866" width="5.140625" style="34" customWidth="1"/>
    <col min="4867" max="4867" width="1.85546875" style="34" customWidth="1"/>
    <col min="4868" max="4868" width="5.140625" style="34" customWidth="1"/>
    <col min="4869" max="4869" width="29.5703125" style="34" customWidth="1"/>
    <col min="4870" max="4870" width="12.7109375" style="34" customWidth="1"/>
    <col min="4871" max="4871" width="16.7109375" style="34" customWidth="1"/>
    <col min="4872" max="4874" width="11.7109375" style="34" customWidth="1"/>
    <col min="4875" max="4882" width="9.85546875" style="34" customWidth="1"/>
    <col min="4883" max="4883" width="9.140625" style="34"/>
    <col min="4884" max="4884" width="24" style="34" customWidth="1"/>
    <col min="4885" max="5120" width="9.140625" style="34"/>
    <col min="5121" max="5121" width="7.7109375" style="34" customWidth="1"/>
    <col min="5122" max="5122" width="5.140625" style="34" customWidth="1"/>
    <col min="5123" max="5123" width="1.85546875" style="34" customWidth="1"/>
    <col min="5124" max="5124" width="5.140625" style="34" customWidth="1"/>
    <col min="5125" max="5125" width="29.5703125" style="34" customWidth="1"/>
    <col min="5126" max="5126" width="12.7109375" style="34" customWidth="1"/>
    <col min="5127" max="5127" width="16.7109375" style="34" customWidth="1"/>
    <col min="5128" max="5130" width="11.7109375" style="34" customWidth="1"/>
    <col min="5131" max="5138" width="9.85546875" style="34" customWidth="1"/>
    <col min="5139" max="5139" width="9.140625" style="34"/>
    <col min="5140" max="5140" width="24" style="34" customWidth="1"/>
    <col min="5141" max="5376" width="9.140625" style="34"/>
    <col min="5377" max="5377" width="7.7109375" style="34" customWidth="1"/>
    <col min="5378" max="5378" width="5.140625" style="34" customWidth="1"/>
    <col min="5379" max="5379" width="1.85546875" style="34" customWidth="1"/>
    <col min="5380" max="5380" width="5.140625" style="34" customWidth="1"/>
    <col min="5381" max="5381" width="29.5703125" style="34" customWidth="1"/>
    <col min="5382" max="5382" width="12.7109375" style="34" customWidth="1"/>
    <col min="5383" max="5383" width="16.7109375" style="34" customWidth="1"/>
    <col min="5384" max="5386" width="11.7109375" style="34" customWidth="1"/>
    <col min="5387" max="5394" width="9.85546875" style="34" customWidth="1"/>
    <col min="5395" max="5395" width="9.140625" style="34"/>
    <col min="5396" max="5396" width="24" style="34" customWidth="1"/>
    <col min="5397" max="5632" width="9.140625" style="34"/>
    <col min="5633" max="5633" width="7.7109375" style="34" customWidth="1"/>
    <col min="5634" max="5634" width="5.140625" style="34" customWidth="1"/>
    <col min="5635" max="5635" width="1.85546875" style="34" customWidth="1"/>
    <col min="5636" max="5636" width="5.140625" style="34" customWidth="1"/>
    <col min="5637" max="5637" width="29.5703125" style="34" customWidth="1"/>
    <col min="5638" max="5638" width="12.7109375" style="34" customWidth="1"/>
    <col min="5639" max="5639" width="16.7109375" style="34" customWidth="1"/>
    <col min="5640" max="5642" width="11.7109375" style="34" customWidth="1"/>
    <col min="5643" max="5650" width="9.85546875" style="34" customWidth="1"/>
    <col min="5651" max="5651" width="9.140625" style="34"/>
    <col min="5652" max="5652" width="24" style="34" customWidth="1"/>
    <col min="5653" max="5888" width="9.140625" style="34"/>
    <col min="5889" max="5889" width="7.7109375" style="34" customWidth="1"/>
    <col min="5890" max="5890" width="5.140625" style="34" customWidth="1"/>
    <col min="5891" max="5891" width="1.85546875" style="34" customWidth="1"/>
    <col min="5892" max="5892" width="5.140625" style="34" customWidth="1"/>
    <col min="5893" max="5893" width="29.5703125" style="34" customWidth="1"/>
    <col min="5894" max="5894" width="12.7109375" style="34" customWidth="1"/>
    <col min="5895" max="5895" width="16.7109375" style="34" customWidth="1"/>
    <col min="5896" max="5898" width="11.7109375" style="34" customWidth="1"/>
    <col min="5899" max="5906" width="9.85546875" style="34" customWidth="1"/>
    <col min="5907" max="5907" width="9.140625" style="34"/>
    <col min="5908" max="5908" width="24" style="34" customWidth="1"/>
    <col min="5909" max="6144" width="9.140625" style="34"/>
    <col min="6145" max="6145" width="7.7109375" style="34" customWidth="1"/>
    <col min="6146" max="6146" width="5.140625" style="34" customWidth="1"/>
    <col min="6147" max="6147" width="1.85546875" style="34" customWidth="1"/>
    <col min="6148" max="6148" width="5.140625" style="34" customWidth="1"/>
    <col min="6149" max="6149" width="29.5703125" style="34" customWidth="1"/>
    <col min="6150" max="6150" width="12.7109375" style="34" customWidth="1"/>
    <col min="6151" max="6151" width="16.7109375" style="34" customWidth="1"/>
    <col min="6152" max="6154" width="11.7109375" style="34" customWidth="1"/>
    <col min="6155" max="6162" width="9.85546875" style="34" customWidth="1"/>
    <col min="6163" max="6163" width="9.140625" style="34"/>
    <col min="6164" max="6164" width="24" style="34" customWidth="1"/>
    <col min="6165" max="6400" width="9.140625" style="34"/>
    <col min="6401" max="6401" width="7.7109375" style="34" customWidth="1"/>
    <col min="6402" max="6402" width="5.140625" style="34" customWidth="1"/>
    <col min="6403" max="6403" width="1.85546875" style="34" customWidth="1"/>
    <col min="6404" max="6404" width="5.140625" style="34" customWidth="1"/>
    <col min="6405" max="6405" width="29.5703125" style="34" customWidth="1"/>
    <col min="6406" max="6406" width="12.7109375" style="34" customWidth="1"/>
    <col min="6407" max="6407" width="16.7109375" style="34" customWidth="1"/>
    <col min="6408" max="6410" width="11.7109375" style="34" customWidth="1"/>
    <col min="6411" max="6418" width="9.85546875" style="34" customWidth="1"/>
    <col min="6419" max="6419" width="9.140625" style="34"/>
    <col min="6420" max="6420" width="24" style="34" customWidth="1"/>
    <col min="6421" max="6656" width="9.140625" style="34"/>
    <col min="6657" max="6657" width="7.7109375" style="34" customWidth="1"/>
    <col min="6658" max="6658" width="5.140625" style="34" customWidth="1"/>
    <col min="6659" max="6659" width="1.85546875" style="34" customWidth="1"/>
    <col min="6660" max="6660" width="5.140625" style="34" customWidth="1"/>
    <col min="6661" max="6661" width="29.5703125" style="34" customWidth="1"/>
    <col min="6662" max="6662" width="12.7109375" style="34" customWidth="1"/>
    <col min="6663" max="6663" width="16.7109375" style="34" customWidth="1"/>
    <col min="6664" max="6666" width="11.7109375" style="34" customWidth="1"/>
    <col min="6667" max="6674" width="9.85546875" style="34" customWidth="1"/>
    <col min="6675" max="6675" width="9.140625" style="34"/>
    <col min="6676" max="6676" width="24" style="34" customWidth="1"/>
    <col min="6677" max="6912" width="9.140625" style="34"/>
    <col min="6913" max="6913" width="7.7109375" style="34" customWidth="1"/>
    <col min="6914" max="6914" width="5.140625" style="34" customWidth="1"/>
    <col min="6915" max="6915" width="1.85546875" style="34" customWidth="1"/>
    <col min="6916" max="6916" width="5.140625" style="34" customWidth="1"/>
    <col min="6917" max="6917" width="29.5703125" style="34" customWidth="1"/>
    <col min="6918" max="6918" width="12.7109375" style="34" customWidth="1"/>
    <col min="6919" max="6919" width="16.7109375" style="34" customWidth="1"/>
    <col min="6920" max="6922" width="11.7109375" style="34" customWidth="1"/>
    <col min="6923" max="6930" width="9.85546875" style="34" customWidth="1"/>
    <col min="6931" max="6931" width="9.140625" style="34"/>
    <col min="6932" max="6932" width="24" style="34" customWidth="1"/>
    <col min="6933" max="7168" width="9.140625" style="34"/>
    <col min="7169" max="7169" width="7.7109375" style="34" customWidth="1"/>
    <col min="7170" max="7170" width="5.140625" style="34" customWidth="1"/>
    <col min="7171" max="7171" width="1.85546875" style="34" customWidth="1"/>
    <col min="7172" max="7172" width="5.140625" style="34" customWidth="1"/>
    <col min="7173" max="7173" width="29.5703125" style="34" customWidth="1"/>
    <col min="7174" max="7174" width="12.7109375" style="34" customWidth="1"/>
    <col min="7175" max="7175" width="16.7109375" style="34" customWidth="1"/>
    <col min="7176" max="7178" width="11.7109375" style="34" customWidth="1"/>
    <col min="7179" max="7186" width="9.85546875" style="34" customWidth="1"/>
    <col min="7187" max="7187" width="9.140625" style="34"/>
    <col min="7188" max="7188" width="24" style="34" customWidth="1"/>
    <col min="7189" max="7424" width="9.140625" style="34"/>
    <col min="7425" max="7425" width="7.7109375" style="34" customWidth="1"/>
    <col min="7426" max="7426" width="5.140625" style="34" customWidth="1"/>
    <col min="7427" max="7427" width="1.85546875" style="34" customWidth="1"/>
    <col min="7428" max="7428" width="5.140625" style="34" customWidth="1"/>
    <col min="7429" max="7429" width="29.5703125" style="34" customWidth="1"/>
    <col min="7430" max="7430" width="12.7109375" style="34" customWidth="1"/>
    <col min="7431" max="7431" width="16.7109375" style="34" customWidth="1"/>
    <col min="7432" max="7434" width="11.7109375" style="34" customWidth="1"/>
    <col min="7435" max="7442" width="9.85546875" style="34" customWidth="1"/>
    <col min="7443" max="7443" width="9.140625" style="34"/>
    <col min="7444" max="7444" width="24" style="34" customWidth="1"/>
    <col min="7445" max="7680" width="9.140625" style="34"/>
    <col min="7681" max="7681" width="7.7109375" style="34" customWidth="1"/>
    <col min="7682" max="7682" width="5.140625" style="34" customWidth="1"/>
    <col min="7683" max="7683" width="1.85546875" style="34" customWidth="1"/>
    <col min="7684" max="7684" width="5.140625" style="34" customWidth="1"/>
    <col min="7685" max="7685" width="29.5703125" style="34" customWidth="1"/>
    <col min="7686" max="7686" width="12.7109375" style="34" customWidth="1"/>
    <col min="7687" max="7687" width="16.7109375" style="34" customWidth="1"/>
    <col min="7688" max="7690" width="11.7109375" style="34" customWidth="1"/>
    <col min="7691" max="7698" width="9.85546875" style="34" customWidth="1"/>
    <col min="7699" max="7699" width="9.140625" style="34"/>
    <col min="7700" max="7700" width="24" style="34" customWidth="1"/>
    <col min="7701" max="7936" width="9.140625" style="34"/>
    <col min="7937" max="7937" width="7.7109375" style="34" customWidth="1"/>
    <col min="7938" max="7938" width="5.140625" style="34" customWidth="1"/>
    <col min="7939" max="7939" width="1.85546875" style="34" customWidth="1"/>
    <col min="7940" max="7940" width="5.140625" style="34" customWidth="1"/>
    <col min="7941" max="7941" width="29.5703125" style="34" customWidth="1"/>
    <col min="7942" max="7942" width="12.7109375" style="34" customWidth="1"/>
    <col min="7943" max="7943" width="16.7109375" style="34" customWidth="1"/>
    <col min="7944" max="7946" width="11.7109375" style="34" customWidth="1"/>
    <col min="7947" max="7954" width="9.85546875" style="34" customWidth="1"/>
    <col min="7955" max="7955" width="9.140625" style="34"/>
    <col min="7956" max="7956" width="24" style="34" customWidth="1"/>
    <col min="7957" max="8192" width="9.140625" style="34"/>
    <col min="8193" max="8193" width="7.7109375" style="34" customWidth="1"/>
    <col min="8194" max="8194" width="5.140625" style="34" customWidth="1"/>
    <col min="8195" max="8195" width="1.85546875" style="34" customWidth="1"/>
    <col min="8196" max="8196" width="5.140625" style="34" customWidth="1"/>
    <col min="8197" max="8197" width="29.5703125" style="34" customWidth="1"/>
    <col min="8198" max="8198" width="12.7109375" style="34" customWidth="1"/>
    <col min="8199" max="8199" width="16.7109375" style="34" customWidth="1"/>
    <col min="8200" max="8202" width="11.7109375" style="34" customWidth="1"/>
    <col min="8203" max="8210" width="9.85546875" style="34" customWidth="1"/>
    <col min="8211" max="8211" width="9.140625" style="34"/>
    <col min="8212" max="8212" width="24" style="34" customWidth="1"/>
    <col min="8213" max="8448" width="9.140625" style="34"/>
    <col min="8449" max="8449" width="7.7109375" style="34" customWidth="1"/>
    <col min="8450" max="8450" width="5.140625" style="34" customWidth="1"/>
    <col min="8451" max="8451" width="1.85546875" style="34" customWidth="1"/>
    <col min="8452" max="8452" width="5.140625" style="34" customWidth="1"/>
    <col min="8453" max="8453" width="29.5703125" style="34" customWidth="1"/>
    <col min="8454" max="8454" width="12.7109375" style="34" customWidth="1"/>
    <col min="8455" max="8455" width="16.7109375" style="34" customWidth="1"/>
    <col min="8456" max="8458" width="11.7109375" style="34" customWidth="1"/>
    <col min="8459" max="8466" width="9.85546875" style="34" customWidth="1"/>
    <col min="8467" max="8467" width="9.140625" style="34"/>
    <col min="8468" max="8468" width="24" style="34" customWidth="1"/>
    <col min="8469" max="8704" width="9.140625" style="34"/>
    <col min="8705" max="8705" width="7.7109375" style="34" customWidth="1"/>
    <col min="8706" max="8706" width="5.140625" style="34" customWidth="1"/>
    <col min="8707" max="8707" width="1.85546875" style="34" customWidth="1"/>
    <col min="8708" max="8708" width="5.140625" style="34" customWidth="1"/>
    <col min="8709" max="8709" width="29.5703125" style="34" customWidth="1"/>
    <col min="8710" max="8710" width="12.7109375" style="34" customWidth="1"/>
    <col min="8711" max="8711" width="16.7109375" style="34" customWidth="1"/>
    <col min="8712" max="8714" width="11.7109375" style="34" customWidth="1"/>
    <col min="8715" max="8722" width="9.85546875" style="34" customWidth="1"/>
    <col min="8723" max="8723" width="9.140625" style="34"/>
    <col min="8724" max="8724" width="24" style="34" customWidth="1"/>
    <col min="8725" max="8960" width="9.140625" style="34"/>
    <col min="8961" max="8961" width="7.7109375" style="34" customWidth="1"/>
    <col min="8962" max="8962" width="5.140625" style="34" customWidth="1"/>
    <col min="8963" max="8963" width="1.85546875" style="34" customWidth="1"/>
    <col min="8964" max="8964" width="5.140625" style="34" customWidth="1"/>
    <col min="8965" max="8965" width="29.5703125" style="34" customWidth="1"/>
    <col min="8966" max="8966" width="12.7109375" style="34" customWidth="1"/>
    <col min="8967" max="8967" width="16.7109375" style="34" customWidth="1"/>
    <col min="8968" max="8970" width="11.7109375" style="34" customWidth="1"/>
    <col min="8971" max="8978" width="9.85546875" style="34" customWidth="1"/>
    <col min="8979" max="8979" width="9.140625" style="34"/>
    <col min="8980" max="8980" width="24" style="34" customWidth="1"/>
    <col min="8981" max="9216" width="9.140625" style="34"/>
    <col min="9217" max="9217" width="7.7109375" style="34" customWidth="1"/>
    <col min="9218" max="9218" width="5.140625" style="34" customWidth="1"/>
    <col min="9219" max="9219" width="1.85546875" style="34" customWidth="1"/>
    <col min="9220" max="9220" width="5.140625" style="34" customWidth="1"/>
    <col min="9221" max="9221" width="29.5703125" style="34" customWidth="1"/>
    <col min="9222" max="9222" width="12.7109375" style="34" customWidth="1"/>
    <col min="9223" max="9223" width="16.7109375" style="34" customWidth="1"/>
    <col min="9224" max="9226" width="11.7109375" style="34" customWidth="1"/>
    <col min="9227" max="9234" width="9.85546875" style="34" customWidth="1"/>
    <col min="9235" max="9235" width="9.140625" style="34"/>
    <col min="9236" max="9236" width="24" style="34" customWidth="1"/>
    <col min="9237" max="9472" width="9.140625" style="34"/>
    <col min="9473" max="9473" width="7.7109375" style="34" customWidth="1"/>
    <col min="9474" max="9474" width="5.140625" style="34" customWidth="1"/>
    <col min="9475" max="9475" width="1.85546875" style="34" customWidth="1"/>
    <col min="9476" max="9476" width="5.140625" style="34" customWidth="1"/>
    <col min="9477" max="9477" width="29.5703125" style="34" customWidth="1"/>
    <col min="9478" max="9478" width="12.7109375" style="34" customWidth="1"/>
    <col min="9479" max="9479" width="16.7109375" style="34" customWidth="1"/>
    <col min="9480" max="9482" width="11.7109375" style="34" customWidth="1"/>
    <col min="9483" max="9490" width="9.85546875" style="34" customWidth="1"/>
    <col min="9491" max="9491" width="9.140625" style="34"/>
    <col min="9492" max="9492" width="24" style="34" customWidth="1"/>
    <col min="9493" max="9728" width="9.140625" style="34"/>
    <col min="9729" max="9729" width="7.7109375" style="34" customWidth="1"/>
    <col min="9730" max="9730" width="5.140625" style="34" customWidth="1"/>
    <col min="9731" max="9731" width="1.85546875" style="34" customWidth="1"/>
    <col min="9732" max="9732" width="5.140625" style="34" customWidth="1"/>
    <col min="9733" max="9733" width="29.5703125" style="34" customWidth="1"/>
    <col min="9734" max="9734" width="12.7109375" style="34" customWidth="1"/>
    <col min="9735" max="9735" width="16.7109375" style="34" customWidth="1"/>
    <col min="9736" max="9738" width="11.7109375" style="34" customWidth="1"/>
    <col min="9739" max="9746" width="9.85546875" style="34" customWidth="1"/>
    <col min="9747" max="9747" width="9.140625" style="34"/>
    <col min="9748" max="9748" width="24" style="34" customWidth="1"/>
    <col min="9749" max="9984" width="9.140625" style="34"/>
    <col min="9985" max="9985" width="7.7109375" style="34" customWidth="1"/>
    <col min="9986" max="9986" width="5.140625" style="34" customWidth="1"/>
    <col min="9987" max="9987" width="1.85546875" style="34" customWidth="1"/>
    <col min="9988" max="9988" width="5.140625" style="34" customWidth="1"/>
    <col min="9989" max="9989" width="29.5703125" style="34" customWidth="1"/>
    <col min="9990" max="9990" width="12.7109375" style="34" customWidth="1"/>
    <col min="9991" max="9991" width="16.7109375" style="34" customWidth="1"/>
    <col min="9992" max="9994" width="11.7109375" style="34" customWidth="1"/>
    <col min="9995" max="10002" width="9.85546875" style="34" customWidth="1"/>
    <col min="10003" max="10003" width="9.140625" style="34"/>
    <col min="10004" max="10004" width="24" style="34" customWidth="1"/>
    <col min="10005" max="10240" width="9.140625" style="34"/>
    <col min="10241" max="10241" width="7.7109375" style="34" customWidth="1"/>
    <col min="10242" max="10242" width="5.140625" style="34" customWidth="1"/>
    <col min="10243" max="10243" width="1.85546875" style="34" customWidth="1"/>
    <col min="10244" max="10244" width="5.140625" style="34" customWidth="1"/>
    <col min="10245" max="10245" width="29.5703125" style="34" customWidth="1"/>
    <col min="10246" max="10246" width="12.7109375" style="34" customWidth="1"/>
    <col min="10247" max="10247" width="16.7109375" style="34" customWidth="1"/>
    <col min="10248" max="10250" width="11.7109375" style="34" customWidth="1"/>
    <col min="10251" max="10258" width="9.85546875" style="34" customWidth="1"/>
    <col min="10259" max="10259" width="9.140625" style="34"/>
    <col min="10260" max="10260" width="24" style="34" customWidth="1"/>
    <col min="10261" max="10496" width="9.140625" style="34"/>
    <col min="10497" max="10497" width="7.7109375" style="34" customWidth="1"/>
    <col min="10498" max="10498" width="5.140625" style="34" customWidth="1"/>
    <col min="10499" max="10499" width="1.85546875" style="34" customWidth="1"/>
    <col min="10500" max="10500" width="5.140625" style="34" customWidth="1"/>
    <col min="10501" max="10501" width="29.5703125" style="34" customWidth="1"/>
    <col min="10502" max="10502" width="12.7109375" style="34" customWidth="1"/>
    <col min="10503" max="10503" width="16.7109375" style="34" customWidth="1"/>
    <col min="10504" max="10506" width="11.7109375" style="34" customWidth="1"/>
    <col min="10507" max="10514" width="9.85546875" style="34" customWidth="1"/>
    <col min="10515" max="10515" width="9.140625" style="34"/>
    <col min="10516" max="10516" width="24" style="34" customWidth="1"/>
    <col min="10517" max="10752" width="9.140625" style="34"/>
    <col min="10753" max="10753" width="7.7109375" style="34" customWidth="1"/>
    <col min="10754" max="10754" width="5.140625" style="34" customWidth="1"/>
    <col min="10755" max="10755" width="1.85546875" style="34" customWidth="1"/>
    <col min="10756" max="10756" width="5.140625" style="34" customWidth="1"/>
    <col min="10757" max="10757" width="29.5703125" style="34" customWidth="1"/>
    <col min="10758" max="10758" width="12.7109375" style="34" customWidth="1"/>
    <col min="10759" max="10759" width="16.7109375" style="34" customWidth="1"/>
    <col min="10760" max="10762" width="11.7109375" style="34" customWidth="1"/>
    <col min="10763" max="10770" width="9.85546875" style="34" customWidth="1"/>
    <col min="10771" max="10771" width="9.140625" style="34"/>
    <col min="10772" max="10772" width="24" style="34" customWidth="1"/>
    <col min="10773" max="11008" width="9.140625" style="34"/>
    <col min="11009" max="11009" width="7.7109375" style="34" customWidth="1"/>
    <col min="11010" max="11010" width="5.140625" style="34" customWidth="1"/>
    <col min="11011" max="11011" width="1.85546875" style="34" customWidth="1"/>
    <col min="11012" max="11012" width="5.140625" style="34" customWidth="1"/>
    <col min="11013" max="11013" width="29.5703125" style="34" customWidth="1"/>
    <col min="11014" max="11014" width="12.7109375" style="34" customWidth="1"/>
    <col min="11015" max="11015" width="16.7109375" style="34" customWidth="1"/>
    <col min="11016" max="11018" width="11.7109375" style="34" customWidth="1"/>
    <col min="11019" max="11026" width="9.85546875" style="34" customWidth="1"/>
    <col min="11027" max="11027" width="9.140625" style="34"/>
    <col min="11028" max="11028" width="24" style="34" customWidth="1"/>
    <col min="11029" max="11264" width="9.140625" style="34"/>
    <col min="11265" max="11265" width="7.7109375" style="34" customWidth="1"/>
    <col min="11266" max="11266" width="5.140625" style="34" customWidth="1"/>
    <col min="11267" max="11267" width="1.85546875" style="34" customWidth="1"/>
    <col min="11268" max="11268" width="5.140625" style="34" customWidth="1"/>
    <col min="11269" max="11269" width="29.5703125" style="34" customWidth="1"/>
    <col min="11270" max="11270" width="12.7109375" style="34" customWidth="1"/>
    <col min="11271" max="11271" width="16.7109375" style="34" customWidth="1"/>
    <col min="11272" max="11274" width="11.7109375" style="34" customWidth="1"/>
    <col min="11275" max="11282" width="9.85546875" style="34" customWidth="1"/>
    <col min="11283" max="11283" width="9.140625" style="34"/>
    <col min="11284" max="11284" width="24" style="34" customWidth="1"/>
    <col min="11285" max="11520" width="9.140625" style="34"/>
    <col min="11521" max="11521" width="7.7109375" style="34" customWidth="1"/>
    <col min="11522" max="11522" width="5.140625" style="34" customWidth="1"/>
    <col min="11523" max="11523" width="1.85546875" style="34" customWidth="1"/>
    <col min="11524" max="11524" width="5.140625" style="34" customWidth="1"/>
    <col min="11525" max="11525" width="29.5703125" style="34" customWidth="1"/>
    <col min="11526" max="11526" width="12.7109375" style="34" customWidth="1"/>
    <col min="11527" max="11527" width="16.7109375" style="34" customWidth="1"/>
    <col min="11528" max="11530" width="11.7109375" style="34" customWidth="1"/>
    <col min="11531" max="11538" width="9.85546875" style="34" customWidth="1"/>
    <col min="11539" max="11539" width="9.140625" style="34"/>
    <col min="11540" max="11540" width="24" style="34" customWidth="1"/>
    <col min="11541" max="11776" width="9.140625" style="34"/>
    <col min="11777" max="11777" width="7.7109375" style="34" customWidth="1"/>
    <col min="11778" max="11778" width="5.140625" style="34" customWidth="1"/>
    <col min="11779" max="11779" width="1.85546875" style="34" customWidth="1"/>
    <col min="11780" max="11780" width="5.140625" style="34" customWidth="1"/>
    <col min="11781" max="11781" width="29.5703125" style="34" customWidth="1"/>
    <col min="11782" max="11782" width="12.7109375" style="34" customWidth="1"/>
    <col min="11783" max="11783" width="16.7109375" style="34" customWidth="1"/>
    <col min="11784" max="11786" width="11.7109375" style="34" customWidth="1"/>
    <col min="11787" max="11794" width="9.85546875" style="34" customWidth="1"/>
    <col min="11795" max="11795" width="9.140625" style="34"/>
    <col min="11796" max="11796" width="24" style="34" customWidth="1"/>
    <col min="11797" max="12032" width="9.140625" style="34"/>
    <col min="12033" max="12033" width="7.7109375" style="34" customWidth="1"/>
    <col min="12034" max="12034" width="5.140625" style="34" customWidth="1"/>
    <col min="12035" max="12035" width="1.85546875" style="34" customWidth="1"/>
    <col min="12036" max="12036" width="5.140625" style="34" customWidth="1"/>
    <col min="12037" max="12037" width="29.5703125" style="34" customWidth="1"/>
    <col min="12038" max="12038" width="12.7109375" style="34" customWidth="1"/>
    <col min="12039" max="12039" width="16.7109375" style="34" customWidth="1"/>
    <col min="12040" max="12042" width="11.7109375" style="34" customWidth="1"/>
    <col min="12043" max="12050" width="9.85546875" style="34" customWidth="1"/>
    <col min="12051" max="12051" width="9.140625" style="34"/>
    <col min="12052" max="12052" width="24" style="34" customWidth="1"/>
    <col min="12053" max="12288" width="9.140625" style="34"/>
    <col min="12289" max="12289" width="7.7109375" style="34" customWidth="1"/>
    <col min="12290" max="12290" width="5.140625" style="34" customWidth="1"/>
    <col min="12291" max="12291" width="1.85546875" style="34" customWidth="1"/>
    <col min="12292" max="12292" width="5.140625" style="34" customWidth="1"/>
    <col min="12293" max="12293" width="29.5703125" style="34" customWidth="1"/>
    <col min="12294" max="12294" width="12.7109375" style="34" customWidth="1"/>
    <col min="12295" max="12295" width="16.7109375" style="34" customWidth="1"/>
    <col min="12296" max="12298" width="11.7109375" style="34" customWidth="1"/>
    <col min="12299" max="12306" width="9.85546875" style="34" customWidth="1"/>
    <col min="12307" max="12307" width="9.140625" style="34"/>
    <col min="12308" max="12308" width="24" style="34" customWidth="1"/>
    <col min="12309" max="12544" width="9.140625" style="34"/>
    <col min="12545" max="12545" width="7.7109375" style="34" customWidth="1"/>
    <col min="12546" max="12546" width="5.140625" style="34" customWidth="1"/>
    <col min="12547" max="12547" width="1.85546875" style="34" customWidth="1"/>
    <col min="12548" max="12548" width="5.140625" style="34" customWidth="1"/>
    <col min="12549" max="12549" width="29.5703125" style="34" customWidth="1"/>
    <col min="12550" max="12550" width="12.7109375" style="34" customWidth="1"/>
    <col min="12551" max="12551" width="16.7109375" style="34" customWidth="1"/>
    <col min="12552" max="12554" width="11.7109375" style="34" customWidth="1"/>
    <col min="12555" max="12562" width="9.85546875" style="34" customWidth="1"/>
    <col min="12563" max="12563" width="9.140625" style="34"/>
    <col min="12564" max="12564" width="24" style="34" customWidth="1"/>
    <col min="12565" max="12800" width="9.140625" style="34"/>
    <col min="12801" max="12801" width="7.7109375" style="34" customWidth="1"/>
    <col min="12802" max="12802" width="5.140625" style="34" customWidth="1"/>
    <col min="12803" max="12803" width="1.85546875" style="34" customWidth="1"/>
    <col min="12804" max="12804" width="5.140625" style="34" customWidth="1"/>
    <col min="12805" max="12805" width="29.5703125" style="34" customWidth="1"/>
    <col min="12806" max="12806" width="12.7109375" style="34" customWidth="1"/>
    <col min="12807" max="12807" width="16.7109375" style="34" customWidth="1"/>
    <col min="12808" max="12810" width="11.7109375" style="34" customWidth="1"/>
    <col min="12811" max="12818" width="9.85546875" style="34" customWidth="1"/>
    <col min="12819" max="12819" width="9.140625" style="34"/>
    <col min="12820" max="12820" width="24" style="34" customWidth="1"/>
    <col min="12821" max="13056" width="9.140625" style="34"/>
    <col min="13057" max="13057" width="7.7109375" style="34" customWidth="1"/>
    <col min="13058" max="13058" width="5.140625" style="34" customWidth="1"/>
    <col min="13059" max="13059" width="1.85546875" style="34" customWidth="1"/>
    <col min="13060" max="13060" width="5.140625" style="34" customWidth="1"/>
    <col min="13061" max="13061" width="29.5703125" style="34" customWidth="1"/>
    <col min="13062" max="13062" width="12.7109375" style="34" customWidth="1"/>
    <col min="13063" max="13063" width="16.7109375" style="34" customWidth="1"/>
    <col min="13064" max="13066" width="11.7109375" style="34" customWidth="1"/>
    <col min="13067" max="13074" width="9.85546875" style="34" customWidth="1"/>
    <col min="13075" max="13075" width="9.140625" style="34"/>
    <col min="13076" max="13076" width="24" style="34" customWidth="1"/>
    <col min="13077" max="13312" width="9.140625" style="34"/>
    <col min="13313" max="13313" width="7.7109375" style="34" customWidth="1"/>
    <col min="13314" max="13314" width="5.140625" style="34" customWidth="1"/>
    <col min="13315" max="13315" width="1.85546875" style="34" customWidth="1"/>
    <col min="13316" max="13316" width="5.140625" style="34" customWidth="1"/>
    <col min="13317" max="13317" width="29.5703125" style="34" customWidth="1"/>
    <col min="13318" max="13318" width="12.7109375" style="34" customWidth="1"/>
    <col min="13319" max="13319" width="16.7109375" style="34" customWidth="1"/>
    <col min="13320" max="13322" width="11.7109375" style="34" customWidth="1"/>
    <col min="13323" max="13330" width="9.85546875" style="34" customWidth="1"/>
    <col min="13331" max="13331" width="9.140625" style="34"/>
    <col min="13332" max="13332" width="24" style="34" customWidth="1"/>
    <col min="13333" max="13568" width="9.140625" style="34"/>
    <col min="13569" max="13569" width="7.7109375" style="34" customWidth="1"/>
    <col min="13570" max="13570" width="5.140625" style="34" customWidth="1"/>
    <col min="13571" max="13571" width="1.85546875" style="34" customWidth="1"/>
    <col min="13572" max="13572" width="5.140625" style="34" customWidth="1"/>
    <col min="13573" max="13573" width="29.5703125" style="34" customWidth="1"/>
    <col min="13574" max="13574" width="12.7109375" style="34" customWidth="1"/>
    <col min="13575" max="13575" width="16.7109375" style="34" customWidth="1"/>
    <col min="13576" max="13578" width="11.7109375" style="34" customWidth="1"/>
    <col min="13579" max="13586" width="9.85546875" style="34" customWidth="1"/>
    <col min="13587" max="13587" width="9.140625" style="34"/>
    <col min="13588" max="13588" width="24" style="34" customWidth="1"/>
    <col min="13589" max="13824" width="9.140625" style="34"/>
    <col min="13825" max="13825" width="7.7109375" style="34" customWidth="1"/>
    <col min="13826" max="13826" width="5.140625" style="34" customWidth="1"/>
    <col min="13827" max="13827" width="1.85546875" style="34" customWidth="1"/>
    <col min="13828" max="13828" width="5.140625" style="34" customWidth="1"/>
    <col min="13829" max="13829" width="29.5703125" style="34" customWidth="1"/>
    <col min="13830" max="13830" width="12.7109375" style="34" customWidth="1"/>
    <col min="13831" max="13831" width="16.7109375" style="34" customWidth="1"/>
    <col min="13832" max="13834" width="11.7109375" style="34" customWidth="1"/>
    <col min="13835" max="13842" width="9.85546875" style="34" customWidth="1"/>
    <col min="13843" max="13843" width="9.140625" style="34"/>
    <col min="13844" max="13844" width="24" style="34" customWidth="1"/>
    <col min="13845" max="14080" width="9.140625" style="34"/>
    <col min="14081" max="14081" width="7.7109375" style="34" customWidth="1"/>
    <col min="14082" max="14082" width="5.140625" style="34" customWidth="1"/>
    <col min="14083" max="14083" width="1.85546875" style="34" customWidth="1"/>
    <col min="14084" max="14084" width="5.140625" style="34" customWidth="1"/>
    <col min="14085" max="14085" width="29.5703125" style="34" customWidth="1"/>
    <col min="14086" max="14086" width="12.7109375" style="34" customWidth="1"/>
    <col min="14087" max="14087" width="16.7109375" style="34" customWidth="1"/>
    <col min="14088" max="14090" width="11.7109375" style="34" customWidth="1"/>
    <col min="14091" max="14098" width="9.85546875" style="34" customWidth="1"/>
    <col min="14099" max="14099" width="9.140625" style="34"/>
    <col min="14100" max="14100" width="24" style="34" customWidth="1"/>
    <col min="14101" max="14336" width="9.140625" style="34"/>
    <col min="14337" max="14337" width="7.7109375" style="34" customWidth="1"/>
    <col min="14338" max="14338" width="5.140625" style="34" customWidth="1"/>
    <col min="14339" max="14339" width="1.85546875" style="34" customWidth="1"/>
    <col min="14340" max="14340" width="5.140625" style="34" customWidth="1"/>
    <col min="14341" max="14341" width="29.5703125" style="34" customWidth="1"/>
    <col min="14342" max="14342" width="12.7109375" style="34" customWidth="1"/>
    <col min="14343" max="14343" width="16.7109375" style="34" customWidth="1"/>
    <col min="14344" max="14346" width="11.7109375" style="34" customWidth="1"/>
    <col min="14347" max="14354" width="9.85546875" style="34" customWidth="1"/>
    <col min="14355" max="14355" width="9.140625" style="34"/>
    <col min="14356" max="14356" width="24" style="34" customWidth="1"/>
    <col min="14357" max="14592" width="9.140625" style="34"/>
    <col min="14593" max="14593" width="7.7109375" style="34" customWidth="1"/>
    <col min="14594" max="14594" width="5.140625" style="34" customWidth="1"/>
    <col min="14595" max="14595" width="1.85546875" style="34" customWidth="1"/>
    <col min="14596" max="14596" width="5.140625" style="34" customWidth="1"/>
    <col min="14597" max="14597" width="29.5703125" style="34" customWidth="1"/>
    <col min="14598" max="14598" width="12.7109375" style="34" customWidth="1"/>
    <col min="14599" max="14599" width="16.7109375" style="34" customWidth="1"/>
    <col min="14600" max="14602" width="11.7109375" style="34" customWidth="1"/>
    <col min="14603" max="14610" width="9.85546875" style="34" customWidth="1"/>
    <col min="14611" max="14611" width="9.140625" style="34"/>
    <col min="14612" max="14612" width="24" style="34" customWidth="1"/>
    <col min="14613" max="14848" width="9.140625" style="34"/>
    <col min="14849" max="14849" width="7.7109375" style="34" customWidth="1"/>
    <col min="14850" max="14850" width="5.140625" style="34" customWidth="1"/>
    <col min="14851" max="14851" width="1.85546875" style="34" customWidth="1"/>
    <col min="14852" max="14852" width="5.140625" style="34" customWidth="1"/>
    <col min="14853" max="14853" width="29.5703125" style="34" customWidth="1"/>
    <col min="14854" max="14854" width="12.7109375" style="34" customWidth="1"/>
    <col min="14855" max="14855" width="16.7109375" style="34" customWidth="1"/>
    <col min="14856" max="14858" width="11.7109375" style="34" customWidth="1"/>
    <col min="14859" max="14866" width="9.85546875" style="34" customWidth="1"/>
    <col min="14867" max="14867" width="9.140625" style="34"/>
    <col min="14868" max="14868" width="24" style="34" customWidth="1"/>
    <col min="14869" max="15104" width="9.140625" style="34"/>
    <col min="15105" max="15105" width="7.7109375" style="34" customWidth="1"/>
    <col min="15106" max="15106" width="5.140625" style="34" customWidth="1"/>
    <col min="15107" max="15107" width="1.85546875" style="34" customWidth="1"/>
    <col min="15108" max="15108" width="5.140625" style="34" customWidth="1"/>
    <col min="15109" max="15109" width="29.5703125" style="34" customWidth="1"/>
    <col min="15110" max="15110" width="12.7109375" style="34" customWidth="1"/>
    <col min="15111" max="15111" width="16.7109375" style="34" customWidth="1"/>
    <col min="15112" max="15114" width="11.7109375" style="34" customWidth="1"/>
    <col min="15115" max="15122" width="9.85546875" style="34" customWidth="1"/>
    <col min="15123" max="15123" width="9.140625" style="34"/>
    <col min="15124" max="15124" width="24" style="34" customWidth="1"/>
    <col min="15125" max="15360" width="9.140625" style="34"/>
    <col min="15361" max="15361" width="7.7109375" style="34" customWidth="1"/>
    <col min="15362" max="15362" width="5.140625" style="34" customWidth="1"/>
    <col min="15363" max="15363" width="1.85546875" style="34" customWidth="1"/>
    <col min="15364" max="15364" width="5.140625" style="34" customWidth="1"/>
    <col min="15365" max="15365" width="29.5703125" style="34" customWidth="1"/>
    <col min="15366" max="15366" width="12.7109375" style="34" customWidth="1"/>
    <col min="15367" max="15367" width="16.7109375" style="34" customWidth="1"/>
    <col min="15368" max="15370" width="11.7109375" style="34" customWidth="1"/>
    <col min="15371" max="15378" width="9.85546875" style="34" customWidth="1"/>
    <col min="15379" max="15379" width="9.140625" style="34"/>
    <col min="15380" max="15380" width="24" style="34" customWidth="1"/>
    <col min="15381" max="15616" width="9.140625" style="34"/>
    <col min="15617" max="15617" width="7.7109375" style="34" customWidth="1"/>
    <col min="15618" max="15618" width="5.140625" style="34" customWidth="1"/>
    <col min="15619" max="15619" width="1.85546875" style="34" customWidth="1"/>
    <col min="15620" max="15620" width="5.140625" style="34" customWidth="1"/>
    <col min="15621" max="15621" width="29.5703125" style="34" customWidth="1"/>
    <col min="15622" max="15622" width="12.7109375" style="34" customWidth="1"/>
    <col min="15623" max="15623" width="16.7109375" style="34" customWidth="1"/>
    <col min="15624" max="15626" width="11.7109375" style="34" customWidth="1"/>
    <col min="15627" max="15634" width="9.85546875" style="34" customWidth="1"/>
    <col min="15635" max="15635" width="9.140625" style="34"/>
    <col min="15636" max="15636" width="24" style="34" customWidth="1"/>
    <col min="15637" max="15872" width="9.140625" style="34"/>
    <col min="15873" max="15873" width="7.7109375" style="34" customWidth="1"/>
    <col min="15874" max="15874" width="5.140625" style="34" customWidth="1"/>
    <col min="15875" max="15875" width="1.85546875" style="34" customWidth="1"/>
    <col min="15876" max="15876" width="5.140625" style="34" customWidth="1"/>
    <col min="15877" max="15877" width="29.5703125" style="34" customWidth="1"/>
    <col min="15878" max="15878" width="12.7109375" style="34" customWidth="1"/>
    <col min="15879" max="15879" width="16.7109375" style="34" customWidth="1"/>
    <col min="15880" max="15882" width="11.7109375" style="34" customWidth="1"/>
    <col min="15883" max="15890" width="9.85546875" style="34" customWidth="1"/>
    <col min="15891" max="15891" width="9.140625" style="34"/>
    <col min="15892" max="15892" width="24" style="34" customWidth="1"/>
    <col min="15893" max="16128" width="9.140625" style="34"/>
    <col min="16129" max="16129" width="7.7109375" style="34" customWidth="1"/>
    <col min="16130" max="16130" width="5.140625" style="34" customWidth="1"/>
    <col min="16131" max="16131" width="1.85546875" style="34" customWidth="1"/>
    <col min="16132" max="16132" width="5.140625" style="34" customWidth="1"/>
    <col min="16133" max="16133" width="29.5703125" style="34" customWidth="1"/>
    <col min="16134" max="16134" width="12.7109375" style="34" customWidth="1"/>
    <col min="16135" max="16135" width="16.7109375" style="34" customWidth="1"/>
    <col min="16136" max="16138" width="11.7109375" style="34" customWidth="1"/>
    <col min="16139" max="16146" width="9.85546875" style="34" customWidth="1"/>
    <col min="16147" max="16147" width="9.140625" style="34"/>
    <col min="16148" max="16148" width="24" style="34" customWidth="1"/>
    <col min="16149" max="16384" width="9.140625" style="34"/>
  </cols>
  <sheetData>
    <row r="3" spans="2:42">
      <c r="B3" s="551" t="s">
        <v>374</v>
      </c>
      <c r="C3" s="552"/>
      <c r="D3" s="552"/>
      <c r="E3" s="552"/>
      <c r="F3" s="552"/>
      <c r="G3" s="552"/>
      <c r="H3" s="552"/>
      <c r="I3" s="552"/>
      <c r="J3" s="552"/>
      <c r="K3" s="552"/>
      <c r="L3" s="552"/>
      <c r="M3" s="552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2"/>
      <c r="Y3" s="552"/>
      <c r="Z3" s="552"/>
      <c r="AA3" s="552"/>
      <c r="AB3" s="552"/>
      <c r="AC3" s="552"/>
      <c r="AD3" s="552"/>
      <c r="AE3" s="552"/>
      <c r="AF3" s="552"/>
      <c r="AG3" s="552"/>
      <c r="AH3" s="552"/>
      <c r="AI3" s="552"/>
      <c r="AJ3" s="552"/>
      <c r="AK3" s="552"/>
      <c r="AL3" s="552"/>
      <c r="AM3" s="552"/>
      <c r="AN3" s="552"/>
      <c r="AO3" s="552"/>
      <c r="AP3" s="553"/>
    </row>
    <row r="4" spans="2:42">
      <c r="B4" s="554"/>
      <c r="C4" s="555"/>
      <c r="D4" s="555"/>
      <c r="E4" s="555"/>
      <c r="F4" s="555"/>
      <c r="G4" s="555"/>
      <c r="H4" s="555"/>
      <c r="I4" s="555"/>
      <c r="J4" s="555"/>
      <c r="K4" s="555"/>
      <c r="L4" s="555"/>
      <c r="M4" s="555"/>
      <c r="N4" s="555"/>
      <c r="O4" s="555"/>
      <c r="P4" s="555"/>
      <c r="Q4" s="555"/>
      <c r="R4" s="555"/>
      <c r="S4" s="555"/>
      <c r="T4" s="555"/>
      <c r="U4" s="555"/>
      <c r="V4" s="555"/>
      <c r="W4" s="555"/>
      <c r="X4" s="555"/>
      <c r="Y4" s="555"/>
      <c r="Z4" s="555"/>
      <c r="AA4" s="555"/>
      <c r="AB4" s="555"/>
      <c r="AC4" s="555"/>
      <c r="AD4" s="555"/>
      <c r="AE4" s="555"/>
      <c r="AF4" s="555"/>
      <c r="AG4" s="555"/>
      <c r="AH4" s="555"/>
      <c r="AI4" s="555"/>
      <c r="AJ4" s="555"/>
      <c r="AK4" s="555"/>
      <c r="AL4" s="555"/>
      <c r="AM4" s="555"/>
      <c r="AN4" s="555"/>
      <c r="AO4" s="555"/>
      <c r="AP4" s="556"/>
    </row>
    <row r="5" spans="2:42" ht="163.5" customHeight="1">
      <c r="B5" s="104" t="s">
        <v>16</v>
      </c>
      <c r="C5" s="104" t="s">
        <v>78</v>
      </c>
      <c r="D5" s="557" t="s">
        <v>27</v>
      </c>
      <c r="E5" s="557"/>
      <c r="F5" s="557"/>
      <c r="G5" s="104" t="s">
        <v>17</v>
      </c>
      <c r="H5" s="104" t="s">
        <v>18</v>
      </c>
      <c r="I5" s="104" t="s">
        <v>19</v>
      </c>
      <c r="J5" s="104" t="s">
        <v>20</v>
      </c>
      <c r="K5" s="104" t="s">
        <v>93</v>
      </c>
      <c r="L5" s="104" t="s">
        <v>76</v>
      </c>
      <c r="M5" s="104" t="s">
        <v>8</v>
      </c>
      <c r="N5" s="104" t="s">
        <v>26</v>
      </c>
      <c r="O5" s="104" t="s">
        <v>79</v>
      </c>
      <c r="P5" s="104" t="s">
        <v>80</v>
      </c>
      <c r="Q5" s="104" t="s">
        <v>81</v>
      </c>
      <c r="R5" s="104" t="s">
        <v>82</v>
      </c>
      <c r="S5" s="104" t="s">
        <v>21</v>
      </c>
      <c r="T5" s="104" t="s">
        <v>22</v>
      </c>
      <c r="U5" s="104" t="s">
        <v>23</v>
      </c>
      <c r="V5" s="104" t="s">
        <v>24</v>
      </c>
      <c r="W5" s="558" t="s">
        <v>91</v>
      </c>
      <c r="X5" s="559"/>
      <c r="Y5" s="104" t="s">
        <v>116</v>
      </c>
      <c r="Z5" s="104" t="s">
        <v>117</v>
      </c>
      <c r="AA5" s="104" t="s">
        <v>115</v>
      </c>
      <c r="AB5" s="104" t="s">
        <v>118</v>
      </c>
      <c r="AC5" s="104"/>
      <c r="AD5" s="104"/>
      <c r="AE5" s="104"/>
      <c r="AF5" s="104"/>
      <c r="AG5" s="104"/>
      <c r="AH5" s="104"/>
      <c r="AI5" s="104"/>
      <c r="AJ5" s="104"/>
      <c r="AK5" s="104" t="s">
        <v>28</v>
      </c>
      <c r="AL5" s="104" t="s">
        <v>89</v>
      </c>
      <c r="AM5" s="104" t="s">
        <v>90</v>
      </c>
      <c r="AN5" s="104" t="s">
        <v>106</v>
      </c>
      <c r="AO5" s="104" t="s">
        <v>83</v>
      </c>
      <c r="AP5" s="104" t="s">
        <v>92</v>
      </c>
    </row>
    <row r="6" spans="2:42" ht="86.25" customHeight="1">
      <c r="B6" s="338" t="s">
        <v>85</v>
      </c>
      <c r="C6" s="338" t="str">
        <f ca="1">MID(VLOOKUP(B6,$B$19:$AP$30,2),1,3)</f>
        <v>B03</v>
      </c>
      <c r="D6" s="339" t="str">
        <f ca="1">VLOOKUP(B6,$B$19:$AP$30,3)</f>
        <v>148</v>
      </c>
      <c r="E6" s="339" t="str">
        <f ca="1">VLOOKUP(B6,$B$19:$AP$30,4)</f>
        <v>+</v>
      </c>
      <c r="F6" s="340">
        <f ca="1">VLOOKUP(B6,$B$19:$AP$30,5)</f>
        <v>7.27</v>
      </c>
      <c r="G6" s="340" t="e">
        <f ca="1">VLOOKUP(C6,$B$19:$AP$30,5)</f>
        <v>#N/A</v>
      </c>
      <c r="H6" s="31">
        <f ca="1">VLOOKUP(B6,$B$19:$AP$30,7)</f>
        <v>5.5221223872321046</v>
      </c>
      <c r="I6" s="31">
        <f ca="1">VLOOKUP(B6,$B$19:$AP$30,8)</f>
        <v>4.4800612135541158</v>
      </c>
      <c r="J6" s="342">
        <f ca="1">VLOOKUP(B6,$B$19:$AP$30,9)</f>
        <v>520</v>
      </c>
      <c r="K6" s="31">
        <f ca="1">VLOOKUP(B6,$B$19:$AP$30,10)</f>
        <v>5.1960505735787459</v>
      </c>
      <c r="L6" s="342">
        <f ca="1">VLOOKUP(B6,$B$19:$AP$30,11)</f>
        <v>0.99267344539695856</v>
      </c>
      <c r="M6" s="31">
        <f ca="1">VLOOKUP(B6,$B$19:$AP$30,12)</f>
        <v>0.35000000000000003</v>
      </c>
      <c r="N6" s="31" t="str">
        <f ca="1">VLOOKUP(B6,$B$19:$AP$30,13)</f>
        <v>RAC MOD</v>
      </c>
      <c r="O6" s="343">
        <f ca="1">VLOOKUP(B6,$B$19:$AP$30,14)</f>
        <v>1.3966581035841499</v>
      </c>
      <c r="P6" s="343">
        <f ca="1">VLOOKUP(B6,$B$19:$AP$30,15)</f>
        <v>1.5397955222635182</v>
      </c>
      <c r="Q6" s="343">
        <f ca="1">VLOOKUP(B6,$B$19:$AP$30,16)</f>
        <v>1.7261033574353839</v>
      </c>
      <c r="R6" s="343">
        <f ca="1">VLOOKUP(B6,$B$19:$AP$30,17)</f>
        <v>1.9070110957606778</v>
      </c>
      <c r="S6" s="343">
        <f ca="1">VLOOKUP(B6,$B$19:$AP$30,18)</f>
        <v>31.277294606493893</v>
      </c>
      <c r="T6" s="343">
        <f ca="1">VLOOKUP(B6,$B$19:$AP$30,19)</f>
        <v>34.482768588822687</v>
      </c>
      <c r="U6" s="343">
        <f ca="1">VLOOKUP(B6,$B$19:$AP$30,20)</f>
        <v>38.655017354082119</v>
      </c>
      <c r="V6" s="343">
        <f ca="1">VLOOKUP(B6,$B$19:$AP$30,21)</f>
        <v>42.706334289611441</v>
      </c>
      <c r="W6" s="549">
        <f ca="1">VLOOKUP(B6,$B$19:$AP$30,22)</f>
        <v>3.5999999999999996</v>
      </c>
      <c r="X6" s="550"/>
      <c r="Y6" s="31">
        <f ca="1">VLOOKUP(B6,$B$19:$AP$30,24)</f>
        <v>7.1893822848679001</v>
      </c>
      <c r="Z6" s="31">
        <f ca="1">VLOOKUP(B6,$B$19:$AP$30,25)</f>
        <v>9.4247764607693796</v>
      </c>
      <c r="AA6" s="342">
        <f ca="1">VLOOKUP(B6,$B$19:$AP$30,26)</f>
        <v>0.74099999999999999</v>
      </c>
      <c r="AB6" s="31">
        <f ca="1">VLOOKUP(B6,$B$19:$AP$30,27)</f>
        <v>2.1829999999999998</v>
      </c>
      <c r="AC6" s="31" t="s">
        <v>25</v>
      </c>
      <c r="AD6" s="31" t="s">
        <v>25</v>
      </c>
      <c r="AE6" s="31" t="s">
        <v>25</v>
      </c>
      <c r="AF6" s="31" t="s">
        <v>25</v>
      </c>
      <c r="AG6" s="31" t="s">
        <v>25</v>
      </c>
      <c r="AH6" s="31" t="s">
        <v>25</v>
      </c>
      <c r="AI6" s="31" t="s">
        <v>25</v>
      </c>
      <c r="AJ6" s="31" t="s">
        <v>25</v>
      </c>
      <c r="AK6" s="336" t="str">
        <f ca="1">VLOOKUP(B6,$B$19:$AP$30,36)</f>
        <v>Ponte existente 9,50x4,00m</v>
      </c>
      <c r="AL6" s="345" t="str">
        <f ca="1">VLOOKUP(B6,$B$19:$AP$30,37)</f>
        <v>BSCC 3,00 x 3,00m</v>
      </c>
      <c r="AM6" s="344" t="str">
        <f ca="1">VLOOKUP(B6,$B$19:$AP$30,38)</f>
        <v>BDCC 3,00 x 3,00m</v>
      </c>
      <c r="AN6" s="345" t="str">
        <f ca="1">VLOOKUP(B6,$B$19:$AP$30,39)</f>
        <v>-</v>
      </c>
      <c r="AO6" s="32" t="str">
        <f ca="1">VLOOKUP(B6,$B$19:$AP$30,40)</f>
        <v>-</v>
      </c>
      <c r="AP6" s="32" t="str">
        <f ca="1">VLOOKUP(B6,$B$19:$AP$30,41)</f>
        <v>Substituir obra existente</v>
      </c>
    </row>
    <row r="7" spans="2:42" ht="54" hidden="1">
      <c r="B7" s="338" t="s">
        <v>259</v>
      </c>
      <c r="C7" s="338" t="str">
        <f t="shared" ref="C7:C14" ca="1" si="0">MID(VLOOKUP(B7,$B$19:$AP$30,2),1,3)</f>
        <v>B04</v>
      </c>
      <c r="D7" s="339" t="str">
        <f t="shared" ref="D7:D14" ca="1" si="1">VLOOKUP(B7,$B$19:$AP$30,3)</f>
        <v>214</v>
      </c>
      <c r="E7" s="339" t="str">
        <f t="shared" ref="E7:E14" ca="1" si="2">VLOOKUP(B7,$B$19:$AP$30,4)</f>
        <v>+</v>
      </c>
      <c r="F7" s="340">
        <f t="shared" ref="F7:F14" ca="1" si="3">VLOOKUP(B7,$B$19:$AP$30,5)</f>
        <v>13.34</v>
      </c>
      <c r="G7" s="341" t="s">
        <v>375</v>
      </c>
      <c r="H7" s="31">
        <f t="shared" ref="H7:H14" ca="1" si="4">VLOOKUP(B7,$B$19:$AP$30,7)</f>
        <v>5.0371131177551982</v>
      </c>
      <c r="I7" s="31">
        <f t="shared" ref="I7:I14" ca="1" si="5">VLOOKUP(B7,$B$19:$AP$30,8)</f>
        <v>4.4738851953335459</v>
      </c>
      <c r="J7" s="342">
        <f t="shared" ref="J7:J14" ca="1" si="6">VLOOKUP(B7,$B$19:$AP$30,9)</f>
        <v>501</v>
      </c>
      <c r="K7" s="31">
        <f t="shared" ref="K7:K14" ca="1" si="7">VLOOKUP(B7,$B$19:$AP$30,10)</f>
        <v>3.1404045812529082</v>
      </c>
      <c r="L7" s="342">
        <f t="shared" ref="L7:L14" ca="1" si="8">VLOOKUP(B7,$B$19:$AP$30,11)</f>
        <v>1.2037599171449274</v>
      </c>
      <c r="M7" s="31">
        <f t="shared" ref="M7:M14" ca="1" si="9">VLOOKUP(B7,$B$19:$AP$30,12)</f>
        <v>0.35000000000000003</v>
      </c>
      <c r="N7" s="31" t="str">
        <f t="shared" ref="N7:N14" ca="1" si="10">VLOOKUP(B7,$B$19:$AP$30,13)</f>
        <v>RAC MOD</v>
      </c>
      <c r="O7" s="343">
        <f t="shared" ref="O7:O14" ca="1" si="11">VLOOKUP(B7,$B$19:$AP$30,14)</f>
        <v>1.2165439969691607</v>
      </c>
      <c r="P7" s="343">
        <f t="shared" ref="P7:P14" ca="1" si="12">VLOOKUP(B7,$B$19:$AP$30,15)</f>
        <v>1.3409697708594819</v>
      </c>
      <c r="Q7" s="343">
        <f t="shared" ref="Q7:Q14" ca="1" si="13">VLOOKUP(B7,$B$19:$AP$30,16)</f>
        <v>1.5031877536637206</v>
      </c>
      <c r="R7" s="343">
        <f t="shared" ref="R7:R14" ca="1" si="14">VLOOKUP(B7,$B$19:$AP$30,17)</f>
        <v>1.6611340234669467</v>
      </c>
      <c r="S7" s="343">
        <f t="shared" ref="S7:S14" ca="1" si="15">VLOOKUP(B7,$B$19:$AP$30,18)</f>
        <v>25.346999066914979</v>
      </c>
      <c r="T7" s="343">
        <f t="shared" ref="T7:T14" ca="1" si="16">VLOOKUP(B7,$B$19:$AP$30,19)</f>
        <v>27.93944124948743</v>
      </c>
      <c r="U7" s="343">
        <f t="shared" ref="U7:U14" ca="1" si="17">VLOOKUP(B7,$B$19:$AP$30,20)</f>
        <v>31.31929357625873</v>
      </c>
      <c r="V7" s="343">
        <f t="shared" ref="V7:V14" ca="1" si="18">VLOOKUP(B7,$B$19:$AP$30,21)</f>
        <v>34.610143692077891</v>
      </c>
      <c r="W7" s="549">
        <f t="shared" ref="W7:W14" ca="1" si="19">VLOOKUP(B7,$B$19:$AP$30,22)</f>
        <v>3.5999999999999996</v>
      </c>
      <c r="X7" s="550"/>
      <c r="Y7" s="31">
        <f t="shared" ref="Y7:Y14" ca="1" si="20">VLOOKUP(B7,$B$19:$AP$30,24)</f>
        <v>5.8251507111665601</v>
      </c>
      <c r="Z7" s="31">
        <f t="shared" ref="Z7:Z14" ca="1" si="21">VLOOKUP(B7,$B$19:$AP$30,25)</f>
        <v>6.4093947122479555</v>
      </c>
      <c r="AA7" s="342">
        <f t="shared" ref="AA7:AA14" ca="1" si="22">VLOOKUP(B7,$B$19:$AP$30,26)</f>
        <v>0.47499999999999998</v>
      </c>
      <c r="AB7" s="31">
        <f t="shared" ref="AB7:AB14" ca="1" si="23">VLOOKUP(B7,$B$19:$AP$30,27)</f>
        <v>1.7370000000000001</v>
      </c>
      <c r="AC7" s="31" t="s">
        <v>25</v>
      </c>
      <c r="AD7" s="31" t="s">
        <v>25</v>
      </c>
      <c r="AE7" s="31" t="s">
        <v>25</v>
      </c>
      <c r="AF7" s="31" t="s">
        <v>25</v>
      </c>
      <c r="AG7" s="31" t="s">
        <v>25</v>
      </c>
      <c r="AH7" s="31" t="s">
        <v>25</v>
      </c>
      <c r="AI7" s="31" t="s">
        <v>25</v>
      </c>
      <c r="AJ7" s="31" t="s">
        <v>25</v>
      </c>
      <c r="AK7" s="336" t="str">
        <f t="shared" ref="AK7:AK14" ca="1" si="24">VLOOKUP(B7,$B$19:$AP$30,36)</f>
        <v>Ponte existente 15,00x3,90m</v>
      </c>
      <c r="AL7" s="345" t="str">
        <f t="shared" ref="AL7:AL14" ca="1" si="25">VLOOKUP(B7,$B$19:$AP$30,37)</f>
        <v>BSCC 3,00 x 3,00m</v>
      </c>
      <c r="AM7" s="344" t="str">
        <f t="shared" ref="AM7:AM14" ca="1" si="26">VLOOKUP(B7,$B$19:$AP$30,38)</f>
        <v>BDCC 2,50 x 2,50m</v>
      </c>
      <c r="AN7" s="345" t="str">
        <f t="shared" ref="AN7:AN14" ca="1" si="27">VLOOKUP(B7,$B$19:$AP$30,39)</f>
        <v>-</v>
      </c>
      <c r="AO7" s="32" t="str">
        <f t="shared" ref="AO7:AO14" ca="1" si="28">VLOOKUP(B7,$B$19:$AP$30,40)</f>
        <v>-</v>
      </c>
      <c r="AP7" s="32" t="str">
        <f t="shared" ref="AP7:AP14" ca="1" si="29">VLOOKUP(B7,$B$19:$AP$30,41)</f>
        <v>Substituir obra existente</v>
      </c>
    </row>
    <row r="8" spans="2:42" ht="54" hidden="1">
      <c r="B8" s="338" t="s">
        <v>120</v>
      </c>
      <c r="C8" s="338" t="str">
        <f t="shared" ca="1" si="0"/>
        <v>B05</v>
      </c>
      <c r="D8" s="339" t="str">
        <f t="shared" ca="1" si="1"/>
        <v>314</v>
      </c>
      <c r="E8" s="339" t="str">
        <f t="shared" ca="1" si="2"/>
        <v>+</v>
      </c>
      <c r="F8" s="340">
        <f t="shared" ca="1" si="3"/>
        <v>11.93</v>
      </c>
      <c r="G8" s="341" t="s">
        <v>375</v>
      </c>
      <c r="H8" s="31">
        <f t="shared" ca="1" si="4"/>
        <v>6.0556072774047598</v>
      </c>
      <c r="I8" s="31">
        <f t="shared" ca="1" si="5"/>
        <v>4.7334514530757854</v>
      </c>
      <c r="J8" s="342">
        <f t="shared" ca="1" si="6"/>
        <v>509</v>
      </c>
      <c r="K8" s="31">
        <f t="shared" ca="1" si="7"/>
        <v>3.8793746972531573</v>
      </c>
      <c r="L8" s="342">
        <f t="shared" ca="1" si="8"/>
        <v>1.1589528026460847</v>
      </c>
      <c r="M8" s="31">
        <f t="shared" ca="1" si="9"/>
        <v>0.34358</v>
      </c>
      <c r="N8" s="31" t="str">
        <f t="shared" ca="1" si="10"/>
        <v>RAC MOD</v>
      </c>
      <c r="O8" s="343">
        <f t="shared" ca="1" si="11"/>
        <v>1.2503824011202114</v>
      </c>
      <c r="P8" s="343">
        <f t="shared" ca="1" si="12"/>
        <v>1.3783183051103891</v>
      </c>
      <c r="Q8" s="343">
        <f t="shared" ca="1" si="13"/>
        <v>1.5450583988209006</v>
      </c>
      <c r="R8" s="343">
        <f t="shared" ca="1" si="14"/>
        <v>1.7073521960471352</v>
      </c>
      <c r="S8" s="343">
        <f t="shared" ca="1" si="15"/>
        <v>28.008452815197852</v>
      </c>
      <c r="T8" s="343">
        <f t="shared" ca="1" si="16"/>
        <v>30.874205505789412</v>
      </c>
      <c r="U8" s="343">
        <f t="shared" ca="1" si="17"/>
        <v>34.609168540224786</v>
      </c>
      <c r="V8" s="343">
        <f t="shared" ca="1" si="18"/>
        <v>38.244534935127575</v>
      </c>
      <c r="W8" s="549">
        <f t="shared" ca="1" si="19"/>
        <v>3.5999999999999996</v>
      </c>
      <c r="X8" s="550"/>
      <c r="Y8" s="31">
        <f t="shared" ca="1" si="20"/>
        <v>6.4370256567693938</v>
      </c>
      <c r="Z8" s="31">
        <f t="shared" ca="1" si="21"/>
        <v>7.0827678719590086</v>
      </c>
      <c r="AA8" s="342">
        <f t="shared" ca="1" si="22"/>
        <v>0.89600000000000002</v>
      </c>
      <c r="AB8" s="31">
        <f t="shared" ca="1" si="23"/>
        <v>2.4830000000000001</v>
      </c>
      <c r="AC8" s="31" t="s">
        <v>25</v>
      </c>
      <c r="AD8" s="31" t="s">
        <v>25</v>
      </c>
      <c r="AE8" s="31" t="s">
        <v>25</v>
      </c>
      <c r="AF8" s="31" t="s">
        <v>25</v>
      </c>
      <c r="AG8" s="31" t="s">
        <v>25</v>
      </c>
      <c r="AH8" s="31" t="s">
        <v>25</v>
      </c>
      <c r="AI8" s="31" t="s">
        <v>25</v>
      </c>
      <c r="AJ8" s="31" t="s">
        <v>25</v>
      </c>
      <c r="AK8" s="336" t="str">
        <f t="shared" ca="1" si="24"/>
        <v>Ponte existente 11,50x3,80m</v>
      </c>
      <c r="AL8" s="345" t="str">
        <f t="shared" ca="1" si="25"/>
        <v>BSCC 3,00 x 3,00m</v>
      </c>
      <c r="AM8" s="344" t="str">
        <f t="shared" ca="1" si="26"/>
        <v>BDCC 2,50 x 2,50m</v>
      </c>
      <c r="AN8" s="345" t="str">
        <f t="shared" ca="1" si="27"/>
        <v>-</v>
      </c>
      <c r="AO8" s="32" t="str">
        <f t="shared" ca="1" si="28"/>
        <v>-</v>
      </c>
      <c r="AP8" s="32" t="str">
        <f t="shared" ca="1" si="29"/>
        <v>Substituir obra existente</v>
      </c>
    </row>
    <row r="9" spans="2:42" ht="43.5" hidden="1">
      <c r="B9" s="338" t="s">
        <v>260</v>
      </c>
      <c r="C9" s="338" t="str">
        <f t="shared" ca="1" si="0"/>
        <v>B06</v>
      </c>
      <c r="D9" s="339" t="str">
        <f t="shared" ca="1" si="1"/>
        <v>397</v>
      </c>
      <c r="E9" s="339" t="str">
        <f t="shared" ca="1" si="2"/>
        <v>+</v>
      </c>
      <c r="F9" s="340">
        <f t="shared" ca="1" si="3"/>
        <v>4.42</v>
      </c>
      <c r="G9" s="341" t="s">
        <v>375</v>
      </c>
      <c r="H9" s="31">
        <f t="shared" ca="1" si="4"/>
        <v>17.228540401840885</v>
      </c>
      <c r="I9" s="31">
        <f t="shared" ca="1" si="5"/>
        <v>9.217249068243289</v>
      </c>
      <c r="J9" s="342">
        <f t="shared" ca="1" si="6"/>
        <v>9.217249068243289</v>
      </c>
      <c r="K9" s="31">
        <f t="shared" ca="1" si="7"/>
        <v>3.3974950615021733</v>
      </c>
      <c r="L9" s="342">
        <f t="shared" ca="1" si="8"/>
        <v>2.0375059202816321</v>
      </c>
      <c r="M9" s="31">
        <f t="shared" ca="1" si="9"/>
        <v>59</v>
      </c>
      <c r="N9" s="31" t="str">
        <f t="shared" ca="1" si="10"/>
        <v>HUT</v>
      </c>
      <c r="O9" s="343">
        <f t="shared" ca="1" si="11"/>
        <v>2.1451395300642973</v>
      </c>
      <c r="P9" s="343">
        <f t="shared" ca="1" si="12"/>
        <v>2.3667106022133542</v>
      </c>
      <c r="Q9" s="343">
        <f t="shared" ca="1" si="13"/>
        <v>2.6556938383280131</v>
      </c>
      <c r="R9" s="343">
        <f t="shared" ca="1" si="14"/>
        <v>2.9047665709941572</v>
      </c>
      <c r="S9" s="343">
        <f t="shared" ca="1" si="15"/>
        <v>44.990923236834263</v>
      </c>
      <c r="T9" s="343">
        <f t="shared" ca="1" si="16"/>
        <v>56.797830531936128</v>
      </c>
      <c r="U9" s="343">
        <f t="shared" ca="1" si="17"/>
        <v>73.480912212061355</v>
      </c>
      <c r="V9" s="343">
        <f t="shared" ca="1" si="18"/>
        <v>91.21534250026329</v>
      </c>
      <c r="W9" s="549">
        <f t="shared" ca="1" si="19"/>
        <v>3.5999999999999996</v>
      </c>
      <c r="X9" s="550"/>
      <c r="Y9" s="31">
        <f t="shared" ca="1" si="20"/>
        <v>11.841894759505804</v>
      </c>
      <c r="Z9" s="31">
        <f t="shared" ca="1" si="21"/>
        <v>9.4247764607693796</v>
      </c>
      <c r="AA9" s="342">
        <f t="shared" ca="1" si="22"/>
        <v>0.215</v>
      </c>
      <c r="AB9" s="31">
        <f t="shared" ca="1" si="23"/>
        <v>1.1990000000000001</v>
      </c>
      <c r="AC9" s="31" t="s">
        <v>25</v>
      </c>
      <c r="AD9" s="31" t="s">
        <v>25</v>
      </c>
      <c r="AE9" s="31" t="s">
        <v>25</v>
      </c>
      <c r="AF9" s="31" t="s">
        <v>25</v>
      </c>
      <c r="AG9" s="31" t="s">
        <v>25</v>
      </c>
      <c r="AH9" s="31" t="s">
        <v>25</v>
      </c>
      <c r="AI9" s="31" t="s">
        <v>25</v>
      </c>
      <c r="AJ9" s="31" t="s">
        <v>25</v>
      </c>
      <c r="AK9" s="336" t="str">
        <f t="shared" ca="1" si="24"/>
        <v>Ponte existente 12,00x3,80m</v>
      </c>
      <c r="AL9" s="345" t="str">
        <f t="shared" ca="1" si="25"/>
        <v>BDCC 3,00 x 3,00m</v>
      </c>
      <c r="AM9" s="344" t="str">
        <f t="shared" ca="1" si="26"/>
        <v>BTCC 3,00 x 3,00m</v>
      </c>
      <c r="AN9" s="345" t="str">
        <f t="shared" ca="1" si="27"/>
        <v>-</v>
      </c>
      <c r="AO9" s="32" t="str">
        <f t="shared" ca="1" si="28"/>
        <v>-</v>
      </c>
      <c r="AP9" s="32" t="str">
        <f t="shared" ca="1" si="29"/>
        <v>Substituir obra existente</v>
      </c>
    </row>
    <row r="10" spans="2:42" ht="54" hidden="1">
      <c r="B10" s="338" t="s">
        <v>261</v>
      </c>
      <c r="C10" s="338" t="str">
        <f t="shared" ca="1" si="0"/>
        <v>B07</v>
      </c>
      <c r="D10" s="339" t="str">
        <f t="shared" ca="1" si="1"/>
        <v>496</v>
      </c>
      <c r="E10" s="339" t="str">
        <f t="shared" ca="1" si="2"/>
        <v>+</v>
      </c>
      <c r="F10" s="340">
        <f t="shared" ca="1" si="3"/>
        <v>14.93</v>
      </c>
      <c r="G10" s="341" t="s">
        <v>375</v>
      </c>
      <c r="H10" s="31">
        <f t="shared" ca="1" si="4"/>
        <v>7.6303087891945394</v>
      </c>
      <c r="I10" s="31">
        <f t="shared" ca="1" si="5"/>
        <v>5.0370615192364543</v>
      </c>
      <c r="J10" s="342">
        <f t="shared" ca="1" si="6"/>
        <v>424</v>
      </c>
      <c r="K10" s="31">
        <f t="shared" ca="1" si="7"/>
        <v>3.6580516944386825</v>
      </c>
      <c r="L10" s="342">
        <f t="shared" ca="1" si="8"/>
        <v>1.2435902551390159</v>
      </c>
      <c r="M10" s="31">
        <f t="shared" ca="1" si="9"/>
        <v>0.35</v>
      </c>
      <c r="N10" s="31" t="str">
        <f t="shared" ca="1" si="10"/>
        <v>RAC MOD</v>
      </c>
      <c r="O10" s="343">
        <f t="shared" ca="1" si="11"/>
        <v>1.1881328952104806</v>
      </c>
      <c r="P10" s="343">
        <f t="shared" ca="1" si="12"/>
        <v>1.3096134857927384</v>
      </c>
      <c r="Q10" s="343">
        <f t="shared" ca="1" si="13"/>
        <v>1.4680350518515883</v>
      </c>
      <c r="R10" s="343">
        <f t="shared" ca="1" si="14"/>
        <v>1.6223292645289724</v>
      </c>
      <c r="S10" s="343">
        <f t="shared" ca="1" si="15"/>
        <v>30.652059305588189</v>
      </c>
      <c r="T10" s="343">
        <f t="shared" ca="1" si="16"/>
        <v>33.786077631329086</v>
      </c>
      <c r="U10" s="343">
        <f t="shared" ca="1" si="17"/>
        <v>37.873118111139881</v>
      </c>
      <c r="V10" s="343">
        <f t="shared" ca="1" si="18"/>
        <v>41.853679020244556</v>
      </c>
      <c r="W10" s="549">
        <f t="shared" ca="1" si="19"/>
        <v>3.5999999999999996</v>
      </c>
      <c r="X10" s="550"/>
      <c r="Y10" s="31">
        <f t="shared" ca="1" si="20"/>
        <v>7.04412777565034</v>
      </c>
      <c r="Z10" s="31">
        <f t="shared" ca="1" si="21"/>
        <v>8.6607735185141195</v>
      </c>
      <c r="AA10" s="342">
        <f t="shared" ca="1" si="22"/>
        <v>0.35799999999999998</v>
      </c>
      <c r="AB10" s="31">
        <f t="shared" ca="1" si="23"/>
        <v>1.5009999999999999</v>
      </c>
      <c r="AC10" s="31" t="s">
        <v>25</v>
      </c>
      <c r="AD10" s="31" t="s">
        <v>25</v>
      </c>
      <c r="AE10" s="31" t="s">
        <v>25</v>
      </c>
      <c r="AF10" s="31" t="s">
        <v>25</v>
      </c>
      <c r="AG10" s="31" t="s">
        <v>25</v>
      </c>
      <c r="AH10" s="31" t="s">
        <v>25</v>
      </c>
      <c r="AI10" s="31" t="s">
        <v>25</v>
      </c>
      <c r="AJ10" s="31" t="s">
        <v>25</v>
      </c>
      <c r="AK10" s="336" t="str">
        <f t="shared" ca="1" si="24"/>
        <v>Ponte existente 15,00x3,50m</v>
      </c>
      <c r="AL10" s="345" t="str">
        <f t="shared" ca="1" si="25"/>
        <v>BSCC 3,00 x 3,00m</v>
      </c>
      <c r="AM10" s="344" t="str">
        <f t="shared" ca="1" si="26"/>
        <v>BDCC 3,00 x 3,00m</v>
      </c>
      <c r="AN10" s="345" t="str">
        <f t="shared" ca="1" si="27"/>
        <v>-</v>
      </c>
      <c r="AO10" s="32" t="str">
        <f t="shared" ca="1" si="28"/>
        <v>-</v>
      </c>
      <c r="AP10" s="32" t="str">
        <f t="shared" ca="1" si="29"/>
        <v>Substituir obra existente</v>
      </c>
    </row>
    <row r="11" spans="2:42" ht="54" hidden="1">
      <c r="B11" s="338" t="s">
        <v>262</v>
      </c>
      <c r="C11" s="338" t="str">
        <f t="shared" ca="1" si="0"/>
        <v>B08</v>
      </c>
      <c r="D11" s="339" t="str">
        <f t="shared" ca="1" si="1"/>
        <v>542</v>
      </c>
      <c r="E11" s="339" t="str">
        <f t="shared" ca="1" si="2"/>
        <v>+</v>
      </c>
      <c r="F11" s="340">
        <f t="shared" ca="1" si="3"/>
        <v>6.47</v>
      </c>
      <c r="G11" s="341" t="s">
        <v>375</v>
      </c>
      <c r="H11" s="31">
        <f t="shared" ca="1" si="4"/>
        <v>6.3304017846148657</v>
      </c>
      <c r="I11" s="31">
        <f t="shared" ca="1" si="5"/>
        <v>4.5538123586517587</v>
      </c>
      <c r="J11" s="342">
        <f t="shared" ca="1" si="6"/>
        <v>369</v>
      </c>
      <c r="K11" s="31">
        <f t="shared" ca="1" si="7"/>
        <v>2.9048783213608274</v>
      </c>
      <c r="L11" s="342">
        <f t="shared" ca="1" si="8"/>
        <v>1.2574670208773875</v>
      </c>
      <c r="M11" s="31">
        <f t="shared" ca="1" si="9"/>
        <v>0.2</v>
      </c>
      <c r="N11" s="31" t="str">
        <f t="shared" ca="1" si="10"/>
        <v>RAC MOD</v>
      </c>
      <c r="O11" s="343">
        <f t="shared" ca="1" si="11"/>
        <v>1.1785789619103375</v>
      </c>
      <c r="P11" s="343">
        <f t="shared" ca="1" si="12"/>
        <v>1.299069562718693</v>
      </c>
      <c r="Q11" s="343">
        <f t="shared" ca="1" si="13"/>
        <v>1.4562145713965686</v>
      </c>
      <c r="R11" s="343">
        <f t="shared" ca="1" si="14"/>
        <v>1.6092803170237489</v>
      </c>
      <c r="S11" s="343">
        <f t="shared" ca="1" si="15"/>
        <v>16.551171001546638</v>
      </c>
      <c r="T11" s="343">
        <f t="shared" ca="1" si="16"/>
        <v>18.243260036315871</v>
      </c>
      <c r="U11" s="343">
        <f t="shared" ca="1" si="17"/>
        <v>20.450098945480892</v>
      </c>
      <c r="V11" s="343">
        <f t="shared" ca="1" si="18"/>
        <v>22.59965142539987</v>
      </c>
      <c r="W11" s="549">
        <f t="shared" ca="1" si="19"/>
        <v>1.7999999999999998</v>
      </c>
      <c r="X11" s="550"/>
      <c r="Y11" s="31">
        <f t="shared" ca="1" si="20"/>
        <v>5.3790662836983421</v>
      </c>
      <c r="Z11" s="31">
        <f t="shared" ca="1" si="21"/>
        <v>4.7123882303846898</v>
      </c>
      <c r="AA11" s="342">
        <f t="shared" ca="1" si="22"/>
        <v>0.55500000000000005</v>
      </c>
      <c r="AB11" s="31">
        <f t="shared" ca="1" si="23"/>
        <v>1.9079999999999999</v>
      </c>
      <c r="AC11" s="31" t="s">
        <v>25</v>
      </c>
      <c r="AD11" s="31" t="s">
        <v>25</v>
      </c>
      <c r="AE11" s="31" t="s">
        <v>25</v>
      </c>
      <c r="AF11" s="31" t="s">
        <v>25</v>
      </c>
      <c r="AG11" s="31" t="s">
        <v>25</v>
      </c>
      <c r="AH11" s="31" t="s">
        <v>25</v>
      </c>
      <c r="AI11" s="31" t="s">
        <v>25</v>
      </c>
      <c r="AJ11" s="31" t="s">
        <v>25</v>
      </c>
      <c r="AK11" s="336" t="str">
        <f t="shared" ca="1" si="24"/>
        <v xml:space="preserve">Ponte existente 19,40x3,80m </v>
      </c>
      <c r="AL11" s="345" t="str">
        <f t="shared" ca="1" si="25"/>
        <v>BTTC d= 1,50m</v>
      </c>
      <c r="AM11" s="344" t="str">
        <f t="shared" ca="1" si="26"/>
        <v>BSCC 3,00 x 3,00m</v>
      </c>
      <c r="AN11" s="345" t="str">
        <f t="shared" ca="1" si="27"/>
        <v>-</v>
      </c>
      <c r="AO11" s="32" t="str">
        <f t="shared" ca="1" si="28"/>
        <v>-</v>
      </c>
      <c r="AP11" s="32" t="str">
        <f t="shared" ca="1" si="29"/>
        <v>Substituir obra existente</v>
      </c>
    </row>
    <row r="12" spans="2:42" ht="43.5" hidden="1">
      <c r="B12" s="338" t="s">
        <v>263</v>
      </c>
      <c r="C12" s="338" t="str">
        <f t="shared" ca="1" si="0"/>
        <v>B09</v>
      </c>
      <c r="D12" s="339" t="str">
        <f t="shared" ca="1" si="1"/>
        <v>754</v>
      </c>
      <c r="E12" s="339" t="str">
        <f t="shared" ca="1" si="2"/>
        <v>+</v>
      </c>
      <c r="F12" s="340">
        <f t="shared" ca="1" si="3"/>
        <v>8.1999999999999993</v>
      </c>
      <c r="G12" s="341" t="s">
        <v>375</v>
      </c>
      <c r="H12" s="31">
        <f t="shared" ca="1" si="4"/>
        <v>16.939486870219991</v>
      </c>
      <c r="I12" s="31">
        <f t="shared" ca="1" si="5"/>
        <v>5.832545936297505</v>
      </c>
      <c r="J12" s="342">
        <f t="shared" ca="1" si="6"/>
        <v>5.832545936297505</v>
      </c>
      <c r="K12" s="31">
        <f t="shared" ca="1" si="7"/>
        <v>2.7646412801374676</v>
      </c>
      <c r="L12" s="342">
        <f t="shared" ca="1" si="8"/>
        <v>1.5507145700692448</v>
      </c>
      <c r="M12" s="31">
        <f t="shared" ca="1" si="9"/>
        <v>53</v>
      </c>
      <c r="N12" s="31" t="str">
        <f t="shared" ca="1" si="10"/>
        <v>HUT</v>
      </c>
      <c r="O12" s="343">
        <f t="shared" ca="1" si="11"/>
        <v>2.5084962456933897</v>
      </c>
      <c r="P12" s="343">
        <f t="shared" ca="1" si="12"/>
        <v>2.7687751157171836</v>
      </c>
      <c r="Q12" s="343">
        <f t="shared" ca="1" si="13"/>
        <v>2.6556938383280131</v>
      </c>
      <c r="R12" s="343">
        <f t="shared" ca="1" si="14"/>
        <v>2.9047665709941572</v>
      </c>
      <c r="S12" s="343">
        <f t="shared" ca="1" si="15"/>
        <v>27.999832673547697</v>
      </c>
      <c r="T12" s="343">
        <f t="shared" ca="1" si="16"/>
        <v>37.694557589694597</v>
      </c>
      <c r="U12" s="343">
        <f t="shared" ca="1" si="17"/>
        <v>51.827876598442238</v>
      </c>
      <c r="V12" s="343">
        <f t="shared" ca="1" si="18"/>
        <v>67.369948736005398</v>
      </c>
      <c r="W12" s="549">
        <f t="shared" ca="1" si="19"/>
        <v>3</v>
      </c>
      <c r="X12" s="550"/>
      <c r="Y12" s="31">
        <f t="shared" ca="1" si="20"/>
        <v>8.6091192407846098</v>
      </c>
      <c r="Z12" s="31">
        <f t="shared" ca="1" si="21"/>
        <v>7.8539803839744824</v>
      </c>
      <c r="AA12" s="342">
        <f t="shared" ca="1" si="22"/>
        <v>0.55500000000000005</v>
      </c>
      <c r="AB12" s="31">
        <f t="shared" ca="1" si="23"/>
        <v>1.9079999999999999</v>
      </c>
      <c r="AC12" s="31" t="s">
        <v>25</v>
      </c>
      <c r="AD12" s="31" t="s">
        <v>25</v>
      </c>
      <c r="AE12" s="31" t="s">
        <v>25</v>
      </c>
      <c r="AF12" s="31" t="s">
        <v>25</v>
      </c>
      <c r="AG12" s="31" t="s">
        <v>25</v>
      </c>
      <c r="AH12" s="31" t="s">
        <v>25</v>
      </c>
      <c r="AI12" s="31" t="s">
        <v>25</v>
      </c>
      <c r="AJ12" s="31" t="s">
        <v>25</v>
      </c>
      <c r="AK12" s="336" t="str">
        <f t="shared" ca="1" si="24"/>
        <v>Ponte existente 20,00x4,20m</v>
      </c>
      <c r="AL12" s="345" t="str">
        <f t="shared" ca="1" si="25"/>
        <v>BDCC 2,50 x 2,50m</v>
      </c>
      <c r="AM12" s="344" t="str">
        <f t="shared" ca="1" si="26"/>
        <v>BDCC 3,00 x 3,00m</v>
      </c>
      <c r="AN12" s="345" t="str">
        <f t="shared" ca="1" si="27"/>
        <v>-</v>
      </c>
      <c r="AO12" s="32" t="str">
        <f t="shared" ca="1" si="28"/>
        <v>-</v>
      </c>
      <c r="AP12" s="32" t="str">
        <f t="shared" ca="1" si="29"/>
        <v>Substituir obra existente</v>
      </c>
    </row>
    <row r="13" spans="2:42" ht="43.5" hidden="1">
      <c r="B13" s="338" t="s">
        <v>264</v>
      </c>
      <c r="C13" s="338" t="str">
        <f t="shared" ca="1" si="0"/>
        <v>B10</v>
      </c>
      <c r="D13" s="339" t="str">
        <f t="shared" ca="1" si="1"/>
        <v>847</v>
      </c>
      <c r="E13" s="339" t="str">
        <f t="shared" ca="1" si="2"/>
        <v>+</v>
      </c>
      <c r="F13" s="340">
        <f t="shared" ca="1" si="3"/>
        <v>15.87</v>
      </c>
      <c r="G13" s="341" t="s">
        <v>375</v>
      </c>
      <c r="H13" s="31">
        <f t="shared" ca="1" si="4"/>
        <v>3.1849131852715482</v>
      </c>
      <c r="I13" s="31">
        <f t="shared" ca="1" si="5"/>
        <v>3.7917068081139047</v>
      </c>
      <c r="J13" s="342">
        <f t="shared" ca="1" si="6"/>
        <v>216</v>
      </c>
      <c r="K13" s="31">
        <f t="shared" ca="1" si="7"/>
        <v>2.171355384574142</v>
      </c>
      <c r="L13" s="342">
        <f t="shared" ca="1" si="8"/>
        <v>1.2215559615122922</v>
      </c>
      <c r="M13" s="31">
        <f t="shared" ca="1" si="9"/>
        <v>0.2</v>
      </c>
      <c r="N13" s="31" t="str">
        <f t="shared" ca="1" si="10"/>
        <v>RAC</v>
      </c>
      <c r="O13" s="343">
        <f t="shared" ca="1" si="11"/>
        <v>1.2036643202474839</v>
      </c>
      <c r="P13" s="343">
        <f t="shared" ca="1" si="12"/>
        <v>1.326754725457604</v>
      </c>
      <c r="Q13" s="343">
        <f t="shared" ca="1" si="13"/>
        <v>1.4872516241320612</v>
      </c>
      <c r="R13" s="343">
        <f t="shared" ca="1" si="14"/>
        <v>1.6435425034968565</v>
      </c>
      <c r="S13" s="343">
        <f t="shared" ca="1" si="15"/>
        <v>12.788777390961618</v>
      </c>
      <c r="T13" s="343">
        <f t="shared" ca="1" si="16"/>
        <v>14.096596992087473</v>
      </c>
      <c r="U13" s="343">
        <f t="shared" ca="1" si="17"/>
        <v>15.801855737869133</v>
      </c>
      <c r="V13" s="343">
        <f t="shared" ca="1" si="18"/>
        <v>17.462426073644341</v>
      </c>
      <c r="W13" s="549">
        <f t="shared" ca="1" si="19"/>
        <v>1.7999999999999998</v>
      </c>
      <c r="X13" s="550"/>
      <c r="Y13" s="31">
        <f t="shared" ca="1" si="20"/>
        <v>4.1564133517845727</v>
      </c>
      <c r="Z13" s="31">
        <f t="shared" ca="1" si="21"/>
        <v>4.7123882303846898</v>
      </c>
      <c r="AA13" s="342">
        <f t="shared" ca="1" si="22"/>
        <v>0.55500000000000005</v>
      </c>
      <c r="AB13" s="31">
        <f t="shared" ca="1" si="23"/>
        <v>1.9079999999999999</v>
      </c>
      <c r="AC13" s="31" t="s">
        <v>25</v>
      </c>
      <c r="AD13" s="31" t="s">
        <v>25</v>
      </c>
      <c r="AE13" s="31" t="s">
        <v>25</v>
      </c>
      <c r="AF13" s="31" t="s">
        <v>25</v>
      </c>
      <c r="AG13" s="31" t="s">
        <v>25</v>
      </c>
      <c r="AH13" s="31" t="s">
        <v>25</v>
      </c>
      <c r="AI13" s="31" t="s">
        <v>25</v>
      </c>
      <c r="AJ13" s="31" t="s">
        <v>25</v>
      </c>
      <c r="AK13" s="336" t="str">
        <f t="shared" ca="1" si="24"/>
        <v>Ponte existente 14,80x4,20m</v>
      </c>
      <c r="AL13" s="345" t="str">
        <f t="shared" ca="1" si="25"/>
        <v>BTTC d= 1,50m</v>
      </c>
      <c r="AM13" s="344" t="str">
        <f t="shared" ca="1" si="26"/>
        <v>BSCC 2,50 x 2,50m</v>
      </c>
      <c r="AN13" s="345" t="str">
        <f t="shared" ca="1" si="27"/>
        <v>-</v>
      </c>
      <c r="AO13" s="32" t="str">
        <f t="shared" ca="1" si="28"/>
        <v>-</v>
      </c>
      <c r="AP13" s="32" t="str">
        <f t="shared" ca="1" si="29"/>
        <v>Substituir obra existente</v>
      </c>
    </row>
    <row r="14" spans="2:42" ht="43.5" hidden="1">
      <c r="B14" s="338" t="s">
        <v>254</v>
      </c>
      <c r="C14" s="338" t="str">
        <f t="shared" ca="1" si="0"/>
        <v>B11</v>
      </c>
      <c r="D14" s="339" t="str">
        <f t="shared" ca="1" si="1"/>
        <v>893</v>
      </c>
      <c r="E14" s="339" t="str">
        <f t="shared" ca="1" si="2"/>
        <v>+</v>
      </c>
      <c r="F14" s="340">
        <f t="shared" ca="1" si="3"/>
        <v>18.600000000000001</v>
      </c>
      <c r="G14" s="341" t="s">
        <v>375</v>
      </c>
      <c r="H14" s="31">
        <f t="shared" ca="1" si="4"/>
        <v>1.4311120339943537</v>
      </c>
      <c r="I14" s="31">
        <f t="shared" ca="1" si="5"/>
        <v>1.3600747739946264</v>
      </c>
      <c r="J14" s="342">
        <f t="shared" ca="1" si="6"/>
        <v>59</v>
      </c>
      <c r="K14" s="31">
        <f t="shared" ca="1" si="7"/>
        <v>2.8553088313230597</v>
      </c>
      <c r="L14" s="342">
        <f t="shared" ca="1" si="8"/>
        <v>0.49919349504872629</v>
      </c>
      <c r="M14" s="31">
        <f t="shared" ca="1" si="9"/>
        <v>0.20788000000000001</v>
      </c>
      <c r="N14" s="31" t="str">
        <f t="shared" ca="1" si="10"/>
        <v>RAC</v>
      </c>
      <c r="O14" s="343">
        <f t="shared" ca="1" si="11"/>
        <v>2.1710887257057263</v>
      </c>
      <c r="P14" s="343">
        <f t="shared" ca="1" si="12"/>
        <v>2.3954076815514527</v>
      </c>
      <c r="Q14" s="343">
        <f t="shared" ca="1" si="13"/>
        <v>2.6879976207776215</v>
      </c>
      <c r="R14" s="343">
        <f t="shared" ca="1" si="14"/>
        <v>2.9389553772876638</v>
      </c>
      <c r="S14" s="343">
        <f t="shared" ca="1" si="15"/>
        <v>10.77357799813583</v>
      </c>
      <c r="T14" s="343">
        <f t="shared" ca="1" si="16"/>
        <v>11.886714342427217</v>
      </c>
      <c r="U14" s="343">
        <f t="shared" ca="1" si="17"/>
        <v>13.338631297455528</v>
      </c>
      <c r="V14" s="343">
        <f t="shared" ca="1" si="18"/>
        <v>14.583957171053468</v>
      </c>
      <c r="W14" s="549">
        <f t="shared" ca="1" si="19"/>
        <v>1.7999999999999998</v>
      </c>
      <c r="X14" s="550"/>
      <c r="Y14" s="31">
        <f t="shared" ca="1" si="20"/>
        <v>3.504824478520999</v>
      </c>
      <c r="Z14" s="31">
        <f t="shared" ca="1" si="21"/>
        <v>4.7123882303846898</v>
      </c>
      <c r="AA14" s="342">
        <f t="shared" ca="1" si="22"/>
        <v>0.55500000000000005</v>
      </c>
      <c r="AB14" s="31">
        <f t="shared" ca="1" si="23"/>
        <v>1.9079999999999999</v>
      </c>
      <c r="AC14" s="31" t="s">
        <v>25</v>
      </c>
      <c r="AD14" s="31" t="s">
        <v>25</v>
      </c>
      <c r="AE14" s="31" t="s">
        <v>25</v>
      </c>
      <c r="AF14" s="31" t="s">
        <v>25</v>
      </c>
      <c r="AG14" s="31" t="s">
        <v>25</v>
      </c>
      <c r="AH14" s="31" t="s">
        <v>25</v>
      </c>
      <c r="AI14" s="31" t="s">
        <v>25</v>
      </c>
      <c r="AJ14" s="31" t="s">
        <v>25</v>
      </c>
      <c r="AK14" s="336" t="str">
        <f t="shared" ca="1" si="24"/>
        <v>Ponte existente 9,80x4,00m</v>
      </c>
      <c r="AL14" s="345" t="str">
        <f t="shared" ca="1" si="25"/>
        <v>BDTC d= 1,50m</v>
      </c>
      <c r="AM14" s="344" t="str">
        <f t="shared" ca="1" si="26"/>
        <v>BTTC d= 1,50m</v>
      </c>
      <c r="AN14" s="345" t="str">
        <f t="shared" ca="1" si="27"/>
        <v>-</v>
      </c>
      <c r="AO14" s="32">
        <f t="shared" ca="1" si="28"/>
        <v>2.9252702262405865</v>
      </c>
      <c r="AP14" s="32" t="str">
        <f t="shared" ca="1" si="29"/>
        <v>Substituir obra existente</v>
      </c>
    </row>
    <row r="15" spans="2:42" hidden="1">
      <c r="B15" s="338"/>
      <c r="C15" s="338"/>
      <c r="D15" s="339"/>
      <c r="E15" s="339"/>
      <c r="F15" s="340"/>
      <c r="G15" s="341"/>
      <c r="H15" s="31"/>
      <c r="I15" s="31"/>
      <c r="J15" s="342"/>
      <c r="K15" s="31"/>
      <c r="L15" s="342"/>
      <c r="M15" s="31"/>
      <c r="N15" s="31"/>
      <c r="O15" s="343"/>
      <c r="P15" s="343"/>
      <c r="Q15" s="343"/>
      <c r="R15" s="343"/>
      <c r="S15" s="343"/>
      <c r="T15" s="343"/>
      <c r="U15" s="343"/>
      <c r="V15" s="343"/>
      <c r="W15" s="549"/>
      <c r="X15" s="550"/>
      <c r="Y15" s="31"/>
      <c r="Z15" s="31"/>
      <c r="AA15" s="342"/>
      <c r="AB15" s="31"/>
      <c r="AC15" s="31"/>
      <c r="AD15" s="31"/>
      <c r="AE15" s="31"/>
      <c r="AF15" s="31"/>
      <c r="AG15" s="31"/>
      <c r="AH15" s="31"/>
      <c r="AI15" s="31"/>
      <c r="AJ15" s="31"/>
      <c r="AK15" s="336"/>
      <c r="AL15" s="345"/>
      <c r="AM15" s="344"/>
      <c r="AN15" s="345"/>
      <c r="AO15" s="32"/>
      <c r="AP15" s="32"/>
    </row>
    <row r="16" spans="2:42" s="33" customFormat="1" ht="12.75" customHeight="1">
      <c r="B16" s="551" t="s">
        <v>101</v>
      </c>
      <c r="C16" s="552"/>
      <c r="D16" s="552"/>
      <c r="E16" s="552"/>
      <c r="F16" s="552"/>
      <c r="G16" s="552"/>
      <c r="H16" s="552"/>
      <c r="I16" s="552"/>
      <c r="J16" s="552"/>
      <c r="K16" s="552"/>
      <c r="L16" s="552"/>
      <c r="M16" s="552"/>
      <c r="N16" s="552"/>
      <c r="O16" s="552"/>
      <c r="P16" s="552"/>
      <c r="Q16" s="552"/>
      <c r="R16" s="552"/>
      <c r="S16" s="552"/>
      <c r="T16" s="552"/>
      <c r="U16" s="552"/>
      <c r="V16" s="552"/>
      <c r="W16" s="552"/>
      <c r="X16" s="552"/>
      <c r="Y16" s="552"/>
      <c r="Z16" s="552"/>
      <c r="AA16" s="552"/>
      <c r="AB16" s="552"/>
      <c r="AC16" s="552"/>
      <c r="AD16" s="552"/>
      <c r="AE16" s="552"/>
      <c r="AF16" s="552"/>
      <c r="AG16" s="552"/>
      <c r="AH16" s="552"/>
      <c r="AI16" s="552"/>
      <c r="AJ16" s="552"/>
      <c r="AK16" s="552"/>
      <c r="AL16" s="552"/>
      <c r="AM16" s="552"/>
      <c r="AN16" s="552"/>
      <c r="AO16" s="552"/>
      <c r="AP16" s="553"/>
    </row>
    <row r="17" spans="2:94" s="33" customFormat="1" ht="12.75" customHeight="1">
      <c r="B17" s="554"/>
      <c r="C17" s="555"/>
      <c r="D17" s="555"/>
      <c r="E17" s="555"/>
      <c r="F17" s="555"/>
      <c r="G17" s="555"/>
      <c r="H17" s="555"/>
      <c r="I17" s="555"/>
      <c r="J17" s="555"/>
      <c r="K17" s="555"/>
      <c r="L17" s="555"/>
      <c r="M17" s="555"/>
      <c r="N17" s="555"/>
      <c r="O17" s="555"/>
      <c r="P17" s="555"/>
      <c r="Q17" s="555"/>
      <c r="R17" s="555"/>
      <c r="S17" s="555"/>
      <c r="T17" s="555"/>
      <c r="U17" s="555"/>
      <c r="V17" s="555"/>
      <c r="W17" s="555"/>
      <c r="X17" s="555"/>
      <c r="Y17" s="555"/>
      <c r="Z17" s="555"/>
      <c r="AA17" s="555"/>
      <c r="AB17" s="555"/>
      <c r="AC17" s="555"/>
      <c r="AD17" s="555"/>
      <c r="AE17" s="555"/>
      <c r="AF17" s="555"/>
      <c r="AG17" s="555"/>
      <c r="AH17" s="555"/>
      <c r="AI17" s="555"/>
      <c r="AJ17" s="555"/>
      <c r="AK17" s="555"/>
      <c r="AL17" s="555"/>
      <c r="AM17" s="555"/>
      <c r="AN17" s="555"/>
      <c r="AO17" s="555"/>
      <c r="AP17" s="556"/>
    </row>
    <row r="18" spans="2:94" s="33" customFormat="1" ht="177" customHeight="1">
      <c r="B18" s="104" t="s">
        <v>16</v>
      </c>
      <c r="C18" s="104" t="s">
        <v>78</v>
      </c>
      <c r="D18" s="557" t="s">
        <v>27</v>
      </c>
      <c r="E18" s="557"/>
      <c r="F18" s="557"/>
      <c r="G18" s="104" t="s">
        <v>17</v>
      </c>
      <c r="H18" s="104" t="s">
        <v>18</v>
      </c>
      <c r="I18" s="104" t="s">
        <v>19</v>
      </c>
      <c r="J18" s="104" t="s">
        <v>20</v>
      </c>
      <c r="K18" s="104" t="s">
        <v>93</v>
      </c>
      <c r="L18" s="104" t="s">
        <v>76</v>
      </c>
      <c r="M18" s="104" t="s">
        <v>8</v>
      </c>
      <c r="N18" s="104" t="s">
        <v>26</v>
      </c>
      <c r="O18" s="104" t="s">
        <v>79</v>
      </c>
      <c r="P18" s="104" t="s">
        <v>80</v>
      </c>
      <c r="Q18" s="104" t="s">
        <v>81</v>
      </c>
      <c r="R18" s="104" t="s">
        <v>82</v>
      </c>
      <c r="S18" s="104" t="s">
        <v>21</v>
      </c>
      <c r="T18" s="104" t="s">
        <v>22</v>
      </c>
      <c r="U18" s="104" t="s">
        <v>23</v>
      </c>
      <c r="V18" s="104" t="s">
        <v>24</v>
      </c>
      <c r="W18" s="104" t="s">
        <v>91</v>
      </c>
      <c r="X18" s="104" t="s">
        <v>107</v>
      </c>
      <c r="Y18" s="104" t="s">
        <v>116</v>
      </c>
      <c r="Z18" s="104" t="s">
        <v>117</v>
      </c>
      <c r="AA18" s="104" t="s">
        <v>115</v>
      </c>
      <c r="AB18" s="104" t="s">
        <v>118</v>
      </c>
      <c r="AC18" s="104" t="s">
        <v>245</v>
      </c>
      <c r="AD18" s="104" t="s">
        <v>140</v>
      </c>
      <c r="AE18" s="104" t="s">
        <v>136</v>
      </c>
      <c r="AF18" s="104" t="s">
        <v>135</v>
      </c>
      <c r="AG18" s="104" t="s">
        <v>137</v>
      </c>
      <c r="AH18" s="104" t="s">
        <v>139</v>
      </c>
      <c r="AI18" s="104" t="s">
        <v>138</v>
      </c>
      <c r="AJ18" s="104" t="s">
        <v>246</v>
      </c>
      <c r="AK18" s="104" t="s">
        <v>28</v>
      </c>
      <c r="AL18" s="104" t="s">
        <v>89</v>
      </c>
      <c r="AM18" s="104" t="s">
        <v>90</v>
      </c>
      <c r="AN18" s="104" t="s">
        <v>106</v>
      </c>
      <c r="AO18" s="104" t="s">
        <v>83</v>
      </c>
      <c r="AP18" s="104" t="s">
        <v>92</v>
      </c>
      <c r="AQ18" s="175" t="s">
        <v>249</v>
      </c>
      <c r="AR18" s="114" t="s">
        <v>127</v>
      </c>
      <c r="AS18" s="176" t="s">
        <v>251</v>
      </c>
      <c r="AU18" s="118" t="s">
        <v>197</v>
      </c>
      <c r="AY18" s="118" t="s">
        <v>247</v>
      </c>
      <c r="AZ18" s="118" t="s">
        <v>248</v>
      </c>
      <c r="BA18" s="33" t="s">
        <v>194</v>
      </c>
      <c r="BB18" s="173" t="s">
        <v>222</v>
      </c>
      <c r="BC18" s="33" t="s">
        <v>195</v>
      </c>
      <c r="BE18" s="114" t="s">
        <v>223</v>
      </c>
      <c r="BF18" s="114" t="s">
        <v>224</v>
      </c>
      <c r="BG18" s="114"/>
      <c r="BH18" s="114" t="s">
        <v>225</v>
      </c>
      <c r="BI18" s="114"/>
      <c r="BJ18" s="114" t="s">
        <v>226</v>
      </c>
      <c r="BP18" s="114" t="s">
        <v>227</v>
      </c>
      <c r="BQ18" s="114" t="s">
        <v>228</v>
      </c>
      <c r="BR18" s="114" t="s">
        <v>229</v>
      </c>
      <c r="BS18" s="114" t="s">
        <v>230</v>
      </c>
      <c r="BU18" s="176" t="s">
        <v>250</v>
      </c>
      <c r="BV18" s="176" t="s">
        <v>252</v>
      </c>
      <c r="BW18" s="176" t="s">
        <v>253</v>
      </c>
      <c r="BY18" s="176" t="s">
        <v>384</v>
      </c>
      <c r="BZ18" s="176" t="s">
        <v>386</v>
      </c>
      <c r="CA18" s="176" t="s">
        <v>398</v>
      </c>
      <c r="CB18" s="176" t="s">
        <v>385</v>
      </c>
      <c r="CC18" s="176" t="s">
        <v>387</v>
      </c>
      <c r="CD18" s="176" t="s">
        <v>388</v>
      </c>
      <c r="CE18" s="176" t="s">
        <v>389</v>
      </c>
      <c r="CF18" s="176" t="s">
        <v>390</v>
      </c>
      <c r="CG18" s="176" t="s">
        <v>391</v>
      </c>
      <c r="CH18" s="176" t="s">
        <v>392</v>
      </c>
      <c r="CI18" s="176" t="s">
        <v>393</v>
      </c>
      <c r="CJ18" s="176" t="s">
        <v>394</v>
      </c>
      <c r="CK18" s="176" t="s">
        <v>395</v>
      </c>
      <c r="CL18" s="176" t="s">
        <v>396</v>
      </c>
      <c r="CM18" s="176" t="s">
        <v>397</v>
      </c>
      <c r="CN18" s="176" t="s">
        <v>400</v>
      </c>
      <c r="CO18" s="176" t="s">
        <v>407</v>
      </c>
      <c r="CP18" s="176" t="s">
        <v>399</v>
      </c>
    </row>
    <row r="19" spans="2:94" s="33" customFormat="1" ht="81.75" customHeight="1">
      <c r="B19" s="362" t="str" cm="1">
        <f t="array" aca="1" ref="B19" ca="1">IFERROR(INDIRECT("'"&amp;BN19&amp;"'!F10"),"")</f>
        <v>BC01</v>
      </c>
      <c r="C19" s="362" t="s">
        <v>237</v>
      </c>
      <c r="D19" s="363" t="str">
        <f ca="1">IFERROR(INDIRECT("'"&amp;BN19&amp;"'!E3"),"")</f>
        <v>33</v>
      </c>
      <c r="E19" s="363" t="str">
        <f ca="1">IFERROR(INDIRECT("'"&amp;BN19&amp;"'!F3"),"")</f>
        <v>+</v>
      </c>
      <c r="F19" s="363">
        <f ca="1">IFERROR(INDIRECT("'"&amp;BN19&amp;"'!G3"),"")</f>
        <v>0.46</v>
      </c>
      <c r="G19" s="372"/>
      <c r="H19" s="365">
        <f ca="1">IFERROR(INDIRECT("'"&amp;BN19&amp;"'!E6"),"")</f>
        <v>1.0943531583670316</v>
      </c>
      <c r="I19" s="365">
        <f ca="1">IFERROR(INDIRECT("'"&amp;BN19&amp;"'!E7"),"")</f>
        <v>2.3534563499190098</v>
      </c>
      <c r="J19" s="365">
        <f t="shared" ref="J19:J30" ca="1" si="30">IFERROR(INDIRECT("'"&amp;BN19&amp;"'!E8"),"")</f>
        <v>53</v>
      </c>
      <c r="K19" s="365">
        <f ca="1">IFERROR(INDIRECT("'"&amp;BN19&amp;"'!E9"),"")</f>
        <v>1.9055799614941207</v>
      </c>
      <c r="L19" s="365">
        <f ca="1">IFERROR(INDIRECT("'"&amp;BN19&amp;"'!O9"),"")</f>
        <v>0.88972395186537945</v>
      </c>
      <c r="M19" s="365">
        <f ca="1">IFERROR(INDIRECT("'"&amp;BN19&amp;"'!O8"),"")</f>
        <v>0.24434</v>
      </c>
      <c r="N19" s="366" t="str">
        <f ca="1">IF(H19&lt;=5,"RAC",IF(H19&lt;=10,"RAC MOD","HUT"))</f>
        <v>RAC</v>
      </c>
      <c r="O19" s="365">
        <f ca="1">IFERROR(INDIRECT("'"&amp;BN19&amp;"'!N14"),"")</f>
        <v>1.5040868629880479</v>
      </c>
      <c r="P19" s="365">
        <f ca="1">IFERROR(INDIRECT("'"&amp;BN19&amp;"'!n15"),"")</f>
        <v>1.6583962555095184</v>
      </c>
      <c r="Q19" s="365">
        <f ca="1">IFERROR(INDIRECT("'"&amp;BN19&amp;"'!N16"),"")</f>
        <v>1.8593006056164401</v>
      </c>
      <c r="R19" s="365">
        <f ca="1">IFERROR(INDIRECT("'"&amp;BN19&amp;"'!N17"),"")</f>
        <v>2.0514191410773188</v>
      </c>
      <c r="S19" s="365">
        <f ca="1">IFERROR(INDIRECT("'"&amp;BN19&amp;"'!M21"),"")</f>
        <v>6.7084321180559678</v>
      </c>
      <c r="T19" s="365">
        <f ca="1">IFERROR(INDIRECT("'"&amp;BN19&amp;"'!M22"),"")</f>
        <v>7.3966730105083087</v>
      </c>
      <c r="U19" s="365">
        <f ca="1">IFERROR(INDIRECT("'"&amp;BN19&amp;"'!M23"),"")</f>
        <v>8.2927337554555542</v>
      </c>
      <c r="V19" s="365">
        <f ca="1">IFERROR(INDIRECT("'"&amp;BN19&amp;"'!M24"),"")</f>
        <v>9.1496085713150901</v>
      </c>
      <c r="W19" s="365">
        <f ca="1">1.2*AY19</f>
        <v>1.44</v>
      </c>
      <c r="X19" s="367">
        <f>'Cadastro das Obras'!Q3</f>
        <v>1.0000000000001733E-2</v>
      </c>
      <c r="Y19" s="368">
        <f t="shared" ref="Y19:Y30" ca="1" si="31">(T19)/(0.5708*SQRT(2*9.80665*(1.2*AY19)))</f>
        <v>2.4383490434437061</v>
      </c>
      <c r="Z19" s="365">
        <f ca="1">_xlfn.LET(_xlpm.aa,(Y19)*1,_xlpm.dd,(AY19)*1,_xlpm.ww,2*PI()-0.000002,_xlpm.t_1,0.000001+_xlpm.ww/2,_xlpm.t_2,_xlpm.t_1+IF(_xlpm.dd^2/8*(_xlpm.t_1-SIN(_xlpm.t_1))&lt;_xlpm.aa,_xlpm.ww,-_xlpm.ww)/4,_xlpm.t_3,_xlpm.t_2+IF(_xlpm.dd^2/8*(_xlpm.t_2-SIN(_xlpm.t_2))&lt;_xlpm.aa,_xlpm.ww,-_xlpm.ww)/8,_xlpm.t_4,_xlpm.t_3+IF(_xlpm.dd^2/8*(_xlpm.t_3-SIN(_xlpm.t_3))&lt;_xlpm.aa,_xlpm.ww,-_xlpm.ww)/16,_xlpm.t_5,_xlpm.t_4+IF(_xlpm.dd^2/8*(_xlpm.t_4-SIN(_xlpm.t_4))&lt;_xlpm.aa,_xlpm.ww,-_xlpm.ww)/32,_xlpm.t_6,_xlpm.t_5+IF(_xlpm.dd^2/8*(_xlpm.t_5-SIN(_xlpm.t_5))&lt;_xlpm.aa,_xlpm.ww,-_xlpm.ww)/64,_xlpm.t_7,_xlpm.t_6+IF(_xlpm.dd^2/8*(_xlpm.t_6-SIN(_xlpm.t_6))&lt;_xlpm.aa,_xlpm.ww,-_xlpm.ww)/128,_xlpm.t_8,_xlpm.t_7+IF(_xlpm.dd^2/8*(_xlpm.t_7-SIN(_xlpm.t_7))&lt;_xlpm.aa,_xlpm.ww,-_xlpm.ww)/256,_xlpm.t_9,_xlpm.t_8+IF(_xlpm.dd^2/8*(_xlpm.t_8-SIN(_xlpm.t_8))&lt;_xlpm.aa,_xlpm.ww,-_xlpm.ww)/512,_xlpm.t_10,_xlpm.t_9+IF(_xlpm.dd^2/8*(_xlpm.t_9-SIN(_xlpm.t_9))&lt;_xlpm.aa,_xlpm.ww,-_xlpm.ww)/1024,_xlpm.t_11,_xlpm.t_10+IF(_xlpm.dd^2/8*(_xlpm.t_10-SIN(_xlpm.t_10))&lt;_xlpm.aa,_xlpm.ww,-_xlpm.ww)/2048,_xlpm.t_12,_xlpm.t_11+IF(_xlpm.dd^2/8*(_xlpm.t_11-SIN(_xlpm.t_11))&lt;_xlpm.aa,_xlpm.ww,-_xlpm.ww)/4096,_xlpm.t_13,_xlpm.t_12+IF(_xlpm.dd^2/8*(_xlpm.t_12-SIN(_xlpm.t_12))&lt;_xlpm.aa,_xlpm.ww,-_xlpm.ww)/8192,_xlpm.t_14,_xlpm.t_13+IF(_xlpm.dd^2/8*(_xlpm.t_13-SIN(_xlpm.t_13))&lt;_xlpm.aa,_xlpm.ww,-_xlpm.ww)/16384,_xlpm.t_15,_xlpm.t_14+IF(_xlpm.dd^2/8*(_xlpm.t_14-SIN(_xlpm.t_14))&lt;_xlpm.aa,_xlpm.ww,-_xlpm.ww)/32768,_xlpm.t_16,_xlpm.t_15+IF(_xlpm.dd^2/8*(_xlpm.t_15-SIN(_xlpm.t_15))&lt;_xlpm.aa,_xlpm.ww,-_xlpm.ww)/65536,_xlpm.t_17,_xlpm.t_16+IF(_xlpm.dd^2/8*(_xlpm.t_16-SIN(_xlpm.t_16))&lt;_xlpm.aa,_xlpm.ww,-_xlpm.ww)/131072,_xlpm.t_18,_xlpm.t_17+IF(_xlpm.dd^2/8*(_xlpm.t_17-SIN(_xlpm.t_17))&lt;_xlpm.aa,_xlpm.ww,-_xlpm.ww)/262144,_xlpm.t_19,_xlpm.t_18+IF(_xlpm.dd^2/8*(_xlpm.t_18-SIN(_xlpm.t_18))&lt;_xlpm.aa,_xlpm.ww,-_xlpm.ww)/524288,_xlpm.t_20,_xlpm.t_19+IF(_xlpm.dd^2/8*(_xlpm.t_19-SIN(_xlpm.t_19))&lt;_xlpm.aa,_xlpm.ww,-_xlpm.ww)/1048576,_xlpm.t_21,_xlpm.t_20+IF(_xlpm.dd^2/8*(_xlpm.t_20-SIN(_xlpm.t_20))&lt;_xlpm.aa,_xlpm.ww,-_xlpm.ww)/2097152,_xlpm.t_22,_xlpm.t_21+IF(_xlpm.dd^2/8*(_xlpm.t_21-SIN(_xlpm.t_21))&lt;_xlpm.aa,_xlpm.ww,-_xlpm.ww)/4194304,_xlpm.t_23,_xlpm.t_22+IF(_xlpm.dd^2/8*(_xlpm.t_22-SIN(_xlpm.t_22))&lt;_xlpm.aa,_xlpm.ww,-_xlpm.ww)/8388608,_xlpm.t_24,_xlpm.t_23+IF(_xlpm.dd^2/8*(_xlpm.t_23-SIN(_xlpm.t_23))&lt;_xlpm.aa,_xlpm.ww,-_xlpm.ww)/16777216,_xlpm.t_25,_xlpm.t_24+IF(_xlpm.dd^2/8*(_xlpm.t_24-SIN(_xlpm.t_24))&lt;_xlpm.aa,_xlpm.ww,-_xlpm.ww)/33554432,_xlpm.t_26,_xlpm.t_25+IF(_xlpm.dd^2/8*(_xlpm.t_25-SIN(_xlpm.t_25))&lt;_xlpm.aa,_xlpm.ww,-_xlpm.ww)/67108864,IF(OR(_xlpm.aa&lt;=0,_xlpm.dd&lt;=0),#VALUE!,_xlpm.dd/2*IF(_xlpm.t_26&gt;0.000001+_xlpm.ww*(1-1.5/2^26),0.000001+_xlpm.ww,_xlpm.t_26)))</f>
        <v>3.7699105843077514</v>
      </c>
      <c r="AA19" s="365">
        <f ca="1">(AY19^2/8)*(2*ACOS(1-2*AH19/AY19)-SIN(2*ACOS(1-2*AH19/AY19)))</f>
        <v>1.1309733538317324</v>
      </c>
      <c r="AB19" s="365">
        <f ca="1">(AY19/2)*(2*ACOS(1-2*AH19/AY19))</f>
        <v>3.7677202937732872</v>
      </c>
      <c r="AC19" s="365">
        <f t="shared" ref="AC19:AC30" ca="1" si="32">IFERROR(AH19/AY19,"")</f>
        <v>0.99999916666666655</v>
      </c>
      <c r="AD19" s="365">
        <f ca="1">IFERROR(AA19/AB19,"")</f>
        <v>0.300174446521636</v>
      </c>
      <c r="AE19" s="368">
        <f ca="1">IFERROR(IF(IF(OR(ISNUMBER(SEARCH("BSTC",AM19)),ISNUMBER(SEARCH("BDTC",AM19)),ISNUMBER(SEARCH("BTTC",AM19))),"CIRCULAR",IF(OR(ISNUMBER(SEARCH("BSCC",AM19)),ISNUMBER(SEARCH("BDCC",AM19)),ISNUMBER(SEARCH("BTCC",AM19))),"CELULAR",""))="CIRCULAR",AG19/SQRT(9.80665*(AA19/(AZ19*SIN((2*ACOS(1-2*AH19/AZ19))/2)))),AG19/SQRT(9.80665*AH19)),"")</f>
        <v>4.4878824460847372E-2</v>
      </c>
      <c r="AF19" s="365" t="str">
        <f ca="1">IF(AE19&lt;1,"Subcrítico",IF(AE19=1,"Crítico","Supercrítico"))</f>
        <v>Subcrítico</v>
      </c>
      <c r="AG19" s="368">
        <f ca="1">IF($AW19="","",IF($BZ19="Tubular",$CP19*$AZ19^(2/3)*SQRT($X19)/$AS19,$CP19*SQRT($X19)/$AS19))</f>
        <v>3.193138660728807</v>
      </c>
      <c r="AH19" s="368">
        <f ca="1">IFERROR(IF(IF(OR(ISNUMBER(SEARCH("BSTC",AM19)),ISNUMBER(SEARCH("BDTC",AM19)),ISNUMBER(SEARCH("BTTC",AM19))),"CIRCULAR",IF(OR(ISNUMBER(SEARCH("BSCC",AM19)),ISNUMBER(SEARCH("BDCC",AM19)),ISNUMBER(SEARCH("BTCC",AM19))),"CELULAR",""))="CIRCULAR",_xlfn.LET(_xlpm.qq,(15/3)*1,_xlpm.dd,(AZ19)*1,_xlpm.ss,(X19)*1,_xlpm.nn,(0.015)*1,_xlpm.rr,_xlpm.dd/2,_xlpm.ww,_xlpm.dd-0.000002,_xlpm.zz,(_xlpm.qq*_xlpm.nn/SQRT(_xlpm.ss))^3*_xlpm.rr^2/(_xlpm.dd^2/8)^5,_xlpm.h_1,0.000001+_xlpm.ww/2,_xlpm.u_1,2*ACOS(1-_xlpm.h_1/_xlpm.rr),_xlpm.h_2,_xlpm.h_1+IF((_xlpm.u_1-SIN(_xlpm.u_1))^5&lt;_xlpm.zz*_xlpm.u_1^2,_xlpm.ww,-_xlpm.ww)/4,_xlpm.u_2,2*ACOS(1-_xlpm.h_2/_xlpm.rr),_xlpm.h_3,_xlpm.h_2+IF((_xlpm.u_2-SIN(_xlpm.u_2))^5&lt;_xlpm.zz*_xlpm.u_2^2,_xlpm.ww,-_xlpm.ww)/8,_xlpm.u_3,2*ACOS(1-_xlpm.h_3/_xlpm.rr),_xlpm.h_4,_xlpm.h_3+IF((_xlpm.u_3-SIN(_xlpm.u_3))^5&lt;_xlpm.zz*_xlpm.u_3^2,_xlpm.ww,-_xlpm.ww)/16,_xlpm.u_4,2*ACOS(1-_xlpm.h_4/_xlpm.rr),_xlpm.h_5,_xlpm.h_4+IF((_xlpm.u_4-SIN(_xlpm.u_4))^5&lt;_xlpm.zz*_xlpm.u_4^2,_xlpm.ww,-_xlpm.ww)/32,_xlpm.u_5,2*ACOS(1-_xlpm.h_5/_xlpm.rr),_xlpm.h_6,_xlpm.h_5+IF((_xlpm.u_5-SIN(_xlpm.u_5))^5&lt;_xlpm.zz*_xlpm.u_5^2,_xlpm.ww,-_xlpm.ww)/64,_xlpm.u_6,2*ACOS(1-_xlpm.h_6/_xlpm.rr),_xlpm.h_7,_xlpm.h_6+IF((_xlpm.u_6-SIN(_xlpm.u_6))^5&lt;_xlpm.zz*_xlpm.u_6^2,_xlpm.ww,-_xlpm.ww)/128,_xlpm.u_7,2*ACOS(1-_xlpm.h_7/_xlpm.rr),_xlpm.h_8,_xlpm.h_7+IF((_xlpm.u_7-SIN(_xlpm.u_7))^5&lt;_xlpm.zz*_xlpm.u_7^2,_xlpm.ww,-_xlpm.ww)/256,_xlpm.u_8,2*ACOS(1-_xlpm.h_8/_xlpm.rr),_xlpm.h_9,_xlpm.h_8+IF((_xlpm.u_8-SIN(_xlpm.u_8))^5&lt;_xlpm.zz*_xlpm.u_8^2,_xlpm.ww,-_xlpm.ww)/512,_xlpm.u_9,2*ACOS(1-_xlpm.h_9/_xlpm.rr),_xlpm.h_10,_xlpm.h_9+IF((_xlpm.u_9-SIN(_xlpm.u_9))^5&lt;_xlpm.zz*_xlpm.u_9^2,_xlpm.ww,-_xlpm.ww)/1024,_xlpm.u_10,2*ACOS(1-_xlpm.h_10/_xlpm.rr),_xlpm.h_11,_xlpm.h_10+IF((_xlpm.u_10-SIN(_xlpm.u_10))^5&lt;_xlpm.zz*_xlpm.u_10^2,_xlpm.ww,-_xlpm.ww)/2048,_xlpm.u_11,2*ACOS(1-_xlpm.h_11/_xlpm.rr),_xlpm.h_12,_xlpm.h_11+IF((_xlpm.u_11-SIN(_xlpm.u_11))^5&lt;_xlpm.zz*_xlpm.u_11^2,_xlpm.ww,-_xlpm.ww)/4096,_xlpm.u_12,2*ACOS(1-_xlpm.h_12/_xlpm.rr),_xlpm.h_13,_xlpm.h_12+IF((_xlpm.u_12-SIN(_xlpm.u_12))^5&lt;_xlpm.zz*_xlpm.u_12^2,_xlpm.ww,-_xlpm.ww)/8192,_xlpm.u_13,2*ACOS(1-_xlpm.h_13/_xlpm.rr),_xlpm.h_14,_xlpm.h_13+IF((_xlpm.u_13-SIN(_xlpm.u_13))^5&lt;_xlpm.zz*_xlpm.u_13^2,_xlpm.ww,-_xlpm.ww)/16384,_xlpm.u_14,2*ACOS(1-_xlpm.h_14/_xlpm.rr),_xlpm.h_15,_xlpm.h_14+IF((_xlpm.u_14-SIN(_xlpm.u_14))^5&lt;_xlpm.zz*_xlpm.u_14^2,_xlpm.ww,-_xlpm.ww)/32768,_xlpm.u_15,2*ACOS(1-_xlpm.h_15/_xlpm.rr),_xlpm.h_16,_xlpm.h_15+IF((_xlpm.u_15-SIN(_xlpm.u_15))^5&lt;_xlpm.zz*_xlpm.u_15^2,_xlpm.ww,-_xlpm.ww)/65536,_xlpm.u_16,2*ACOS(1-_xlpm.h_16/_xlpm.rr),_xlpm.h_17,_xlpm.h_16+IF((_xlpm.u_16-SIN(_xlpm.u_16))^5&lt;_xlpm.zz*_xlpm.u_16^2,_xlpm.ww,-_xlpm.ww)/131072,_xlpm.u_17,2*ACOS(1-_xlpm.h_17/_xlpm.rr),_xlpm.h_18,_xlpm.h_17+IF((_xlpm.u_17-SIN(_xlpm.u_17))^5&lt;_xlpm.zz*_xlpm.u_17^2,_xlpm.ww,-_xlpm.ww)/262144,_xlpm.u_18,2*ACOS(1-_xlpm.h_18/_xlpm.rr),_xlpm.h_19,_xlpm.h_18+IF((_xlpm.u_18-SIN(_xlpm.u_18))^5&lt;_xlpm.zz*_xlpm.u_18^2,_xlpm.ww,-_xlpm.ww)/524288,_xlpm.u_19,2*ACOS(1-_xlpm.h_19/_xlpm.rr),_xlpm.h_20,_xlpm.h_19+IF((_xlpm.u_19-SIN(_xlpm.u_19))^5&lt;_xlpm.zz*_xlpm.u_19^2,_xlpm.ww,-_xlpm.ww)/1048576,_xlpm.u_20,2*ACOS(1-_xlpm.h_20/_xlpm.rr),_xlpm.h_21,_xlpm.h_20+IF((_xlpm.u_20-SIN(_xlpm.u_20))^5&lt;_xlpm.zz*_xlpm.u_20^2,_xlpm.ww,-_xlpm.ww)/2097152,_xlpm.u_21,2*ACOS(1-_xlpm.h_21/_xlpm.rr),_xlpm.h_22,_xlpm.h_21+IF((_xlpm.u_21-SIN(_xlpm.u_21))^5&lt;_xlpm.zz*_xlpm.u_21^2,_xlpm.ww,-_xlpm.ww)/4194304,_xlpm.u_22,2*ACOS(1-_xlpm.h_22/_xlpm.rr),_xlpm.h_23,_xlpm.h_22+IF((_xlpm.u_22-SIN(_xlpm.u_22))^5&lt;_xlpm.zz*_xlpm.u_22^2,_xlpm.ww,-_xlpm.ww)/8388608,_xlpm.u_23,2*ACOS(1-_xlpm.h_23/_xlpm.rr),_xlpm.h_24,_xlpm.h_23+IF((_xlpm.u_23-SIN(_xlpm.u_23))^5&lt;_xlpm.zz*_xlpm.u_23^2,_xlpm.ww,-_xlpm.ww)/16777216,_xlpm.u_24,2*ACOS(1-_xlpm.h_24/_xlpm.rr),_xlpm.h_25,_xlpm.h_24+IF((_xlpm.u_24-SIN(_xlpm.u_24))^5&lt;_xlpm.zz*_xlpm.u_24^2,_xlpm.ww,-_xlpm.ww)/33554432,_xlpm.u_25,2*ACOS(1-_xlpm.h_25/_xlpm.rr),_xlpm.h_26,_xlpm.h_25+IF((_xlpm.u_25-SIN(_xlpm.u_25))^5&lt;_xlpm.zz*_xlpm.u_25^2,_xlpm.ww,-_xlpm.ww)/67108864,IF(OR(_xlpm.qq&lt;=0,_xlpm.dd&lt;=0,_xlpm.ss&lt;=0,_xlpm.nn&lt;=0),#VALUE!,IF(_xlpm.h_26&gt;0.000001+_xlpm.ww*(1-1.5/2^26),0.000001+_xlpm.ww,_xlpm.h_26))),_xlfn.LET(_xlpm.ob,AM19,_xlpm.ss,(X19)*1,_xlpm.nn,(0.015)*1,_xlpm.qq,(BP19)*1/IF(OR(ISNUMBER(SEARCH("BSTC",_xlpm.ob)),ISNUMBER(SEARCH("BSCC",_xlpm.ob))),1,IF(OR(ISNUMBER(SEARCH("BDTC",_xlpm.ob)),ISNUMBER(SEARCH("BDCC",_xlpm.ob))),2,IF(OR(ISNUMBER(SEARCH("BTTC",_xlpm.ob)),ISNUMBER(SEARCH("BTCC",_xlpm.ob))),3,#VALUE!))),_xlpm.bb,_xlfn.NUMBERVALUE(SUBSTITUTE(TRIM(MID(_xlpm.ob,SEARCH("cc",_xlpm.ob)+3,SEARCH("x",_xlpm.ob)-SEARCH("cc",_xlpm.ob)-3)),".",","),",","."),_xlpm.hh,_xlfn.NUMBERVALUE(SUBSTITUTE(TRIM(MID(_xlpm.ob,SEARCH("x",_xlpm.ob)+1,SEARCH("m",_xlpm.ob,SEARCH("x",_xlpm.ob))-SEARCH("x",_xlpm.ob)-1)),".",","),",","."),_xlpm.kk,SQRT(_xlpm.ss)/_xlpm.nn,_xlpm.x_0,_xlpm.hh,_xlpm.g_0,_xlpm.kk*_xlpm.bb*_xlpm.x_0*(_xlpm.bb*_xlpm.x_0/(_xlpm.bb+2*_xlpm.x_0))^(2/3),_xlpm.x_1,_xlpm.x_0-(_xlpm.g_0-_xlpm.qq)/(_xlpm.g_0*(5/(3*_xlpm.x_0)-4/(3*(_xlpm.bb+2*_xlpm.x_0)))),_xlpm.g_1,_xlpm.kk*_xlpm.bb*_xlpm.x_1*(_xlpm.bb*_xlpm.x_1/(_xlpm.bb+2*_xlpm.x_1))^(2/3),_xlpm.x_2,_xlpm.x_1-(_xlpm.g_1-_xlpm.qq)/(_xlpm.g_1*(5/(3*_xlpm.x_1)-4/(3*(_xlpm.bb+2*_xlpm.x_1)))),_xlpm.g_2,_xlpm.kk*_xlpm.bb*_xlpm.x_2*(_xlpm.bb*_xlpm.x_2/(_xlpm.bb+2*_xlpm.x_2))^(2/3),_xlpm.x_3,_xlpm.x_2-(_xlpm.g_2-_xlpm.qq)/(_xlpm.g_2*(5/(3*_xlpm.x_2)-4/(3*(_xlpm.bb+2*_xlpm.x_2)))),_xlpm.g_3,_xlpm.kk*_xlpm.bb*_xlpm.x_3*(_xlpm.bb*_xlpm.x_3/(_xlpm.bb+2*_xlpm.x_3))^(2/3),_xlpm.x_4,_xlpm.x_3-(_xlpm.g_3-_xlpm.qq)/(_xlpm.g_3*(5/(3*_xlpm.x_3)-4/(3*(_xlpm.bb+2*_xlpm.x_3)))),_xlpm.g_4,_xlpm.kk*_xlpm.bb*_xlpm.x_4*(_xlpm.bb*_xlpm.x_4/(_xlpm.bb+2*_xlpm.x_4))^(2/3),_xlpm.x_5,_xlpm.x_4-(_xlpm.g_4-_xlpm.qq)/(_xlpm.g_4*(5/(3*_xlpm.x_4)-4/(3*(_xlpm.bb+2*_xlpm.x_4)))),_xlpm.g_5,_xlpm.kk*_xlpm.bb*_xlpm.x_5*(_xlpm.bb*_xlpm.x_5/(_xlpm.bb+2*_xlpm.x_5))^(2/3),_xlpm.x_6,_xlpm.x_5-(_xlpm.g_5-_xlpm.qq)/(_xlpm.g_5*(5/(3*_xlpm.x_5)-4/(3*(_xlpm.bb+2*_xlpm.x_5)))),_xlpm.g_6,_xlpm.kk*_xlpm.bb*_xlpm.x_6*(_xlpm.bb*_xlpm.x_6/(_xlpm.bb+2*_xlpm.x_6))^(2/3),_xlpm.x_7,_xlpm.x_6-(_xlpm.g_6-_xlpm.qq)/(_xlpm.g_6*(5/(3*_xlpm.x_6)-4/(3*(_xlpm.bb+2*_xlpm.x_6)))),_xlpm.g_7,_xlpm.kk*_xlpm.bb*_xlpm.x_7*(_xlpm.bb*_xlpm.x_7/(_xlpm.bb+2*_xlpm.x_7))^(2/3),_xlpm.x_8,_xlpm.x_7-(_xlpm.g_7-_xlpm.qq)/(_xlpm.g_7*(5/(3*_xlpm.x_7)-4/(3*(_xlpm.bb+2*_xlpm.x_7)))),_xlpm.g_8,_xlpm.kk*_xlpm.bb*_xlpm.x_8*(_xlpm.bb*_xlpm.x_8/(_xlpm.bb+2*_xlpm.x_8))^(2/3),_xlpm.x_9,_xlpm.x_8-(_xlpm.g_8-_xlpm.qq)/(_xlpm.g_8*(5/(3*_xlpm.x_8)-4/(3*(_xlpm.bb+2*_xlpm.x_8)))),_xlpm.g_9,_xlpm.kk*_xlpm.bb*_xlpm.x_9*(_xlpm.bb*_xlpm.x_9/(_xlpm.bb+2*_xlpm.x_9))^(2/3),_xlpm.x_10,_xlpm.x_9-(_xlpm.g_9-_xlpm.qq)/(_xlpm.g_9*(5/(3*_xlpm.x_9)-4/(3*(_xlpm.bb+2*_xlpm.x_9)))),MIN(_xlpm.hh,_xlpm.x_10))),"")</f>
        <v>1.1999989999999998</v>
      </c>
      <c r="AI19" s="368">
        <f ca="1">IFERROR(
  IF(
    IF(OR(ISNUMBER(SEARCH("BSTC",AM19)),ISNUMBER(SEARCH("BDTC",AM19)),ISNUMBER(SEARCH("BTTC",AM19))),"CIRCULAR",IF(OR(ISNUMBER(SEARCH("BSCC",AM19)),ISNUMBER(SEARCH("BDCC",AM19)),ISNUMBER(SEARCH("BTCC",AM19))),"CELULAR",""))="CIRCULAR",
    (3/2)*(((AZ19^2/8)*((2*ACOS(1-2*BB19/AZ19))-SIN(2*ACOS(1-2*BB19/AZ19))))/(AZ19*SIN((2*ACOS(1-2*BB19/AZ19))/2))),
    (3/2)*BB19
  ),
  ""
)</f>
        <v>1.1155114825952475</v>
      </c>
      <c r="AJ19" s="368">
        <f ca="1">IFERROR(AT19/AZ19,"")</f>
        <v>0.99999916666666655</v>
      </c>
      <c r="AK19" s="369" t="s">
        <v>25</v>
      </c>
      <c r="AL19" s="370" t="str">
        <f ca="1">IFERROR(INDIRECT("'"&amp;BN19&amp;"'!J27"),"")</f>
        <v>BDTC d= 1,20m</v>
      </c>
      <c r="AM19" s="373" t="str">
        <f ca="1">IFERROR(INDIRECT("'"&amp;BN19&amp;"'!J32"),"")</f>
        <v>BTTC d= 1,20m</v>
      </c>
      <c r="AN19" s="371" t="s">
        <v>25</v>
      </c>
      <c r="AO19" s="371" t="s">
        <v>25</v>
      </c>
      <c r="AP19" s="371" t="s">
        <v>102</v>
      </c>
      <c r="AQ19" s="117">
        <f t="shared" ref="AQ19:AQ30" ca="1" si="33">IF(RIGHT(AW19,2)="TC",
IF(X19*100&lt;BU19,
BC19*0.309*AZ19^(8/3)*SQRT(X19)/AS19,
IF(X19*100=BU19,
BC19*1.533*AZ19^2.5,
BC19*1.533*AZ19^2.5)),
IF(RIGHT(AW19,2)="CC",
IF(X19*100&lt;BU19,
BC19*((AZ19*(0.8*AZ19))^5/(AZ19+2*(0.8*AZ19))^2)^(1/3)*SQRT(X19)/AS19,
IF(X19*100=BU19,
BC19*1.705*AZ19*AZ19^1.5,
BC19*1.705*AZ19*AZ19^1.5)),
""))</f>
        <v>7.2546510008628253</v>
      </c>
      <c r="AR19" s="31">
        <f t="shared" ref="AR19:AR30" ca="1" si="34">IFERROR(Y19/Z19,"")</f>
        <v>0.6467922750192886</v>
      </c>
      <c r="AS19" s="93">
        <v>1.4999999999999999E-2</v>
      </c>
      <c r="AT19" s="33">
        <f ca="1">IFERROR(IF(IF(OR(ISNUMBER(SEARCH("BSTC",AL19)),ISNUMBER(SEARCH("BDTC",AL19)),ISNUMBER(SEARCH("BTTC",AL19))),"CIRCULAR",IF(OR(ISNUMBER(SEARCH("BSCC",AL19)),ISNUMBER(SEARCH("BDCC",AL19)),ISNUMBER(SEARCH("BTCC",AL19))),"CELULAR",""))="CIRCULAR",_xlfn.LET(_xlpm.qq,(BS19/(IFERROR(IF(OR(ISNUMBER(FIND("BDTC",AL19)),ISNUMBER(FIND("BDCC",AL19))),2,IF(OR(ISNUMBER(FIND("BTTC",AL19)),ISNUMBER(FIND("BTCC",AL19))),3,IF(OR(ISNUMBER(FIND("BSTC",AL19)),ISNUMBER(FIND("BSCC",AL19))),1,""))),"")))*1,_xlpm.dd,(AY19)*1,_xlpm.ss,(X19)*1,_xlpm.nn,(0.015)*1,_xlpm.rr,_xlpm.dd/2,_xlpm.ww,_xlpm.dd-0.000002,_xlpm.zz,(_xlpm.qq*_xlpm.nn/SQRT(_xlpm.ss))^3*_xlpm.rr^2/(_xlpm.dd^2/8)^5,_xlpm.h_1,0.000001+_xlpm.ww/2,_xlpm.u_1,2*ACOS(1-_xlpm.h_1/_xlpm.rr),_xlpm.h_2,_xlpm.h_1+IF((_xlpm.u_1-SIN(_xlpm.u_1))^5&lt;_xlpm.zz*_xlpm.u_1^2,_xlpm.ww,-_xlpm.ww)/4,_xlpm.u_2,2*ACOS(1-_xlpm.h_2/_xlpm.rr),_xlpm.h_3,_xlpm.h_2+IF((_xlpm.u_2-SIN(_xlpm.u_2))^5&lt;_xlpm.zz*_xlpm.u_2^2,_xlpm.ww,-_xlpm.ww)/8,_xlpm.u_3,2*ACOS(1-_xlpm.h_3/_xlpm.rr),_xlpm.h_4,_xlpm.h_3+IF((_xlpm.u_3-SIN(_xlpm.u_3))^5&lt;_xlpm.zz*_xlpm.u_3^2,_xlpm.ww,-_xlpm.ww)/16,_xlpm.u_4,2*ACOS(1-_xlpm.h_4/_xlpm.rr),_xlpm.h_5,_xlpm.h_4+IF((_xlpm.u_4-SIN(_xlpm.u_4))^5&lt;_xlpm.zz*_xlpm.u_4^2,_xlpm.ww,-_xlpm.ww)/32,_xlpm.u_5,2*ACOS(1-_xlpm.h_5/_xlpm.rr),_xlpm.h_6,_xlpm.h_5+IF((_xlpm.u_5-SIN(_xlpm.u_5))^5&lt;_xlpm.zz*_xlpm.u_5^2,_xlpm.ww,-_xlpm.ww)/64,_xlpm.u_6,2*ACOS(1-_xlpm.h_6/_xlpm.rr),_xlpm.h_7,_xlpm.h_6+IF((_xlpm.u_6-SIN(_xlpm.u_6))^5&lt;_xlpm.zz*_xlpm.u_6^2,_xlpm.ww,-_xlpm.ww)/128,_xlpm.u_7,2*ACOS(1-_xlpm.h_7/_xlpm.rr),_xlpm.h_8,_xlpm.h_7+IF((_xlpm.u_7-SIN(_xlpm.u_7))^5&lt;_xlpm.zz*_xlpm.u_7^2,_xlpm.ww,-_xlpm.ww)/256,_xlpm.u_8,2*ACOS(1-_xlpm.h_8/_xlpm.rr),_xlpm.h_9,_xlpm.h_8+IF((_xlpm.u_8-SIN(_xlpm.u_8))^5&lt;_xlpm.zz*_xlpm.u_8^2,_xlpm.ww,-_xlpm.ww)/512,_xlpm.u_9,2*ACOS(1-_xlpm.h_9/_xlpm.rr),_xlpm.h_10,_xlpm.h_9+IF((_xlpm.u_9-SIN(_xlpm.u_9))^5&lt;_xlpm.zz*_xlpm.u_9^2,_xlpm.ww,-_xlpm.ww)/1024,_xlpm.u_10,2*ACOS(1-_xlpm.h_10/_xlpm.rr),_xlpm.h_11,_xlpm.h_10+IF((_xlpm.u_10-SIN(_xlpm.u_10))^5&lt;_xlpm.zz*_xlpm.u_10^2,_xlpm.ww,-_xlpm.ww)/2048,_xlpm.u_11,2*ACOS(1-_xlpm.h_11/_xlpm.rr),_xlpm.h_12,_xlpm.h_11+IF((_xlpm.u_11-SIN(_xlpm.u_11))^5&lt;_xlpm.zz*_xlpm.u_11^2,_xlpm.ww,-_xlpm.ww)/4096,_xlpm.u_12,2*ACOS(1-_xlpm.h_12/_xlpm.rr),_xlpm.h_13,_xlpm.h_12+IF((_xlpm.u_12-SIN(_xlpm.u_12))^5&lt;_xlpm.zz*_xlpm.u_12^2,_xlpm.ww,-_xlpm.ww)/8192,_xlpm.u_13,2*ACOS(1-_xlpm.h_13/_xlpm.rr),_xlpm.h_14,_xlpm.h_13+IF((_xlpm.u_13-SIN(_xlpm.u_13))^5&lt;_xlpm.zz*_xlpm.u_13^2,_xlpm.ww,-_xlpm.ww)/16384,_xlpm.u_14,2*ACOS(1-_xlpm.h_14/_xlpm.rr),_xlpm.h_15,_xlpm.h_14+IF((_xlpm.u_14-SIN(_xlpm.u_14))^5&lt;_xlpm.zz*_xlpm.u_14^2,_xlpm.ww,-_xlpm.ww)/32768,_xlpm.u_15,2*ACOS(1-_xlpm.h_15/_xlpm.rr),_xlpm.h_16,_xlpm.h_15+IF((_xlpm.u_15-SIN(_xlpm.u_15))^5&lt;_xlpm.zz*_xlpm.u_15^2,_xlpm.ww,-_xlpm.ww)/65536,_xlpm.u_16,2*ACOS(1-_xlpm.h_16/_xlpm.rr),_xlpm.h_17,_xlpm.h_16+IF((_xlpm.u_16-SIN(_xlpm.u_16))^5&lt;_xlpm.zz*_xlpm.u_16^2,_xlpm.ww,-_xlpm.ww)/131072,_xlpm.u_17,2*ACOS(1-_xlpm.h_17/_xlpm.rr),_xlpm.h_18,_xlpm.h_17+IF((_xlpm.u_17-SIN(_xlpm.u_17))^5&lt;_xlpm.zz*_xlpm.u_17^2,_xlpm.ww,-_xlpm.ww)/262144,_xlpm.u_18,2*ACOS(1-_xlpm.h_18/_xlpm.rr),_xlpm.h_19,_xlpm.h_18+IF((_xlpm.u_18-SIN(_xlpm.u_18))^5&lt;_xlpm.zz*_xlpm.u_18^2,_xlpm.ww,-_xlpm.ww)/524288,_xlpm.u_19,2*ACOS(1-_xlpm.h_19/_xlpm.rr),_xlpm.h_20,_xlpm.h_19+IF((_xlpm.u_19-SIN(_xlpm.u_19))^5&lt;_xlpm.zz*_xlpm.u_19^2,_xlpm.ww,-_xlpm.ww)/1048576,_xlpm.u_20,2*ACOS(1-_xlpm.h_20/_xlpm.rr),_xlpm.h_21,_xlpm.h_20+IF((_xlpm.u_20-SIN(_xlpm.u_20))^5&lt;_xlpm.zz*_xlpm.u_20^2,_xlpm.ww,-_xlpm.ww)/2097152,_xlpm.u_21,2*ACOS(1-_xlpm.h_21/_xlpm.rr),_xlpm.h_22,_xlpm.h_21+IF((_xlpm.u_21-SIN(_xlpm.u_21))^5&lt;_xlpm.zz*_xlpm.u_21^2,_xlpm.ww,-_xlpm.ww)/4194304,_xlpm.u_22,2*ACOS(1-_xlpm.h_22/_xlpm.rr),_xlpm.h_23,_xlpm.h_22+IF((_xlpm.u_22-SIN(_xlpm.u_22))^5&lt;_xlpm.zz*_xlpm.u_22^2,_xlpm.ww,-_xlpm.ww)/8388608,_xlpm.u_23,2*ACOS(1-_xlpm.h_23/_xlpm.rr),_xlpm.h_24,_xlpm.h_23+IF((_xlpm.u_23-SIN(_xlpm.u_23))^5&lt;_xlpm.zz*_xlpm.u_23^2,_xlpm.ww,-_xlpm.ww)/16777216,_xlpm.u_24,2*ACOS(1-_xlpm.h_24/_xlpm.rr),_xlpm.h_25,_xlpm.h_24+IF((_xlpm.u_24-SIN(_xlpm.u_24))^5&lt;_xlpm.zz*_xlpm.u_24^2,_xlpm.ww,-_xlpm.ww)/33554432,_xlpm.u_25,2*ACOS(1-_xlpm.h_25/_xlpm.rr),_xlpm.h_26,_xlpm.h_25+IF((_xlpm.u_25-SIN(_xlpm.u_25))^5&lt;_xlpm.zz*_xlpm.u_25^2,_xlpm.ww,-_xlpm.ww)/67108864,IF(OR(_xlpm.qq&lt;=0,_xlpm.dd&lt;=0,_xlpm.ss&lt;=0,_xlpm.nn&lt;=0),#VALUE!,IF(_xlpm.h_26&gt;0.000001+_xlpm.ww*(1-1.5/2^26),0.000001+_xlpm.ww,_xlpm.h_26))),_xlfn.LET(_xlpm.ob,AL19,_xlpm.ss,(X19)*1,_xlpm.nn,(0.015)*1,_xlpm.qq,(BS19)*1/IF(OR(ISNUMBER(SEARCH("BSTC",_xlpm.ob)),ISNUMBER(SEARCH("BSCC",_xlpm.ob))),1,IF(OR(ISNUMBER(SEARCH("BDTC",_xlpm.ob)),ISNUMBER(SEARCH("BDCC",_xlpm.ob))),2,IF(OR(ISNUMBER(SEARCH("BTTC",_xlpm.ob)),ISNUMBER(SEARCH("BTCC",_xlpm.ob))),3,#VALUE!))),_xlpm.bb,_xlfn.NUMBERVALUE(SUBSTITUTE(TRIM(MID(_xlpm.ob,SEARCH("cc",_xlpm.ob)+3,SEARCH("x",_xlpm.ob)-SEARCH("cc",_xlpm.ob)-3)),".",","),",","."),_xlpm.hh,_xlfn.NUMBERVALUE(SUBSTITUTE(TRIM(MID(_xlpm.ob,SEARCH("x",_xlpm.ob)+1,SEARCH("m",_xlpm.ob,SEARCH("x",_xlpm.ob))-SEARCH("x",_xlpm.ob)-1)),".",","),",","."),_xlpm.kk,SQRT(_xlpm.ss)/_xlpm.nn,_xlpm.x_0,_xlpm.hh,_xlpm.g_0,_xlpm.kk*_xlpm.bb*_xlpm.x_0*(_xlpm.bb*_xlpm.x_0/(_xlpm.bb+2*_xlpm.x_0))^(2/3),_xlpm.x_1,_xlpm.x_0-(_xlpm.g_0-_xlpm.qq)/(_xlpm.g_0*(5/(3*_xlpm.x_0)-4/(3*(_xlpm.bb+2*_xlpm.x_0)))),_xlpm.g_1,_xlpm.kk*_xlpm.bb*_xlpm.x_1*(_xlpm.bb*_xlpm.x_1/(_xlpm.bb+2*_xlpm.x_1))^(2/3),_xlpm.x_2,_xlpm.x_1-(_xlpm.g_1-_xlpm.qq)/(_xlpm.g_1*(5/(3*_xlpm.x_1)-4/(3*(_xlpm.bb+2*_xlpm.x_1)))),_xlpm.g_2,_xlpm.kk*_xlpm.bb*_xlpm.x_2*(_xlpm.bb*_xlpm.x_2/(_xlpm.bb+2*_xlpm.x_2))^(2/3),_xlpm.x_3,_xlpm.x_2-(_xlpm.g_2-_xlpm.qq)/(_xlpm.g_2*(5/(3*_xlpm.x_2)-4/(3*(_xlpm.bb+2*_xlpm.x_2)))),_xlpm.g_3,_xlpm.kk*_xlpm.bb*_xlpm.x_3*(_xlpm.bb*_xlpm.x_3/(_xlpm.bb+2*_xlpm.x_3))^(2/3),_xlpm.x_4,_xlpm.x_3-(_xlpm.g_3-_xlpm.qq)/(_xlpm.g_3*(5/(3*_xlpm.x_3)-4/(3*(_xlpm.bb+2*_xlpm.x_3)))),_xlpm.g_4,_xlpm.kk*_xlpm.bb*_xlpm.x_4*(_xlpm.bb*_xlpm.x_4/(_xlpm.bb+2*_xlpm.x_4))^(2/3),_xlpm.x_5,_xlpm.x_4-(_xlpm.g_4-_xlpm.qq)/(_xlpm.g_4*(5/(3*_xlpm.x_4)-4/(3*(_xlpm.bb+2*_xlpm.x_4)))),_xlpm.g_5,_xlpm.kk*_xlpm.bb*_xlpm.x_5*(_xlpm.bb*_xlpm.x_5/(_xlpm.bb+2*_xlpm.x_5))^(2/3),_xlpm.x_6,_xlpm.x_5-(_xlpm.g_5-_xlpm.qq)/(_xlpm.g_5*(5/(3*_xlpm.x_5)-4/(3*(_xlpm.bb+2*_xlpm.x_5)))),_xlpm.g_6,_xlpm.kk*_xlpm.bb*_xlpm.x_6*(_xlpm.bb*_xlpm.x_6/(_xlpm.bb+2*_xlpm.x_6))^(2/3),_xlpm.x_7,_xlpm.x_6-(_xlpm.g_6-_xlpm.qq)/(_xlpm.g_6*(5/(3*_xlpm.x_6)-4/(3*(_xlpm.bb+2*_xlpm.x_6)))),_xlpm.g_7,_xlpm.kk*_xlpm.bb*_xlpm.x_7*(_xlpm.bb*_xlpm.x_7/(_xlpm.bb+2*_xlpm.x_7))^(2/3),_xlpm.x_8,_xlpm.x_7-(_xlpm.g_7-_xlpm.qq)/(_xlpm.g_7*(5/(3*_xlpm.x_7)-4/(3*(_xlpm.bb+2*_xlpm.x_7)))),_xlpm.g_8,_xlpm.kk*_xlpm.bb*_xlpm.x_8*(_xlpm.bb*_xlpm.x_8/(_xlpm.bb+2*_xlpm.x_8))^(2/3),_xlpm.x_9,_xlpm.x_8-(_xlpm.g_8-_xlpm.qq)/(_xlpm.g_8*(5/(3*_xlpm.x_8)-4/(3*(_xlpm.bb+2*_xlpm.x_8)))),_xlpm.g_9,_xlpm.kk*_xlpm.bb*_xlpm.x_9*(_xlpm.bb*_xlpm.x_9/(_xlpm.bb+2*_xlpm.x_9))^(2/3),_xlpm.x_10,_xlpm.x_9-(_xlpm.g_9-_xlpm.qq)/(_xlpm.g_9*(5/(3*_xlpm.x_9)-4/(3*(_xlpm.bb+2*_xlpm.x_9)))),MIN(_xlpm.hh,_xlpm.x_10))),"")</f>
        <v>1.1999989999999998</v>
      </c>
      <c r="AU19" s="33">
        <f t="shared" ref="AU19:AU30" ca="1" si="35">IFERROR((1/0.015)*AA19*(AD19^(2/3))*SQRT(X19),"")</f>
        <v>3.3802093044314763</v>
      </c>
      <c r="AW19" s="33" t="str">
        <f t="shared" ref="AW19:AW30" ca="1" si="36">LEFT(AM19,FIND(" ",AM19)-1)</f>
        <v>BTTC</v>
      </c>
      <c r="AY19" s="33">
        <f t="shared" ref="AY19:AY30" ca="1" si="37">IFERROR(VALUE(IF(ISNUMBER(FIND("CC",AL19)),MID(AL19,SEARCH(" ",AL19)+1,SEARCH("x",AL19)-SEARCH(" ",AL19)-1),MID(AL19,SEARCH("d=",AL19)+2,SEARCH("m",AL19)-SEARCH("d=",AL19)-2))),"")</f>
        <v>1.2</v>
      </c>
      <c r="AZ19" s="33">
        <f t="shared" ref="AZ19:AZ30" ca="1" si="38">IFERROR(VALUE(IF(ISNUMBER(FIND("CC",AM19)),MID(AM19,SEARCH(" ",AM19)+1,SEARCH("x",AM19)-SEARCH(" ",AM19)-1),MID(AM19,SEARCH("d=",AM19)+2,SEARCH("m",AM19)-SEARCH("d=",AM19)-2))),"")</f>
        <v>1.2</v>
      </c>
      <c r="BA19" s="33" t="str">
        <f ca="1">IFERROR(INDEX(Tabela_DEB!$A$2:$A$12,MATCH(LEFT(AM19,FIND(" ",AM19)-1)&amp;" "&amp;TEXT(VALUE(MID(AM19,FIND("=",AM19)+1,FIND("m",AM19)-FIND("=",AM19)-1))*100,"0"),Tabela_DEB!$E$2:$E$12,0)),"")</f>
        <v>DEB 360-754</v>
      </c>
      <c r="BB19" s="33">
        <f ca="1">IFERROR(IF(IF(OR(ISNUMBER(SEARCH("BSTC",AM19)),ISNUMBER(SEARCH("BDTC",AM19)),ISNUMBER(SEARCH("BTTC",AM19))),"CIRCULAR",IF(OR(ISNUMBER(SEARCH("BSCC",AM19)),ISNUMBER(SEARCH("BDCC",AM19)),ISNUMBER(SEARCH("BTCC",AM19))),"CELULAR",""))="CIRCULAR",_xlfn.LET(_xlpm.qq,(BQ19/BC19)*1,_xlpm.dd,(AZ19)*1,_xlpm.ww,_xlpm.dd-0.0002,_xlpm.f_0,_xlpm.qq^2*_xlpm.dd*SIN(ACOS(1-2*0.0001/_xlpm.dd))-9.81*(_xlpm.dd^2/8*(2*ACOS(1-2*0.0001/_xlpm.dd)-SIN(2*ACOS(1-2*0.0001/_xlpm.dd))))^3,_xlpm.y_1,0.0001+_xlpm.ww/2,_xlpm.f_1,_xlpm.qq^2*_xlpm.dd*SIN(ACOS(1-2*_xlpm.y_1/_xlpm.dd))-9.81*(_xlpm.dd^2/8*(2*ACOS(1-2*_xlpm.y_1/_xlpm.dd)-SIN(2*ACOS(1-2*_xlpm.y_1/_xlpm.dd))))^3,_xlpm.y_2,_xlpm.y_1+IF(ABS(_xlpm.f_1)&lt;0.000001,0,IF(_xlpm.f_0*_xlpm.f_1&lt;0,-_xlpm.ww,_xlpm.ww))/4,_xlpm.f_2,_xlpm.qq^2*_xlpm.dd*SIN(ACOS(1-2*_xlpm.y_2/_xlpm.dd))-9.81*(_xlpm.dd^2/8*(2*ACOS(1-2*_xlpm.y_2/_xlpm.dd)-SIN(2*ACOS(1-2*_xlpm.y_2/_xlpm.dd))))^3,_xlpm.y_3,_xlpm.y_2+IF(ABS(_xlpm.f_2)&lt;0.000001,0,IF(_xlpm.f_0*_xlpm.f_2&lt;0,-_xlpm.ww,_xlpm.ww))/8,_xlpm.f_3,_xlpm.qq^2*_xlpm.dd*SIN(ACOS(1-2*_xlpm.y_3/_xlpm.dd))-9.81*(_xlpm.dd^2/8*(2*ACOS(1-2*_xlpm.y_3/_xlpm.dd)-SIN(2*ACOS(1-2*_xlpm.y_3/_xlpm.dd))))^3,_xlpm.y_4,_xlpm.y_3+IF(ABS(_xlpm.f_3)&lt;0.000001,0,IF(_xlpm.f_0*_xlpm.f_3&lt;0,-_xlpm.ww,_xlpm.ww))/16,_xlpm.f_4,_xlpm.qq^2*_xlpm.dd*SIN(ACOS(1-2*_xlpm.y_4/_xlpm.dd))-9.81*(_xlpm.dd^2/8*(2*ACOS(1-2*_xlpm.y_4/_xlpm.dd)-SIN(2*ACOS(1-2*_xlpm.y_4/_xlpm.dd))))^3,_xlpm.y_5,_xlpm.y_4+IF(ABS(_xlpm.f_4)&lt;0.000001,0,IF(_xlpm.f_0*_xlpm.f_4&lt;0,-_xlpm.ww,_xlpm.ww))/32,_xlpm.f_5,_xlpm.qq^2*_xlpm.dd*SIN(ACOS(1-2*_xlpm.y_5/_xlpm.dd))-9.81*(_xlpm.dd^2/8*(2*ACOS(1-2*_xlpm.y_5/_xlpm.dd)-SIN(2*ACOS(1-2*_xlpm.y_5/_xlpm.dd))))^3,_xlpm.y_6,_xlpm.y_5+IF(ABS(_xlpm.f_5)&lt;0.000001,0,IF(_xlpm.f_0*_xlpm.f_5&lt;0,-_xlpm.ww,_xlpm.ww))/64,_xlpm.f_6,_xlpm.qq^2*_xlpm.dd*SIN(ACOS(1-2*_xlpm.y_6/_xlpm.dd))-9.81*(_xlpm.dd^2/8*(2*ACOS(1-2*_xlpm.y_6/_xlpm.dd)-SIN(2*ACOS(1-2*_xlpm.y_6/_xlpm.dd))))^3,_xlpm.y_7,_xlpm.y_6+IF(ABS(_xlpm.f_6)&lt;0.000001,0,IF(_xlpm.f_0*_xlpm.f_6&lt;0,-_xlpm.ww,_xlpm.ww))/128,_xlpm.f_7,_xlpm.qq^2*_xlpm.dd*SIN(ACOS(1-2*_xlpm.y_7/_xlpm.dd))-9.81*(_xlpm.dd^2/8*(2*ACOS(1-2*_xlpm.y_7/_xlpm.dd)-SIN(2*ACOS(1-2*_xlpm.y_7/_xlpm.dd))))^3,_xlpm.y_8,_xlpm.y_7+IF(ABS(_xlpm.f_7)&lt;0.000001,0,IF(_xlpm.f_0*_xlpm.f_7&lt;0,-_xlpm.ww,_xlpm.ww))/256,_xlpm.f_8,_xlpm.qq^2*_xlpm.dd*SIN(ACOS(1-2*_xlpm.y_8/_xlpm.dd))-9.81*(_xlpm.dd^2/8*(2*ACOS(1-2*_xlpm.y_8/_xlpm.dd)-SIN(2*ACOS(1-2*_xlpm.y_8/_xlpm.dd))))^3,_xlpm.y_9,_xlpm.y_8+IF(ABS(_xlpm.f_8)&lt;0.000001,0,IF(_xlpm.f_0*_xlpm.f_8&lt;0,-_xlpm.ww,_xlpm.ww))/512,_xlpm.f_9,_xlpm.qq^2*_xlpm.dd*SIN(ACOS(1-2*_xlpm.y_9/_xlpm.dd))-9.81*(_xlpm.dd^2/8*(2*ACOS(1-2*_xlpm.y_9/_xlpm.dd)-SIN(2*ACOS(1-2*_xlpm.y_9/_xlpm.dd))))^3,_xlpm.y_10,_xlpm.y_9+IF(ABS(_xlpm.f_9)&lt;0.000001,0,IF(_xlpm.f_0*_xlpm.f_9&lt;0,-_xlpm.ww,_xlpm.ww))/1024,_xlpm.f_10,_xlpm.qq^2*_xlpm.dd*SIN(ACOS(1-2*_xlpm.y_10/_xlpm.dd))-9.81*(_xlpm.dd^2/8*(2*ACOS(1-2*_xlpm.y_10/_xlpm.dd)-SIN(2*ACOS(1-2*_xlpm.y_10/_xlpm.dd))))^3,_xlpm.y_11,_xlpm.y_10+IF(ABS(_xlpm.f_10)&lt;0.000001,0,IF(_xlpm.f_0*_xlpm.f_10&lt;0,-_xlpm.ww,_xlpm.ww))/2048,_xlpm.f_11,_xlpm.qq^2*_xlpm.dd*SIN(ACOS(1-2*_xlpm.y_11/_xlpm.dd))-9.81*(_xlpm.dd^2/8*(2*ACOS(1-2*_xlpm.y_11/_xlpm.dd)-SIN(2*ACOS(1-2*_xlpm.y_11/_xlpm.dd))))^3,_xlpm.y_12,_xlpm.y_11+IF(ABS(_xlpm.f_11)&lt;0.000001,0,IF(_xlpm.f_0*_xlpm.f_11&lt;0,-_xlpm.ww,_xlpm.ww))/4096,_xlpm.f_12,_xlpm.qq^2*_xlpm.dd*SIN(ACOS(1-2*_xlpm.y_12/_xlpm.dd))-9.81*(_xlpm.dd^2/8*(2*ACOS(1-2*_xlpm.y_12/_xlpm.dd)-SIN(2*ACOS(1-2*_xlpm.y_12/_xlpm.dd))))^3,_xlpm.y_13,_xlpm.y_12+IF(ABS(_xlpm.f_12)&lt;0.000001,0,IF(_xlpm.f_0*_xlpm.f_12&lt;0,-_xlpm.ww,_xlpm.ww))/8192,_xlpm.f_13,_xlpm.qq^2*_xlpm.dd*SIN(ACOS(1-2*_xlpm.y_13/_xlpm.dd))-9.81*(_xlpm.dd^2/8*(2*ACOS(1-2*_xlpm.y_13/_xlpm.dd)-SIN(2*ACOS(1-2*_xlpm.y_13/_xlpm.dd))))^3,_xlpm.y_14,_xlpm.y_13+IF(ABS(_xlpm.f_13)&lt;0.000001,0,IF(_xlpm.f_0*_xlpm.f_13&lt;0,-_xlpm.ww,_xlpm.ww))/16384,_xlpm.f_14,_xlpm.qq^2*_xlpm.dd*SIN(ACOS(1-2*_xlpm.y_14/_xlpm.dd))-9.81*(_xlpm.dd^2/8*(2*ACOS(1-2*_xlpm.y_14/_xlpm.dd)-SIN(2*ACOS(1-2*_xlpm.y_14/_xlpm.dd))))^3,_xlpm.y_15,_xlpm.y_14+IF(ABS(_xlpm.f_14)&lt;0.000001,0,IF(_xlpm.f_0*_xlpm.f_14&lt;0,-_xlpm.ww,_xlpm.ww))/32768,_xlpm.f_15,_xlpm.qq^2*_xlpm.dd*SIN(ACOS(1-2*_xlpm.y_15/_xlpm.dd))-9.81*(_xlpm.dd^2/8*(2*ACOS(1-2*_xlpm.y_15/_xlpm.dd)-SIN(2*ACOS(1-2*_xlpm.y_15/_xlpm.dd))))^3,_xlpm.y_16,_xlpm.y_15+IF(ABS(_xlpm.f_15)&lt;0.000001,0,IF(_xlpm.f_0*_xlpm.f_15&lt;0,-_xlpm.ww,_xlpm.ww))/65536,_xlpm.f_16,_xlpm.qq^2*_xlpm.dd*SIN(ACOS(1-2*_xlpm.y_16/_xlpm.dd))-9.81*(_xlpm.dd^2/8*(2*ACOS(1-2*_xlpm.y_16/_xlpm.dd)-SIN(2*ACOS(1-2*_xlpm.y_16/_xlpm.dd))))^3,_xlpm.y_17,_xlpm.y_16+IF(ABS(_xlpm.f_16)&lt;0.000001,0,IF(_xlpm.f_0*_xlpm.f_16&lt;0,-_xlpm.ww,_xlpm.ww))/131072,_xlpm.f_17,_xlpm.qq^2*_xlpm.dd*SIN(ACOS(1-2*_xlpm.y_17/_xlpm.dd))-9.81*(_xlpm.dd^2/8*(2*ACOS(1-2*_xlpm.y_17/_xlpm.dd)-SIN(2*ACOS(1-2*_xlpm.y_17/_xlpm.dd))))^3,_xlpm.y_18,_xlpm.y_17+IF(ABS(_xlpm.f_17)&lt;0.000001,0,IF(_xlpm.f_0*_xlpm.f_17&lt;0,-_xlpm.ww,_xlpm.ww))/262144,_xlpm.f_18,_xlpm.qq^2*_xlpm.dd*SIN(ACOS(1-2*_xlpm.y_18/_xlpm.dd))-9.81*(_xlpm.dd^2/8*(2*ACOS(1-2*_xlpm.y_18/_xlpm.dd)-SIN(2*ACOS(1-2*_xlpm.y_18/_xlpm.dd))))^3,_xlpm.y_19,_xlpm.y_18+IF(ABS(_xlpm.f_18)&lt;0.000001,0,IF(_xlpm.f_0*_xlpm.f_18&lt;0,-_xlpm.ww,_xlpm.ww))/524288,_xlpm.f_19,_xlpm.qq^2*_xlpm.dd*SIN(ACOS(1-2*_xlpm.y_19/_xlpm.dd))-9.81*(_xlpm.dd^2/8*(2*ACOS(1-2*_xlpm.y_19/_xlpm.dd)-SIN(2*ACOS(1-2*_xlpm.y_19/_xlpm.dd))))^3,_xlpm.y_20,_xlpm.y_19+IF(ABS(_xlpm.f_19)&lt;0.000001,0,IF(_xlpm.f_0*_xlpm.f_19&lt;0,-_xlpm.ww,_xlpm.ww))/1048576,_xlpm.f_20,_xlpm.qq^2*_xlpm.dd*SIN(ACOS(1-2*_xlpm.y_20/_xlpm.dd))-9.81*(_xlpm.dd^2/8*(2*ACOS(1-2*_xlpm.y_20/_xlpm.dd)-SIN(2*ACOS(1-2*_xlpm.y_20/_xlpm.dd))))^3,_xlpm.y_21,_xlpm.y_20+IF(ABS(_xlpm.f_20)&lt;0.000001,0,IF(_xlpm.f_0*_xlpm.f_20&lt;0,-_xlpm.ww,_xlpm.ww))/2097152,_xlpm.f_21,_xlpm.qq^2*_xlpm.dd*SIN(ACOS(1-2*_xlpm.y_21/_xlpm.dd))-9.81*(_xlpm.dd^2/8*(2*ACOS(1-2*_xlpm.y_21/_xlpm.dd)-SIN(2*ACOS(1-2*_xlpm.y_21/_xlpm.dd))))^3,_xlpm.y_22,_xlpm.y_21+IF(ABS(_xlpm.f_21)&lt;0.000001,0,IF(_xlpm.f_0*_xlpm.f_21&lt;0,-_xlpm.ww,_xlpm.ww))/4194304,_xlpm.f_22,_xlpm.qq^2*_xlpm.dd*SIN(ACOS(1-2*_xlpm.y_22/_xlpm.dd))-9.81*(_xlpm.dd^2/8*(2*ACOS(1-2*_xlpm.y_22/_xlpm.dd)-SIN(2*ACOS(1-2*_xlpm.y_22/_xlpm.dd))))^3,_xlpm.y_23,_xlpm.y_22+IF(ABS(_xlpm.f_22)&lt;0.000001,0,IF(_xlpm.f_0*_xlpm.f_22&lt;0,-_xlpm.ww,_xlpm.ww))/8388608,_xlpm.f_23,_xlpm.qq^2*_xlpm.dd*SIN(ACOS(1-2*_xlpm.y_23/_xlpm.dd))-9.81*(_xlpm.dd^2/8*(2*ACOS(1-2*_xlpm.y_23/_xlpm.dd)-SIN(2*ACOS(1-2*_xlpm.y_23/_xlpm.dd))))^3,_xlpm.y_24,_xlpm.y_23+IF(ABS(_xlpm.f_23)&lt;0.000001,0,IF(_xlpm.f_0*_xlpm.f_23&lt;0,-_xlpm.ww,_xlpm.ww))/16777216,_xlpm.f_24,_xlpm.qq^2*_xlpm.dd*SIN(ACOS(1-2*_xlpm.y_24/_xlpm.dd))-9.81*(_xlpm.dd^2/8*(2*ACOS(1-2*_xlpm.y_24/_xlpm.dd)-SIN(2*ACOS(1-2*_xlpm.y_24/_xlpm.dd))))^3,_xlpm.y_25,_xlpm.y_24+IF(ABS(_xlpm.f_24)&lt;0.000001,0,IF(_xlpm.f_0*_xlpm.f_24&lt;0,-_xlpm.ww,_xlpm.ww))/33554432,_xlpm.f_25,_xlpm.qq^2*_xlpm.dd*SIN(ACOS(1-2*_xlpm.y_25/_xlpm.dd))-9.81*(_xlpm.dd^2/8*(2*ACOS(1-2*_xlpm.y_25/_xlpm.dd)-SIN(2*ACOS(1-2*_xlpm.y_25/_xlpm.dd))))^3,_xlpm.y_26,_xlpm.y_25+IF(ABS(_xlpm.f_25)&lt;0.000001,0,IF(_xlpm.f_0*_xlpm.f_25&lt;0,-_xlpm.ww,_xlpm.ww))/67108864,_xlpm.y_26),((BQ19/BC19/_xlfn.NUMBERVALUE(SUBSTITUTE(TRIM(MID(AM19,SEARCH("cc",AM19)+3,SEARCH("x",AM19)-SEARCH("cc",AM19)-3)),".",","),",","."))^2/9.80665)^(1/3)),"")</f>
        <v>0.82398862707614917</v>
      </c>
      <c r="BC19" s="117">
        <f ca="1">IFERROR(IF(OR(ISNUMBER(FIND("BDTC",AW19)),ISNUMBER(FIND("BDCC",AW19))),2,IF(OR(ISNUMBER(FIND("BTTC",AW19)),ISNUMBER(FIND("BTCC",AW19))),3,IF(OR(ISNUMBER(FIND("BSTC",AW19)),ISNUMBER(FIND("BSCC",AW19))),1,""))),"")</f>
        <v>3</v>
      </c>
      <c r="BE19" s="174">
        <f>'Cadastro das Obras'!U3</f>
        <v>21</v>
      </c>
      <c r="BF19" s="174">
        <f ca="1">'Cadastro das Obras'!V3</f>
        <v>63</v>
      </c>
      <c r="BH19" s="33" t="str">
        <f>'Cadastro das Obras'!T3</f>
        <v>0º</v>
      </c>
      <c r="BJ19" s="117">
        <f>'Cadastro das Obras'!W3</f>
        <v>2.0699999999999998</v>
      </c>
      <c r="BN19" s="33" t="s">
        <v>348</v>
      </c>
      <c r="BO19" s="30"/>
      <c r="BP19" s="33">
        <f ca="1">IFERROR(IF(ISNUMBER(FIND("25 anos",INDIRECT("'"&amp;BN19&amp;"'!"&amp;IF(ISNUMBER(FIND("HUT",BN19)),"U39","Q13")))),25,15),15)</f>
        <v>15</v>
      </c>
      <c r="BQ19" s="33">
        <f ca="1">CHOOSE(MATCH(BP19,{15,25,50,100},0),S19,T19,U19,V19)</f>
        <v>6.7084321180559678</v>
      </c>
      <c r="BR19" s="33">
        <f ca="1">IFERROR(IF(ISNUMBER(FIND("50 anos",INDIRECT("'"&amp;#REF!&amp;"'!"&amp;IF(ISNUMBER(FIND("HUT",#REF!)),"U40","Q14")))),50,25),25)</f>
        <v>25</v>
      </c>
      <c r="BS19" s="33">
        <f ca="1">CHOOSE(MATCH(BR19,{15,25,50,100},0),S19,T19,U19,V19)</f>
        <v>7.3966730105083087</v>
      </c>
      <c r="BU19" s="33">
        <f ca="1">IF(RIGHT(AW19,2)="TC",0.739/(AZ19^(1/3)),IF(RIGHT(AW19,2)="CC",0.0585/(AZ19^(1/3))*(3+4*AZ19/AZ19)^(4/3),""))</f>
        <v>0.69542562534307995</v>
      </c>
      <c r="BV19" s="33" t="str">
        <f t="shared" ref="BV19:BV30" ca="1" si="39">IF(X19*100&lt;BU19,"SUBCRÍTICO",IF(X19*100=BU19,"CRÍTICO","RÁPIDO"))</f>
        <v>RÁPIDO</v>
      </c>
      <c r="BW19" s="33" t="str">
        <f ca="1">IF(AQ19&gt;=BQ19, "SUFICIENTE")</f>
        <v>SUFICIENTE</v>
      </c>
      <c r="BY19" s="33">
        <f ca="1">IF($AW19="","",IF($BZ19="Tubular",$CB19*$AZ19,$CM19))</f>
        <v>0.71304969624687564</v>
      </c>
      <c r="BZ19" s="115" t="str">
        <f ca="1">IF(MID(AW19,3,1)="T","Tubular","Celular")</f>
        <v>Tubular</v>
      </c>
      <c r="CA19" s="115">
        <f ca="1">BQ19/BC19</f>
        <v>2.2361440393519891</v>
      </c>
      <c r="CB19" s="353">
        <f ca="1">IF($AW19="","",IF($BZ19="Tubular",IF($CO19=0,0.01,IF($CO19&gt;=93,1,INDEX('Tab18'!$A$5:$A$97,$CO19)+($CN19-INDEX('Tab18'!$E$5:$E$97,$CO19))*(INDEX('Tab18'!$A$5:$A$97,$CO19+1)-INDEX('Tab18'!$A$5:$A$97,$CO19))/(INDEX('Tab18'!$E$5:$E$97,$CO19+1)-INDEX('Tab18'!$E$5:$E$97,$CO19)))),"-"))</f>
        <v>0.59420808020572968</v>
      </c>
      <c r="CC19" s="33" t="str">
        <f ca="1">IF($AW19="","",IF($BZ19="Celular",$CN19^0.6*$AZ19^0.4/$AZ19,"-"))</f>
        <v>-</v>
      </c>
      <c r="CD19" s="33" t="str">
        <f t="shared" ref="CD19:CM19" ca="1" si="40">IF($AW19="","",IF($BZ19="Celular",$CN19^0.6*($AZ19+2*CC19)^0.4/$AZ19,"-"))</f>
        <v>-</v>
      </c>
      <c r="CE19" s="33" t="str">
        <f t="shared" ca="1" si="40"/>
        <v>-</v>
      </c>
      <c r="CF19" s="33" t="str">
        <f t="shared" ca="1" si="40"/>
        <v>-</v>
      </c>
      <c r="CG19" s="33" t="str">
        <f t="shared" ca="1" si="40"/>
        <v>-</v>
      </c>
      <c r="CH19" s="33" t="str">
        <f t="shared" ca="1" si="40"/>
        <v>-</v>
      </c>
      <c r="CI19" s="33" t="str">
        <f t="shared" ca="1" si="40"/>
        <v>-</v>
      </c>
      <c r="CJ19" s="33" t="str">
        <f t="shared" ca="1" si="40"/>
        <v>-</v>
      </c>
      <c r="CK19" s="33" t="str">
        <f t="shared" ca="1" si="40"/>
        <v>-</v>
      </c>
      <c r="CL19" s="33" t="str">
        <f t="shared" ca="1" si="40"/>
        <v>-</v>
      </c>
      <c r="CM19" s="33" t="str">
        <f t="shared" ca="1" si="40"/>
        <v>-</v>
      </c>
      <c r="CN19" s="352">
        <f ca="1">IF($AW19="","",IF($BZ19="Tubular",$CA19*$AS19/($AZ19^(8/3)*SQRT($X19)),$CA19*$AS19/SQRT($X19)))</f>
        <v>0.20627236331109405</v>
      </c>
      <c r="CO19" s="174">
        <f ca="1">IF($AW19="","",IF($BZ19="Tubular",IFERROR(MATCH($CN19,'Tab18'!$E$5:$E$97,1),0),"-"))</f>
        <v>59</v>
      </c>
      <c r="CP19" s="33">
        <f ca="1">IF($AW19="","",IF($BZ19="Tubular",IF($CB19&gt;=1,'Tab18'!$D$104,INDEX('Tab18'!$D$5:$D$104,MATCH($CB19,'Tab18'!$A$5:$A$104,1))+($CB19-INDEX('Tab18'!$A$5:$A$104,MATCH($CB19,'Tab18'!$A$5:$A$104,1)))*(INDEX('Tab18'!$D$5:$D$104,MATCH($CB19,'Tab18'!$A$5:$A$104,1)+1)-INDEX('Tab18'!$D$5:$D$104,MATCH($CB19,'Tab18'!$A$5:$A$104,1)))/(INDEX('Tab18'!$A$5:$A$104,MATCH($CB19,'Tab18'!$A$5:$A$104,1)+1)-INDEX('Tab18'!$A$5:$A$104,MATCH($CB19,'Tab18'!$A$5:$A$104,1)))),($AZ19*$BY19/($AZ19+2*$BY19))^(2/3)))</f>
        <v>0.42415202005143238</v>
      </c>
    </row>
    <row r="20" spans="2:94" s="33" customFormat="1" ht="81.75" customHeight="1">
      <c r="B20" s="362" t="str" cm="1">
        <f t="array" aca="1" ref="B20" ca="1">IFERROR(INDIRECT("'"&amp;BN20&amp;"'!F10"),"")</f>
        <v>BC02</v>
      </c>
      <c r="C20" s="362" t="s">
        <v>236</v>
      </c>
      <c r="D20" s="363" t="str">
        <f ca="1">IFERROR(INDIRECT("'"&amp;BN20&amp;"'!E3"),"")</f>
        <v>49</v>
      </c>
      <c r="E20" s="363" t="str">
        <f ca="1">IFERROR(INDIRECT("'"&amp;BN20&amp;"'!F3"),"")</f>
        <v>+</v>
      </c>
      <c r="F20" s="363">
        <f ca="1">IFERROR(INDIRECT("'"&amp;BN20&amp;"'!G3"),"")</f>
        <v>18.59</v>
      </c>
      <c r="G20" s="364"/>
      <c r="H20" s="365">
        <f ca="1">IFERROR(INDIRECT("'"&amp;BN20&amp;"'!E6"),"")</f>
        <v>0.50750118631230401</v>
      </c>
      <c r="I20" s="365">
        <f ca="1">IFERROR(INDIRECT("'"&amp;BN20&amp;"'!E7"),"")</f>
        <v>1.5718308652639508</v>
      </c>
      <c r="J20" s="365">
        <f t="shared" ca="1" si="30"/>
        <v>35</v>
      </c>
      <c r="K20" s="365">
        <f ca="1">IFERROR(INDIRECT("'"&amp;BN20&amp;"'!E9"),"")</f>
        <v>2.0261343469266486</v>
      </c>
      <c r="L20" s="365">
        <f ca="1">IFERROR(INDIRECT("'"&amp;BN20&amp;"'!O9"),"")</f>
        <v>0.42094931851698286</v>
      </c>
      <c r="M20" s="365">
        <f ca="1">IFERROR(INDIRECT("'"&amp;BN20&amp;"'!O8"),"")</f>
        <v>0.24860499999999999</v>
      </c>
      <c r="N20" s="366" t="str">
        <f t="shared" ref="N20:N30" ca="1" si="41">IF(H20&lt;=5,"RAC",IF(H20&lt;=10,"RAC MOD","HUT"))</f>
        <v>RAC</v>
      </c>
      <c r="O20" s="365">
        <f ca="1">IFERROR(INDIRECT("'"&amp;BN20&amp;"'!N14"),"")</f>
        <v>2.3963426078659196</v>
      </c>
      <c r="P20" s="365">
        <f ca="1">IFERROR(INDIRECT("'"&amp;BN20&amp;"'!n15"),"")</f>
        <v>2.6446173026673589</v>
      </c>
      <c r="Q20" s="365">
        <f ca="1">IFERROR(INDIRECT("'"&amp;BN20&amp;"'!N16"),"")</f>
        <v>2.9686837847002749</v>
      </c>
      <c r="R20" s="365">
        <f ca="1">IFERROR(INDIRECT("'"&amp;BN20&amp;"'!N17"),"")</f>
        <v>3.2342936811979981</v>
      </c>
      <c r="S20" s="365">
        <f ca="1">IFERROR(INDIRECT("'"&amp;BN20&amp;"'!M21"),"")</f>
        <v>5.0430337754991923</v>
      </c>
      <c r="T20" s="365">
        <f ca="1">IFERROR(INDIRECT("'"&amp;BN20&amp;"'!M22"),"")</f>
        <v>5.5655206967664492</v>
      </c>
      <c r="U20" s="365">
        <f ca="1">IFERROR(INDIRECT("'"&amp;BN20&amp;"'!M23"),"")</f>
        <v>6.2475092442448981</v>
      </c>
      <c r="V20" s="365">
        <f ca="1">IFERROR(INDIRECT("'"&amp;BN20&amp;"'!M24"),"")</f>
        <v>6.8064775965781843</v>
      </c>
      <c r="W20" s="365">
        <f t="shared" ref="W20:W30" ca="1" si="42">1.2*AY20</f>
        <v>1.2</v>
      </c>
      <c r="X20" s="367">
        <f>'Cadastro das Obras'!Q4</f>
        <v>6.431514420663388E-3</v>
      </c>
      <c r="Y20" s="368">
        <f t="shared" ca="1" si="31"/>
        <v>2.0098140551545232</v>
      </c>
      <c r="Z20" s="365">
        <f ca="1">_xlfn.LET(_xlpm.aa,(Y20)*1,_xlpm.dd,(AY20)*1,_xlpm.ww,2*PI()-0.000002,_xlpm.t_1,0.000001+_xlpm.ww/2,_xlpm.t_2,_xlpm.t_1+IF(_xlpm.dd^2/8*(_xlpm.t_1-SIN(_xlpm.t_1))&lt;_xlpm.aa,_xlpm.ww,-_xlpm.ww)/4,_xlpm.t_3,_xlpm.t_2+IF(_xlpm.dd^2/8*(_xlpm.t_2-SIN(_xlpm.t_2))&lt;_xlpm.aa,_xlpm.ww,-_xlpm.ww)/8,_xlpm.t_4,_xlpm.t_3+IF(_xlpm.dd^2/8*(_xlpm.t_3-SIN(_xlpm.t_3))&lt;_xlpm.aa,_xlpm.ww,-_xlpm.ww)/16,_xlpm.t_5,_xlpm.t_4+IF(_xlpm.dd^2/8*(_xlpm.t_4-SIN(_xlpm.t_4))&lt;_xlpm.aa,_xlpm.ww,-_xlpm.ww)/32,_xlpm.t_6,_xlpm.t_5+IF(_xlpm.dd^2/8*(_xlpm.t_5-SIN(_xlpm.t_5))&lt;_xlpm.aa,_xlpm.ww,-_xlpm.ww)/64,_xlpm.t_7,_xlpm.t_6+IF(_xlpm.dd^2/8*(_xlpm.t_6-SIN(_xlpm.t_6))&lt;_xlpm.aa,_xlpm.ww,-_xlpm.ww)/128,_xlpm.t_8,_xlpm.t_7+IF(_xlpm.dd^2/8*(_xlpm.t_7-SIN(_xlpm.t_7))&lt;_xlpm.aa,_xlpm.ww,-_xlpm.ww)/256,_xlpm.t_9,_xlpm.t_8+IF(_xlpm.dd^2/8*(_xlpm.t_8-SIN(_xlpm.t_8))&lt;_xlpm.aa,_xlpm.ww,-_xlpm.ww)/512,_xlpm.t_10,_xlpm.t_9+IF(_xlpm.dd^2/8*(_xlpm.t_9-SIN(_xlpm.t_9))&lt;_xlpm.aa,_xlpm.ww,-_xlpm.ww)/1024,_xlpm.t_11,_xlpm.t_10+IF(_xlpm.dd^2/8*(_xlpm.t_10-SIN(_xlpm.t_10))&lt;_xlpm.aa,_xlpm.ww,-_xlpm.ww)/2048,_xlpm.t_12,_xlpm.t_11+IF(_xlpm.dd^2/8*(_xlpm.t_11-SIN(_xlpm.t_11))&lt;_xlpm.aa,_xlpm.ww,-_xlpm.ww)/4096,_xlpm.t_13,_xlpm.t_12+IF(_xlpm.dd^2/8*(_xlpm.t_12-SIN(_xlpm.t_12))&lt;_xlpm.aa,_xlpm.ww,-_xlpm.ww)/8192,_xlpm.t_14,_xlpm.t_13+IF(_xlpm.dd^2/8*(_xlpm.t_13-SIN(_xlpm.t_13))&lt;_xlpm.aa,_xlpm.ww,-_xlpm.ww)/16384,_xlpm.t_15,_xlpm.t_14+IF(_xlpm.dd^2/8*(_xlpm.t_14-SIN(_xlpm.t_14))&lt;_xlpm.aa,_xlpm.ww,-_xlpm.ww)/32768,_xlpm.t_16,_xlpm.t_15+IF(_xlpm.dd^2/8*(_xlpm.t_15-SIN(_xlpm.t_15))&lt;_xlpm.aa,_xlpm.ww,-_xlpm.ww)/65536,_xlpm.t_17,_xlpm.t_16+IF(_xlpm.dd^2/8*(_xlpm.t_16-SIN(_xlpm.t_16))&lt;_xlpm.aa,_xlpm.ww,-_xlpm.ww)/131072,_xlpm.t_18,_xlpm.t_17+IF(_xlpm.dd^2/8*(_xlpm.t_17-SIN(_xlpm.t_17))&lt;_xlpm.aa,_xlpm.ww,-_xlpm.ww)/262144,_xlpm.t_19,_xlpm.t_18+IF(_xlpm.dd^2/8*(_xlpm.t_18-SIN(_xlpm.t_18))&lt;_xlpm.aa,_xlpm.ww,-_xlpm.ww)/524288,_xlpm.t_20,_xlpm.t_19+IF(_xlpm.dd^2/8*(_xlpm.t_19-SIN(_xlpm.t_19))&lt;_xlpm.aa,_xlpm.ww,-_xlpm.ww)/1048576,_xlpm.t_21,_xlpm.t_20+IF(_xlpm.dd^2/8*(_xlpm.t_20-SIN(_xlpm.t_20))&lt;_xlpm.aa,_xlpm.ww,-_xlpm.ww)/2097152,_xlpm.t_22,_xlpm.t_21+IF(_xlpm.dd^2/8*(_xlpm.t_21-SIN(_xlpm.t_21))&lt;_xlpm.aa,_xlpm.ww,-_xlpm.ww)/4194304,_xlpm.t_23,_xlpm.t_22+IF(_xlpm.dd^2/8*(_xlpm.t_22-SIN(_xlpm.t_22))&lt;_xlpm.aa,_xlpm.ww,-_xlpm.ww)/8388608,_xlpm.t_24,_xlpm.t_23+IF(_xlpm.dd^2/8*(_xlpm.t_23-SIN(_xlpm.t_23))&lt;_xlpm.aa,_xlpm.ww,-_xlpm.ww)/16777216,_xlpm.t_25,_xlpm.t_24+IF(_xlpm.dd^2/8*(_xlpm.t_24-SIN(_xlpm.t_24))&lt;_xlpm.aa,_xlpm.ww,-_xlpm.ww)/33554432,_xlpm.t_26,_xlpm.t_25+IF(_xlpm.dd^2/8*(_xlpm.t_25-SIN(_xlpm.t_25))&lt;_xlpm.aa,_xlpm.ww,-_xlpm.ww)/67108864,IF(OR(_xlpm.aa&lt;=0,_xlpm.dd&lt;=0),#VALUE!,_xlpm.dd/2*IF(_xlpm.t_26&gt;0.000001+_xlpm.ww*(1-1.5/2^26),0.000001+_xlpm.ww,_xlpm.t_26)))</f>
        <v>3.141592153589793</v>
      </c>
      <c r="AA20" s="365">
        <v>1.0529999999999999</v>
      </c>
      <c r="AB20" s="365">
        <v>2.5840000000000001</v>
      </c>
      <c r="AC20" s="365">
        <f t="shared" ca="1" si="32"/>
        <v>1.1999989999999998</v>
      </c>
      <c r="AD20" s="365">
        <f t="shared" ref="AD20:AD30" si="43">IFERROR(AA20/AB20,"")</f>
        <v>0.40750773993808048</v>
      </c>
      <c r="AE20" s="368">
        <f ca="1">IFERROR(IF(IF(OR(ISNUMBER(SEARCH("BSTC",AM20)),ISNUMBER(SEARCH("BDTC",AM20)),ISNUMBER(SEARCH("BTTC",AM20))),"CIRCULAR",IF(OR(ISNUMBER(SEARCH("BSCC",AM20)),ISNUMBER(SEARCH("BDCC",AM20)),ISNUMBER(SEARCH("BTCC",AM20))),"CELULAR",""))="CIRCULAR",AG20/SQRT(9.80665*(AA20/(AZ20*SIN((2*ACOS(1-2*AH20/AZ20))/2)))),AG20/SQRT(9.80665*AH20)),"")</f>
        <v>3.6761423609140871E-2</v>
      </c>
      <c r="AF20" s="365" t="str">
        <f t="shared" ref="AF20:AF30" ca="1" si="44">IF(AE20&lt;1,"Subcrítico",IF(AE20=1,"Crítico","Supercrítico"))</f>
        <v>Subcrítico</v>
      </c>
      <c r="AG20" s="368">
        <f t="shared" ref="AG20:AG30" ca="1" si="45">IF($AW20="","",IF($BZ20="Tubular",$CP20*$AZ20^(2/3)*SQRT($X20)/$AS20,$CP20*SQRT($X20)/$AS20))</f>
        <v>2.5238098201784132</v>
      </c>
      <c r="AH20" s="368">
        <f ca="1">IFERROR(IF(IF(OR(ISNUMBER(SEARCH("BSTC",AM20)),ISNUMBER(SEARCH("BDTC",AM20)),ISNUMBER(SEARCH("BTTC",AM20))),"CIRCULAR",IF(OR(ISNUMBER(SEARCH("BSCC",AM20)),ISNUMBER(SEARCH("BDCC",AM20)),ISNUMBER(SEARCH("BTCC",AM20))),"CELULAR",""))="CIRCULAR",_xlfn.LET(_xlpm.qq,(15/3)*1,_xlpm.dd,(AZ20)*1,_xlpm.ss,(X20)*1,_xlpm.nn,(0.015)*1,_xlpm.rr,_xlpm.dd/2,_xlpm.ww,_xlpm.dd-0.000002,_xlpm.zz,(_xlpm.qq*_xlpm.nn/SQRT(_xlpm.ss))^3*_xlpm.rr^2/(_xlpm.dd^2/8)^5,_xlpm.h_1,0.000001+_xlpm.ww/2,_xlpm.u_1,2*ACOS(1-_xlpm.h_1/_xlpm.rr),_xlpm.h_2,_xlpm.h_1+IF((_xlpm.u_1-SIN(_xlpm.u_1))^5&lt;_xlpm.zz*_xlpm.u_1^2,_xlpm.ww,-_xlpm.ww)/4,_xlpm.u_2,2*ACOS(1-_xlpm.h_2/_xlpm.rr),_xlpm.h_3,_xlpm.h_2+IF((_xlpm.u_2-SIN(_xlpm.u_2))^5&lt;_xlpm.zz*_xlpm.u_2^2,_xlpm.ww,-_xlpm.ww)/8,_xlpm.u_3,2*ACOS(1-_xlpm.h_3/_xlpm.rr),_xlpm.h_4,_xlpm.h_3+IF((_xlpm.u_3-SIN(_xlpm.u_3))^5&lt;_xlpm.zz*_xlpm.u_3^2,_xlpm.ww,-_xlpm.ww)/16,_xlpm.u_4,2*ACOS(1-_xlpm.h_4/_xlpm.rr),_xlpm.h_5,_xlpm.h_4+IF((_xlpm.u_4-SIN(_xlpm.u_4))^5&lt;_xlpm.zz*_xlpm.u_4^2,_xlpm.ww,-_xlpm.ww)/32,_xlpm.u_5,2*ACOS(1-_xlpm.h_5/_xlpm.rr),_xlpm.h_6,_xlpm.h_5+IF((_xlpm.u_5-SIN(_xlpm.u_5))^5&lt;_xlpm.zz*_xlpm.u_5^2,_xlpm.ww,-_xlpm.ww)/64,_xlpm.u_6,2*ACOS(1-_xlpm.h_6/_xlpm.rr),_xlpm.h_7,_xlpm.h_6+IF((_xlpm.u_6-SIN(_xlpm.u_6))^5&lt;_xlpm.zz*_xlpm.u_6^2,_xlpm.ww,-_xlpm.ww)/128,_xlpm.u_7,2*ACOS(1-_xlpm.h_7/_xlpm.rr),_xlpm.h_8,_xlpm.h_7+IF((_xlpm.u_7-SIN(_xlpm.u_7))^5&lt;_xlpm.zz*_xlpm.u_7^2,_xlpm.ww,-_xlpm.ww)/256,_xlpm.u_8,2*ACOS(1-_xlpm.h_8/_xlpm.rr),_xlpm.h_9,_xlpm.h_8+IF((_xlpm.u_8-SIN(_xlpm.u_8))^5&lt;_xlpm.zz*_xlpm.u_8^2,_xlpm.ww,-_xlpm.ww)/512,_xlpm.u_9,2*ACOS(1-_xlpm.h_9/_xlpm.rr),_xlpm.h_10,_xlpm.h_9+IF((_xlpm.u_9-SIN(_xlpm.u_9))^5&lt;_xlpm.zz*_xlpm.u_9^2,_xlpm.ww,-_xlpm.ww)/1024,_xlpm.u_10,2*ACOS(1-_xlpm.h_10/_xlpm.rr),_xlpm.h_11,_xlpm.h_10+IF((_xlpm.u_10-SIN(_xlpm.u_10))^5&lt;_xlpm.zz*_xlpm.u_10^2,_xlpm.ww,-_xlpm.ww)/2048,_xlpm.u_11,2*ACOS(1-_xlpm.h_11/_xlpm.rr),_xlpm.h_12,_xlpm.h_11+IF((_xlpm.u_11-SIN(_xlpm.u_11))^5&lt;_xlpm.zz*_xlpm.u_11^2,_xlpm.ww,-_xlpm.ww)/4096,_xlpm.u_12,2*ACOS(1-_xlpm.h_12/_xlpm.rr),_xlpm.h_13,_xlpm.h_12+IF((_xlpm.u_12-SIN(_xlpm.u_12))^5&lt;_xlpm.zz*_xlpm.u_12^2,_xlpm.ww,-_xlpm.ww)/8192,_xlpm.u_13,2*ACOS(1-_xlpm.h_13/_xlpm.rr),_xlpm.h_14,_xlpm.h_13+IF((_xlpm.u_13-SIN(_xlpm.u_13))^5&lt;_xlpm.zz*_xlpm.u_13^2,_xlpm.ww,-_xlpm.ww)/16384,_xlpm.u_14,2*ACOS(1-_xlpm.h_14/_xlpm.rr),_xlpm.h_15,_xlpm.h_14+IF((_xlpm.u_14-SIN(_xlpm.u_14))^5&lt;_xlpm.zz*_xlpm.u_14^2,_xlpm.ww,-_xlpm.ww)/32768,_xlpm.u_15,2*ACOS(1-_xlpm.h_15/_xlpm.rr),_xlpm.h_16,_xlpm.h_15+IF((_xlpm.u_15-SIN(_xlpm.u_15))^5&lt;_xlpm.zz*_xlpm.u_15^2,_xlpm.ww,-_xlpm.ww)/65536,_xlpm.u_16,2*ACOS(1-_xlpm.h_16/_xlpm.rr),_xlpm.h_17,_xlpm.h_16+IF((_xlpm.u_16-SIN(_xlpm.u_16))^5&lt;_xlpm.zz*_xlpm.u_16^2,_xlpm.ww,-_xlpm.ww)/131072,_xlpm.u_17,2*ACOS(1-_xlpm.h_17/_xlpm.rr),_xlpm.h_18,_xlpm.h_17+IF((_xlpm.u_17-SIN(_xlpm.u_17))^5&lt;_xlpm.zz*_xlpm.u_17^2,_xlpm.ww,-_xlpm.ww)/262144,_xlpm.u_18,2*ACOS(1-_xlpm.h_18/_xlpm.rr),_xlpm.h_19,_xlpm.h_18+IF((_xlpm.u_18-SIN(_xlpm.u_18))^5&lt;_xlpm.zz*_xlpm.u_18^2,_xlpm.ww,-_xlpm.ww)/524288,_xlpm.u_19,2*ACOS(1-_xlpm.h_19/_xlpm.rr),_xlpm.h_20,_xlpm.h_19+IF((_xlpm.u_19-SIN(_xlpm.u_19))^5&lt;_xlpm.zz*_xlpm.u_19^2,_xlpm.ww,-_xlpm.ww)/1048576,_xlpm.u_20,2*ACOS(1-_xlpm.h_20/_xlpm.rr),_xlpm.h_21,_xlpm.h_20+IF((_xlpm.u_20-SIN(_xlpm.u_20))^5&lt;_xlpm.zz*_xlpm.u_20^2,_xlpm.ww,-_xlpm.ww)/2097152,_xlpm.u_21,2*ACOS(1-_xlpm.h_21/_xlpm.rr),_xlpm.h_22,_xlpm.h_21+IF((_xlpm.u_21-SIN(_xlpm.u_21))^5&lt;_xlpm.zz*_xlpm.u_21^2,_xlpm.ww,-_xlpm.ww)/4194304,_xlpm.u_22,2*ACOS(1-_xlpm.h_22/_xlpm.rr),_xlpm.h_23,_xlpm.h_22+IF((_xlpm.u_22-SIN(_xlpm.u_22))^5&lt;_xlpm.zz*_xlpm.u_22^2,_xlpm.ww,-_xlpm.ww)/8388608,_xlpm.u_23,2*ACOS(1-_xlpm.h_23/_xlpm.rr),_xlpm.h_24,_xlpm.h_23+IF((_xlpm.u_23-SIN(_xlpm.u_23))^5&lt;_xlpm.zz*_xlpm.u_23^2,_xlpm.ww,-_xlpm.ww)/16777216,_xlpm.u_24,2*ACOS(1-_xlpm.h_24/_xlpm.rr),_xlpm.h_25,_xlpm.h_24+IF((_xlpm.u_24-SIN(_xlpm.u_24))^5&lt;_xlpm.zz*_xlpm.u_24^2,_xlpm.ww,-_xlpm.ww)/33554432,_xlpm.u_25,2*ACOS(1-_xlpm.h_25/_xlpm.rr),_xlpm.h_26,_xlpm.h_25+IF((_xlpm.u_25-SIN(_xlpm.u_25))^5&lt;_xlpm.zz*_xlpm.u_25^2,_xlpm.ww,-_xlpm.ww)/67108864,IF(OR(_xlpm.qq&lt;=0,_xlpm.dd&lt;=0,_xlpm.ss&lt;=0,_xlpm.nn&lt;=0),#VALUE!,IF(_xlpm.h_26&gt;0.000001+_xlpm.ww*(1-1.5/2^26),0.000001+_xlpm.ww,_xlpm.h_26))),_xlfn.LET(_xlpm.ob,AM20,_xlpm.ss,(X20)*1,_xlpm.nn,(0.015)*1,_xlpm.qq,(BP20)*1/IF(OR(ISNUMBER(SEARCH("BSTC",_xlpm.ob)),ISNUMBER(SEARCH("BSCC",_xlpm.ob))),1,IF(OR(ISNUMBER(SEARCH("BDTC",_xlpm.ob)),ISNUMBER(SEARCH("BDCC",_xlpm.ob))),2,IF(OR(ISNUMBER(SEARCH("BTTC",_xlpm.ob)),ISNUMBER(SEARCH("BTCC",_xlpm.ob))),3,#VALUE!))),_xlpm.bb,_xlfn.NUMBERVALUE(SUBSTITUTE(TRIM(MID(_xlpm.ob,SEARCH("cc",_xlpm.ob)+3,SEARCH("x",_xlpm.ob)-SEARCH("cc",_xlpm.ob)-3)),".",","),",","."),_xlpm.hh,_xlfn.NUMBERVALUE(SUBSTITUTE(TRIM(MID(_xlpm.ob,SEARCH("x",_xlpm.ob)+1,SEARCH("m",_xlpm.ob,SEARCH("x",_xlpm.ob))-SEARCH("x",_xlpm.ob)-1)),".",","),",","."),_xlpm.kk,SQRT(_xlpm.ss)/_xlpm.nn,_xlpm.x_0,_xlpm.hh,_xlpm.g_0,_xlpm.kk*_xlpm.bb*_xlpm.x_0*(_xlpm.bb*_xlpm.x_0/(_xlpm.bb+2*_xlpm.x_0))^(2/3),_xlpm.x_1,_xlpm.x_0-(_xlpm.g_0-_xlpm.qq)/(_xlpm.g_0*(5/(3*_xlpm.x_0)-4/(3*(_xlpm.bb+2*_xlpm.x_0)))),_xlpm.g_1,_xlpm.kk*_xlpm.bb*_xlpm.x_1*(_xlpm.bb*_xlpm.x_1/(_xlpm.bb+2*_xlpm.x_1))^(2/3),_xlpm.x_2,_xlpm.x_1-(_xlpm.g_1-_xlpm.qq)/(_xlpm.g_1*(5/(3*_xlpm.x_1)-4/(3*(_xlpm.bb+2*_xlpm.x_1)))),_xlpm.g_2,_xlpm.kk*_xlpm.bb*_xlpm.x_2*(_xlpm.bb*_xlpm.x_2/(_xlpm.bb+2*_xlpm.x_2))^(2/3),_xlpm.x_3,_xlpm.x_2-(_xlpm.g_2-_xlpm.qq)/(_xlpm.g_2*(5/(3*_xlpm.x_2)-4/(3*(_xlpm.bb+2*_xlpm.x_2)))),_xlpm.g_3,_xlpm.kk*_xlpm.bb*_xlpm.x_3*(_xlpm.bb*_xlpm.x_3/(_xlpm.bb+2*_xlpm.x_3))^(2/3),_xlpm.x_4,_xlpm.x_3-(_xlpm.g_3-_xlpm.qq)/(_xlpm.g_3*(5/(3*_xlpm.x_3)-4/(3*(_xlpm.bb+2*_xlpm.x_3)))),_xlpm.g_4,_xlpm.kk*_xlpm.bb*_xlpm.x_4*(_xlpm.bb*_xlpm.x_4/(_xlpm.bb+2*_xlpm.x_4))^(2/3),_xlpm.x_5,_xlpm.x_4-(_xlpm.g_4-_xlpm.qq)/(_xlpm.g_4*(5/(3*_xlpm.x_4)-4/(3*(_xlpm.bb+2*_xlpm.x_4)))),_xlpm.g_5,_xlpm.kk*_xlpm.bb*_xlpm.x_5*(_xlpm.bb*_xlpm.x_5/(_xlpm.bb+2*_xlpm.x_5))^(2/3),_xlpm.x_6,_xlpm.x_5-(_xlpm.g_5-_xlpm.qq)/(_xlpm.g_5*(5/(3*_xlpm.x_5)-4/(3*(_xlpm.bb+2*_xlpm.x_5)))),_xlpm.g_6,_xlpm.kk*_xlpm.bb*_xlpm.x_6*(_xlpm.bb*_xlpm.x_6/(_xlpm.bb+2*_xlpm.x_6))^(2/3),_xlpm.x_7,_xlpm.x_6-(_xlpm.g_6-_xlpm.qq)/(_xlpm.g_6*(5/(3*_xlpm.x_6)-4/(3*(_xlpm.bb+2*_xlpm.x_6)))),_xlpm.g_7,_xlpm.kk*_xlpm.bb*_xlpm.x_7*(_xlpm.bb*_xlpm.x_7/(_xlpm.bb+2*_xlpm.x_7))^(2/3),_xlpm.x_8,_xlpm.x_7-(_xlpm.g_7-_xlpm.qq)/(_xlpm.g_7*(5/(3*_xlpm.x_7)-4/(3*(_xlpm.bb+2*_xlpm.x_7)))),_xlpm.g_8,_xlpm.kk*_xlpm.bb*_xlpm.x_8*(_xlpm.bb*_xlpm.x_8/(_xlpm.bb+2*_xlpm.x_8))^(2/3),_xlpm.x_9,_xlpm.x_8-(_xlpm.g_8-_xlpm.qq)/(_xlpm.g_8*(5/(3*_xlpm.x_8)-4/(3*(_xlpm.bb+2*_xlpm.x_8)))),_xlpm.g_9,_xlpm.kk*_xlpm.bb*_xlpm.x_9*(_xlpm.bb*_xlpm.x_9/(_xlpm.bb+2*_xlpm.x_9))^(2/3),_xlpm.x_10,_xlpm.x_9-(_xlpm.g_9-_xlpm.qq)/(_xlpm.g_9*(5/(3*_xlpm.x_9)-4/(3*(_xlpm.bb+2*_xlpm.x_9)))),MIN(_xlpm.hh,_xlpm.x_10))),"")</f>
        <v>1.1999989999999998</v>
      </c>
      <c r="AI20" s="368">
        <f ca="1">IFERROR(
  IF(
    IF(OR(ISNUMBER(SEARCH("BSTC",AM20)),ISNUMBER(SEARCH("BDTC",AM20)),ISNUMBER(SEARCH("BTTC",AM20))),"CIRCULAR",IF(OR(ISNUMBER(SEARCH("BSCC",AM20)),ISNUMBER(SEARCH("BDCC",AM20)),ISNUMBER(SEARCH("BTCC",AM20))),"CELULAR",""))="CIRCULAR",
    (3/2)*(((AZ20^2/8)*((2*ACOS(1-2*BB20/AZ20))-SIN(2*ACOS(1-2*BB20/AZ20))))/(AZ20*SIN((2*ACOS(1-2*BB20/AZ20))/2))),
    (3/2)*BB20
  ),
  ""
)</f>
        <v>0.88747501815131802</v>
      </c>
      <c r="AJ20" s="368">
        <f t="shared" ref="AJ20:AJ30" ca="1" si="46">IFERROR(AT20/AZ20,"")</f>
        <v>0.83333250000000014</v>
      </c>
      <c r="AK20" s="369" t="s">
        <v>25</v>
      </c>
      <c r="AL20" s="370" t="str">
        <f ca="1">IFERROR(INDIRECT("'"&amp;BN20&amp;"'!J27"),"")</f>
        <v>BTTC d= 1,00m</v>
      </c>
      <c r="AM20" s="373" t="str">
        <f ca="1">IFERROR(INDIRECT("'"&amp;BN20&amp;"'!J32"),"")</f>
        <v>BTTC d= 1,20m</v>
      </c>
      <c r="AN20" s="371" t="s">
        <v>25</v>
      </c>
      <c r="AO20" s="371" t="s">
        <v>25</v>
      </c>
      <c r="AP20" s="371" t="s">
        <v>102</v>
      </c>
      <c r="AQ20" s="117">
        <f t="shared" ca="1" si="33"/>
        <v>8.0592585458199792</v>
      </c>
      <c r="AR20" s="31">
        <f t="shared" ca="1" si="34"/>
        <v>0.63974378496520479</v>
      </c>
      <c r="AS20" s="93">
        <v>1.4999999999999999E-2</v>
      </c>
      <c r="AT20" s="33">
        <f ca="1">IFERROR(IF(IF(OR(ISNUMBER(SEARCH("BSTC",AL20)),ISNUMBER(SEARCH("BDTC",AL20)),ISNUMBER(SEARCH("BTTC",AL20))),"CIRCULAR",IF(OR(ISNUMBER(SEARCH("BSCC",AL20)),ISNUMBER(SEARCH("BDCC",AL20)),ISNUMBER(SEARCH("BTCC",AL20))),"CELULAR",""))="CIRCULAR",_xlfn.LET(_xlpm.qq,(BS20/(IFERROR(IF(OR(ISNUMBER(FIND("BDTC",AL20)),ISNUMBER(FIND("BDCC",AL20))),2,IF(OR(ISNUMBER(FIND("BTTC",AL20)),ISNUMBER(FIND("BTCC",AL20))),3,IF(OR(ISNUMBER(FIND("BSTC",AL20)),ISNUMBER(FIND("BSCC",AL20))),1,""))),"")))*1,_xlpm.dd,(AY20)*1,_xlpm.ss,(X20)*1,_xlpm.nn,(0.015)*1,_xlpm.rr,_xlpm.dd/2,_xlpm.ww,_xlpm.dd-0.000002,_xlpm.zz,(_xlpm.qq*_xlpm.nn/SQRT(_xlpm.ss))^3*_xlpm.rr^2/(_xlpm.dd^2/8)^5,_xlpm.h_1,0.000001+_xlpm.ww/2,_xlpm.u_1,2*ACOS(1-_xlpm.h_1/_xlpm.rr),_xlpm.h_2,_xlpm.h_1+IF((_xlpm.u_1-SIN(_xlpm.u_1))^5&lt;_xlpm.zz*_xlpm.u_1^2,_xlpm.ww,-_xlpm.ww)/4,_xlpm.u_2,2*ACOS(1-_xlpm.h_2/_xlpm.rr),_xlpm.h_3,_xlpm.h_2+IF((_xlpm.u_2-SIN(_xlpm.u_2))^5&lt;_xlpm.zz*_xlpm.u_2^2,_xlpm.ww,-_xlpm.ww)/8,_xlpm.u_3,2*ACOS(1-_xlpm.h_3/_xlpm.rr),_xlpm.h_4,_xlpm.h_3+IF((_xlpm.u_3-SIN(_xlpm.u_3))^5&lt;_xlpm.zz*_xlpm.u_3^2,_xlpm.ww,-_xlpm.ww)/16,_xlpm.u_4,2*ACOS(1-_xlpm.h_4/_xlpm.rr),_xlpm.h_5,_xlpm.h_4+IF((_xlpm.u_4-SIN(_xlpm.u_4))^5&lt;_xlpm.zz*_xlpm.u_4^2,_xlpm.ww,-_xlpm.ww)/32,_xlpm.u_5,2*ACOS(1-_xlpm.h_5/_xlpm.rr),_xlpm.h_6,_xlpm.h_5+IF((_xlpm.u_5-SIN(_xlpm.u_5))^5&lt;_xlpm.zz*_xlpm.u_5^2,_xlpm.ww,-_xlpm.ww)/64,_xlpm.u_6,2*ACOS(1-_xlpm.h_6/_xlpm.rr),_xlpm.h_7,_xlpm.h_6+IF((_xlpm.u_6-SIN(_xlpm.u_6))^5&lt;_xlpm.zz*_xlpm.u_6^2,_xlpm.ww,-_xlpm.ww)/128,_xlpm.u_7,2*ACOS(1-_xlpm.h_7/_xlpm.rr),_xlpm.h_8,_xlpm.h_7+IF((_xlpm.u_7-SIN(_xlpm.u_7))^5&lt;_xlpm.zz*_xlpm.u_7^2,_xlpm.ww,-_xlpm.ww)/256,_xlpm.u_8,2*ACOS(1-_xlpm.h_8/_xlpm.rr),_xlpm.h_9,_xlpm.h_8+IF((_xlpm.u_8-SIN(_xlpm.u_8))^5&lt;_xlpm.zz*_xlpm.u_8^2,_xlpm.ww,-_xlpm.ww)/512,_xlpm.u_9,2*ACOS(1-_xlpm.h_9/_xlpm.rr),_xlpm.h_10,_xlpm.h_9+IF((_xlpm.u_9-SIN(_xlpm.u_9))^5&lt;_xlpm.zz*_xlpm.u_9^2,_xlpm.ww,-_xlpm.ww)/1024,_xlpm.u_10,2*ACOS(1-_xlpm.h_10/_xlpm.rr),_xlpm.h_11,_xlpm.h_10+IF((_xlpm.u_10-SIN(_xlpm.u_10))^5&lt;_xlpm.zz*_xlpm.u_10^2,_xlpm.ww,-_xlpm.ww)/2048,_xlpm.u_11,2*ACOS(1-_xlpm.h_11/_xlpm.rr),_xlpm.h_12,_xlpm.h_11+IF((_xlpm.u_11-SIN(_xlpm.u_11))^5&lt;_xlpm.zz*_xlpm.u_11^2,_xlpm.ww,-_xlpm.ww)/4096,_xlpm.u_12,2*ACOS(1-_xlpm.h_12/_xlpm.rr),_xlpm.h_13,_xlpm.h_12+IF((_xlpm.u_12-SIN(_xlpm.u_12))^5&lt;_xlpm.zz*_xlpm.u_12^2,_xlpm.ww,-_xlpm.ww)/8192,_xlpm.u_13,2*ACOS(1-_xlpm.h_13/_xlpm.rr),_xlpm.h_14,_xlpm.h_13+IF((_xlpm.u_13-SIN(_xlpm.u_13))^5&lt;_xlpm.zz*_xlpm.u_13^2,_xlpm.ww,-_xlpm.ww)/16384,_xlpm.u_14,2*ACOS(1-_xlpm.h_14/_xlpm.rr),_xlpm.h_15,_xlpm.h_14+IF((_xlpm.u_14-SIN(_xlpm.u_14))^5&lt;_xlpm.zz*_xlpm.u_14^2,_xlpm.ww,-_xlpm.ww)/32768,_xlpm.u_15,2*ACOS(1-_xlpm.h_15/_xlpm.rr),_xlpm.h_16,_xlpm.h_15+IF((_xlpm.u_15-SIN(_xlpm.u_15))^5&lt;_xlpm.zz*_xlpm.u_15^2,_xlpm.ww,-_xlpm.ww)/65536,_xlpm.u_16,2*ACOS(1-_xlpm.h_16/_xlpm.rr),_xlpm.h_17,_xlpm.h_16+IF((_xlpm.u_16-SIN(_xlpm.u_16))^5&lt;_xlpm.zz*_xlpm.u_16^2,_xlpm.ww,-_xlpm.ww)/131072,_xlpm.u_17,2*ACOS(1-_xlpm.h_17/_xlpm.rr),_xlpm.h_18,_xlpm.h_17+IF((_xlpm.u_17-SIN(_xlpm.u_17))^5&lt;_xlpm.zz*_xlpm.u_17^2,_xlpm.ww,-_xlpm.ww)/262144,_xlpm.u_18,2*ACOS(1-_xlpm.h_18/_xlpm.rr),_xlpm.h_19,_xlpm.h_18+IF((_xlpm.u_18-SIN(_xlpm.u_18))^5&lt;_xlpm.zz*_xlpm.u_18^2,_xlpm.ww,-_xlpm.ww)/524288,_xlpm.u_19,2*ACOS(1-_xlpm.h_19/_xlpm.rr),_xlpm.h_20,_xlpm.h_19+IF((_xlpm.u_19-SIN(_xlpm.u_19))^5&lt;_xlpm.zz*_xlpm.u_19^2,_xlpm.ww,-_xlpm.ww)/1048576,_xlpm.u_20,2*ACOS(1-_xlpm.h_20/_xlpm.rr),_xlpm.h_21,_xlpm.h_20+IF((_xlpm.u_20-SIN(_xlpm.u_20))^5&lt;_xlpm.zz*_xlpm.u_20^2,_xlpm.ww,-_xlpm.ww)/2097152,_xlpm.u_21,2*ACOS(1-_xlpm.h_21/_xlpm.rr),_xlpm.h_22,_xlpm.h_21+IF((_xlpm.u_21-SIN(_xlpm.u_21))^5&lt;_xlpm.zz*_xlpm.u_21^2,_xlpm.ww,-_xlpm.ww)/4194304,_xlpm.u_22,2*ACOS(1-_xlpm.h_22/_xlpm.rr),_xlpm.h_23,_xlpm.h_22+IF((_xlpm.u_22-SIN(_xlpm.u_22))^5&lt;_xlpm.zz*_xlpm.u_22^2,_xlpm.ww,-_xlpm.ww)/8388608,_xlpm.u_23,2*ACOS(1-_xlpm.h_23/_xlpm.rr),_xlpm.h_24,_xlpm.h_23+IF((_xlpm.u_23-SIN(_xlpm.u_23))^5&lt;_xlpm.zz*_xlpm.u_23^2,_xlpm.ww,-_xlpm.ww)/16777216,_xlpm.u_24,2*ACOS(1-_xlpm.h_24/_xlpm.rr),_xlpm.h_25,_xlpm.h_24+IF((_xlpm.u_24-SIN(_xlpm.u_24))^5&lt;_xlpm.zz*_xlpm.u_24^2,_xlpm.ww,-_xlpm.ww)/33554432,_xlpm.u_25,2*ACOS(1-_xlpm.h_25/_xlpm.rr),_xlpm.h_26,_xlpm.h_25+IF((_xlpm.u_25-SIN(_xlpm.u_25))^5&lt;_xlpm.zz*_xlpm.u_25^2,_xlpm.ww,-_xlpm.ww)/67108864,IF(OR(_xlpm.qq&lt;=0,_xlpm.dd&lt;=0,_xlpm.ss&lt;=0,_xlpm.nn&lt;=0),#VALUE!,IF(_xlpm.h_26&gt;0.000001+_xlpm.ww*(1-1.5/2^26),0.000001+_xlpm.ww,_xlpm.h_26))),_xlfn.LET(_xlpm.ob,AL20,_xlpm.ss,(X20)*1,_xlpm.nn,(0.015)*1,_xlpm.qq,(BS20)*1/IF(OR(ISNUMBER(SEARCH("BSTC",_xlpm.ob)),ISNUMBER(SEARCH("BSCC",_xlpm.ob))),1,IF(OR(ISNUMBER(SEARCH("BDTC",_xlpm.ob)),ISNUMBER(SEARCH("BDCC",_xlpm.ob))),2,IF(OR(ISNUMBER(SEARCH("BTTC",_xlpm.ob)),ISNUMBER(SEARCH("BTCC",_xlpm.ob))),3,#VALUE!))),_xlpm.bb,_xlfn.NUMBERVALUE(SUBSTITUTE(TRIM(MID(_xlpm.ob,SEARCH("cc",_xlpm.ob)+3,SEARCH("x",_xlpm.ob)-SEARCH("cc",_xlpm.ob)-3)),".",","),",","."),_xlpm.hh,_xlfn.NUMBERVALUE(SUBSTITUTE(TRIM(MID(_xlpm.ob,SEARCH("x",_xlpm.ob)+1,SEARCH("m",_xlpm.ob,SEARCH("x",_xlpm.ob))-SEARCH("x",_xlpm.ob)-1)),".",","),",","."),_xlpm.kk,SQRT(_xlpm.ss)/_xlpm.nn,_xlpm.x_0,_xlpm.hh,_xlpm.g_0,_xlpm.kk*_xlpm.bb*_xlpm.x_0*(_xlpm.bb*_xlpm.x_0/(_xlpm.bb+2*_xlpm.x_0))^(2/3),_xlpm.x_1,_xlpm.x_0-(_xlpm.g_0-_xlpm.qq)/(_xlpm.g_0*(5/(3*_xlpm.x_0)-4/(3*(_xlpm.bb+2*_xlpm.x_0)))),_xlpm.g_1,_xlpm.kk*_xlpm.bb*_xlpm.x_1*(_xlpm.bb*_xlpm.x_1/(_xlpm.bb+2*_xlpm.x_1))^(2/3),_xlpm.x_2,_xlpm.x_1-(_xlpm.g_1-_xlpm.qq)/(_xlpm.g_1*(5/(3*_xlpm.x_1)-4/(3*(_xlpm.bb+2*_xlpm.x_1)))),_xlpm.g_2,_xlpm.kk*_xlpm.bb*_xlpm.x_2*(_xlpm.bb*_xlpm.x_2/(_xlpm.bb+2*_xlpm.x_2))^(2/3),_xlpm.x_3,_xlpm.x_2-(_xlpm.g_2-_xlpm.qq)/(_xlpm.g_2*(5/(3*_xlpm.x_2)-4/(3*(_xlpm.bb+2*_xlpm.x_2)))),_xlpm.g_3,_xlpm.kk*_xlpm.bb*_xlpm.x_3*(_xlpm.bb*_xlpm.x_3/(_xlpm.bb+2*_xlpm.x_3))^(2/3),_xlpm.x_4,_xlpm.x_3-(_xlpm.g_3-_xlpm.qq)/(_xlpm.g_3*(5/(3*_xlpm.x_3)-4/(3*(_xlpm.bb+2*_xlpm.x_3)))),_xlpm.g_4,_xlpm.kk*_xlpm.bb*_xlpm.x_4*(_xlpm.bb*_xlpm.x_4/(_xlpm.bb+2*_xlpm.x_4))^(2/3),_xlpm.x_5,_xlpm.x_4-(_xlpm.g_4-_xlpm.qq)/(_xlpm.g_4*(5/(3*_xlpm.x_4)-4/(3*(_xlpm.bb+2*_xlpm.x_4)))),_xlpm.g_5,_xlpm.kk*_xlpm.bb*_xlpm.x_5*(_xlpm.bb*_xlpm.x_5/(_xlpm.bb+2*_xlpm.x_5))^(2/3),_xlpm.x_6,_xlpm.x_5-(_xlpm.g_5-_xlpm.qq)/(_xlpm.g_5*(5/(3*_xlpm.x_5)-4/(3*(_xlpm.bb+2*_xlpm.x_5)))),_xlpm.g_6,_xlpm.kk*_xlpm.bb*_xlpm.x_6*(_xlpm.bb*_xlpm.x_6/(_xlpm.bb+2*_xlpm.x_6))^(2/3),_xlpm.x_7,_xlpm.x_6-(_xlpm.g_6-_xlpm.qq)/(_xlpm.g_6*(5/(3*_xlpm.x_6)-4/(3*(_xlpm.bb+2*_xlpm.x_6)))),_xlpm.g_7,_xlpm.kk*_xlpm.bb*_xlpm.x_7*(_xlpm.bb*_xlpm.x_7/(_xlpm.bb+2*_xlpm.x_7))^(2/3),_xlpm.x_8,_xlpm.x_7-(_xlpm.g_7-_xlpm.qq)/(_xlpm.g_7*(5/(3*_xlpm.x_7)-4/(3*(_xlpm.bb+2*_xlpm.x_7)))),_xlpm.g_8,_xlpm.kk*_xlpm.bb*_xlpm.x_8*(_xlpm.bb*_xlpm.x_8/(_xlpm.bb+2*_xlpm.x_8))^(2/3),_xlpm.x_9,_xlpm.x_8-(_xlpm.g_8-_xlpm.qq)/(_xlpm.g_8*(5/(3*_xlpm.x_8)-4/(3*(_xlpm.bb+2*_xlpm.x_8)))),_xlpm.g_9,_xlpm.kk*_xlpm.bb*_xlpm.x_9*(_xlpm.bb*_xlpm.x_9/(_xlpm.bb+2*_xlpm.x_9))^(2/3),_xlpm.x_10,_xlpm.x_9-(_xlpm.g_9-_xlpm.qq)/(_xlpm.g_9*(5/(3*_xlpm.x_9)-4/(3*(_xlpm.bb+2*_xlpm.x_9)))),MIN(_xlpm.hh,_xlpm.x_10))),"")</f>
        <v>0.99999900000000008</v>
      </c>
      <c r="AU20" s="33">
        <f t="shared" si="35"/>
        <v>3.0944559909360216</v>
      </c>
      <c r="AW20" s="33" t="str">
        <f t="shared" ca="1" si="36"/>
        <v>BTTC</v>
      </c>
      <c r="AY20" s="33">
        <f t="shared" ca="1" si="37"/>
        <v>1</v>
      </c>
      <c r="AZ20" s="33">
        <f t="shared" ca="1" si="38"/>
        <v>1.2</v>
      </c>
      <c r="BA20" s="33" t="str">
        <f ca="1">IFERROR(INDEX(Tabela_DEB!$A$2:$A$12,MATCH(LEFT(AM20,FIND(" ",AM20)-1)&amp;" "&amp;TEXT(VALUE(MID(AM20,FIND("=",AM20)+1,FIND("m",AM20)-FIND("=",AM20)-1))*100,"0"),Tabela_DEB!$E$2:$E$12,0)),"")</f>
        <v>DEB 360-754</v>
      </c>
      <c r="BB20" s="33">
        <f ca="1">IFERROR(IF(IF(OR(ISNUMBER(SEARCH("BSTC",AM20)),ISNUMBER(SEARCH("BDTC",AM20)),ISNUMBER(SEARCH("BTTC",AM20))),"CIRCULAR",IF(OR(ISNUMBER(SEARCH("BSCC",AM20)),ISNUMBER(SEARCH("BDCC",AM20)),ISNUMBER(SEARCH("BTCC",AM20))),"CELULAR",""))="CIRCULAR",_xlfn.LET(_xlpm.qq,(BQ20/BC20)*1,_xlpm.dd,(AZ20)*1,_xlpm.ww,_xlpm.dd-0.0002,_xlpm.f_0,_xlpm.qq^2*_xlpm.dd*SIN(ACOS(1-2*0.0001/_xlpm.dd))-9.81*(_xlpm.dd^2/8*(2*ACOS(1-2*0.0001/_xlpm.dd)-SIN(2*ACOS(1-2*0.0001/_xlpm.dd))))^3,_xlpm.y_1,0.0001+_xlpm.ww/2,_xlpm.f_1,_xlpm.qq^2*_xlpm.dd*SIN(ACOS(1-2*_xlpm.y_1/_xlpm.dd))-9.81*(_xlpm.dd^2/8*(2*ACOS(1-2*_xlpm.y_1/_xlpm.dd)-SIN(2*ACOS(1-2*_xlpm.y_1/_xlpm.dd))))^3,_xlpm.y_2,_xlpm.y_1+IF(ABS(_xlpm.f_1)&lt;0.000001,0,IF(_xlpm.f_0*_xlpm.f_1&lt;0,-_xlpm.ww,_xlpm.ww))/4,_xlpm.f_2,_xlpm.qq^2*_xlpm.dd*SIN(ACOS(1-2*_xlpm.y_2/_xlpm.dd))-9.81*(_xlpm.dd^2/8*(2*ACOS(1-2*_xlpm.y_2/_xlpm.dd)-SIN(2*ACOS(1-2*_xlpm.y_2/_xlpm.dd))))^3,_xlpm.y_3,_xlpm.y_2+IF(ABS(_xlpm.f_2)&lt;0.000001,0,IF(_xlpm.f_0*_xlpm.f_2&lt;0,-_xlpm.ww,_xlpm.ww))/8,_xlpm.f_3,_xlpm.qq^2*_xlpm.dd*SIN(ACOS(1-2*_xlpm.y_3/_xlpm.dd))-9.81*(_xlpm.dd^2/8*(2*ACOS(1-2*_xlpm.y_3/_xlpm.dd)-SIN(2*ACOS(1-2*_xlpm.y_3/_xlpm.dd))))^3,_xlpm.y_4,_xlpm.y_3+IF(ABS(_xlpm.f_3)&lt;0.000001,0,IF(_xlpm.f_0*_xlpm.f_3&lt;0,-_xlpm.ww,_xlpm.ww))/16,_xlpm.f_4,_xlpm.qq^2*_xlpm.dd*SIN(ACOS(1-2*_xlpm.y_4/_xlpm.dd))-9.81*(_xlpm.dd^2/8*(2*ACOS(1-2*_xlpm.y_4/_xlpm.dd)-SIN(2*ACOS(1-2*_xlpm.y_4/_xlpm.dd))))^3,_xlpm.y_5,_xlpm.y_4+IF(ABS(_xlpm.f_4)&lt;0.000001,0,IF(_xlpm.f_0*_xlpm.f_4&lt;0,-_xlpm.ww,_xlpm.ww))/32,_xlpm.f_5,_xlpm.qq^2*_xlpm.dd*SIN(ACOS(1-2*_xlpm.y_5/_xlpm.dd))-9.81*(_xlpm.dd^2/8*(2*ACOS(1-2*_xlpm.y_5/_xlpm.dd)-SIN(2*ACOS(1-2*_xlpm.y_5/_xlpm.dd))))^3,_xlpm.y_6,_xlpm.y_5+IF(ABS(_xlpm.f_5)&lt;0.000001,0,IF(_xlpm.f_0*_xlpm.f_5&lt;0,-_xlpm.ww,_xlpm.ww))/64,_xlpm.f_6,_xlpm.qq^2*_xlpm.dd*SIN(ACOS(1-2*_xlpm.y_6/_xlpm.dd))-9.81*(_xlpm.dd^2/8*(2*ACOS(1-2*_xlpm.y_6/_xlpm.dd)-SIN(2*ACOS(1-2*_xlpm.y_6/_xlpm.dd))))^3,_xlpm.y_7,_xlpm.y_6+IF(ABS(_xlpm.f_6)&lt;0.000001,0,IF(_xlpm.f_0*_xlpm.f_6&lt;0,-_xlpm.ww,_xlpm.ww))/128,_xlpm.f_7,_xlpm.qq^2*_xlpm.dd*SIN(ACOS(1-2*_xlpm.y_7/_xlpm.dd))-9.81*(_xlpm.dd^2/8*(2*ACOS(1-2*_xlpm.y_7/_xlpm.dd)-SIN(2*ACOS(1-2*_xlpm.y_7/_xlpm.dd))))^3,_xlpm.y_8,_xlpm.y_7+IF(ABS(_xlpm.f_7)&lt;0.000001,0,IF(_xlpm.f_0*_xlpm.f_7&lt;0,-_xlpm.ww,_xlpm.ww))/256,_xlpm.f_8,_xlpm.qq^2*_xlpm.dd*SIN(ACOS(1-2*_xlpm.y_8/_xlpm.dd))-9.81*(_xlpm.dd^2/8*(2*ACOS(1-2*_xlpm.y_8/_xlpm.dd)-SIN(2*ACOS(1-2*_xlpm.y_8/_xlpm.dd))))^3,_xlpm.y_9,_xlpm.y_8+IF(ABS(_xlpm.f_8)&lt;0.000001,0,IF(_xlpm.f_0*_xlpm.f_8&lt;0,-_xlpm.ww,_xlpm.ww))/512,_xlpm.f_9,_xlpm.qq^2*_xlpm.dd*SIN(ACOS(1-2*_xlpm.y_9/_xlpm.dd))-9.81*(_xlpm.dd^2/8*(2*ACOS(1-2*_xlpm.y_9/_xlpm.dd)-SIN(2*ACOS(1-2*_xlpm.y_9/_xlpm.dd))))^3,_xlpm.y_10,_xlpm.y_9+IF(ABS(_xlpm.f_9)&lt;0.000001,0,IF(_xlpm.f_0*_xlpm.f_9&lt;0,-_xlpm.ww,_xlpm.ww))/1024,_xlpm.f_10,_xlpm.qq^2*_xlpm.dd*SIN(ACOS(1-2*_xlpm.y_10/_xlpm.dd))-9.81*(_xlpm.dd^2/8*(2*ACOS(1-2*_xlpm.y_10/_xlpm.dd)-SIN(2*ACOS(1-2*_xlpm.y_10/_xlpm.dd))))^3,_xlpm.y_11,_xlpm.y_10+IF(ABS(_xlpm.f_10)&lt;0.000001,0,IF(_xlpm.f_0*_xlpm.f_10&lt;0,-_xlpm.ww,_xlpm.ww))/2048,_xlpm.f_11,_xlpm.qq^2*_xlpm.dd*SIN(ACOS(1-2*_xlpm.y_11/_xlpm.dd))-9.81*(_xlpm.dd^2/8*(2*ACOS(1-2*_xlpm.y_11/_xlpm.dd)-SIN(2*ACOS(1-2*_xlpm.y_11/_xlpm.dd))))^3,_xlpm.y_12,_xlpm.y_11+IF(ABS(_xlpm.f_11)&lt;0.000001,0,IF(_xlpm.f_0*_xlpm.f_11&lt;0,-_xlpm.ww,_xlpm.ww))/4096,_xlpm.f_12,_xlpm.qq^2*_xlpm.dd*SIN(ACOS(1-2*_xlpm.y_12/_xlpm.dd))-9.81*(_xlpm.dd^2/8*(2*ACOS(1-2*_xlpm.y_12/_xlpm.dd)-SIN(2*ACOS(1-2*_xlpm.y_12/_xlpm.dd))))^3,_xlpm.y_13,_xlpm.y_12+IF(ABS(_xlpm.f_12)&lt;0.000001,0,IF(_xlpm.f_0*_xlpm.f_12&lt;0,-_xlpm.ww,_xlpm.ww))/8192,_xlpm.f_13,_xlpm.qq^2*_xlpm.dd*SIN(ACOS(1-2*_xlpm.y_13/_xlpm.dd))-9.81*(_xlpm.dd^2/8*(2*ACOS(1-2*_xlpm.y_13/_xlpm.dd)-SIN(2*ACOS(1-2*_xlpm.y_13/_xlpm.dd))))^3,_xlpm.y_14,_xlpm.y_13+IF(ABS(_xlpm.f_13)&lt;0.000001,0,IF(_xlpm.f_0*_xlpm.f_13&lt;0,-_xlpm.ww,_xlpm.ww))/16384,_xlpm.f_14,_xlpm.qq^2*_xlpm.dd*SIN(ACOS(1-2*_xlpm.y_14/_xlpm.dd))-9.81*(_xlpm.dd^2/8*(2*ACOS(1-2*_xlpm.y_14/_xlpm.dd)-SIN(2*ACOS(1-2*_xlpm.y_14/_xlpm.dd))))^3,_xlpm.y_15,_xlpm.y_14+IF(ABS(_xlpm.f_14)&lt;0.000001,0,IF(_xlpm.f_0*_xlpm.f_14&lt;0,-_xlpm.ww,_xlpm.ww))/32768,_xlpm.f_15,_xlpm.qq^2*_xlpm.dd*SIN(ACOS(1-2*_xlpm.y_15/_xlpm.dd))-9.81*(_xlpm.dd^2/8*(2*ACOS(1-2*_xlpm.y_15/_xlpm.dd)-SIN(2*ACOS(1-2*_xlpm.y_15/_xlpm.dd))))^3,_xlpm.y_16,_xlpm.y_15+IF(ABS(_xlpm.f_15)&lt;0.000001,0,IF(_xlpm.f_0*_xlpm.f_15&lt;0,-_xlpm.ww,_xlpm.ww))/65536,_xlpm.f_16,_xlpm.qq^2*_xlpm.dd*SIN(ACOS(1-2*_xlpm.y_16/_xlpm.dd))-9.81*(_xlpm.dd^2/8*(2*ACOS(1-2*_xlpm.y_16/_xlpm.dd)-SIN(2*ACOS(1-2*_xlpm.y_16/_xlpm.dd))))^3,_xlpm.y_17,_xlpm.y_16+IF(ABS(_xlpm.f_16)&lt;0.000001,0,IF(_xlpm.f_0*_xlpm.f_16&lt;0,-_xlpm.ww,_xlpm.ww))/131072,_xlpm.f_17,_xlpm.qq^2*_xlpm.dd*SIN(ACOS(1-2*_xlpm.y_17/_xlpm.dd))-9.81*(_xlpm.dd^2/8*(2*ACOS(1-2*_xlpm.y_17/_xlpm.dd)-SIN(2*ACOS(1-2*_xlpm.y_17/_xlpm.dd))))^3,_xlpm.y_18,_xlpm.y_17+IF(ABS(_xlpm.f_17)&lt;0.000001,0,IF(_xlpm.f_0*_xlpm.f_17&lt;0,-_xlpm.ww,_xlpm.ww))/262144,_xlpm.f_18,_xlpm.qq^2*_xlpm.dd*SIN(ACOS(1-2*_xlpm.y_18/_xlpm.dd))-9.81*(_xlpm.dd^2/8*(2*ACOS(1-2*_xlpm.y_18/_xlpm.dd)-SIN(2*ACOS(1-2*_xlpm.y_18/_xlpm.dd))))^3,_xlpm.y_19,_xlpm.y_18+IF(ABS(_xlpm.f_18)&lt;0.000001,0,IF(_xlpm.f_0*_xlpm.f_18&lt;0,-_xlpm.ww,_xlpm.ww))/524288,_xlpm.f_19,_xlpm.qq^2*_xlpm.dd*SIN(ACOS(1-2*_xlpm.y_19/_xlpm.dd))-9.81*(_xlpm.dd^2/8*(2*ACOS(1-2*_xlpm.y_19/_xlpm.dd)-SIN(2*ACOS(1-2*_xlpm.y_19/_xlpm.dd))))^3,_xlpm.y_20,_xlpm.y_19+IF(ABS(_xlpm.f_19)&lt;0.000001,0,IF(_xlpm.f_0*_xlpm.f_19&lt;0,-_xlpm.ww,_xlpm.ww))/1048576,_xlpm.f_20,_xlpm.qq^2*_xlpm.dd*SIN(ACOS(1-2*_xlpm.y_20/_xlpm.dd))-9.81*(_xlpm.dd^2/8*(2*ACOS(1-2*_xlpm.y_20/_xlpm.dd)-SIN(2*ACOS(1-2*_xlpm.y_20/_xlpm.dd))))^3,_xlpm.y_21,_xlpm.y_20+IF(ABS(_xlpm.f_20)&lt;0.000001,0,IF(_xlpm.f_0*_xlpm.f_20&lt;0,-_xlpm.ww,_xlpm.ww))/2097152,_xlpm.f_21,_xlpm.qq^2*_xlpm.dd*SIN(ACOS(1-2*_xlpm.y_21/_xlpm.dd))-9.81*(_xlpm.dd^2/8*(2*ACOS(1-2*_xlpm.y_21/_xlpm.dd)-SIN(2*ACOS(1-2*_xlpm.y_21/_xlpm.dd))))^3,_xlpm.y_22,_xlpm.y_21+IF(ABS(_xlpm.f_21)&lt;0.000001,0,IF(_xlpm.f_0*_xlpm.f_21&lt;0,-_xlpm.ww,_xlpm.ww))/4194304,_xlpm.f_22,_xlpm.qq^2*_xlpm.dd*SIN(ACOS(1-2*_xlpm.y_22/_xlpm.dd))-9.81*(_xlpm.dd^2/8*(2*ACOS(1-2*_xlpm.y_22/_xlpm.dd)-SIN(2*ACOS(1-2*_xlpm.y_22/_xlpm.dd))))^3,_xlpm.y_23,_xlpm.y_22+IF(ABS(_xlpm.f_22)&lt;0.000001,0,IF(_xlpm.f_0*_xlpm.f_22&lt;0,-_xlpm.ww,_xlpm.ww))/8388608,_xlpm.f_23,_xlpm.qq^2*_xlpm.dd*SIN(ACOS(1-2*_xlpm.y_23/_xlpm.dd))-9.81*(_xlpm.dd^2/8*(2*ACOS(1-2*_xlpm.y_23/_xlpm.dd)-SIN(2*ACOS(1-2*_xlpm.y_23/_xlpm.dd))))^3,_xlpm.y_24,_xlpm.y_23+IF(ABS(_xlpm.f_23)&lt;0.000001,0,IF(_xlpm.f_0*_xlpm.f_23&lt;0,-_xlpm.ww,_xlpm.ww))/16777216,_xlpm.f_24,_xlpm.qq^2*_xlpm.dd*SIN(ACOS(1-2*_xlpm.y_24/_xlpm.dd))-9.81*(_xlpm.dd^2/8*(2*ACOS(1-2*_xlpm.y_24/_xlpm.dd)-SIN(2*ACOS(1-2*_xlpm.y_24/_xlpm.dd))))^3,_xlpm.y_25,_xlpm.y_24+IF(ABS(_xlpm.f_24)&lt;0.000001,0,IF(_xlpm.f_0*_xlpm.f_24&lt;0,-_xlpm.ww,_xlpm.ww))/33554432,_xlpm.f_25,_xlpm.qq^2*_xlpm.dd*SIN(ACOS(1-2*_xlpm.y_25/_xlpm.dd))-9.81*(_xlpm.dd^2/8*(2*ACOS(1-2*_xlpm.y_25/_xlpm.dd)-SIN(2*ACOS(1-2*_xlpm.y_25/_xlpm.dd))))^3,_xlpm.y_26,_xlpm.y_25+IF(ABS(_xlpm.f_25)&lt;0.000001,0,IF(_xlpm.f_0*_xlpm.f_25&lt;0,-_xlpm.ww,_xlpm.ww))/67108864,_xlpm.y_26),((BQ20/BC20/_xlfn.NUMBERVALUE(SUBSTITUTE(TRIM(MID(AM20,SEARCH("cc",AM20)+3,SEARCH("x",AM20)-SEARCH("cc",AM20)-3)),".",","),",","."))^2/9.80665)^(1/3)),"")</f>
        <v>0.71085860521793354</v>
      </c>
      <c r="BC20" s="117">
        <f t="shared" ref="BC20:BC30" ca="1" si="47">IFERROR(IF(OR(ISNUMBER(FIND("BDTC",AW20)),ISNUMBER(FIND("BDCC",AW20))),2,IF(OR(ISNUMBER(FIND("BTTC",AW20)),ISNUMBER(FIND("BTCC",AW20))),3,IF(OR(ISNUMBER(FIND("BSTC",AW20)),ISNUMBER(FIND("BSCC",AW20))),1,""))),"")</f>
        <v>3</v>
      </c>
      <c r="BE20" s="174">
        <f>'Cadastro das Obras'!U4</f>
        <v>19.902000000000001</v>
      </c>
      <c r="BF20" s="174">
        <f ca="1">'Cadastro das Obras'!V4</f>
        <v>59.706000000000003</v>
      </c>
      <c r="BH20" s="33" t="str">
        <f>'Cadastro das Obras'!T4</f>
        <v>20º</v>
      </c>
      <c r="BJ20" s="117">
        <f>'Cadastro das Obras'!W4</f>
        <v>2.04</v>
      </c>
      <c r="BN20" s="33" t="s">
        <v>231</v>
      </c>
      <c r="BO20" s="30"/>
      <c r="BP20" s="33">
        <f t="shared" ref="BP20:BP30" ca="1" si="48">IFERROR(IF(ISNUMBER(FIND("25 anos",INDIRECT("'"&amp;BN20&amp;"'!"&amp;IF(ISNUMBER(FIND("HUT",BN20)),"U39","Q13")))),25,15),15)</f>
        <v>15</v>
      </c>
      <c r="BQ20" s="33">
        <f ca="1">CHOOSE(MATCH(BP20,{15,25,50,100},0),S20,T20,U20,V20)</f>
        <v>5.0430337754991923</v>
      </c>
      <c r="BR20" s="33">
        <f ca="1">IFERROR(IF(ISNUMBER(FIND("50 anos",INDIRECT("'"&amp;#REF!&amp;"'!"&amp;IF(ISNUMBER(FIND("HUT",#REF!)),"U40","Q14")))),50,25),25)</f>
        <v>25</v>
      </c>
      <c r="BS20" s="33">
        <f ca="1">CHOOSE(MATCH(BR20,{15,25,50,100},0),S20,T20,U20,V20)</f>
        <v>5.5655206967664492</v>
      </c>
      <c r="BU20" s="33">
        <f t="shared" ref="BU20:BU30" ca="1" si="49">IF(RIGHT(AW20,2)="TC",0.739/(AZ20^(1/3)),IF(RIGHT(AW20,2)="CC",0.0585/(AZ20^(1/3))*(3+4*AZ20/AZ20)^(4/3),""))</f>
        <v>0.69542562534307995</v>
      </c>
      <c r="BV20" s="33" t="str">
        <f t="shared" ca="1" si="39"/>
        <v>SUBCRÍTICO</v>
      </c>
      <c r="BW20" s="33" t="str">
        <f t="shared" ref="BW20:BW30" ca="1" si="50">IF(AQ20&gt;=BQ20, "SUFICIENTE")</f>
        <v>SUFICIENTE</v>
      </c>
      <c r="BY20" s="33">
        <f t="shared" ref="BY20:BY30" ca="1" si="51">IF($AW20="","",IF($BZ20="Tubular",$CB20*$AZ20,$CM20))</f>
        <v>0.68412208449304501</v>
      </c>
      <c r="BZ20" s="33" t="str">
        <f t="shared" ref="BZ20:BZ30" ca="1" si="52">IF(MID(AW20,3,1)="T","Tubular","Celular")</f>
        <v>Tubular</v>
      </c>
      <c r="CA20" s="115">
        <f t="shared" ref="CA20:CA30" ca="1" si="53">BQ20/BC20</f>
        <v>1.6810112584997308</v>
      </c>
      <c r="CB20" s="353">
        <f ca="1">IF($AW20="","",IF($BZ20="Tubular",IF($CO20=0,0.01,IF($CO20&gt;=93,1,INDEX('Tab18'!$A$5:$A$97,$CO20)+($CN20-INDEX('Tab18'!$E$5:$E$97,$CO20))*(INDEX('Tab18'!$A$5:$A$97,$CO20+1)-INDEX('Tab18'!$A$5:$A$97,$CO20))/(INDEX('Tab18'!$E$5:$E$97,$CO20+1)-INDEX('Tab18'!$E$5:$E$97,$CO20)))),"-"))</f>
        <v>0.57010173707753753</v>
      </c>
      <c r="CC20" s="33" t="str">
        <f t="shared" ref="CC20:CC30" ca="1" si="54">IF($AW20="","",IF($BZ20="Celular",$CN20^0.6*$AZ20^0.4/$AZ20,"-"))</f>
        <v>-</v>
      </c>
      <c r="CD20" s="33" t="str">
        <f t="shared" ref="CD20:CM20" ca="1" si="55">IF($AW20="","",IF($BZ20="Celular",$CN20^0.6*($AZ20+2*CC20)^0.4/$AZ20,"-"))</f>
        <v>-</v>
      </c>
      <c r="CE20" s="33" t="str">
        <f t="shared" ca="1" si="55"/>
        <v>-</v>
      </c>
      <c r="CF20" s="33" t="str">
        <f t="shared" ca="1" si="55"/>
        <v>-</v>
      </c>
      <c r="CG20" s="33" t="str">
        <f t="shared" ca="1" si="55"/>
        <v>-</v>
      </c>
      <c r="CH20" s="33" t="str">
        <f t="shared" ca="1" si="55"/>
        <v>-</v>
      </c>
      <c r="CI20" s="33" t="str">
        <f t="shared" ca="1" si="55"/>
        <v>-</v>
      </c>
      <c r="CJ20" s="33" t="str">
        <f t="shared" ca="1" si="55"/>
        <v>-</v>
      </c>
      <c r="CK20" s="33" t="str">
        <f t="shared" ca="1" si="55"/>
        <v>-</v>
      </c>
      <c r="CL20" s="33" t="str">
        <f t="shared" ca="1" si="55"/>
        <v>-</v>
      </c>
      <c r="CM20" s="33" t="str">
        <f t="shared" ca="1" si="55"/>
        <v>-</v>
      </c>
      <c r="CN20" s="352">
        <f t="shared" ref="CN20:CN30" ca="1" si="56">IF($AW20="","",IF($BZ20="Tubular",$CA20*$AS20/($AZ20^(8/3)*SQRT($X20)),$CA20*$AS20/SQRT($X20)))</f>
        <v>0.19335493802187029</v>
      </c>
      <c r="CO20" s="174">
        <f ca="1">IF($AW20="","",IF($BZ20="Tubular",IFERROR(MATCH($CN20,'Tab18'!$E$5:$E$97,1),0),"-"))</f>
        <v>57</v>
      </c>
      <c r="CP20" s="33">
        <f ca="1">IF($AW20="","",IF($BZ20="Tubular",IF($CB20&gt;=1,'Tab18'!$D$104,INDEX('Tab18'!$D$5:$D$104,MATCH($CB20,'Tab18'!$A$5:$A$104,1))+($CB20-INDEX('Tab18'!$A$5:$A$104,MATCH($CB20,'Tab18'!$A$5:$A$104,1)))*(INDEX('Tab18'!$D$5:$D$104,MATCH($CB20,'Tab18'!$A$5:$A$104,1)+1)-INDEX('Tab18'!$D$5:$D$104,MATCH($CB20,'Tab18'!$A$5:$A$104,1)))/(INDEX('Tab18'!$A$5:$A$104,MATCH($CB20,'Tab18'!$A$5:$A$104,1)+1)-INDEX('Tab18'!$A$5:$A$104,MATCH($CB20,'Tab18'!$A$5:$A$104,1)))),($AZ20*$BY20/($AZ20+2*$BY20))^(2/3)))</f>
        <v>0.41802645164015978</v>
      </c>
    </row>
    <row r="21" spans="2:94" s="33" customFormat="1" ht="81.75" customHeight="1">
      <c r="B21" s="362" t="str" cm="1">
        <f t="array" aca="1" ref="B21" ca="1">IFERROR(INDIRECT("'"&amp;BN21&amp;"'!F10"),"")</f>
        <v>BC03</v>
      </c>
      <c r="C21" s="362" t="s">
        <v>238</v>
      </c>
      <c r="D21" s="363" t="str">
        <f ca="1">IFERROR(INDIRECT("'"&amp;BN21&amp;"'!E3"),"")</f>
        <v>148</v>
      </c>
      <c r="E21" s="363" t="str">
        <f ca="1">IFERROR(INDIRECT("'"&amp;BN21&amp;"'!F3"),"")</f>
        <v>+</v>
      </c>
      <c r="F21" s="363">
        <f ca="1">IFERROR(INDIRECT("'"&amp;BN21&amp;"'!G3"),"")</f>
        <v>7.27</v>
      </c>
      <c r="G21" s="364"/>
      <c r="H21" s="365">
        <f ca="1">IFERROR(INDIRECT("'"&amp;BN21&amp;"'!E6"),"")</f>
        <v>5.5221223872321046</v>
      </c>
      <c r="I21" s="365">
        <f ca="1">IFERROR(INDIRECT("'"&amp;BN21&amp;"'!E7"),"")</f>
        <v>4.4800612135541158</v>
      </c>
      <c r="J21" s="365">
        <f t="shared" ca="1" si="30"/>
        <v>520</v>
      </c>
      <c r="K21" s="365">
        <f ca="1">IFERROR(INDIRECT("'"&amp;BN21&amp;"'!E9"),"")</f>
        <v>5.1960505735787459</v>
      </c>
      <c r="L21" s="365">
        <f ca="1">IFERROR(INDIRECT("'"&amp;BN21&amp;"'!O9"),"")</f>
        <v>0.99267344539695856</v>
      </c>
      <c r="M21" s="365">
        <f ca="1">IFERROR(INDIRECT("'"&amp;BN21&amp;"'!O8"),"")</f>
        <v>0.35000000000000003</v>
      </c>
      <c r="N21" s="366" t="str">
        <f t="shared" ca="1" si="41"/>
        <v>RAC MOD</v>
      </c>
      <c r="O21" s="365">
        <f ca="1">IFERROR(INDIRECT("'"&amp;BN21&amp;"'!n14"),"")</f>
        <v>1.3966581035841499</v>
      </c>
      <c r="P21" s="365">
        <f ca="1">IFERROR(INDIRECT("'"&amp;BN21&amp;"'!n15"),"")</f>
        <v>1.5397955222635182</v>
      </c>
      <c r="Q21" s="365">
        <f ca="1">IFERROR(INDIRECT("'"&amp;BN21&amp;"'!N16"),"")</f>
        <v>1.7261033574353839</v>
      </c>
      <c r="R21" s="365">
        <f ca="1">IFERROR(INDIRECT("'"&amp;BN21&amp;"'!N17"),"")</f>
        <v>1.9070110957606778</v>
      </c>
      <c r="S21" s="365">
        <f ca="1">IFERROR(INDIRECT("'"&amp;BN21&amp;"'!M20"),"")</f>
        <v>31.277294606493893</v>
      </c>
      <c r="T21" s="365">
        <f ca="1">IFERROR(INDIRECT("'"&amp;BN21&amp;"'!M21"),"")</f>
        <v>34.482768588822687</v>
      </c>
      <c r="U21" s="365">
        <f ca="1">IFERROR(INDIRECT("'"&amp;BN21&amp;"'!M22"),"")</f>
        <v>38.655017354082119</v>
      </c>
      <c r="V21" s="365">
        <f ca="1">IFERROR(INDIRECT("'"&amp;BN21&amp;"'!M23"),"")</f>
        <v>42.706334289611441</v>
      </c>
      <c r="W21" s="365">
        <f t="shared" ca="1" si="42"/>
        <v>3.5999999999999996</v>
      </c>
      <c r="X21" s="367">
        <f>'Cadastro das Obras'!Q5</f>
        <v>7.1152358855392445E-3</v>
      </c>
      <c r="Y21" s="368">
        <f t="shared" ca="1" si="31"/>
        <v>7.1893822848679001</v>
      </c>
      <c r="Z21" s="365">
        <f ca="1">_xlfn.LET(_xlpm.aa,(Y21)*1,_xlpm.dd,(AY21)*1,_xlpm.ww,2*PI()-0.000002,_xlpm.t_1,0.000001+_xlpm.ww/2,_xlpm.t_2,_xlpm.t_1+IF(_xlpm.dd^2/8*(_xlpm.t_1-SIN(_xlpm.t_1))&lt;_xlpm.aa,_xlpm.ww,-_xlpm.ww)/4,_xlpm.t_3,_xlpm.t_2+IF(_xlpm.dd^2/8*(_xlpm.t_2-SIN(_xlpm.t_2))&lt;_xlpm.aa,_xlpm.ww,-_xlpm.ww)/8,_xlpm.t_4,_xlpm.t_3+IF(_xlpm.dd^2/8*(_xlpm.t_3-SIN(_xlpm.t_3))&lt;_xlpm.aa,_xlpm.ww,-_xlpm.ww)/16,_xlpm.t_5,_xlpm.t_4+IF(_xlpm.dd^2/8*(_xlpm.t_4-SIN(_xlpm.t_4))&lt;_xlpm.aa,_xlpm.ww,-_xlpm.ww)/32,_xlpm.t_6,_xlpm.t_5+IF(_xlpm.dd^2/8*(_xlpm.t_5-SIN(_xlpm.t_5))&lt;_xlpm.aa,_xlpm.ww,-_xlpm.ww)/64,_xlpm.t_7,_xlpm.t_6+IF(_xlpm.dd^2/8*(_xlpm.t_6-SIN(_xlpm.t_6))&lt;_xlpm.aa,_xlpm.ww,-_xlpm.ww)/128,_xlpm.t_8,_xlpm.t_7+IF(_xlpm.dd^2/8*(_xlpm.t_7-SIN(_xlpm.t_7))&lt;_xlpm.aa,_xlpm.ww,-_xlpm.ww)/256,_xlpm.t_9,_xlpm.t_8+IF(_xlpm.dd^2/8*(_xlpm.t_8-SIN(_xlpm.t_8))&lt;_xlpm.aa,_xlpm.ww,-_xlpm.ww)/512,_xlpm.t_10,_xlpm.t_9+IF(_xlpm.dd^2/8*(_xlpm.t_9-SIN(_xlpm.t_9))&lt;_xlpm.aa,_xlpm.ww,-_xlpm.ww)/1024,_xlpm.t_11,_xlpm.t_10+IF(_xlpm.dd^2/8*(_xlpm.t_10-SIN(_xlpm.t_10))&lt;_xlpm.aa,_xlpm.ww,-_xlpm.ww)/2048,_xlpm.t_12,_xlpm.t_11+IF(_xlpm.dd^2/8*(_xlpm.t_11-SIN(_xlpm.t_11))&lt;_xlpm.aa,_xlpm.ww,-_xlpm.ww)/4096,_xlpm.t_13,_xlpm.t_12+IF(_xlpm.dd^2/8*(_xlpm.t_12-SIN(_xlpm.t_12))&lt;_xlpm.aa,_xlpm.ww,-_xlpm.ww)/8192,_xlpm.t_14,_xlpm.t_13+IF(_xlpm.dd^2/8*(_xlpm.t_13-SIN(_xlpm.t_13))&lt;_xlpm.aa,_xlpm.ww,-_xlpm.ww)/16384,_xlpm.t_15,_xlpm.t_14+IF(_xlpm.dd^2/8*(_xlpm.t_14-SIN(_xlpm.t_14))&lt;_xlpm.aa,_xlpm.ww,-_xlpm.ww)/32768,_xlpm.t_16,_xlpm.t_15+IF(_xlpm.dd^2/8*(_xlpm.t_15-SIN(_xlpm.t_15))&lt;_xlpm.aa,_xlpm.ww,-_xlpm.ww)/65536,_xlpm.t_17,_xlpm.t_16+IF(_xlpm.dd^2/8*(_xlpm.t_16-SIN(_xlpm.t_16))&lt;_xlpm.aa,_xlpm.ww,-_xlpm.ww)/131072,_xlpm.t_18,_xlpm.t_17+IF(_xlpm.dd^2/8*(_xlpm.t_17-SIN(_xlpm.t_17))&lt;_xlpm.aa,_xlpm.ww,-_xlpm.ww)/262144,_xlpm.t_19,_xlpm.t_18+IF(_xlpm.dd^2/8*(_xlpm.t_18-SIN(_xlpm.t_18))&lt;_xlpm.aa,_xlpm.ww,-_xlpm.ww)/524288,_xlpm.t_20,_xlpm.t_19+IF(_xlpm.dd^2/8*(_xlpm.t_19-SIN(_xlpm.t_19))&lt;_xlpm.aa,_xlpm.ww,-_xlpm.ww)/1048576,_xlpm.t_21,_xlpm.t_20+IF(_xlpm.dd^2/8*(_xlpm.t_20-SIN(_xlpm.t_20))&lt;_xlpm.aa,_xlpm.ww,-_xlpm.ww)/2097152,_xlpm.t_22,_xlpm.t_21+IF(_xlpm.dd^2/8*(_xlpm.t_21-SIN(_xlpm.t_21))&lt;_xlpm.aa,_xlpm.ww,-_xlpm.ww)/4194304,_xlpm.t_23,_xlpm.t_22+IF(_xlpm.dd^2/8*(_xlpm.t_22-SIN(_xlpm.t_22))&lt;_xlpm.aa,_xlpm.ww,-_xlpm.ww)/8388608,_xlpm.t_24,_xlpm.t_23+IF(_xlpm.dd^2/8*(_xlpm.t_23-SIN(_xlpm.t_23))&lt;_xlpm.aa,_xlpm.ww,-_xlpm.ww)/16777216,_xlpm.t_25,_xlpm.t_24+IF(_xlpm.dd^2/8*(_xlpm.t_24-SIN(_xlpm.t_24))&lt;_xlpm.aa,_xlpm.ww,-_xlpm.ww)/33554432,_xlpm.t_26,_xlpm.t_25+IF(_xlpm.dd^2/8*(_xlpm.t_25-SIN(_xlpm.t_25))&lt;_xlpm.aa,_xlpm.ww,-_xlpm.ww)/67108864,IF(OR(_xlpm.aa&lt;=0,_xlpm.dd&lt;=0),#VALUE!,_xlpm.dd/2*IF(_xlpm.t_26&gt;0.000001+_xlpm.ww*(1-1.5/2^26),0.000001+_xlpm.ww,_xlpm.t_26)))</f>
        <v>9.4247764607693796</v>
      </c>
      <c r="AA21" s="365">
        <v>0.74099999999999999</v>
      </c>
      <c r="AB21" s="365">
        <v>2.1829999999999998</v>
      </c>
      <c r="AC21" s="365">
        <f t="shared" ca="1" si="32"/>
        <v>0.34318765669677848</v>
      </c>
      <c r="AD21" s="365">
        <f t="shared" si="43"/>
        <v>0.33944113605130555</v>
      </c>
      <c r="AE21" s="368">
        <f ca="1">IFERROR(IF(IF(OR(ISNUMBER(SEARCH("BSTC",AM21)),ISNUMBER(SEARCH("BDTC",AM21)),ISNUMBER(SEARCH("BTTC",AM21))),"CIRCULAR",IF(OR(ISNUMBER(SEARCH("BSCC",AM21)),ISNUMBER(SEARCH("BDCC",AM21)),ISNUMBER(SEARCH("BTCC",AM21))),"CELULAR",""))="CIRCULAR",AG21/SQRT(9.80665*(AA21/(AZ21*SIN((2*ACOS(1-2*AH21/AZ21))/2)))),AG21/SQRT(9.80665*AH21)),"")</f>
        <v>1.3907025273819718</v>
      </c>
      <c r="AF21" s="365" t="str">
        <f t="shared" ca="1" si="44"/>
        <v>Supercrítico</v>
      </c>
      <c r="AG21" s="368">
        <f t="shared" ca="1" si="45"/>
        <v>4.418969853003512</v>
      </c>
      <c r="AH21" s="368">
        <f ca="1">IFERROR(IF(IF(OR(ISNUMBER(SEARCH("BSTC",AM21)),ISNUMBER(SEARCH("BDTC",AM21)),ISNUMBER(SEARCH("BTTC",AM21))),"CIRCULAR",IF(OR(ISNUMBER(SEARCH("BSCC",AM21)),ISNUMBER(SEARCH("BDCC",AM21)),ISNUMBER(SEARCH("BTCC",AM21))),"CELULAR",""))="CIRCULAR",_xlfn.LET(_xlpm.qq,(15/3)*1,_xlpm.dd,(AZ21)*1,_xlpm.ss,(X21)*1,_xlpm.nn,(0.015)*1,_xlpm.rr,_xlpm.dd/2,_xlpm.ww,_xlpm.dd-0.000002,_xlpm.zz,(_xlpm.qq*_xlpm.nn/SQRT(_xlpm.ss))^3*_xlpm.rr^2/(_xlpm.dd^2/8)^5,_xlpm.h_1,0.000001+_xlpm.ww/2,_xlpm.u_1,2*ACOS(1-_xlpm.h_1/_xlpm.rr),_xlpm.h_2,_xlpm.h_1+IF((_xlpm.u_1-SIN(_xlpm.u_1))^5&lt;_xlpm.zz*_xlpm.u_1^2,_xlpm.ww,-_xlpm.ww)/4,_xlpm.u_2,2*ACOS(1-_xlpm.h_2/_xlpm.rr),_xlpm.h_3,_xlpm.h_2+IF((_xlpm.u_2-SIN(_xlpm.u_2))^5&lt;_xlpm.zz*_xlpm.u_2^2,_xlpm.ww,-_xlpm.ww)/8,_xlpm.u_3,2*ACOS(1-_xlpm.h_3/_xlpm.rr),_xlpm.h_4,_xlpm.h_3+IF((_xlpm.u_3-SIN(_xlpm.u_3))^5&lt;_xlpm.zz*_xlpm.u_3^2,_xlpm.ww,-_xlpm.ww)/16,_xlpm.u_4,2*ACOS(1-_xlpm.h_4/_xlpm.rr),_xlpm.h_5,_xlpm.h_4+IF((_xlpm.u_4-SIN(_xlpm.u_4))^5&lt;_xlpm.zz*_xlpm.u_4^2,_xlpm.ww,-_xlpm.ww)/32,_xlpm.u_5,2*ACOS(1-_xlpm.h_5/_xlpm.rr),_xlpm.h_6,_xlpm.h_5+IF((_xlpm.u_5-SIN(_xlpm.u_5))^5&lt;_xlpm.zz*_xlpm.u_5^2,_xlpm.ww,-_xlpm.ww)/64,_xlpm.u_6,2*ACOS(1-_xlpm.h_6/_xlpm.rr),_xlpm.h_7,_xlpm.h_6+IF((_xlpm.u_6-SIN(_xlpm.u_6))^5&lt;_xlpm.zz*_xlpm.u_6^2,_xlpm.ww,-_xlpm.ww)/128,_xlpm.u_7,2*ACOS(1-_xlpm.h_7/_xlpm.rr),_xlpm.h_8,_xlpm.h_7+IF((_xlpm.u_7-SIN(_xlpm.u_7))^5&lt;_xlpm.zz*_xlpm.u_7^2,_xlpm.ww,-_xlpm.ww)/256,_xlpm.u_8,2*ACOS(1-_xlpm.h_8/_xlpm.rr),_xlpm.h_9,_xlpm.h_8+IF((_xlpm.u_8-SIN(_xlpm.u_8))^5&lt;_xlpm.zz*_xlpm.u_8^2,_xlpm.ww,-_xlpm.ww)/512,_xlpm.u_9,2*ACOS(1-_xlpm.h_9/_xlpm.rr),_xlpm.h_10,_xlpm.h_9+IF((_xlpm.u_9-SIN(_xlpm.u_9))^5&lt;_xlpm.zz*_xlpm.u_9^2,_xlpm.ww,-_xlpm.ww)/1024,_xlpm.u_10,2*ACOS(1-_xlpm.h_10/_xlpm.rr),_xlpm.h_11,_xlpm.h_10+IF((_xlpm.u_10-SIN(_xlpm.u_10))^5&lt;_xlpm.zz*_xlpm.u_10^2,_xlpm.ww,-_xlpm.ww)/2048,_xlpm.u_11,2*ACOS(1-_xlpm.h_11/_xlpm.rr),_xlpm.h_12,_xlpm.h_11+IF((_xlpm.u_11-SIN(_xlpm.u_11))^5&lt;_xlpm.zz*_xlpm.u_11^2,_xlpm.ww,-_xlpm.ww)/4096,_xlpm.u_12,2*ACOS(1-_xlpm.h_12/_xlpm.rr),_xlpm.h_13,_xlpm.h_12+IF((_xlpm.u_12-SIN(_xlpm.u_12))^5&lt;_xlpm.zz*_xlpm.u_12^2,_xlpm.ww,-_xlpm.ww)/8192,_xlpm.u_13,2*ACOS(1-_xlpm.h_13/_xlpm.rr),_xlpm.h_14,_xlpm.h_13+IF((_xlpm.u_13-SIN(_xlpm.u_13))^5&lt;_xlpm.zz*_xlpm.u_13^2,_xlpm.ww,-_xlpm.ww)/16384,_xlpm.u_14,2*ACOS(1-_xlpm.h_14/_xlpm.rr),_xlpm.h_15,_xlpm.h_14+IF((_xlpm.u_14-SIN(_xlpm.u_14))^5&lt;_xlpm.zz*_xlpm.u_14^2,_xlpm.ww,-_xlpm.ww)/32768,_xlpm.u_15,2*ACOS(1-_xlpm.h_15/_xlpm.rr),_xlpm.h_16,_xlpm.h_15+IF((_xlpm.u_15-SIN(_xlpm.u_15))^5&lt;_xlpm.zz*_xlpm.u_15^2,_xlpm.ww,-_xlpm.ww)/65536,_xlpm.u_16,2*ACOS(1-_xlpm.h_16/_xlpm.rr),_xlpm.h_17,_xlpm.h_16+IF((_xlpm.u_16-SIN(_xlpm.u_16))^5&lt;_xlpm.zz*_xlpm.u_16^2,_xlpm.ww,-_xlpm.ww)/131072,_xlpm.u_17,2*ACOS(1-_xlpm.h_17/_xlpm.rr),_xlpm.h_18,_xlpm.h_17+IF((_xlpm.u_17-SIN(_xlpm.u_17))^5&lt;_xlpm.zz*_xlpm.u_17^2,_xlpm.ww,-_xlpm.ww)/262144,_xlpm.u_18,2*ACOS(1-_xlpm.h_18/_xlpm.rr),_xlpm.h_19,_xlpm.h_18+IF((_xlpm.u_18-SIN(_xlpm.u_18))^5&lt;_xlpm.zz*_xlpm.u_18^2,_xlpm.ww,-_xlpm.ww)/524288,_xlpm.u_19,2*ACOS(1-_xlpm.h_19/_xlpm.rr),_xlpm.h_20,_xlpm.h_19+IF((_xlpm.u_19-SIN(_xlpm.u_19))^5&lt;_xlpm.zz*_xlpm.u_19^2,_xlpm.ww,-_xlpm.ww)/1048576,_xlpm.u_20,2*ACOS(1-_xlpm.h_20/_xlpm.rr),_xlpm.h_21,_xlpm.h_20+IF((_xlpm.u_20-SIN(_xlpm.u_20))^5&lt;_xlpm.zz*_xlpm.u_20^2,_xlpm.ww,-_xlpm.ww)/2097152,_xlpm.u_21,2*ACOS(1-_xlpm.h_21/_xlpm.rr),_xlpm.h_22,_xlpm.h_21+IF((_xlpm.u_21-SIN(_xlpm.u_21))^5&lt;_xlpm.zz*_xlpm.u_21^2,_xlpm.ww,-_xlpm.ww)/4194304,_xlpm.u_22,2*ACOS(1-_xlpm.h_22/_xlpm.rr),_xlpm.h_23,_xlpm.h_22+IF((_xlpm.u_22-SIN(_xlpm.u_22))^5&lt;_xlpm.zz*_xlpm.u_22^2,_xlpm.ww,-_xlpm.ww)/8388608,_xlpm.u_23,2*ACOS(1-_xlpm.h_23/_xlpm.rr),_xlpm.h_24,_xlpm.h_23+IF((_xlpm.u_23-SIN(_xlpm.u_23))^5&lt;_xlpm.zz*_xlpm.u_23^2,_xlpm.ww,-_xlpm.ww)/16777216,_xlpm.u_24,2*ACOS(1-_xlpm.h_24/_xlpm.rr),_xlpm.h_25,_xlpm.h_24+IF((_xlpm.u_24-SIN(_xlpm.u_24))^5&lt;_xlpm.zz*_xlpm.u_24^2,_xlpm.ww,-_xlpm.ww)/33554432,_xlpm.u_25,2*ACOS(1-_xlpm.h_25/_xlpm.rr),_xlpm.h_26,_xlpm.h_25+IF((_xlpm.u_25-SIN(_xlpm.u_25))^5&lt;_xlpm.zz*_xlpm.u_25^2,_xlpm.ww,-_xlpm.ww)/67108864,IF(OR(_xlpm.qq&lt;=0,_xlpm.dd&lt;=0,_xlpm.ss&lt;=0,_xlpm.nn&lt;=0),#VALUE!,IF(_xlpm.h_26&gt;0.000001+_xlpm.ww*(1-1.5/2^26),0.000001+_xlpm.ww,_xlpm.h_26))),_xlfn.LET(_xlpm.ob,AM21,_xlpm.ss,(X21)*1,_xlpm.nn,(0.015)*1,_xlpm.qq,(BP21)*1/IF(OR(ISNUMBER(SEARCH("BSTC",_xlpm.ob)),ISNUMBER(SEARCH("BSCC",_xlpm.ob))),1,IF(OR(ISNUMBER(SEARCH("BDTC",_xlpm.ob)),ISNUMBER(SEARCH("BDCC",_xlpm.ob))),2,IF(OR(ISNUMBER(SEARCH("BTTC",_xlpm.ob)),ISNUMBER(SEARCH("BTCC",_xlpm.ob))),3,#VALUE!))),_xlpm.bb,_xlfn.NUMBERVALUE(SUBSTITUTE(TRIM(MID(_xlpm.ob,SEARCH("cc",_xlpm.ob)+3,SEARCH("x",_xlpm.ob)-SEARCH("cc",_xlpm.ob)-3)),".",","),",","."),_xlpm.hh,_xlfn.NUMBERVALUE(SUBSTITUTE(TRIM(MID(_xlpm.ob,SEARCH("x",_xlpm.ob)+1,SEARCH("m",_xlpm.ob,SEARCH("x",_xlpm.ob))-SEARCH("x",_xlpm.ob)-1)),".",","),",","."),_xlpm.kk,SQRT(_xlpm.ss)/_xlpm.nn,_xlpm.x_0,_xlpm.hh,_xlpm.g_0,_xlpm.kk*_xlpm.bb*_xlpm.x_0*(_xlpm.bb*_xlpm.x_0/(_xlpm.bb+2*_xlpm.x_0))^(2/3),_xlpm.x_1,_xlpm.x_0-(_xlpm.g_0-_xlpm.qq)/(_xlpm.g_0*(5/(3*_xlpm.x_0)-4/(3*(_xlpm.bb+2*_xlpm.x_0)))),_xlpm.g_1,_xlpm.kk*_xlpm.bb*_xlpm.x_1*(_xlpm.bb*_xlpm.x_1/(_xlpm.bb+2*_xlpm.x_1))^(2/3),_xlpm.x_2,_xlpm.x_1-(_xlpm.g_1-_xlpm.qq)/(_xlpm.g_1*(5/(3*_xlpm.x_1)-4/(3*(_xlpm.bb+2*_xlpm.x_1)))),_xlpm.g_2,_xlpm.kk*_xlpm.bb*_xlpm.x_2*(_xlpm.bb*_xlpm.x_2/(_xlpm.bb+2*_xlpm.x_2))^(2/3),_xlpm.x_3,_xlpm.x_2-(_xlpm.g_2-_xlpm.qq)/(_xlpm.g_2*(5/(3*_xlpm.x_2)-4/(3*(_xlpm.bb+2*_xlpm.x_2)))),_xlpm.g_3,_xlpm.kk*_xlpm.bb*_xlpm.x_3*(_xlpm.bb*_xlpm.x_3/(_xlpm.bb+2*_xlpm.x_3))^(2/3),_xlpm.x_4,_xlpm.x_3-(_xlpm.g_3-_xlpm.qq)/(_xlpm.g_3*(5/(3*_xlpm.x_3)-4/(3*(_xlpm.bb+2*_xlpm.x_3)))),_xlpm.g_4,_xlpm.kk*_xlpm.bb*_xlpm.x_4*(_xlpm.bb*_xlpm.x_4/(_xlpm.bb+2*_xlpm.x_4))^(2/3),_xlpm.x_5,_xlpm.x_4-(_xlpm.g_4-_xlpm.qq)/(_xlpm.g_4*(5/(3*_xlpm.x_4)-4/(3*(_xlpm.bb+2*_xlpm.x_4)))),_xlpm.g_5,_xlpm.kk*_xlpm.bb*_xlpm.x_5*(_xlpm.bb*_xlpm.x_5/(_xlpm.bb+2*_xlpm.x_5))^(2/3),_xlpm.x_6,_xlpm.x_5-(_xlpm.g_5-_xlpm.qq)/(_xlpm.g_5*(5/(3*_xlpm.x_5)-4/(3*(_xlpm.bb+2*_xlpm.x_5)))),_xlpm.g_6,_xlpm.kk*_xlpm.bb*_xlpm.x_6*(_xlpm.bb*_xlpm.x_6/(_xlpm.bb+2*_xlpm.x_6))^(2/3),_xlpm.x_7,_xlpm.x_6-(_xlpm.g_6-_xlpm.qq)/(_xlpm.g_6*(5/(3*_xlpm.x_6)-4/(3*(_xlpm.bb+2*_xlpm.x_6)))),_xlpm.g_7,_xlpm.kk*_xlpm.bb*_xlpm.x_7*(_xlpm.bb*_xlpm.x_7/(_xlpm.bb+2*_xlpm.x_7))^(2/3),_xlpm.x_8,_xlpm.x_7-(_xlpm.g_7-_xlpm.qq)/(_xlpm.g_7*(5/(3*_xlpm.x_7)-4/(3*(_xlpm.bb+2*_xlpm.x_7)))),_xlpm.g_8,_xlpm.kk*_xlpm.bb*_xlpm.x_8*(_xlpm.bb*_xlpm.x_8/(_xlpm.bb+2*_xlpm.x_8))^(2/3),_xlpm.x_9,_xlpm.x_8-(_xlpm.g_8-_xlpm.qq)/(_xlpm.g_8*(5/(3*_xlpm.x_8)-4/(3*(_xlpm.bb+2*_xlpm.x_8)))),_xlpm.g_9,_xlpm.kk*_xlpm.bb*_xlpm.x_9*(_xlpm.bb*_xlpm.x_9/(_xlpm.bb+2*_xlpm.x_9))^(2/3),_xlpm.x_10,_xlpm.x_9-(_xlpm.g_9-_xlpm.qq)/(_xlpm.g_9*(5/(3*_xlpm.x_9)-4/(3*(_xlpm.bb+2*_xlpm.x_9)))),MIN(_xlpm.hh,_xlpm.x_10))),"")</f>
        <v>1.0295629700903355</v>
      </c>
      <c r="AI21" s="368">
        <f ca="1">IFERROR(
  IF(
    IF(OR(ISNUMBER(SEARCH("BSTC",AM21)),ISNUMBER(SEARCH("BDTC",AM21)),ISNUMBER(SEARCH("BTTC",AM21))),"CIRCULAR",IF(OR(ISNUMBER(SEARCH("BSCC",AM21)),ISNUMBER(SEARCH("BDCC",AM21)),ISNUMBER(SEARCH("BTCC",AM21))),"CELULAR",""))="CIRCULAR",
    (3/2)*(((AZ21^2/8)*((2*ACOS(1-2*BB21/AZ21))-SIN(2*ACOS(1-2*BB21/AZ21))))/(AZ21*SIN((2*ACOS(1-2*BB21/AZ21))/2))),
    (3/2)*BB21
  ),
  ""
)</f>
        <v>2.2484588928084901</v>
      </c>
      <c r="AJ21" s="368">
        <f t="shared" ca="1" si="46"/>
        <v>0.73490377733213874</v>
      </c>
      <c r="AK21" s="369" t="s">
        <v>364</v>
      </c>
      <c r="AL21" s="370" t="str">
        <f ca="1">IFERROR(INDIRECT("'"&amp;BN21&amp;"'!J26"),"")</f>
        <v>BSCC 3,00 x 3,00m</v>
      </c>
      <c r="AM21" s="373" t="str">
        <f ca="1">IFERROR(INDIRECT("'"&amp;BN21&amp;"'!J31"),"")</f>
        <v>BDCC 3,00 x 3,00m</v>
      </c>
      <c r="AN21" s="371" t="s">
        <v>25</v>
      </c>
      <c r="AO21" s="371" t="s">
        <v>25</v>
      </c>
      <c r="AP21" s="371" t="s">
        <v>373</v>
      </c>
      <c r="AQ21" s="117">
        <f t="shared" ca="1" si="33"/>
        <v>53.15663928428885</v>
      </c>
      <c r="AR21" s="31">
        <f t="shared" ca="1" si="34"/>
        <v>0.76281727368216057</v>
      </c>
      <c r="AS21" s="93">
        <v>1.4999999999999999E-2</v>
      </c>
      <c r="AT21" s="33">
        <f ca="1">IFERROR(IF(IF(OR(ISNUMBER(SEARCH("BSTC",AL21)),ISNUMBER(SEARCH("BDTC",AL21)),ISNUMBER(SEARCH("BTTC",AL21))),"CIRCULAR",IF(OR(ISNUMBER(SEARCH("BSCC",AL21)),ISNUMBER(SEARCH("BDCC",AL21)),ISNUMBER(SEARCH("BTCC",AL21))),"CELULAR",""))="CIRCULAR",_xlfn.LET(_xlpm.qq,(BS21/(IFERROR(IF(OR(ISNUMBER(FIND("BDTC",AL21)),ISNUMBER(FIND("BDCC",AL21))),2,IF(OR(ISNUMBER(FIND("BTTC",AL21)),ISNUMBER(FIND("BTCC",AL21))),3,IF(OR(ISNUMBER(FIND("BSTC",AL21)),ISNUMBER(FIND("BSCC",AL21))),1,""))),"")))*1,_xlpm.dd,(AY21)*1,_xlpm.ss,(X21)*1,_xlpm.nn,(0.015)*1,_xlpm.rr,_xlpm.dd/2,_xlpm.ww,_xlpm.dd-0.000002,_xlpm.zz,(_xlpm.qq*_xlpm.nn/SQRT(_xlpm.ss))^3*_xlpm.rr^2/(_xlpm.dd^2/8)^5,_xlpm.h_1,0.000001+_xlpm.ww/2,_xlpm.u_1,2*ACOS(1-_xlpm.h_1/_xlpm.rr),_xlpm.h_2,_xlpm.h_1+IF((_xlpm.u_1-SIN(_xlpm.u_1))^5&lt;_xlpm.zz*_xlpm.u_1^2,_xlpm.ww,-_xlpm.ww)/4,_xlpm.u_2,2*ACOS(1-_xlpm.h_2/_xlpm.rr),_xlpm.h_3,_xlpm.h_2+IF((_xlpm.u_2-SIN(_xlpm.u_2))^5&lt;_xlpm.zz*_xlpm.u_2^2,_xlpm.ww,-_xlpm.ww)/8,_xlpm.u_3,2*ACOS(1-_xlpm.h_3/_xlpm.rr),_xlpm.h_4,_xlpm.h_3+IF((_xlpm.u_3-SIN(_xlpm.u_3))^5&lt;_xlpm.zz*_xlpm.u_3^2,_xlpm.ww,-_xlpm.ww)/16,_xlpm.u_4,2*ACOS(1-_xlpm.h_4/_xlpm.rr),_xlpm.h_5,_xlpm.h_4+IF((_xlpm.u_4-SIN(_xlpm.u_4))^5&lt;_xlpm.zz*_xlpm.u_4^2,_xlpm.ww,-_xlpm.ww)/32,_xlpm.u_5,2*ACOS(1-_xlpm.h_5/_xlpm.rr),_xlpm.h_6,_xlpm.h_5+IF((_xlpm.u_5-SIN(_xlpm.u_5))^5&lt;_xlpm.zz*_xlpm.u_5^2,_xlpm.ww,-_xlpm.ww)/64,_xlpm.u_6,2*ACOS(1-_xlpm.h_6/_xlpm.rr),_xlpm.h_7,_xlpm.h_6+IF((_xlpm.u_6-SIN(_xlpm.u_6))^5&lt;_xlpm.zz*_xlpm.u_6^2,_xlpm.ww,-_xlpm.ww)/128,_xlpm.u_7,2*ACOS(1-_xlpm.h_7/_xlpm.rr),_xlpm.h_8,_xlpm.h_7+IF((_xlpm.u_7-SIN(_xlpm.u_7))^5&lt;_xlpm.zz*_xlpm.u_7^2,_xlpm.ww,-_xlpm.ww)/256,_xlpm.u_8,2*ACOS(1-_xlpm.h_8/_xlpm.rr),_xlpm.h_9,_xlpm.h_8+IF((_xlpm.u_8-SIN(_xlpm.u_8))^5&lt;_xlpm.zz*_xlpm.u_8^2,_xlpm.ww,-_xlpm.ww)/512,_xlpm.u_9,2*ACOS(1-_xlpm.h_9/_xlpm.rr),_xlpm.h_10,_xlpm.h_9+IF((_xlpm.u_9-SIN(_xlpm.u_9))^5&lt;_xlpm.zz*_xlpm.u_9^2,_xlpm.ww,-_xlpm.ww)/1024,_xlpm.u_10,2*ACOS(1-_xlpm.h_10/_xlpm.rr),_xlpm.h_11,_xlpm.h_10+IF((_xlpm.u_10-SIN(_xlpm.u_10))^5&lt;_xlpm.zz*_xlpm.u_10^2,_xlpm.ww,-_xlpm.ww)/2048,_xlpm.u_11,2*ACOS(1-_xlpm.h_11/_xlpm.rr),_xlpm.h_12,_xlpm.h_11+IF((_xlpm.u_11-SIN(_xlpm.u_11))^5&lt;_xlpm.zz*_xlpm.u_11^2,_xlpm.ww,-_xlpm.ww)/4096,_xlpm.u_12,2*ACOS(1-_xlpm.h_12/_xlpm.rr),_xlpm.h_13,_xlpm.h_12+IF((_xlpm.u_12-SIN(_xlpm.u_12))^5&lt;_xlpm.zz*_xlpm.u_12^2,_xlpm.ww,-_xlpm.ww)/8192,_xlpm.u_13,2*ACOS(1-_xlpm.h_13/_xlpm.rr),_xlpm.h_14,_xlpm.h_13+IF((_xlpm.u_13-SIN(_xlpm.u_13))^5&lt;_xlpm.zz*_xlpm.u_13^2,_xlpm.ww,-_xlpm.ww)/16384,_xlpm.u_14,2*ACOS(1-_xlpm.h_14/_xlpm.rr),_xlpm.h_15,_xlpm.h_14+IF((_xlpm.u_14-SIN(_xlpm.u_14))^5&lt;_xlpm.zz*_xlpm.u_14^2,_xlpm.ww,-_xlpm.ww)/32768,_xlpm.u_15,2*ACOS(1-_xlpm.h_15/_xlpm.rr),_xlpm.h_16,_xlpm.h_15+IF((_xlpm.u_15-SIN(_xlpm.u_15))^5&lt;_xlpm.zz*_xlpm.u_15^2,_xlpm.ww,-_xlpm.ww)/65536,_xlpm.u_16,2*ACOS(1-_xlpm.h_16/_xlpm.rr),_xlpm.h_17,_xlpm.h_16+IF((_xlpm.u_16-SIN(_xlpm.u_16))^5&lt;_xlpm.zz*_xlpm.u_16^2,_xlpm.ww,-_xlpm.ww)/131072,_xlpm.u_17,2*ACOS(1-_xlpm.h_17/_xlpm.rr),_xlpm.h_18,_xlpm.h_17+IF((_xlpm.u_17-SIN(_xlpm.u_17))^5&lt;_xlpm.zz*_xlpm.u_17^2,_xlpm.ww,-_xlpm.ww)/262144,_xlpm.u_18,2*ACOS(1-_xlpm.h_18/_xlpm.rr),_xlpm.h_19,_xlpm.h_18+IF((_xlpm.u_18-SIN(_xlpm.u_18))^5&lt;_xlpm.zz*_xlpm.u_18^2,_xlpm.ww,-_xlpm.ww)/524288,_xlpm.u_19,2*ACOS(1-_xlpm.h_19/_xlpm.rr),_xlpm.h_20,_xlpm.h_19+IF((_xlpm.u_19-SIN(_xlpm.u_19))^5&lt;_xlpm.zz*_xlpm.u_19^2,_xlpm.ww,-_xlpm.ww)/1048576,_xlpm.u_20,2*ACOS(1-_xlpm.h_20/_xlpm.rr),_xlpm.h_21,_xlpm.h_20+IF((_xlpm.u_20-SIN(_xlpm.u_20))^5&lt;_xlpm.zz*_xlpm.u_20^2,_xlpm.ww,-_xlpm.ww)/2097152,_xlpm.u_21,2*ACOS(1-_xlpm.h_21/_xlpm.rr),_xlpm.h_22,_xlpm.h_21+IF((_xlpm.u_21-SIN(_xlpm.u_21))^5&lt;_xlpm.zz*_xlpm.u_21^2,_xlpm.ww,-_xlpm.ww)/4194304,_xlpm.u_22,2*ACOS(1-_xlpm.h_22/_xlpm.rr),_xlpm.h_23,_xlpm.h_22+IF((_xlpm.u_22-SIN(_xlpm.u_22))^5&lt;_xlpm.zz*_xlpm.u_22^2,_xlpm.ww,-_xlpm.ww)/8388608,_xlpm.u_23,2*ACOS(1-_xlpm.h_23/_xlpm.rr),_xlpm.h_24,_xlpm.h_23+IF((_xlpm.u_23-SIN(_xlpm.u_23))^5&lt;_xlpm.zz*_xlpm.u_23^2,_xlpm.ww,-_xlpm.ww)/16777216,_xlpm.u_24,2*ACOS(1-_xlpm.h_24/_xlpm.rr),_xlpm.h_25,_xlpm.h_24+IF((_xlpm.u_24-SIN(_xlpm.u_24))^5&lt;_xlpm.zz*_xlpm.u_24^2,_xlpm.ww,-_xlpm.ww)/33554432,_xlpm.u_25,2*ACOS(1-_xlpm.h_25/_xlpm.rr),_xlpm.h_26,_xlpm.h_25+IF((_xlpm.u_25-SIN(_xlpm.u_25))^5&lt;_xlpm.zz*_xlpm.u_25^2,_xlpm.ww,-_xlpm.ww)/67108864,IF(OR(_xlpm.qq&lt;=0,_xlpm.dd&lt;=0,_xlpm.ss&lt;=0,_xlpm.nn&lt;=0),#VALUE!,IF(_xlpm.h_26&gt;0.000001+_xlpm.ww*(1-1.5/2^26),0.000001+_xlpm.ww,_xlpm.h_26))),_xlfn.LET(_xlpm.ob,AL21,_xlpm.ss,(X21)*1,_xlpm.nn,(0.015)*1,_xlpm.qq,(BS21)*1/IF(OR(ISNUMBER(SEARCH("BSTC",_xlpm.ob)),ISNUMBER(SEARCH("BSCC",_xlpm.ob))),1,IF(OR(ISNUMBER(SEARCH("BDTC",_xlpm.ob)),ISNUMBER(SEARCH("BDCC",_xlpm.ob))),2,IF(OR(ISNUMBER(SEARCH("BTTC",_xlpm.ob)),ISNUMBER(SEARCH("BTCC",_xlpm.ob))),3,#VALUE!))),_xlpm.bb,_xlfn.NUMBERVALUE(SUBSTITUTE(TRIM(MID(_xlpm.ob,SEARCH("cc",_xlpm.ob)+3,SEARCH("x",_xlpm.ob)-SEARCH("cc",_xlpm.ob)-3)),".",","),",","."),_xlpm.hh,_xlfn.NUMBERVALUE(SUBSTITUTE(TRIM(MID(_xlpm.ob,SEARCH("x",_xlpm.ob)+1,SEARCH("m",_xlpm.ob,SEARCH("x",_xlpm.ob))-SEARCH("x",_xlpm.ob)-1)),".",","),",","."),_xlpm.kk,SQRT(_xlpm.ss)/_xlpm.nn,_xlpm.x_0,_xlpm.hh,_xlpm.g_0,_xlpm.kk*_xlpm.bb*_xlpm.x_0*(_xlpm.bb*_xlpm.x_0/(_xlpm.bb+2*_xlpm.x_0))^(2/3),_xlpm.x_1,_xlpm.x_0-(_xlpm.g_0-_xlpm.qq)/(_xlpm.g_0*(5/(3*_xlpm.x_0)-4/(3*(_xlpm.bb+2*_xlpm.x_0)))),_xlpm.g_1,_xlpm.kk*_xlpm.bb*_xlpm.x_1*(_xlpm.bb*_xlpm.x_1/(_xlpm.bb+2*_xlpm.x_1))^(2/3),_xlpm.x_2,_xlpm.x_1-(_xlpm.g_1-_xlpm.qq)/(_xlpm.g_1*(5/(3*_xlpm.x_1)-4/(3*(_xlpm.bb+2*_xlpm.x_1)))),_xlpm.g_2,_xlpm.kk*_xlpm.bb*_xlpm.x_2*(_xlpm.bb*_xlpm.x_2/(_xlpm.bb+2*_xlpm.x_2))^(2/3),_xlpm.x_3,_xlpm.x_2-(_xlpm.g_2-_xlpm.qq)/(_xlpm.g_2*(5/(3*_xlpm.x_2)-4/(3*(_xlpm.bb+2*_xlpm.x_2)))),_xlpm.g_3,_xlpm.kk*_xlpm.bb*_xlpm.x_3*(_xlpm.bb*_xlpm.x_3/(_xlpm.bb+2*_xlpm.x_3))^(2/3),_xlpm.x_4,_xlpm.x_3-(_xlpm.g_3-_xlpm.qq)/(_xlpm.g_3*(5/(3*_xlpm.x_3)-4/(3*(_xlpm.bb+2*_xlpm.x_3)))),_xlpm.g_4,_xlpm.kk*_xlpm.bb*_xlpm.x_4*(_xlpm.bb*_xlpm.x_4/(_xlpm.bb+2*_xlpm.x_4))^(2/3),_xlpm.x_5,_xlpm.x_4-(_xlpm.g_4-_xlpm.qq)/(_xlpm.g_4*(5/(3*_xlpm.x_4)-4/(3*(_xlpm.bb+2*_xlpm.x_4)))),_xlpm.g_5,_xlpm.kk*_xlpm.bb*_xlpm.x_5*(_xlpm.bb*_xlpm.x_5/(_xlpm.bb+2*_xlpm.x_5))^(2/3),_xlpm.x_6,_xlpm.x_5-(_xlpm.g_5-_xlpm.qq)/(_xlpm.g_5*(5/(3*_xlpm.x_5)-4/(3*(_xlpm.bb+2*_xlpm.x_5)))),_xlpm.g_6,_xlpm.kk*_xlpm.bb*_xlpm.x_6*(_xlpm.bb*_xlpm.x_6/(_xlpm.bb+2*_xlpm.x_6))^(2/3),_xlpm.x_7,_xlpm.x_6-(_xlpm.g_6-_xlpm.qq)/(_xlpm.g_6*(5/(3*_xlpm.x_6)-4/(3*(_xlpm.bb+2*_xlpm.x_6)))),_xlpm.g_7,_xlpm.kk*_xlpm.bb*_xlpm.x_7*(_xlpm.bb*_xlpm.x_7/(_xlpm.bb+2*_xlpm.x_7))^(2/3),_xlpm.x_8,_xlpm.x_7-(_xlpm.g_7-_xlpm.qq)/(_xlpm.g_7*(5/(3*_xlpm.x_7)-4/(3*(_xlpm.bb+2*_xlpm.x_7)))),_xlpm.g_8,_xlpm.kk*_xlpm.bb*_xlpm.x_8*(_xlpm.bb*_xlpm.x_8/(_xlpm.bb+2*_xlpm.x_8))^(2/3),_xlpm.x_9,_xlpm.x_8-(_xlpm.g_8-_xlpm.qq)/(_xlpm.g_8*(5/(3*_xlpm.x_8)-4/(3*(_xlpm.bb+2*_xlpm.x_8)))),_xlpm.g_9,_xlpm.kk*_xlpm.bb*_xlpm.x_9*(_xlpm.bb*_xlpm.x_9/(_xlpm.bb+2*_xlpm.x_9))^(2/3),_xlpm.x_10,_xlpm.x_9-(_xlpm.g_9-_xlpm.qq)/(_xlpm.g_9*(5/(3*_xlpm.x_9)-4/(3*(_xlpm.bb+2*_xlpm.x_9)))),MIN(_xlpm.hh,_xlpm.x_10))),"")</f>
        <v>2.2047113319964162</v>
      </c>
      <c r="AU21" s="33">
        <f t="shared" si="35"/>
        <v>2.0276729848774715</v>
      </c>
      <c r="AW21" s="33" t="str">
        <f t="shared" ca="1" si="36"/>
        <v>BDCC</v>
      </c>
      <c r="AY21" s="33">
        <f t="shared" ca="1" si="37"/>
        <v>3</v>
      </c>
      <c r="AZ21" s="33">
        <f t="shared" ca="1" si="38"/>
        <v>3</v>
      </c>
      <c r="BA21" s="33" t="str">
        <f ca="1">IFERROR(INDEX(Tabela_DEB!$A$2:$A$12,MATCH(LEFT(AM21,FIND(" ",AM21)-1)&amp;" "&amp;TEXT(VALUE(MID(AM21,FIND("=",AM21)+1,FIND("m",AM21)-FIND("=",AM21)-1))*100,"0"),Tabela_DEB!$E$2:$E$12,0)),"")</f>
        <v/>
      </c>
      <c r="BB21" s="33">
        <f ca="1">IFERROR(IF(IF(OR(ISNUMBER(SEARCH("BSTC",AM21)),ISNUMBER(SEARCH("BDTC",AM21)),ISNUMBER(SEARCH("BTTC",AM21))),"CIRCULAR",IF(OR(ISNUMBER(SEARCH("BSCC",AM21)),ISNUMBER(SEARCH("BDCC",AM21)),ISNUMBER(SEARCH("BTCC",AM21))),"CELULAR",""))="CIRCULAR",_xlfn.LET(_xlpm.qq,(BQ21/BC21)*1,_xlpm.dd,(AZ21)*1,_xlpm.ww,_xlpm.dd-0.0002,_xlpm.f_0,_xlpm.qq^2*_xlpm.dd*SIN(ACOS(1-2*0.0001/_xlpm.dd))-9.81*(_xlpm.dd^2/8*(2*ACOS(1-2*0.0001/_xlpm.dd)-SIN(2*ACOS(1-2*0.0001/_xlpm.dd))))^3,_xlpm.y_1,0.0001+_xlpm.ww/2,_xlpm.f_1,_xlpm.qq^2*_xlpm.dd*SIN(ACOS(1-2*_xlpm.y_1/_xlpm.dd))-9.81*(_xlpm.dd^2/8*(2*ACOS(1-2*_xlpm.y_1/_xlpm.dd)-SIN(2*ACOS(1-2*_xlpm.y_1/_xlpm.dd))))^3,_xlpm.y_2,_xlpm.y_1+IF(ABS(_xlpm.f_1)&lt;0.000001,0,IF(_xlpm.f_0*_xlpm.f_1&lt;0,-_xlpm.ww,_xlpm.ww))/4,_xlpm.f_2,_xlpm.qq^2*_xlpm.dd*SIN(ACOS(1-2*_xlpm.y_2/_xlpm.dd))-9.81*(_xlpm.dd^2/8*(2*ACOS(1-2*_xlpm.y_2/_xlpm.dd)-SIN(2*ACOS(1-2*_xlpm.y_2/_xlpm.dd))))^3,_xlpm.y_3,_xlpm.y_2+IF(ABS(_xlpm.f_2)&lt;0.000001,0,IF(_xlpm.f_0*_xlpm.f_2&lt;0,-_xlpm.ww,_xlpm.ww))/8,_xlpm.f_3,_xlpm.qq^2*_xlpm.dd*SIN(ACOS(1-2*_xlpm.y_3/_xlpm.dd))-9.81*(_xlpm.dd^2/8*(2*ACOS(1-2*_xlpm.y_3/_xlpm.dd)-SIN(2*ACOS(1-2*_xlpm.y_3/_xlpm.dd))))^3,_xlpm.y_4,_xlpm.y_3+IF(ABS(_xlpm.f_3)&lt;0.000001,0,IF(_xlpm.f_0*_xlpm.f_3&lt;0,-_xlpm.ww,_xlpm.ww))/16,_xlpm.f_4,_xlpm.qq^2*_xlpm.dd*SIN(ACOS(1-2*_xlpm.y_4/_xlpm.dd))-9.81*(_xlpm.dd^2/8*(2*ACOS(1-2*_xlpm.y_4/_xlpm.dd)-SIN(2*ACOS(1-2*_xlpm.y_4/_xlpm.dd))))^3,_xlpm.y_5,_xlpm.y_4+IF(ABS(_xlpm.f_4)&lt;0.000001,0,IF(_xlpm.f_0*_xlpm.f_4&lt;0,-_xlpm.ww,_xlpm.ww))/32,_xlpm.f_5,_xlpm.qq^2*_xlpm.dd*SIN(ACOS(1-2*_xlpm.y_5/_xlpm.dd))-9.81*(_xlpm.dd^2/8*(2*ACOS(1-2*_xlpm.y_5/_xlpm.dd)-SIN(2*ACOS(1-2*_xlpm.y_5/_xlpm.dd))))^3,_xlpm.y_6,_xlpm.y_5+IF(ABS(_xlpm.f_5)&lt;0.000001,0,IF(_xlpm.f_0*_xlpm.f_5&lt;0,-_xlpm.ww,_xlpm.ww))/64,_xlpm.f_6,_xlpm.qq^2*_xlpm.dd*SIN(ACOS(1-2*_xlpm.y_6/_xlpm.dd))-9.81*(_xlpm.dd^2/8*(2*ACOS(1-2*_xlpm.y_6/_xlpm.dd)-SIN(2*ACOS(1-2*_xlpm.y_6/_xlpm.dd))))^3,_xlpm.y_7,_xlpm.y_6+IF(ABS(_xlpm.f_6)&lt;0.000001,0,IF(_xlpm.f_0*_xlpm.f_6&lt;0,-_xlpm.ww,_xlpm.ww))/128,_xlpm.f_7,_xlpm.qq^2*_xlpm.dd*SIN(ACOS(1-2*_xlpm.y_7/_xlpm.dd))-9.81*(_xlpm.dd^2/8*(2*ACOS(1-2*_xlpm.y_7/_xlpm.dd)-SIN(2*ACOS(1-2*_xlpm.y_7/_xlpm.dd))))^3,_xlpm.y_8,_xlpm.y_7+IF(ABS(_xlpm.f_7)&lt;0.000001,0,IF(_xlpm.f_0*_xlpm.f_7&lt;0,-_xlpm.ww,_xlpm.ww))/256,_xlpm.f_8,_xlpm.qq^2*_xlpm.dd*SIN(ACOS(1-2*_xlpm.y_8/_xlpm.dd))-9.81*(_xlpm.dd^2/8*(2*ACOS(1-2*_xlpm.y_8/_xlpm.dd)-SIN(2*ACOS(1-2*_xlpm.y_8/_xlpm.dd))))^3,_xlpm.y_9,_xlpm.y_8+IF(ABS(_xlpm.f_8)&lt;0.000001,0,IF(_xlpm.f_0*_xlpm.f_8&lt;0,-_xlpm.ww,_xlpm.ww))/512,_xlpm.f_9,_xlpm.qq^2*_xlpm.dd*SIN(ACOS(1-2*_xlpm.y_9/_xlpm.dd))-9.81*(_xlpm.dd^2/8*(2*ACOS(1-2*_xlpm.y_9/_xlpm.dd)-SIN(2*ACOS(1-2*_xlpm.y_9/_xlpm.dd))))^3,_xlpm.y_10,_xlpm.y_9+IF(ABS(_xlpm.f_9)&lt;0.000001,0,IF(_xlpm.f_0*_xlpm.f_9&lt;0,-_xlpm.ww,_xlpm.ww))/1024,_xlpm.f_10,_xlpm.qq^2*_xlpm.dd*SIN(ACOS(1-2*_xlpm.y_10/_xlpm.dd))-9.81*(_xlpm.dd^2/8*(2*ACOS(1-2*_xlpm.y_10/_xlpm.dd)-SIN(2*ACOS(1-2*_xlpm.y_10/_xlpm.dd))))^3,_xlpm.y_11,_xlpm.y_10+IF(ABS(_xlpm.f_10)&lt;0.000001,0,IF(_xlpm.f_0*_xlpm.f_10&lt;0,-_xlpm.ww,_xlpm.ww))/2048,_xlpm.f_11,_xlpm.qq^2*_xlpm.dd*SIN(ACOS(1-2*_xlpm.y_11/_xlpm.dd))-9.81*(_xlpm.dd^2/8*(2*ACOS(1-2*_xlpm.y_11/_xlpm.dd)-SIN(2*ACOS(1-2*_xlpm.y_11/_xlpm.dd))))^3,_xlpm.y_12,_xlpm.y_11+IF(ABS(_xlpm.f_11)&lt;0.000001,0,IF(_xlpm.f_0*_xlpm.f_11&lt;0,-_xlpm.ww,_xlpm.ww))/4096,_xlpm.f_12,_xlpm.qq^2*_xlpm.dd*SIN(ACOS(1-2*_xlpm.y_12/_xlpm.dd))-9.81*(_xlpm.dd^2/8*(2*ACOS(1-2*_xlpm.y_12/_xlpm.dd)-SIN(2*ACOS(1-2*_xlpm.y_12/_xlpm.dd))))^3,_xlpm.y_13,_xlpm.y_12+IF(ABS(_xlpm.f_12)&lt;0.000001,0,IF(_xlpm.f_0*_xlpm.f_12&lt;0,-_xlpm.ww,_xlpm.ww))/8192,_xlpm.f_13,_xlpm.qq^2*_xlpm.dd*SIN(ACOS(1-2*_xlpm.y_13/_xlpm.dd))-9.81*(_xlpm.dd^2/8*(2*ACOS(1-2*_xlpm.y_13/_xlpm.dd)-SIN(2*ACOS(1-2*_xlpm.y_13/_xlpm.dd))))^3,_xlpm.y_14,_xlpm.y_13+IF(ABS(_xlpm.f_13)&lt;0.000001,0,IF(_xlpm.f_0*_xlpm.f_13&lt;0,-_xlpm.ww,_xlpm.ww))/16384,_xlpm.f_14,_xlpm.qq^2*_xlpm.dd*SIN(ACOS(1-2*_xlpm.y_14/_xlpm.dd))-9.81*(_xlpm.dd^2/8*(2*ACOS(1-2*_xlpm.y_14/_xlpm.dd)-SIN(2*ACOS(1-2*_xlpm.y_14/_xlpm.dd))))^3,_xlpm.y_15,_xlpm.y_14+IF(ABS(_xlpm.f_14)&lt;0.000001,0,IF(_xlpm.f_0*_xlpm.f_14&lt;0,-_xlpm.ww,_xlpm.ww))/32768,_xlpm.f_15,_xlpm.qq^2*_xlpm.dd*SIN(ACOS(1-2*_xlpm.y_15/_xlpm.dd))-9.81*(_xlpm.dd^2/8*(2*ACOS(1-2*_xlpm.y_15/_xlpm.dd)-SIN(2*ACOS(1-2*_xlpm.y_15/_xlpm.dd))))^3,_xlpm.y_16,_xlpm.y_15+IF(ABS(_xlpm.f_15)&lt;0.000001,0,IF(_xlpm.f_0*_xlpm.f_15&lt;0,-_xlpm.ww,_xlpm.ww))/65536,_xlpm.f_16,_xlpm.qq^2*_xlpm.dd*SIN(ACOS(1-2*_xlpm.y_16/_xlpm.dd))-9.81*(_xlpm.dd^2/8*(2*ACOS(1-2*_xlpm.y_16/_xlpm.dd)-SIN(2*ACOS(1-2*_xlpm.y_16/_xlpm.dd))))^3,_xlpm.y_17,_xlpm.y_16+IF(ABS(_xlpm.f_16)&lt;0.000001,0,IF(_xlpm.f_0*_xlpm.f_16&lt;0,-_xlpm.ww,_xlpm.ww))/131072,_xlpm.f_17,_xlpm.qq^2*_xlpm.dd*SIN(ACOS(1-2*_xlpm.y_17/_xlpm.dd))-9.81*(_xlpm.dd^2/8*(2*ACOS(1-2*_xlpm.y_17/_xlpm.dd)-SIN(2*ACOS(1-2*_xlpm.y_17/_xlpm.dd))))^3,_xlpm.y_18,_xlpm.y_17+IF(ABS(_xlpm.f_17)&lt;0.000001,0,IF(_xlpm.f_0*_xlpm.f_17&lt;0,-_xlpm.ww,_xlpm.ww))/262144,_xlpm.f_18,_xlpm.qq^2*_xlpm.dd*SIN(ACOS(1-2*_xlpm.y_18/_xlpm.dd))-9.81*(_xlpm.dd^2/8*(2*ACOS(1-2*_xlpm.y_18/_xlpm.dd)-SIN(2*ACOS(1-2*_xlpm.y_18/_xlpm.dd))))^3,_xlpm.y_19,_xlpm.y_18+IF(ABS(_xlpm.f_18)&lt;0.000001,0,IF(_xlpm.f_0*_xlpm.f_18&lt;0,-_xlpm.ww,_xlpm.ww))/524288,_xlpm.f_19,_xlpm.qq^2*_xlpm.dd*SIN(ACOS(1-2*_xlpm.y_19/_xlpm.dd))-9.81*(_xlpm.dd^2/8*(2*ACOS(1-2*_xlpm.y_19/_xlpm.dd)-SIN(2*ACOS(1-2*_xlpm.y_19/_xlpm.dd))))^3,_xlpm.y_20,_xlpm.y_19+IF(ABS(_xlpm.f_19)&lt;0.000001,0,IF(_xlpm.f_0*_xlpm.f_19&lt;0,-_xlpm.ww,_xlpm.ww))/1048576,_xlpm.f_20,_xlpm.qq^2*_xlpm.dd*SIN(ACOS(1-2*_xlpm.y_20/_xlpm.dd))-9.81*(_xlpm.dd^2/8*(2*ACOS(1-2*_xlpm.y_20/_xlpm.dd)-SIN(2*ACOS(1-2*_xlpm.y_20/_xlpm.dd))))^3,_xlpm.y_21,_xlpm.y_20+IF(ABS(_xlpm.f_20)&lt;0.000001,0,IF(_xlpm.f_0*_xlpm.f_20&lt;0,-_xlpm.ww,_xlpm.ww))/2097152,_xlpm.f_21,_xlpm.qq^2*_xlpm.dd*SIN(ACOS(1-2*_xlpm.y_21/_xlpm.dd))-9.81*(_xlpm.dd^2/8*(2*ACOS(1-2*_xlpm.y_21/_xlpm.dd)-SIN(2*ACOS(1-2*_xlpm.y_21/_xlpm.dd))))^3,_xlpm.y_22,_xlpm.y_21+IF(ABS(_xlpm.f_21)&lt;0.000001,0,IF(_xlpm.f_0*_xlpm.f_21&lt;0,-_xlpm.ww,_xlpm.ww))/4194304,_xlpm.f_22,_xlpm.qq^2*_xlpm.dd*SIN(ACOS(1-2*_xlpm.y_22/_xlpm.dd))-9.81*(_xlpm.dd^2/8*(2*ACOS(1-2*_xlpm.y_22/_xlpm.dd)-SIN(2*ACOS(1-2*_xlpm.y_22/_xlpm.dd))))^3,_xlpm.y_23,_xlpm.y_22+IF(ABS(_xlpm.f_22)&lt;0.000001,0,IF(_xlpm.f_0*_xlpm.f_22&lt;0,-_xlpm.ww,_xlpm.ww))/8388608,_xlpm.f_23,_xlpm.qq^2*_xlpm.dd*SIN(ACOS(1-2*_xlpm.y_23/_xlpm.dd))-9.81*(_xlpm.dd^2/8*(2*ACOS(1-2*_xlpm.y_23/_xlpm.dd)-SIN(2*ACOS(1-2*_xlpm.y_23/_xlpm.dd))))^3,_xlpm.y_24,_xlpm.y_23+IF(ABS(_xlpm.f_23)&lt;0.000001,0,IF(_xlpm.f_0*_xlpm.f_23&lt;0,-_xlpm.ww,_xlpm.ww))/16777216,_xlpm.f_24,_xlpm.qq^2*_xlpm.dd*SIN(ACOS(1-2*_xlpm.y_24/_xlpm.dd))-9.81*(_xlpm.dd^2/8*(2*ACOS(1-2*_xlpm.y_24/_xlpm.dd)-SIN(2*ACOS(1-2*_xlpm.y_24/_xlpm.dd))))^3,_xlpm.y_25,_xlpm.y_24+IF(ABS(_xlpm.f_24)&lt;0.000001,0,IF(_xlpm.f_0*_xlpm.f_24&lt;0,-_xlpm.ww,_xlpm.ww))/33554432,_xlpm.f_25,_xlpm.qq^2*_xlpm.dd*SIN(ACOS(1-2*_xlpm.y_25/_xlpm.dd))-9.81*(_xlpm.dd^2/8*(2*ACOS(1-2*_xlpm.y_25/_xlpm.dd)-SIN(2*ACOS(1-2*_xlpm.y_25/_xlpm.dd))))^3,_xlpm.y_26,_xlpm.y_25+IF(ABS(_xlpm.f_25)&lt;0.000001,0,IF(_xlpm.f_0*_xlpm.f_25&lt;0,-_xlpm.ww,_xlpm.ww))/67108864,_xlpm.y_26),((BQ21/BC21/_xlfn.NUMBERVALUE(SUBSTITUTE(TRIM(MID(AM21,SEARCH("cc",AM21)+3,SEARCH("x",AM21)-SEARCH("cc",AM21)-3)),".",","),",","."))^2/9.80665)^(1/3)),"")</f>
        <v>1.4989725952056601</v>
      </c>
      <c r="BC21" s="117">
        <f t="shared" ca="1" si="47"/>
        <v>2</v>
      </c>
      <c r="BE21" s="174">
        <f>'Cadastro das Obras'!U5</f>
        <v>19.395</v>
      </c>
      <c r="BF21" s="174">
        <f>'Cadastro das Obras'!V5</f>
        <v>38</v>
      </c>
      <c r="BH21" s="33" t="str">
        <f>'Cadastro das Obras'!T5</f>
        <v>15º</v>
      </c>
      <c r="BJ21" s="117">
        <f>'Cadastro das Obras'!W5</f>
        <v>1.67</v>
      </c>
      <c r="BN21" s="33" t="s">
        <v>349</v>
      </c>
      <c r="BO21" s="30"/>
      <c r="BP21" s="33">
        <f t="shared" ca="1" si="48"/>
        <v>25</v>
      </c>
      <c r="BQ21" s="33">
        <f ca="1">CHOOSE(MATCH(BP21,{15,25,50,100},0),S21,T21,U21,V21)</f>
        <v>34.482768588822687</v>
      </c>
      <c r="BR21" s="33">
        <f ca="1">IFERROR(IF(ISNUMBER(FIND("50 anos",INDIRECT("'"&amp;#REF!&amp;"'!"&amp;IF(ISNUMBER(FIND("HUT",#REF!)),"U40","Q14")))),50,25),25)</f>
        <v>25</v>
      </c>
      <c r="BS21" s="33">
        <f ca="1">CHOOSE(MATCH(BR21,{15,25,50,100},0),S21,T21,U21,V21)</f>
        <v>34.482768588822687</v>
      </c>
      <c r="BU21" s="33">
        <f t="shared" ca="1" si="49"/>
        <v>0.54314130887785739</v>
      </c>
      <c r="BV21" s="33" t="str">
        <f t="shared" ca="1" si="39"/>
        <v>RÁPIDO</v>
      </c>
      <c r="BW21" s="33" t="str">
        <f t="shared" ca="1" si="50"/>
        <v>SUFICIENTE</v>
      </c>
      <c r="BY21" s="33">
        <f t="shared" ca="1" si="51"/>
        <v>1.3005583205169924</v>
      </c>
      <c r="BZ21" s="33" t="str">
        <f t="shared" ca="1" si="52"/>
        <v>Celular</v>
      </c>
      <c r="CA21" s="115">
        <f t="shared" ca="1" si="53"/>
        <v>17.241384294411343</v>
      </c>
      <c r="CB21" s="353" t="str">
        <f ca="1">IF($AW21="","",IF($BZ21="Tubular",IF($CO21=0,0.01,IF($CO21&gt;=93,1,INDEX('Tab18'!$A$5:$A$97,$CO21)+($CN21-INDEX('Tab18'!$E$5:$E$97,$CO21))*(INDEX('Tab18'!$A$5:$A$97,$CO21+1)-INDEX('Tab18'!$A$5:$A$97,$CO21))/(INDEX('Tab18'!$E$5:$E$97,$CO21+1)-INDEX('Tab18'!$E$5:$E$97,$CO21)))),"-"))</f>
        <v>-</v>
      </c>
      <c r="CC21" s="33">
        <f t="shared" ca="1" si="54"/>
        <v>1.013137734539808</v>
      </c>
      <c r="CD21" s="33">
        <f t="shared" ref="CD21:CM21" ca="1" si="57">IF($AW21="","",IF($BZ21="Celular",$CN21^0.6*($AZ21+2*CC21)^0.4/$AZ21,"-"))</f>
        <v>1.2454276514766298</v>
      </c>
      <c r="CE21" s="33">
        <f t="shared" ca="1" si="57"/>
        <v>1.2902563015821957</v>
      </c>
      <c r="CF21" s="33">
        <f t="shared" ca="1" si="57"/>
        <v>1.2986425441960603</v>
      </c>
      <c r="CG21" s="33">
        <f t="shared" ca="1" si="57"/>
        <v>1.3002023904899049</v>
      </c>
      <c r="CH21" s="33">
        <f t="shared" ca="1" si="57"/>
        <v>1.3004922134069388</v>
      </c>
      <c r="CI21" s="33">
        <f t="shared" ca="1" si="57"/>
        <v>1.3005460524787977</v>
      </c>
      <c r="CJ21" s="33">
        <f t="shared" ca="1" si="57"/>
        <v>1.3005560535476395</v>
      </c>
      <c r="CK21" s="33">
        <f t="shared" ca="1" si="57"/>
        <v>1.3005579113191519</v>
      </c>
      <c r="CL21" s="33">
        <f t="shared" ca="1" si="57"/>
        <v>1.3005582564133276</v>
      </c>
      <c r="CM21" s="33">
        <f t="shared" ca="1" si="57"/>
        <v>1.3005583205169924</v>
      </c>
      <c r="CN21" s="352">
        <f t="shared" ca="1" si="56"/>
        <v>3.0659759213870919</v>
      </c>
      <c r="CO21" s="174" t="str">
        <f ca="1">IF($AW21="","",IF($BZ21="Tubular",IFERROR(MATCH($CN21,'Tab18'!$E$5:$E$97,1),0),"-"))</f>
        <v>-</v>
      </c>
      <c r="CP21" s="361">
        <f ca="1">IF($AW21="","",IF($BZ21="Tubular",IF($CB21&gt;=1,'Tab18'!$D$104,INDEX('Tab18'!$D$5:$D$104,MATCH($CB21,'Tab18'!$A$5:$A$104,1))+($CB21-INDEX('Tab18'!$A$5:$A$104,MATCH($CB21,'Tab18'!$A$5:$A$104,1)))*(INDEX('Tab18'!$D$5:$D$104,MATCH($CB21,'Tab18'!$A$5:$A$104,1)+1)-INDEX('Tab18'!$D$5:$D$104,MATCH($CB21,'Tab18'!$A$5:$A$104,1)))/(INDEX('Tab18'!$A$5:$A$104,MATCH($CB21,'Tab18'!$A$5:$A$104,1)+1)-INDEX('Tab18'!$A$5:$A$104,MATCH($CB21,'Tab18'!$A$5:$A$104,1)))),($AZ21*$BY21/($AZ21+2*$BY21))^(2/3)))</f>
        <v>0.78581017250661511</v>
      </c>
    </row>
    <row r="22" spans="2:94" s="33" customFormat="1" ht="81.75" hidden="1" customHeight="1">
      <c r="B22" s="362" t="str" cm="1">
        <f t="array" aca="1" ref="B22" ca="1">IFERROR(INDIRECT("'"&amp;BN22&amp;"'!F10"),"")</f>
        <v>BC04</v>
      </c>
      <c r="C22" s="362" t="s">
        <v>239</v>
      </c>
      <c r="D22" s="363" t="str">
        <f ca="1">IFERROR(INDIRECT("'"&amp;BN22&amp;"'!E3"),"")</f>
        <v>214</v>
      </c>
      <c r="E22" s="363" t="str">
        <f ca="1">IFERROR(INDIRECT("'"&amp;BN22&amp;"'!F3"),"")</f>
        <v>+</v>
      </c>
      <c r="F22" s="363">
        <f ca="1">IFERROR(INDIRECT("'"&amp;BN22&amp;"'!G3"),"")</f>
        <v>13.34</v>
      </c>
      <c r="G22" s="364"/>
      <c r="H22" s="365">
        <f ca="1">IFERROR(INDIRECT("'"&amp;BN22&amp;"'!E6"),"")</f>
        <v>5.0371131177551982</v>
      </c>
      <c r="I22" s="365">
        <f ca="1">IFERROR(INDIRECT("'"&amp;BN22&amp;"'!E7"),"")</f>
        <v>4.4738851953335459</v>
      </c>
      <c r="J22" s="365">
        <f t="shared" ca="1" si="30"/>
        <v>501</v>
      </c>
      <c r="K22" s="365">
        <f ca="1">IFERROR(INDIRECT("'"&amp;BN22&amp;"'!E9"),"")</f>
        <v>3.1404045812529082</v>
      </c>
      <c r="L22" s="365">
        <f ca="1">IFERROR(INDIRECT("'"&amp;BN22&amp;"'!O9"),"")</f>
        <v>1.2037599171449274</v>
      </c>
      <c r="M22" s="365">
        <f ca="1">IFERROR(INDIRECT("'"&amp;BN22&amp;"'!O8"),"")</f>
        <v>0.35000000000000003</v>
      </c>
      <c r="N22" s="366" t="str">
        <f t="shared" ca="1" si="41"/>
        <v>RAC MOD</v>
      </c>
      <c r="O22" s="365">
        <f ca="1">IFERROR(INDIRECT("'"&amp;BN22&amp;"'!n14"),"")</f>
        <v>1.2165439969691607</v>
      </c>
      <c r="P22" s="365">
        <f ca="1">IFERROR(INDIRECT("'"&amp;BN22&amp;"'!n15"),"")</f>
        <v>1.3409697708594819</v>
      </c>
      <c r="Q22" s="365">
        <f ca="1">IFERROR(INDIRECT("'"&amp;BN22&amp;"'!N16"),"")</f>
        <v>1.5031877536637206</v>
      </c>
      <c r="R22" s="365">
        <f ca="1">IFERROR(INDIRECT("'"&amp;BN22&amp;"'!N17"),"")</f>
        <v>1.6611340234669467</v>
      </c>
      <c r="S22" s="365">
        <f ca="1">IFERROR(INDIRECT("'"&amp;BN22&amp;"'!M20"),"")</f>
        <v>25.346999066914979</v>
      </c>
      <c r="T22" s="365">
        <f ca="1">IFERROR(INDIRECT("'"&amp;BN22&amp;"'!M21"),"")</f>
        <v>27.93944124948743</v>
      </c>
      <c r="U22" s="365">
        <f ca="1">IFERROR(INDIRECT("'"&amp;BN22&amp;"'!M22"),"")</f>
        <v>31.31929357625873</v>
      </c>
      <c r="V22" s="365">
        <f ca="1">IFERROR(INDIRECT("'"&amp;BN22&amp;"'!M23"),"")</f>
        <v>34.610143692077891</v>
      </c>
      <c r="W22" s="365">
        <f t="shared" ca="1" si="42"/>
        <v>3.5999999999999996</v>
      </c>
      <c r="X22" s="367">
        <f>'Cadastro das Obras'!Q6</f>
        <v>4.9890102222347769E-3</v>
      </c>
      <c r="Y22" s="368">
        <f t="shared" ca="1" si="31"/>
        <v>5.8251507111665601</v>
      </c>
      <c r="Z22" s="365">
        <f ca="1">_xlfn.LET(_xlpm.aa,(Y22)*1,_xlpm.dd,(AY22)*1,_xlpm.ww,2*PI()-0.000002,_xlpm.t_1,0.000001+_xlpm.ww/2,_xlpm.t_2,_xlpm.t_1+IF(_xlpm.dd^2/8*(_xlpm.t_1-SIN(_xlpm.t_1))&lt;_xlpm.aa,_xlpm.ww,-_xlpm.ww)/4,_xlpm.t_3,_xlpm.t_2+IF(_xlpm.dd^2/8*(_xlpm.t_2-SIN(_xlpm.t_2))&lt;_xlpm.aa,_xlpm.ww,-_xlpm.ww)/8,_xlpm.t_4,_xlpm.t_3+IF(_xlpm.dd^2/8*(_xlpm.t_3-SIN(_xlpm.t_3))&lt;_xlpm.aa,_xlpm.ww,-_xlpm.ww)/16,_xlpm.t_5,_xlpm.t_4+IF(_xlpm.dd^2/8*(_xlpm.t_4-SIN(_xlpm.t_4))&lt;_xlpm.aa,_xlpm.ww,-_xlpm.ww)/32,_xlpm.t_6,_xlpm.t_5+IF(_xlpm.dd^2/8*(_xlpm.t_5-SIN(_xlpm.t_5))&lt;_xlpm.aa,_xlpm.ww,-_xlpm.ww)/64,_xlpm.t_7,_xlpm.t_6+IF(_xlpm.dd^2/8*(_xlpm.t_6-SIN(_xlpm.t_6))&lt;_xlpm.aa,_xlpm.ww,-_xlpm.ww)/128,_xlpm.t_8,_xlpm.t_7+IF(_xlpm.dd^2/8*(_xlpm.t_7-SIN(_xlpm.t_7))&lt;_xlpm.aa,_xlpm.ww,-_xlpm.ww)/256,_xlpm.t_9,_xlpm.t_8+IF(_xlpm.dd^2/8*(_xlpm.t_8-SIN(_xlpm.t_8))&lt;_xlpm.aa,_xlpm.ww,-_xlpm.ww)/512,_xlpm.t_10,_xlpm.t_9+IF(_xlpm.dd^2/8*(_xlpm.t_9-SIN(_xlpm.t_9))&lt;_xlpm.aa,_xlpm.ww,-_xlpm.ww)/1024,_xlpm.t_11,_xlpm.t_10+IF(_xlpm.dd^2/8*(_xlpm.t_10-SIN(_xlpm.t_10))&lt;_xlpm.aa,_xlpm.ww,-_xlpm.ww)/2048,_xlpm.t_12,_xlpm.t_11+IF(_xlpm.dd^2/8*(_xlpm.t_11-SIN(_xlpm.t_11))&lt;_xlpm.aa,_xlpm.ww,-_xlpm.ww)/4096,_xlpm.t_13,_xlpm.t_12+IF(_xlpm.dd^2/8*(_xlpm.t_12-SIN(_xlpm.t_12))&lt;_xlpm.aa,_xlpm.ww,-_xlpm.ww)/8192,_xlpm.t_14,_xlpm.t_13+IF(_xlpm.dd^2/8*(_xlpm.t_13-SIN(_xlpm.t_13))&lt;_xlpm.aa,_xlpm.ww,-_xlpm.ww)/16384,_xlpm.t_15,_xlpm.t_14+IF(_xlpm.dd^2/8*(_xlpm.t_14-SIN(_xlpm.t_14))&lt;_xlpm.aa,_xlpm.ww,-_xlpm.ww)/32768,_xlpm.t_16,_xlpm.t_15+IF(_xlpm.dd^2/8*(_xlpm.t_15-SIN(_xlpm.t_15))&lt;_xlpm.aa,_xlpm.ww,-_xlpm.ww)/65536,_xlpm.t_17,_xlpm.t_16+IF(_xlpm.dd^2/8*(_xlpm.t_16-SIN(_xlpm.t_16))&lt;_xlpm.aa,_xlpm.ww,-_xlpm.ww)/131072,_xlpm.t_18,_xlpm.t_17+IF(_xlpm.dd^2/8*(_xlpm.t_17-SIN(_xlpm.t_17))&lt;_xlpm.aa,_xlpm.ww,-_xlpm.ww)/262144,_xlpm.t_19,_xlpm.t_18+IF(_xlpm.dd^2/8*(_xlpm.t_18-SIN(_xlpm.t_18))&lt;_xlpm.aa,_xlpm.ww,-_xlpm.ww)/524288,_xlpm.t_20,_xlpm.t_19+IF(_xlpm.dd^2/8*(_xlpm.t_19-SIN(_xlpm.t_19))&lt;_xlpm.aa,_xlpm.ww,-_xlpm.ww)/1048576,_xlpm.t_21,_xlpm.t_20+IF(_xlpm.dd^2/8*(_xlpm.t_20-SIN(_xlpm.t_20))&lt;_xlpm.aa,_xlpm.ww,-_xlpm.ww)/2097152,_xlpm.t_22,_xlpm.t_21+IF(_xlpm.dd^2/8*(_xlpm.t_21-SIN(_xlpm.t_21))&lt;_xlpm.aa,_xlpm.ww,-_xlpm.ww)/4194304,_xlpm.t_23,_xlpm.t_22+IF(_xlpm.dd^2/8*(_xlpm.t_22-SIN(_xlpm.t_22))&lt;_xlpm.aa,_xlpm.ww,-_xlpm.ww)/8388608,_xlpm.t_24,_xlpm.t_23+IF(_xlpm.dd^2/8*(_xlpm.t_23-SIN(_xlpm.t_23))&lt;_xlpm.aa,_xlpm.ww,-_xlpm.ww)/16777216,_xlpm.t_25,_xlpm.t_24+IF(_xlpm.dd^2/8*(_xlpm.t_24-SIN(_xlpm.t_24))&lt;_xlpm.aa,_xlpm.ww,-_xlpm.ww)/33554432,_xlpm.t_26,_xlpm.t_25+IF(_xlpm.dd^2/8*(_xlpm.t_25-SIN(_xlpm.t_25))&lt;_xlpm.aa,_xlpm.ww,-_xlpm.ww)/67108864,IF(OR(_xlpm.aa&lt;=0,_xlpm.dd&lt;=0),#VALUE!,_xlpm.dd/2*IF(_xlpm.t_26&gt;0.000001+_xlpm.ww*(1-1.5/2^26),0.000001+_xlpm.ww,_xlpm.t_26)))</f>
        <v>6.4093947122479555</v>
      </c>
      <c r="AA22" s="365">
        <v>0.47499999999999998</v>
      </c>
      <c r="AB22" s="365">
        <v>1.7370000000000001</v>
      </c>
      <c r="AC22" s="365">
        <f t="shared" ca="1" si="32"/>
        <v>0.46671946322989627</v>
      </c>
      <c r="AD22" s="365">
        <f t="shared" si="43"/>
        <v>0.2734599884858952</v>
      </c>
      <c r="AE22" s="368">
        <f ca="1">IFERROR(IF(IF(OR(ISNUMBER(SEARCH("BSTC",AM22)),ISNUMBER(SEARCH("BDTC",AM22)),ISNUMBER(SEARCH("BTTC",AM22))),"CIRCULAR",IF(OR(ISNUMBER(SEARCH("BSCC",AM22)),ISNUMBER(SEARCH("BDCC",AM22)),ISNUMBER(SEARCH("BTCC",AM22))),"CELULAR",""))="CIRCULAR",AG22/SQRT(9.80665*(AA22/(AZ22*SIN((2*ACOS(1-2*AH22/AZ22))/2)))),AG22/SQRT(9.80665*AH22)),"")</f>
        <v>0.98922488958200017</v>
      </c>
      <c r="AF22" s="365" t="str">
        <f t="shared" ca="1" si="44"/>
        <v>Subcrítico</v>
      </c>
      <c r="AG22" s="368">
        <f t="shared" ca="1" si="45"/>
        <v>3.6655905841958174</v>
      </c>
      <c r="AH22" s="368">
        <f ca="1">IFERROR(IF(IF(OR(ISNUMBER(SEARCH("BSTC",AM22)),ISNUMBER(SEARCH("BDTC",AM22)),ISNUMBER(SEARCH("BTTC",AM22))),"CIRCULAR",IF(OR(ISNUMBER(SEARCH("BSCC",AM22)),ISNUMBER(SEARCH("BDCC",AM22)),ISNUMBER(SEARCH("BTCC",AM22))),"CELULAR",""))="CIRCULAR",_xlfn.LET(_xlpm.qq,(15/3)*1,_xlpm.dd,(AZ22)*1,_xlpm.ss,(X22)*1,_xlpm.nn,(0.015)*1,_xlpm.rr,_xlpm.dd/2,_xlpm.ww,_xlpm.dd-0.000002,_xlpm.zz,(_xlpm.qq*_xlpm.nn/SQRT(_xlpm.ss))^3*_xlpm.rr^2/(_xlpm.dd^2/8)^5,_xlpm.h_1,0.000001+_xlpm.ww/2,_xlpm.u_1,2*ACOS(1-_xlpm.h_1/_xlpm.rr),_xlpm.h_2,_xlpm.h_1+IF((_xlpm.u_1-SIN(_xlpm.u_1))^5&lt;_xlpm.zz*_xlpm.u_1^2,_xlpm.ww,-_xlpm.ww)/4,_xlpm.u_2,2*ACOS(1-_xlpm.h_2/_xlpm.rr),_xlpm.h_3,_xlpm.h_2+IF((_xlpm.u_2-SIN(_xlpm.u_2))^5&lt;_xlpm.zz*_xlpm.u_2^2,_xlpm.ww,-_xlpm.ww)/8,_xlpm.u_3,2*ACOS(1-_xlpm.h_3/_xlpm.rr),_xlpm.h_4,_xlpm.h_3+IF((_xlpm.u_3-SIN(_xlpm.u_3))^5&lt;_xlpm.zz*_xlpm.u_3^2,_xlpm.ww,-_xlpm.ww)/16,_xlpm.u_4,2*ACOS(1-_xlpm.h_4/_xlpm.rr),_xlpm.h_5,_xlpm.h_4+IF((_xlpm.u_4-SIN(_xlpm.u_4))^5&lt;_xlpm.zz*_xlpm.u_4^2,_xlpm.ww,-_xlpm.ww)/32,_xlpm.u_5,2*ACOS(1-_xlpm.h_5/_xlpm.rr),_xlpm.h_6,_xlpm.h_5+IF((_xlpm.u_5-SIN(_xlpm.u_5))^5&lt;_xlpm.zz*_xlpm.u_5^2,_xlpm.ww,-_xlpm.ww)/64,_xlpm.u_6,2*ACOS(1-_xlpm.h_6/_xlpm.rr),_xlpm.h_7,_xlpm.h_6+IF((_xlpm.u_6-SIN(_xlpm.u_6))^5&lt;_xlpm.zz*_xlpm.u_6^2,_xlpm.ww,-_xlpm.ww)/128,_xlpm.u_7,2*ACOS(1-_xlpm.h_7/_xlpm.rr),_xlpm.h_8,_xlpm.h_7+IF((_xlpm.u_7-SIN(_xlpm.u_7))^5&lt;_xlpm.zz*_xlpm.u_7^2,_xlpm.ww,-_xlpm.ww)/256,_xlpm.u_8,2*ACOS(1-_xlpm.h_8/_xlpm.rr),_xlpm.h_9,_xlpm.h_8+IF((_xlpm.u_8-SIN(_xlpm.u_8))^5&lt;_xlpm.zz*_xlpm.u_8^2,_xlpm.ww,-_xlpm.ww)/512,_xlpm.u_9,2*ACOS(1-_xlpm.h_9/_xlpm.rr),_xlpm.h_10,_xlpm.h_9+IF((_xlpm.u_9-SIN(_xlpm.u_9))^5&lt;_xlpm.zz*_xlpm.u_9^2,_xlpm.ww,-_xlpm.ww)/1024,_xlpm.u_10,2*ACOS(1-_xlpm.h_10/_xlpm.rr),_xlpm.h_11,_xlpm.h_10+IF((_xlpm.u_10-SIN(_xlpm.u_10))^5&lt;_xlpm.zz*_xlpm.u_10^2,_xlpm.ww,-_xlpm.ww)/2048,_xlpm.u_11,2*ACOS(1-_xlpm.h_11/_xlpm.rr),_xlpm.h_12,_xlpm.h_11+IF((_xlpm.u_11-SIN(_xlpm.u_11))^5&lt;_xlpm.zz*_xlpm.u_11^2,_xlpm.ww,-_xlpm.ww)/4096,_xlpm.u_12,2*ACOS(1-_xlpm.h_12/_xlpm.rr),_xlpm.h_13,_xlpm.h_12+IF((_xlpm.u_12-SIN(_xlpm.u_12))^5&lt;_xlpm.zz*_xlpm.u_12^2,_xlpm.ww,-_xlpm.ww)/8192,_xlpm.u_13,2*ACOS(1-_xlpm.h_13/_xlpm.rr),_xlpm.h_14,_xlpm.h_13+IF((_xlpm.u_13-SIN(_xlpm.u_13))^5&lt;_xlpm.zz*_xlpm.u_13^2,_xlpm.ww,-_xlpm.ww)/16384,_xlpm.u_14,2*ACOS(1-_xlpm.h_14/_xlpm.rr),_xlpm.h_15,_xlpm.h_14+IF((_xlpm.u_14-SIN(_xlpm.u_14))^5&lt;_xlpm.zz*_xlpm.u_14^2,_xlpm.ww,-_xlpm.ww)/32768,_xlpm.u_15,2*ACOS(1-_xlpm.h_15/_xlpm.rr),_xlpm.h_16,_xlpm.h_15+IF((_xlpm.u_15-SIN(_xlpm.u_15))^5&lt;_xlpm.zz*_xlpm.u_15^2,_xlpm.ww,-_xlpm.ww)/65536,_xlpm.u_16,2*ACOS(1-_xlpm.h_16/_xlpm.rr),_xlpm.h_17,_xlpm.h_16+IF((_xlpm.u_16-SIN(_xlpm.u_16))^5&lt;_xlpm.zz*_xlpm.u_16^2,_xlpm.ww,-_xlpm.ww)/131072,_xlpm.u_17,2*ACOS(1-_xlpm.h_17/_xlpm.rr),_xlpm.h_18,_xlpm.h_17+IF((_xlpm.u_17-SIN(_xlpm.u_17))^5&lt;_xlpm.zz*_xlpm.u_17^2,_xlpm.ww,-_xlpm.ww)/262144,_xlpm.u_18,2*ACOS(1-_xlpm.h_18/_xlpm.rr),_xlpm.h_19,_xlpm.h_18+IF((_xlpm.u_18-SIN(_xlpm.u_18))^5&lt;_xlpm.zz*_xlpm.u_18^2,_xlpm.ww,-_xlpm.ww)/524288,_xlpm.u_19,2*ACOS(1-_xlpm.h_19/_xlpm.rr),_xlpm.h_20,_xlpm.h_19+IF((_xlpm.u_19-SIN(_xlpm.u_19))^5&lt;_xlpm.zz*_xlpm.u_19^2,_xlpm.ww,-_xlpm.ww)/1048576,_xlpm.u_20,2*ACOS(1-_xlpm.h_20/_xlpm.rr),_xlpm.h_21,_xlpm.h_20+IF((_xlpm.u_20-SIN(_xlpm.u_20))^5&lt;_xlpm.zz*_xlpm.u_20^2,_xlpm.ww,-_xlpm.ww)/2097152,_xlpm.u_21,2*ACOS(1-_xlpm.h_21/_xlpm.rr),_xlpm.h_22,_xlpm.h_21+IF((_xlpm.u_21-SIN(_xlpm.u_21))^5&lt;_xlpm.zz*_xlpm.u_21^2,_xlpm.ww,-_xlpm.ww)/4194304,_xlpm.u_22,2*ACOS(1-_xlpm.h_22/_xlpm.rr),_xlpm.h_23,_xlpm.h_22+IF((_xlpm.u_22-SIN(_xlpm.u_22))^5&lt;_xlpm.zz*_xlpm.u_22^2,_xlpm.ww,-_xlpm.ww)/8388608,_xlpm.u_23,2*ACOS(1-_xlpm.h_23/_xlpm.rr),_xlpm.h_24,_xlpm.h_23+IF((_xlpm.u_23-SIN(_xlpm.u_23))^5&lt;_xlpm.zz*_xlpm.u_23^2,_xlpm.ww,-_xlpm.ww)/16777216,_xlpm.u_24,2*ACOS(1-_xlpm.h_24/_xlpm.rr),_xlpm.h_25,_xlpm.h_24+IF((_xlpm.u_24-SIN(_xlpm.u_24))^5&lt;_xlpm.zz*_xlpm.u_24^2,_xlpm.ww,-_xlpm.ww)/33554432,_xlpm.u_25,2*ACOS(1-_xlpm.h_25/_xlpm.rr),_xlpm.h_26,_xlpm.h_25+IF((_xlpm.u_25-SIN(_xlpm.u_25))^5&lt;_xlpm.zz*_xlpm.u_25^2,_xlpm.ww,-_xlpm.ww)/67108864,IF(OR(_xlpm.qq&lt;=0,_xlpm.dd&lt;=0,_xlpm.ss&lt;=0,_xlpm.nn&lt;=0),#VALUE!,IF(_xlpm.h_26&gt;0.000001+_xlpm.ww*(1-1.5/2^26),0.000001+_xlpm.ww,_xlpm.h_26))),_xlfn.LET(_xlpm.ob,AM22,_xlpm.ss,(X22)*1,_xlpm.nn,(0.015)*1,_xlpm.qq,(BP22)*1/IF(OR(ISNUMBER(SEARCH("BSTC",_xlpm.ob)),ISNUMBER(SEARCH("BSCC",_xlpm.ob))),1,IF(OR(ISNUMBER(SEARCH("BDTC",_xlpm.ob)),ISNUMBER(SEARCH("BDCC",_xlpm.ob))),2,IF(OR(ISNUMBER(SEARCH("BTTC",_xlpm.ob)),ISNUMBER(SEARCH("BTCC",_xlpm.ob))),3,#VALUE!))),_xlpm.bb,_xlfn.NUMBERVALUE(SUBSTITUTE(TRIM(MID(_xlpm.ob,SEARCH("cc",_xlpm.ob)+3,SEARCH("x",_xlpm.ob)-SEARCH("cc",_xlpm.ob)-3)),".",","),",","."),_xlpm.hh,_xlfn.NUMBERVALUE(SUBSTITUTE(TRIM(MID(_xlpm.ob,SEARCH("x",_xlpm.ob)+1,SEARCH("m",_xlpm.ob,SEARCH("x",_xlpm.ob))-SEARCH("x",_xlpm.ob)-1)),".",","),",","."),_xlpm.kk,SQRT(_xlpm.ss)/_xlpm.nn,_xlpm.x_0,_xlpm.hh,_xlpm.g_0,_xlpm.kk*_xlpm.bb*_xlpm.x_0*(_xlpm.bb*_xlpm.x_0/(_xlpm.bb+2*_xlpm.x_0))^(2/3),_xlpm.x_1,_xlpm.x_0-(_xlpm.g_0-_xlpm.qq)/(_xlpm.g_0*(5/(3*_xlpm.x_0)-4/(3*(_xlpm.bb+2*_xlpm.x_0)))),_xlpm.g_1,_xlpm.kk*_xlpm.bb*_xlpm.x_1*(_xlpm.bb*_xlpm.x_1/(_xlpm.bb+2*_xlpm.x_1))^(2/3),_xlpm.x_2,_xlpm.x_1-(_xlpm.g_1-_xlpm.qq)/(_xlpm.g_1*(5/(3*_xlpm.x_1)-4/(3*(_xlpm.bb+2*_xlpm.x_1)))),_xlpm.g_2,_xlpm.kk*_xlpm.bb*_xlpm.x_2*(_xlpm.bb*_xlpm.x_2/(_xlpm.bb+2*_xlpm.x_2))^(2/3),_xlpm.x_3,_xlpm.x_2-(_xlpm.g_2-_xlpm.qq)/(_xlpm.g_2*(5/(3*_xlpm.x_2)-4/(3*(_xlpm.bb+2*_xlpm.x_2)))),_xlpm.g_3,_xlpm.kk*_xlpm.bb*_xlpm.x_3*(_xlpm.bb*_xlpm.x_3/(_xlpm.bb+2*_xlpm.x_3))^(2/3),_xlpm.x_4,_xlpm.x_3-(_xlpm.g_3-_xlpm.qq)/(_xlpm.g_3*(5/(3*_xlpm.x_3)-4/(3*(_xlpm.bb+2*_xlpm.x_3)))),_xlpm.g_4,_xlpm.kk*_xlpm.bb*_xlpm.x_4*(_xlpm.bb*_xlpm.x_4/(_xlpm.bb+2*_xlpm.x_4))^(2/3),_xlpm.x_5,_xlpm.x_4-(_xlpm.g_4-_xlpm.qq)/(_xlpm.g_4*(5/(3*_xlpm.x_4)-4/(3*(_xlpm.bb+2*_xlpm.x_4)))),_xlpm.g_5,_xlpm.kk*_xlpm.bb*_xlpm.x_5*(_xlpm.bb*_xlpm.x_5/(_xlpm.bb+2*_xlpm.x_5))^(2/3),_xlpm.x_6,_xlpm.x_5-(_xlpm.g_5-_xlpm.qq)/(_xlpm.g_5*(5/(3*_xlpm.x_5)-4/(3*(_xlpm.bb+2*_xlpm.x_5)))),_xlpm.g_6,_xlpm.kk*_xlpm.bb*_xlpm.x_6*(_xlpm.bb*_xlpm.x_6/(_xlpm.bb+2*_xlpm.x_6))^(2/3),_xlpm.x_7,_xlpm.x_6-(_xlpm.g_6-_xlpm.qq)/(_xlpm.g_6*(5/(3*_xlpm.x_6)-4/(3*(_xlpm.bb+2*_xlpm.x_6)))),_xlpm.g_7,_xlpm.kk*_xlpm.bb*_xlpm.x_7*(_xlpm.bb*_xlpm.x_7/(_xlpm.bb+2*_xlpm.x_7))^(2/3),_xlpm.x_8,_xlpm.x_7-(_xlpm.g_7-_xlpm.qq)/(_xlpm.g_7*(5/(3*_xlpm.x_7)-4/(3*(_xlpm.bb+2*_xlpm.x_7)))),_xlpm.g_8,_xlpm.kk*_xlpm.bb*_xlpm.x_8*(_xlpm.bb*_xlpm.x_8/(_xlpm.bb+2*_xlpm.x_8))^(2/3),_xlpm.x_9,_xlpm.x_8-(_xlpm.g_8-_xlpm.qq)/(_xlpm.g_8*(5/(3*_xlpm.x_8)-4/(3*(_xlpm.bb+2*_xlpm.x_8)))),_xlpm.g_9,_xlpm.kk*_xlpm.bb*_xlpm.x_9*(_xlpm.bb*_xlpm.x_9/(_xlpm.bb+2*_xlpm.x_9))^(2/3),_xlpm.x_10,_xlpm.x_9-(_xlpm.g_9-_xlpm.qq)/(_xlpm.g_9*(5/(3*_xlpm.x_9)-4/(3*(_xlpm.bb+2*_xlpm.x_9)))),MIN(_xlpm.hh,_xlpm.x_10))),"")</f>
        <v>1.4001583896896888</v>
      </c>
      <c r="AI22" s="368">
        <f ca="1">IFERROR(
  IF(
    IF(OR(ISNUMBER(SEARCH("BSTC",AM22)),ISNUMBER(SEARCH("BDTC",AM22)),ISNUMBER(SEARCH("BTTC",AM22))),"CIRCULAR",IF(OR(ISNUMBER(SEARCH("BSCC",AM22)),ISNUMBER(SEARCH("BDCC",AM22)),ISNUMBER(SEARCH("BTCC",AM22))),"CELULAR",""))="CIRCULAR",
    (3/2)*(((AZ22^2/8)*((2*ACOS(1-2*BB22/AZ22))-SIN(2*ACOS(1-2*BB22/AZ22))))/(AZ22*SIN((2*ACOS(1-2*BB22/AZ22))/2))),
    (3/2)*BB22
  ),
  ""
)</f>
        <v>2.2067315726273771</v>
      </c>
      <c r="AJ22" s="368">
        <f t="shared" ca="1" si="46"/>
        <v>0.85935390658199073</v>
      </c>
      <c r="AK22" s="369" t="s">
        <v>365</v>
      </c>
      <c r="AL22" s="370" t="str">
        <f ca="1">IFERROR(INDIRECT("'"&amp;BN22&amp;"'!J26"),"")</f>
        <v>BSCC 3,00 x 3,00m</v>
      </c>
      <c r="AM22" s="373" t="str">
        <f ca="1">IFERROR(INDIRECT("'"&amp;BN22&amp;"'!J31"),"")</f>
        <v>BDCC 2,50 x 2,50m</v>
      </c>
      <c r="AN22" s="371" t="s">
        <v>25</v>
      </c>
      <c r="AO22" s="371" t="s">
        <v>25</v>
      </c>
      <c r="AP22" s="371" t="s">
        <v>373</v>
      </c>
      <c r="AQ22" s="117">
        <f t="shared" ca="1" si="33"/>
        <v>39.532447510295604</v>
      </c>
      <c r="AR22" s="31">
        <f t="shared" ca="1" si="34"/>
        <v>0.90884568242225094</v>
      </c>
      <c r="AS22" s="93">
        <v>1.4999999999999999E-2</v>
      </c>
      <c r="AT22" s="33">
        <f ca="1">IFERROR(IF(IF(OR(ISNUMBER(SEARCH("BSTC",AL22)),ISNUMBER(SEARCH("BDTC",AL22)),ISNUMBER(SEARCH("BTTC",AL22))),"CIRCULAR",IF(OR(ISNUMBER(SEARCH("BSCC",AL22)),ISNUMBER(SEARCH("BDCC",AL22)),ISNUMBER(SEARCH("BTCC",AL22))),"CELULAR",""))="CIRCULAR",_xlfn.LET(_xlpm.qq,(BS22/(IFERROR(IF(OR(ISNUMBER(FIND("BDTC",AL22)),ISNUMBER(FIND("BDCC",AL22))),2,IF(OR(ISNUMBER(FIND("BTTC",AL22)),ISNUMBER(FIND("BTCC",AL22))),3,IF(OR(ISNUMBER(FIND("BSTC",AL22)),ISNUMBER(FIND("BSCC",AL22))),1,""))),"")))*1,_xlpm.dd,(AY22)*1,_xlpm.ss,(X22)*1,_xlpm.nn,(0.015)*1,_xlpm.rr,_xlpm.dd/2,_xlpm.ww,_xlpm.dd-0.000002,_xlpm.zz,(_xlpm.qq*_xlpm.nn/SQRT(_xlpm.ss))^3*_xlpm.rr^2/(_xlpm.dd^2/8)^5,_xlpm.h_1,0.000001+_xlpm.ww/2,_xlpm.u_1,2*ACOS(1-_xlpm.h_1/_xlpm.rr),_xlpm.h_2,_xlpm.h_1+IF((_xlpm.u_1-SIN(_xlpm.u_1))^5&lt;_xlpm.zz*_xlpm.u_1^2,_xlpm.ww,-_xlpm.ww)/4,_xlpm.u_2,2*ACOS(1-_xlpm.h_2/_xlpm.rr),_xlpm.h_3,_xlpm.h_2+IF((_xlpm.u_2-SIN(_xlpm.u_2))^5&lt;_xlpm.zz*_xlpm.u_2^2,_xlpm.ww,-_xlpm.ww)/8,_xlpm.u_3,2*ACOS(1-_xlpm.h_3/_xlpm.rr),_xlpm.h_4,_xlpm.h_3+IF((_xlpm.u_3-SIN(_xlpm.u_3))^5&lt;_xlpm.zz*_xlpm.u_3^2,_xlpm.ww,-_xlpm.ww)/16,_xlpm.u_4,2*ACOS(1-_xlpm.h_4/_xlpm.rr),_xlpm.h_5,_xlpm.h_4+IF((_xlpm.u_4-SIN(_xlpm.u_4))^5&lt;_xlpm.zz*_xlpm.u_4^2,_xlpm.ww,-_xlpm.ww)/32,_xlpm.u_5,2*ACOS(1-_xlpm.h_5/_xlpm.rr),_xlpm.h_6,_xlpm.h_5+IF((_xlpm.u_5-SIN(_xlpm.u_5))^5&lt;_xlpm.zz*_xlpm.u_5^2,_xlpm.ww,-_xlpm.ww)/64,_xlpm.u_6,2*ACOS(1-_xlpm.h_6/_xlpm.rr),_xlpm.h_7,_xlpm.h_6+IF((_xlpm.u_6-SIN(_xlpm.u_6))^5&lt;_xlpm.zz*_xlpm.u_6^2,_xlpm.ww,-_xlpm.ww)/128,_xlpm.u_7,2*ACOS(1-_xlpm.h_7/_xlpm.rr),_xlpm.h_8,_xlpm.h_7+IF((_xlpm.u_7-SIN(_xlpm.u_7))^5&lt;_xlpm.zz*_xlpm.u_7^2,_xlpm.ww,-_xlpm.ww)/256,_xlpm.u_8,2*ACOS(1-_xlpm.h_8/_xlpm.rr),_xlpm.h_9,_xlpm.h_8+IF((_xlpm.u_8-SIN(_xlpm.u_8))^5&lt;_xlpm.zz*_xlpm.u_8^2,_xlpm.ww,-_xlpm.ww)/512,_xlpm.u_9,2*ACOS(1-_xlpm.h_9/_xlpm.rr),_xlpm.h_10,_xlpm.h_9+IF((_xlpm.u_9-SIN(_xlpm.u_9))^5&lt;_xlpm.zz*_xlpm.u_9^2,_xlpm.ww,-_xlpm.ww)/1024,_xlpm.u_10,2*ACOS(1-_xlpm.h_10/_xlpm.rr),_xlpm.h_11,_xlpm.h_10+IF((_xlpm.u_10-SIN(_xlpm.u_10))^5&lt;_xlpm.zz*_xlpm.u_10^2,_xlpm.ww,-_xlpm.ww)/2048,_xlpm.u_11,2*ACOS(1-_xlpm.h_11/_xlpm.rr),_xlpm.h_12,_xlpm.h_11+IF((_xlpm.u_11-SIN(_xlpm.u_11))^5&lt;_xlpm.zz*_xlpm.u_11^2,_xlpm.ww,-_xlpm.ww)/4096,_xlpm.u_12,2*ACOS(1-_xlpm.h_12/_xlpm.rr),_xlpm.h_13,_xlpm.h_12+IF((_xlpm.u_12-SIN(_xlpm.u_12))^5&lt;_xlpm.zz*_xlpm.u_12^2,_xlpm.ww,-_xlpm.ww)/8192,_xlpm.u_13,2*ACOS(1-_xlpm.h_13/_xlpm.rr),_xlpm.h_14,_xlpm.h_13+IF((_xlpm.u_13-SIN(_xlpm.u_13))^5&lt;_xlpm.zz*_xlpm.u_13^2,_xlpm.ww,-_xlpm.ww)/16384,_xlpm.u_14,2*ACOS(1-_xlpm.h_14/_xlpm.rr),_xlpm.h_15,_xlpm.h_14+IF((_xlpm.u_14-SIN(_xlpm.u_14))^5&lt;_xlpm.zz*_xlpm.u_14^2,_xlpm.ww,-_xlpm.ww)/32768,_xlpm.u_15,2*ACOS(1-_xlpm.h_15/_xlpm.rr),_xlpm.h_16,_xlpm.h_15+IF((_xlpm.u_15-SIN(_xlpm.u_15))^5&lt;_xlpm.zz*_xlpm.u_15^2,_xlpm.ww,-_xlpm.ww)/65536,_xlpm.u_16,2*ACOS(1-_xlpm.h_16/_xlpm.rr),_xlpm.h_17,_xlpm.h_16+IF((_xlpm.u_16-SIN(_xlpm.u_16))^5&lt;_xlpm.zz*_xlpm.u_16^2,_xlpm.ww,-_xlpm.ww)/131072,_xlpm.u_17,2*ACOS(1-_xlpm.h_17/_xlpm.rr),_xlpm.h_18,_xlpm.h_17+IF((_xlpm.u_17-SIN(_xlpm.u_17))^5&lt;_xlpm.zz*_xlpm.u_17^2,_xlpm.ww,-_xlpm.ww)/262144,_xlpm.u_18,2*ACOS(1-_xlpm.h_18/_xlpm.rr),_xlpm.h_19,_xlpm.h_18+IF((_xlpm.u_18-SIN(_xlpm.u_18))^5&lt;_xlpm.zz*_xlpm.u_18^2,_xlpm.ww,-_xlpm.ww)/524288,_xlpm.u_19,2*ACOS(1-_xlpm.h_19/_xlpm.rr),_xlpm.h_20,_xlpm.h_19+IF((_xlpm.u_19-SIN(_xlpm.u_19))^5&lt;_xlpm.zz*_xlpm.u_19^2,_xlpm.ww,-_xlpm.ww)/1048576,_xlpm.u_20,2*ACOS(1-_xlpm.h_20/_xlpm.rr),_xlpm.h_21,_xlpm.h_20+IF((_xlpm.u_20-SIN(_xlpm.u_20))^5&lt;_xlpm.zz*_xlpm.u_20^2,_xlpm.ww,-_xlpm.ww)/2097152,_xlpm.u_21,2*ACOS(1-_xlpm.h_21/_xlpm.rr),_xlpm.h_22,_xlpm.h_21+IF((_xlpm.u_21-SIN(_xlpm.u_21))^5&lt;_xlpm.zz*_xlpm.u_21^2,_xlpm.ww,-_xlpm.ww)/4194304,_xlpm.u_22,2*ACOS(1-_xlpm.h_22/_xlpm.rr),_xlpm.h_23,_xlpm.h_22+IF((_xlpm.u_22-SIN(_xlpm.u_22))^5&lt;_xlpm.zz*_xlpm.u_22^2,_xlpm.ww,-_xlpm.ww)/8388608,_xlpm.u_23,2*ACOS(1-_xlpm.h_23/_xlpm.rr),_xlpm.h_24,_xlpm.h_23+IF((_xlpm.u_23-SIN(_xlpm.u_23))^5&lt;_xlpm.zz*_xlpm.u_23^2,_xlpm.ww,-_xlpm.ww)/16777216,_xlpm.u_24,2*ACOS(1-_xlpm.h_24/_xlpm.rr),_xlpm.h_25,_xlpm.h_24+IF((_xlpm.u_24-SIN(_xlpm.u_24))^5&lt;_xlpm.zz*_xlpm.u_24^2,_xlpm.ww,-_xlpm.ww)/33554432,_xlpm.u_25,2*ACOS(1-_xlpm.h_25/_xlpm.rr),_xlpm.h_26,_xlpm.h_25+IF((_xlpm.u_25-SIN(_xlpm.u_25))^5&lt;_xlpm.zz*_xlpm.u_25^2,_xlpm.ww,-_xlpm.ww)/67108864,IF(OR(_xlpm.qq&lt;=0,_xlpm.dd&lt;=0,_xlpm.ss&lt;=0,_xlpm.nn&lt;=0),#VALUE!,IF(_xlpm.h_26&gt;0.000001+_xlpm.ww*(1-1.5/2^26),0.000001+_xlpm.ww,_xlpm.h_26))),_xlfn.LET(_xlpm.ob,AL22,_xlpm.ss,(X22)*1,_xlpm.nn,(0.015)*1,_xlpm.qq,(BS22)*1/IF(OR(ISNUMBER(SEARCH("BSTC",_xlpm.ob)),ISNUMBER(SEARCH("BSCC",_xlpm.ob))),1,IF(OR(ISNUMBER(SEARCH("BDTC",_xlpm.ob)),ISNUMBER(SEARCH("BDCC",_xlpm.ob))),2,IF(OR(ISNUMBER(SEARCH("BTTC",_xlpm.ob)),ISNUMBER(SEARCH("BTCC",_xlpm.ob))),3,#VALUE!))),_xlpm.bb,_xlfn.NUMBERVALUE(SUBSTITUTE(TRIM(MID(_xlpm.ob,SEARCH("cc",_xlpm.ob)+3,SEARCH("x",_xlpm.ob)-SEARCH("cc",_xlpm.ob)-3)),".",","),",","."),_xlpm.hh,_xlfn.NUMBERVALUE(SUBSTITUTE(TRIM(MID(_xlpm.ob,SEARCH("x",_xlpm.ob)+1,SEARCH("m",_xlpm.ob,SEARCH("x",_xlpm.ob))-SEARCH("x",_xlpm.ob)-1)),".",","),",","."),_xlpm.kk,SQRT(_xlpm.ss)/_xlpm.nn,_xlpm.x_0,_xlpm.hh,_xlpm.g_0,_xlpm.kk*_xlpm.bb*_xlpm.x_0*(_xlpm.bb*_xlpm.x_0/(_xlpm.bb+2*_xlpm.x_0))^(2/3),_xlpm.x_1,_xlpm.x_0-(_xlpm.g_0-_xlpm.qq)/(_xlpm.g_0*(5/(3*_xlpm.x_0)-4/(3*(_xlpm.bb+2*_xlpm.x_0)))),_xlpm.g_1,_xlpm.kk*_xlpm.bb*_xlpm.x_1*(_xlpm.bb*_xlpm.x_1/(_xlpm.bb+2*_xlpm.x_1))^(2/3),_xlpm.x_2,_xlpm.x_1-(_xlpm.g_1-_xlpm.qq)/(_xlpm.g_1*(5/(3*_xlpm.x_1)-4/(3*(_xlpm.bb+2*_xlpm.x_1)))),_xlpm.g_2,_xlpm.kk*_xlpm.bb*_xlpm.x_2*(_xlpm.bb*_xlpm.x_2/(_xlpm.bb+2*_xlpm.x_2))^(2/3),_xlpm.x_3,_xlpm.x_2-(_xlpm.g_2-_xlpm.qq)/(_xlpm.g_2*(5/(3*_xlpm.x_2)-4/(3*(_xlpm.bb+2*_xlpm.x_2)))),_xlpm.g_3,_xlpm.kk*_xlpm.bb*_xlpm.x_3*(_xlpm.bb*_xlpm.x_3/(_xlpm.bb+2*_xlpm.x_3))^(2/3),_xlpm.x_4,_xlpm.x_3-(_xlpm.g_3-_xlpm.qq)/(_xlpm.g_3*(5/(3*_xlpm.x_3)-4/(3*(_xlpm.bb+2*_xlpm.x_3)))),_xlpm.g_4,_xlpm.kk*_xlpm.bb*_xlpm.x_4*(_xlpm.bb*_xlpm.x_4/(_xlpm.bb+2*_xlpm.x_4))^(2/3),_xlpm.x_5,_xlpm.x_4-(_xlpm.g_4-_xlpm.qq)/(_xlpm.g_4*(5/(3*_xlpm.x_4)-4/(3*(_xlpm.bb+2*_xlpm.x_4)))),_xlpm.g_5,_xlpm.kk*_xlpm.bb*_xlpm.x_5*(_xlpm.bb*_xlpm.x_5/(_xlpm.bb+2*_xlpm.x_5))^(2/3),_xlpm.x_6,_xlpm.x_5-(_xlpm.g_5-_xlpm.qq)/(_xlpm.g_5*(5/(3*_xlpm.x_5)-4/(3*(_xlpm.bb+2*_xlpm.x_5)))),_xlpm.g_6,_xlpm.kk*_xlpm.bb*_xlpm.x_6*(_xlpm.bb*_xlpm.x_6/(_xlpm.bb+2*_xlpm.x_6))^(2/3),_xlpm.x_7,_xlpm.x_6-(_xlpm.g_6-_xlpm.qq)/(_xlpm.g_6*(5/(3*_xlpm.x_6)-4/(3*(_xlpm.bb+2*_xlpm.x_6)))),_xlpm.g_7,_xlpm.kk*_xlpm.bb*_xlpm.x_7*(_xlpm.bb*_xlpm.x_7/(_xlpm.bb+2*_xlpm.x_7))^(2/3),_xlpm.x_8,_xlpm.x_7-(_xlpm.g_7-_xlpm.qq)/(_xlpm.g_7*(5/(3*_xlpm.x_7)-4/(3*(_xlpm.bb+2*_xlpm.x_7)))),_xlpm.g_8,_xlpm.kk*_xlpm.bb*_xlpm.x_8*(_xlpm.bb*_xlpm.x_8/(_xlpm.bb+2*_xlpm.x_8))^(2/3),_xlpm.x_9,_xlpm.x_8-(_xlpm.g_8-_xlpm.qq)/(_xlpm.g_8*(5/(3*_xlpm.x_8)-4/(3*(_xlpm.bb+2*_xlpm.x_8)))),_xlpm.g_9,_xlpm.kk*_xlpm.bb*_xlpm.x_9*(_xlpm.bb*_xlpm.x_9/(_xlpm.bb+2*_xlpm.x_9))^(2/3),_xlpm.x_10,_xlpm.x_9-(_xlpm.g_9-_xlpm.qq)/(_xlpm.g_9*(5/(3*_xlpm.x_9)-4/(3*(_xlpm.bb+2*_xlpm.x_9)))),MIN(_xlpm.hh,_xlpm.x_10))),"")</f>
        <v>2.1483847664549769</v>
      </c>
      <c r="AU22" s="33">
        <f t="shared" si="35"/>
        <v>0.94233518738488453</v>
      </c>
      <c r="AW22" s="33" t="str">
        <f t="shared" ca="1" si="36"/>
        <v>BDCC</v>
      </c>
      <c r="AY22" s="33">
        <f t="shared" ca="1" si="37"/>
        <v>3</v>
      </c>
      <c r="AZ22" s="33">
        <f t="shared" ca="1" si="38"/>
        <v>2.5</v>
      </c>
      <c r="BA22" s="33" t="str">
        <f ca="1">IFERROR(INDEX(Tabela_DEB!$A$2:$A$12,MATCH(LEFT(AM22,FIND(" ",AM22)-1)&amp;" "&amp;TEXT(VALUE(MID(AM22,FIND("=",AM22)+1,FIND("m",AM22)-FIND("=",AM22)-1))*100,"0"),Tabela_DEB!$E$2:$E$12,0)),"")</f>
        <v/>
      </c>
      <c r="BB22" s="33">
        <f ca="1">IFERROR(IF(IF(OR(ISNUMBER(SEARCH("BSTC",AM22)),ISNUMBER(SEARCH("BDTC",AM22)),ISNUMBER(SEARCH("BTTC",AM22))),"CIRCULAR",IF(OR(ISNUMBER(SEARCH("BSCC",AM22)),ISNUMBER(SEARCH("BDCC",AM22)),ISNUMBER(SEARCH("BTCC",AM22))),"CELULAR",""))="CIRCULAR",_xlfn.LET(_xlpm.qq,(BQ22/BC22)*1,_xlpm.dd,(AZ22)*1,_xlpm.ww,_xlpm.dd-0.0002,_xlpm.f_0,_xlpm.qq^2*_xlpm.dd*SIN(ACOS(1-2*0.0001/_xlpm.dd))-9.81*(_xlpm.dd^2/8*(2*ACOS(1-2*0.0001/_xlpm.dd)-SIN(2*ACOS(1-2*0.0001/_xlpm.dd))))^3,_xlpm.y_1,0.0001+_xlpm.ww/2,_xlpm.f_1,_xlpm.qq^2*_xlpm.dd*SIN(ACOS(1-2*_xlpm.y_1/_xlpm.dd))-9.81*(_xlpm.dd^2/8*(2*ACOS(1-2*_xlpm.y_1/_xlpm.dd)-SIN(2*ACOS(1-2*_xlpm.y_1/_xlpm.dd))))^3,_xlpm.y_2,_xlpm.y_1+IF(ABS(_xlpm.f_1)&lt;0.000001,0,IF(_xlpm.f_0*_xlpm.f_1&lt;0,-_xlpm.ww,_xlpm.ww))/4,_xlpm.f_2,_xlpm.qq^2*_xlpm.dd*SIN(ACOS(1-2*_xlpm.y_2/_xlpm.dd))-9.81*(_xlpm.dd^2/8*(2*ACOS(1-2*_xlpm.y_2/_xlpm.dd)-SIN(2*ACOS(1-2*_xlpm.y_2/_xlpm.dd))))^3,_xlpm.y_3,_xlpm.y_2+IF(ABS(_xlpm.f_2)&lt;0.000001,0,IF(_xlpm.f_0*_xlpm.f_2&lt;0,-_xlpm.ww,_xlpm.ww))/8,_xlpm.f_3,_xlpm.qq^2*_xlpm.dd*SIN(ACOS(1-2*_xlpm.y_3/_xlpm.dd))-9.81*(_xlpm.dd^2/8*(2*ACOS(1-2*_xlpm.y_3/_xlpm.dd)-SIN(2*ACOS(1-2*_xlpm.y_3/_xlpm.dd))))^3,_xlpm.y_4,_xlpm.y_3+IF(ABS(_xlpm.f_3)&lt;0.000001,0,IF(_xlpm.f_0*_xlpm.f_3&lt;0,-_xlpm.ww,_xlpm.ww))/16,_xlpm.f_4,_xlpm.qq^2*_xlpm.dd*SIN(ACOS(1-2*_xlpm.y_4/_xlpm.dd))-9.81*(_xlpm.dd^2/8*(2*ACOS(1-2*_xlpm.y_4/_xlpm.dd)-SIN(2*ACOS(1-2*_xlpm.y_4/_xlpm.dd))))^3,_xlpm.y_5,_xlpm.y_4+IF(ABS(_xlpm.f_4)&lt;0.000001,0,IF(_xlpm.f_0*_xlpm.f_4&lt;0,-_xlpm.ww,_xlpm.ww))/32,_xlpm.f_5,_xlpm.qq^2*_xlpm.dd*SIN(ACOS(1-2*_xlpm.y_5/_xlpm.dd))-9.81*(_xlpm.dd^2/8*(2*ACOS(1-2*_xlpm.y_5/_xlpm.dd)-SIN(2*ACOS(1-2*_xlpm.y_5/_xlpm.dd))))^3,_xlpm.y_6,_xlpm.y_5+IF(ABS(_xlpm.f_5)&lt;0.000001,0,IF(_xlpm.f_0*_xlpm.f_5&lt;0,-_xlpm.ww,_xlpm.ww))/64,_xlpm.f_6,_xlpm.qq^2*_xlpm.dd*SIN(ACOS(1-2*_xlpm.y_6/_xlpm.dd))-9.81*(_xlpm.dd^2/8*(2*ACOS(1-2*_xlpm.y_6/_xlpm.dd)-SIN(2*ACOS(1-2*_xlpm.y_6/_xlpm.dd))))^3,_xlpm.y_7,_xlpm.y_6+IF(ABS(_xlpm.f_6)&lt;0.000001,0,IF(_xlpm.f_0*_xlpm.f_6&lt;0,-_xlpm.ww,_xlpm.ww))/128,_xlpm.f_7,_xlpm.qq^2*_xlpm.dd*SIN(ACOS(1-2*_xlpm.y_7/_xlpm.dd))-9.81*(_xlpm.dd^2/8*(2*ACOS(1-2*_xlpm.y_7/_xlpm.dd)-SIN(2*ACOS(1-2*_xlpm.y_7/_xlpm.dd))))^3,_xlpm.y_8,_xlpm.y_7+IF(ABS(_xlpm.f_7)&lt;0.000001,0,IF(_xlpm.f_0*_xlpm.f_7&lt;0,-_xlpm.ww,_xlpm.ww))/256,_xlpm.f_8,_xlpm.qq^2*_xlpm.dd*SIN(ACOS(1-2*_xlpm.y_8/_xlpm.dd))-9.81*(_xlpm.dd^2/8*(2*ACOS(1-2*_xlpm.y_8/_xlpm.dd)-SIN(2*ACOS(1-2*_xlpm.y_8/_xlpm.dd))))^3,_xlpm.y_9,_xlpm.y_8+IF(ABS(_xlpm.f_8)&lt;0.000001,0,IF(_xlpm.f_0*_xlpm.f_8&lt;0,-_xlpm.ww,_xlpm.ww))/512,_xlpm.f_9,_xlpm.qq^2*_xlpm.dd*SIN(ACOS(1-2*_xlpm.y_9/_xlpm.dd))-9.81*(_xlpm.dd^2/8*(2*ACOS(1-2*_xlpm.y_9/_xlpm.dd)-SIN(2*ACOS(1-2*_xlpm.y_9/_xlpm.dd))))^3,_xlpm.y_10,_xlpm.y_9+IF(ABS(_xlpm.f_9)&lt;0.000001,0,IF(_xlpm.f_0*_xlpm.f_9&lt;0,-_xlpm.ww,_xlpm.ww))/1024,_xlpm.f_10,_xlpm.qq^2*_xlpm.dd*SIN(ACOS(1-2*_xlpm.y_10/_xlpm.dd))-9.81*(_xlpm.dd^2/8*(2*ACOS(1-2*_xlpm.y_10/_xlpm.dd)-SIN(2*ACOS(1-2*_xlpm.y_10/_xlpm.dd))))^3,_xlpm.y_11,_xlpm.y_10+IF(ABS(_xlpm.f_10)&lt;0.000001,0,IF(_xlpm.f_0*_xlpm.f_10&lt;0,-_xlpm.ww,_xlpm.ww))/2048,_xlpm.f_11,_xlpm.qq^2*_xlpm.dd*SIN(ACOS(1-2*_xlpm.y_11/_xlpm.dd))-9.81*(_xlpm.dd^2/8*(2*ACOS(1-2*_xlpm.y_11/_xlpm.dd)-SIN(2*ACOS(1-2*_xlpm.y_11/_xlpm.dd))))^3,_xlpm.y_12,_xlpm.y_11+IF(ABS(_xlpm.f_11)&lt;0.000001,0,IF(_xlpm.f_0*_xlpm.f_11&lt;0,-_xlpm.ww,_xlpm.ww))/4096,_xlpm.f_12,_xlpm.qq^2*_xlpm.dd*SIN(ACOS(1-2*_xlpm.y_12/_xlpm.dd))-9.81*(_xlpm.dd^2/8*(2*ACOS(1-2*_xlpm.y_12/_xlpm.dd)-SIN(2*ACOS(1-2*_xlpm.y_12/_xlpm.dd))))^3,_xlpm.y_13,_xlpm.y_12+IF(ABS(_xlpm.f_12)&lt;0.000001,0,IF(_xlpm.f_0*_xlpm.f_12&lt;0,-_xlpm.ww,_xlpm.ww))/8192,_xlpm.f_13,_xlpm.qq^2*_xlpm.dd*SIN(ACOS(1-2*_xlpm.y_13/_xlpm.dd))-9.81*(_xlpm.dd^2/8*(2*ACOS(1-2*_xlpm.y_13/_xlpm.dd)-SIN(2*ACOS(1-2*_xlpm.y_13/_xlpm.dd))))^3,_xlpm.y_14,_xlpm.y_13+IF(ABS(_xlpm.f_13)&lt;0.000001,0,IF(_xlpm.f_0*_xlpm.f_13&lt;0,-_xlpm.ww,_xlpm.ww))/16384,_xlpm.f_14,_xlpm.qq^2*_xlpm.dd*SIN(ACOS(1-2*_xlpm.y_14/_xlpm.dd))-9.81*(_xlpm.dd^2/8*(2*ACOS(1-2*_xlpm.y_14/_xlpm.dd)-SIN(2*ACOS(1-2*_xlpm.y_14/_xlpm.dd))))^3,_xlpm.y_15,_xlpm.y_14+IF(ABS(_xlpm.f_14)&lt;0.000001,0,IF(_xlpm.f_0*_xlpm.f_14&lt;0,-_xlpm.ww,_xlpm.ww))/32768,_xlpm.f_15,_xlpm.qq^2*_xlpm.dd*SIN(ACOS(1-2*_xlpm.y_15/_xlpm.dd))-9.81*(_xlpm.dd^2/8*(2*ACOS(1-2*_xlpm.y_15/_xlpm.dd)-SIN(2*ACOS(1-2*_xlpm.y_15/_xlpm.dd))))^3,_xlpm.y_16,_xlpm.y_15+IF(ABS(_xlpm.f_15)&lt;0.000001,0,IF(_xlpm.f_0*_xlpm.f_15&lt;0,-_xlpm.ww,_xlpm.ww))/65536,_xlpm.f_16,_xlpm.qq^2*_xlpm.dd*SIN(ACOS(1-2*_xlpm.y_16/_xlpm.dd))-9.81*(_xlpm.dd^2/8*(2*ACOS(1-2*_xlpm.y_16/_xlpm.dd)-SIN(2*ACOS(1-2*_xlpm.y_16/_xlpm.dd))))^3,_xlpm.y_17,_xlpm.y_16+IF(ABS(_xlpm.f_16)&lt;0.000001,0,IF(_xlpm.f_0*_xlpm.f_16&lt;0,-_xlpm.ww,_xlpm.ww))/131072,_xlpm.f_17,_xlpm.qq^2*_xlpm.dd*SIN(ACOS(1-2*_xlpm.y_17/_xlpm.dd))-9.81*(_xlpm.dd^2/8*(2*ACOS(1-2*_xlpm.y_17/_xlpm.dd)-SIN(2*ACOS(1-2*_xlpm.y_17/_xlpm.dd))))^3,_xlpm.y_18,_xlpm.y_17+IF(ABS(_xlpm.f_17)&lt;0.000001,0,IF(_xlpm.f_0*_xlpm.f_17&lt;0,-_xlpm.ww,_xlpm.ww))/262144,_xlpm.f_18,_xlpm.qq^2*_xlpm.dd*SIN(ACOS(1-2*_xlpm.y_18/_xlpm.dd))-9.81*(_xlpm.dd^2/8*(2*ACOS(1-2*_xlpm.y_18/_xlpm.dd)-SIN(2*ACOS(1-2*_xlpm.y_18/_xlpm.dd))))^3,_xlpm.y_19,_xlpm.y_18+IF(ABS(_xlpm.f_18)&lt;0.000001,0,IF(_xlpm.f_0*_xlpm.f_18&lt;0,-_xlpm.ww,_xlpm.ww))/524288,_xlpm.f_19,_xlpm.qq^2*_xlpm.dd*SIN(ACOS(1-2*_xlpm.y_19/_xlpm.dd))-9.81*(_xlpm.dd^2/8*(2*ACOS(1-2*_xlpm.y_19/_xlpm.dd)-SIN(2*ACOS(1-2*_xlpm.y_19/_xlpm.dd))))^3,_xlpm.y_20,_xlpm.y_19+IF(ABS(_xlpm.f_19)&lt;0.000001,0,IF(_xlpm.f_0*_xlpm.f_19&lt;0,-_xlpm.ww,_xlpm.ww))/1048576,_xlpm.f_20,_xlpm.qq^2*_xlpm.dd*SIN(ACOS(1-2*_xlpm.y_20/_xlpm.dd))-9.81*(_xlpm.dd^2/8*(2*ACOS(1-2*_xlpm.y_20/_xlpm.dd)-SIN(2*ACOS(1-2*_xlpm.y_20/_xlpm.dd))))^3,_xlpm.y_21,_xlpm.y_20+IF(ABS(_xlpm.f_20)&lt;0.000001,0,IF(_xlpm.f_0*_xlpm.f_20&lt;0,-_xlpm.ww,_xlpm.ww))/2097152,_xlpm.f_21,_xlpm.qq^2*_xlpm.dd*SIN(ACOS(1-2*_xlpm.y_21/_xlpm.dd))-9.81*(_xlpm.dd^2/8*(2*ACOS(1-2*_xlpm.y_21/_xlpm.dd)-SIN(2*ACOS(1-2*_xlpm.y_21/_xlpm.dd))))^3,_xlpm.y_22,_xlpm.y_21+IF(ABS(_xlpm.f_21)&lt;0.000001,0,IF(_xlpm.f_0*_xlpm.f_21&lt;0,-_xlpm.ww,_xlpm.ww))/4194304,_xlpm.f_22,_xlpm.qq^2*_xlpm.dd*SIN(ACOS(1-2*_xlpm.y_22/_xlpm.dd))-9.81*(_xlpm.dd^2/8*(2*ACOS(1-2*_xlpm.y_22/_xlpm.dd)-SIN(2*ACOS(1-2*_xlpm.y_22/_xlpm.dd))))^3,_xlpm.y_23,_xlpm.y_22+IF(ABS(_xlpm.f_22)&lt;0.000001,0,IF(_xlpm.f_0*_xlpm.f_22&lt;0,-_xlpm.ww,_xlpm.ww))/8388608,_xlpm.f_23,_xlpm.qq^2*_xlpm.dd*SIN(ACOS(1-2*_xlpm.y_23/_xlpm.dd))-9.81*(_xlpm.dd^2/8*(2*ACOS(1-2*_xlpm.y_23/_xlpm.dd)-SIN(2*ACOS(1-2*_xlpm.y_23/_xlpm.dd))))^3,_xlpm.y_24,_xlpm.y_23+IF(ABS(_xlpm.f_23)&lt;0.000001,0,IF(_xlpm.f_0*_xlpm.f_23&lt;0,-_xlpm.ww,_xlpm.ww))/16777216,_xlpm.f_24,_xlpm.qq^2*_xlpm.dd*SIN(ACOS(1-2*_xlpm.y_24/_xlpm.dd))-9.81*(_xlpm.dd^2/8*(2*ACOS(1-2*_xlpm.y_24/_xlpm.dd)-SIN(2*ACOS(1-2*_xlpm.y_24/_xlpm.dd))))^3,_xlpm.y_25,_xlpm.y_24+IF(ABS(_xlpm.f_24)&lt;0.000001,0,IF(_xlpm.f_0*_xlpm.f_24&lt;0,-_xlpm.ww,_xlpm.ww))/33554432,_xlpm.f_25,_xlpm.qq^2*_xlpm.dd*SIN(ACOS(1-2*_xlpm.y_25/_xlpm.dd))-9.81*(_xlpm.dd^2/8*(2*ACOS(1-2*_xlpm.y_25/_xlpm.dd)-SIN(2*ACOS(1-2*_xlpm.y_25/_xlpm.dd))))^3,_xlpm.y_26,_xlpm.y_25+IF(ABS(_xlpm.f_25)&lt;0.000001,0,IF(_xlpm.f_0*_xlpm.f_25&lt;0,-_xlpm.ww,_xlpm.ww))/67108864,_xlpm.y_26),((BQ22/BC22/_xlfn.NUMBERVALUE(SUBSTITUTE(TRIM(MID(AM22,SEARCH("cc",AM22)+3,SEARCH("x",AM22)-SEARCH("cc",AM22)-3)),".",","),",","."))^2/9.80665)^(1/3)),"")</f>
        <v>1.4711543817515846</v>
      </c>
      <c r="BC22" s="117">
        <f t="shared" ca="1" si="47"/>
        <v>2</v>
      </c>
      <c r="BE22" s="174">
        <f>'Cadastro das Obras'!U6</f>
        <v>28.663</v>
      </c>
      <c r="BF22" s="174">
        <f ca="1">'Cadastro das Obras'!V6</f>
        <v>57.326000000000001</v>
      </c>
      <c r="BH22" s="33" t="str">
        <f>'Cadastro das Obras'!T6</f>
        <v>0º</v>
      </c>
      <c r="BJ22" s="117">
        <f>'Cadastro das Obras'!W6</f>
        <v>2.9</v>
      </c>
      <c r="BN22" s="33" t="s">
        <v>350</v>
      </c>
      <c r="BP22" s="33">
        <f t="shared" ca="1" si="48"/>
        <v>25</v>
      </c>
      <c r="BQ22" s="33">
        <f ca="1">CHOOSE(MATCH(BP22,{15,25,50,100},0),S22,T22,U22,V22)</f>
        <v>27.93944124948743</v>
      </c>
      <c r="BR22" s="33">
        <f ca="1">IFERROR(IF(ISNUMBER(FIND("50 anos",INDIRECT("'"&amp;#REF!&amp;"'!"&amp;IF(ISNUMBER(FIND("HUT",#REF!)),"U40","Q14")))),50,25),25)</f>
        <v>25</v>
      </c>
      <c r="BS22" s="33">
        <f ca="1">CHOOSE(MATCH(BR22,{15,25,50,100},0),S22,T22,U22,V22)</f>
        <v>27.93944124948743</v>
      </c>
      <c r="BU22" s="33">
        <f t="shared" ca="1" si="49"/>
        <v>0.57717376615611449</v>
      </c>
      <c r="BV22" s="33" t="str">
        <f t="shared" ca="1" si="39"/>
        <v>SUBCRÍTICO</v>
      </c>
      <c r="BW22" s="33" t="str">
        <f t="shared" ca="1" si="50"/>
        <v>SUFICIENTE</v>
      </c>
      <c r="BY22" s="33">
        <f t="shared" ca="1" si="51"/>
        <v>1.5244167527041372</v>
      </c>
      <c r="BZ22" s="33" t="str">
        <f t="shared" ca="1" si="52"/>
        <v>Celular</v>
      </c>
      <c r="CA22" s="115">
        <f t="shared" ca="1" si="53"/>
        <v>13.969720624743715</v>
      </c>
      <c r="CB22" s="353" t="str">
        <f ca="1">IF($AW22="","",IF($BZ22="Tubular",IF($CO22=0,0.01,IF($CO22&gt;=93,1,INDEX('Tab18'!$A$5:$A$97,$CO22)+($CN22-INDEX('Tab18'!$E$5:$E$97,$CO22))*(INDEX('Tab18'!$A$5:$A$97,$CO22+1)-INDEX('Tab18'!$A$5:$A$97,$CO22))/(INDEX('Tab18'!$E$5:$E$97,$CO22+1)-INDEX('Tab18'!$E$5:$E$97,$CO22)))),"-"))</f>
        <v>-</v>
      </c>
      <c r="CC22" s="33">
        <f t="shared" ca="1" si="54"/>
        <v>1.1081513111342383</v>
      </c>
      <c r="CD22" s="33">
        <f t="shared" ref="CD22:CM22" ca="1" si="58">IF($AW22="","",IF($BZ22="Celular",$CN22^0.6*($AZ22+2*CC22)^0.4/$AZ22,"-"))</f>
        <v>1.4284456693388814</v>
      </c>
      <c r="CE22" s="33">
        <f t="shared" ca="1" si="58"/>
        <v>1.5031011116514812</v>
      </c>
      <c r="CF22" s="33">
        <f t="shared" ca="1" si="58"/>
        <v>1.519721207912148</v>
      </c>
      <c r="CG22" s="33">
        <f t="shared" ca="1" si="58"/>
        <v>1.5233843230499484</v>
      </c>
      <c r="CH22" s="33">
        <f t="shared" ca="1" si="58"/>
        <v>1.5241899087711568</v>
      </c>
      <c r="CI22" s="33">
        <f t="shared" ca="1" si="58"/>
        <v>1.524366986089398</v>
      </c>
      <c r="CJ22" s="33">
        <f t="shared" ca="1" si="58"/>
        <v>1.5244059056526635</v>
      </c>
      <c r="CK22" s="33">
        <f t="shared" ca="1" si="58"/>
        <v>1.5244144595264228</v>
      </c>
      <c r="CL22" s="33">
        <f t="shared" ca="1" si="58"/>
        <v>1.5244163395161903</v>
      </c>
      <c r="CM22" s="33">
        <f t="shared" ca="1" si="58"/>
        <v>1.5244167527041372</v>
      </c>
      <c r="CN22" s="352">
        <f t="shared" ca="1" si="56"/>
        <v>2.9666873724866796</v>
      </c>
      <c r="CO22" s="174" t="str">
        <f ca="1">IF($AW22="","",IF($BZ22="Tubular",IFERROR(MATCH($CN22,'Tab18'!$E$5:$E$97,1),0),"-"))</f>
        <v>-</v>
      </c>
      <c r="CP22" s="33">
        <f ca="1">IF($AW22="","",IF($BZ22="Tubular",IF($CB22&gt;=1,'Tab18'!$D$104,INDEX('Tab18'!$D$5:$D$104,MATCH($CB22,'Tab18'!$A$5:$A$104,1))+($CB22-INDEX('Tab18'!$A$5:$A$104,MATCH($CB22,'Tab18'!$A$5:$A$104,1)))*(INDEX('Tab18'!$D$5:$D$104,MATCH($CB22,'Tab18'!$A$5:$A$104,1)+1)-INDEX('Tab18'!$D$5:$D$104,MATCH($CB22,'Tab18'!$A$5:$A$104,1)))/(INDEX('Tab18'!$A$5:$A$104,MATCH($CB22,'Tab18'!$A$5:$A$104,1)+1)-INDEX('Tab18'!$A$5:$A$104,MATCH($CB22,'Tab18'!$A$5:$A$104,1)))),($AZ22*$BY22/($AZ22+2*$BY22))^(2/3)))</f>
        <v>0.77844515226583544</v>
      </c>
    </row>
    <row r="23" spans="2:94" s="33" customFormat="1" ht="81.75" hidden="1" customHeight="1">
      <c r="B23" s="362" t="str" cm="1">
        <f t="array" aca="1" ref="B23" ca="1">IFERROR(INDIRECT("'"&amp;BN23&amp;"'!F10"),"")</f>
        <v>BC05</v>
      </c>
      <c r="C23" s="362" t="s">
        <v>240</v>
      </c>
      <c r="D23" s="363" t="str">
        <f ca="1">IFERROR(INDIRECT("'"&amp;BN23&amp;"'!E3"),"")</f>
        <v>314</v>
      </c>
      <c r="E23" s="363" t="str">
        <f ca="1">IFERROR(INDIRECT("'"&amp;BN23&amp;"'!F3"),"")</f>
        <v>+</v>
      </c>
      <c r="F23" s="363">
        <f ca="1">IFERROR(INDIRECT("'"&amp;BN23&amp;"'!G3"),"")</f>
        <v>11.93</v>
      </c>
      <c r="G23" s="364"/>
      <c r="H23" s="365">
        <f ca="1">IFERROR(INDIRECT("'"&amp;BN23&amp;"'!E6"),"")</f>
        <v>6.0556072774047598</v>
      </c>
      <c r="I23" s="365">
        <f ca="1">IFERROR(INDIRECT("'"&amp;BN23&amp;"'!E7"),"")</f>
        <v>4.7334514530757854</v>
      </c>
      <c r="J23" s="365">
        <f t="shared" ca="1" si="30"/>
        <v>509</v>
      </c>
      <c r="K23" s="365">
        <f ca="1">IFERROR(INDIRECT("'"&amp;BN23&amp;"'!E9"),"")</f>
        <v>3.8793746972531573</v>
      </c>
      <c r="L23" s="365">
        <f ca="1">IFERROR(INDIRECT("'"&amp;BN23&amp;"'!O9"),"")</f>
        <v>1.1589528026460847</v>
      </c>
      <c r="M23" s="365">
        <f ca="1">IFERROR(INDIRECT("'"&amp;BN23&amp;"'!O8"),"")</f>
        <v>0.34358</v>
      </c>
      <c r="N23" s="366" t="str">
        <f t="shared" ca="1" si="41"/>
        <v>RAC MOD</v>
      </c>
      <c r="O23" s="365">
        <f ca="1">IFERROR(INDIRECT("'"&amp;BN23&amp;"'!n14"),"")</f>
        <v>1.2503824011202114</v>
      </c>
      <c r="P23" s="365">
        <f ca="1">IFERROR(INDIRECT("'"&amp;BN23&amp;"'!n15"),"")</f>
        <v>1.3783183051103891</v>
      </c>
      <c r="Q23" s="365">
        <f ca="1">IFERROR(INDIRECT("'"&amp;BN23&amp;"'!N16"),"")</f>
        <v>1.5450583988209006</v>
      </c>
      <c r="R23" s="365">
        <f ca="1">IFERROR(INDIRECT("'"&amp;BN23&amp;"'!N17"),"")</f>
        <v>1.7073521960471352</v>
      </c>
      <c r="S23" s="365">
        <f ca="1">IFERROR(INDIRECT("'"&amp;BN23&amp;"'!M20"),"")</f>
        <v>28.008452815197852</v>
      </c>
      <c r="T23" s="365">
        <f ca="1">IFERROR(INDIRECT("'"&amp;BN23&amp;"'!M21"),"")</f>
        <v>30.874205505789412</v>
      </c>
      <c r="U23" s="365">
        <f ca="1">IFERROR(INDIRECT("'"&amp;BN23&amp;"'!M22"),"")</f>
        <v>34.609168540224786</v>
      </c>
      <c r="V23" s="365">
        <f ca="1">IFERROR(INDIRECT("'"&amp;BN23&amp;"'!M23"),"")</f>
        <v>38.244534935127575</v>
      </c>
      <c r="W23" s="365">
        <f t="shared" ca="1" si="42"/>
        <v>3.5999999999999996</v>
      </c>
      <c r="X23" s="367">
        <f>'Cadastro das Obras'!Q7</f>
        <v>5.1111111111102519E-3</v>
      </c>
      <c r="Y23" s="368">
        <f t="shared" ca="1" si="31"/>
        <v>6.4370256567693938</v>
      </c>
      <c r="Z23" s="365">
        <f ca="1">_xlfn.LET(_xlpm.aa,(Y23)*1,_xlpm.dd,(AY23)*1,_xlpm.ww,2*PI()-0.000002,_xlpm.t_1,0.000001+_xlpm.ww/2,_xlpm.t_2,_xlpm.t_1+IF(_xlpm.dd^2/8*(_xlpm.t_1-SIN(_xlpm.t_1))&lt;_xlpm.aa,_xlpm.ww,-_xlpm.ww)/4,_xlpm.t_3,_xlpm.t_2+IF(_xlpm.dd^2/8*(_xlpm.t_2-SIN(_xlpm.t_2))&lt;_xlpm.aa,_xlpm.ww,-_xlpm.ww)/8,_xlpm.t_4,_xlpm.t_3+IF(_xlpm.dd^2/8*(_xlpm.t_3-SIN(_xlpm.t_3))&lt;_xlpm.aa,_xlpm.ww,-_xlpm.ww)/16,_xlpm.t_5,_xlpm.t_4+IF(_xlpm.dd^2/8*(_xlpm.t_4-SIN(_xlpm.t_4))&lt;_xlpm.aa,_xlpm.ww,-_xlpm.ww)/32,_xlpm.t_6,_xlpm.t_5+IF(_xlpm.dd^2/8*(_xlpm.t_5-SIN(_xlpm.t_5))&lt;_xlpm.aa,_xlpm.ww,-_xlpm.ww)/64,_xlpm.t_7,_xlpm.t_6+IF(_xlpm.dd^2/8*(_xlpm.t_6-SIN(_xlpm.t_6))&lt;_xlpm.aa,_xlpm.ww,-_xlpm.ww)/128,_xlpm.t_8,_xlpm.t_7+IF(_xlpm.dd^2/8*(_xlpm.t_7-SIN(_xlpm.t_7))&lt;_xlpm.aa,_xlpm.ww,-_xlpm.ww)/256,_xlpm.t_9,_xlpm.t_8+IF(_xlpm.dd^2/8*(_xlpm.t_8-SIN(_xlpm.t_8))&lt;_xlpm.aa,_xlpm.ww,-_xlpm.ww)/512,_xlpm.t_10,_xlpm.t_9+IF(_xlpm.dd^2/8*(_xlpm.t_9-SIN(_xlpm.t_9))&lt;_xlpm.aa,_xlpm.ww,-_xlpm.ww)/1024,_xlpm.t_11,_xlpm.t_10+IF(_xlpm.dd^2/8*(_xlpm.t_10-SIN(_xlpm.t_10))&lt;_xlpm.aa,_xlpm.ww,-_xlpm.ww)/2048,_xlpm.t_12,_xlpm.t_11+IF(_xlpm.dd^2/8*(_xlpm.t_11-SIN(_xlpm.t_11))&lt;_xlpm.aa,_xlpm.ww,-_xlpm.ww)/4096,_xlpm.t_13,_xlpm.t_12+IF(_xlpm.dd^2/8*(_xlpm.t_12-SIN(_xlpm.t_12))&lt;_xlpm.aa,_xlpm.ww,-_xlpm.ww)/8192,_xlpm.t_14,_xlpm.t_13+IF(_xlpm.dd^2/8*(_xlpm.t_13-SIN(_xlpm.t_13))&lt;_xlpm.aa,_xlpm.ww,-_xlpm.ww)/16384,_xlpm.t_15,_xlpm.t_14+IF(_xlpm.dd^2/8*(_xlpm.t_14-SIN(_xlpm.t_14))&lt;_xlpm.aa,_xlpm.ww,-_xlpm.ww)/32768,_xlpm.t_16,_xlpm.t_15+IF(_xlpm.dd^2/8*(_xlpm.t_15-SIN(_xlpm.t_15))&lt;_xlpm.aa,_xlpm.ww,-_xlpm.ww)/65536,_xlpm.t_17,_xlpm.t_16+IF(_xlpm.dd^2/8*(_xlpm.t_16-SIN(_xlpm.t_16))&lt;_xlpm.aa,_xlpm.ww,-_xlpm.ww)/131072,_xlpm.t_18,_xlpm.t_17+IF(_xlpm.dd^2/8*(_xlpm.t_17-SIN(_xlpm.t_17))&lt;_xlpm.aa,_xlpm.ww,-_xlpm.ww)/262144,_xlpm.t_19,_xlpm.t_18+IF(_xlpm.dd^2/8*(_xlpm.t_18-SIN(_xlpm.t_18))&lt;_xlpm.aa,_xlpm.ww,-_xlpm.ww)/524288,_xlpm.t_20,_xlpm.t_19+IF(_xlpm.dd^2/8*(_xlpm.t_19-SIN(_xlpm.t_19))&lt;_xlpm.aa,_xlpm.ww,-_xlpm.ww)/1048576,_xlpm.t_21,_xlpm.t_20+IF(_xlpm.dd^2/8*(_xlpm.t_20-SIN(_xlpm.t_20))&lt;_xlpm.aa,_xlpm.ww,-_xlpm.ww)/2097152,_xlpm.t_22,_xlpm.t_21+IF(_xlpm.dd^2/8*(_xlpm.t_21-SIN(_xlpm.t_21))&lt;_xlpm.aa,_xlpm.ww,-_xlpm.ww)/4194304,_xlpm.t_23,_xlpm.t_22+IF(_xlpm.dd^2/8*(_xlpm.t_22-SIN(_xlpm.t_22))&lt;_xlpm.aa,_xlpm.ww,-_xlpm.ww)/8388608,_xlpm.t_24,_xlpm.t_23+IF(_xlpm.dd^2/8*(_xlpm.t_23-SIN(_xlpm.t_23))&lt;_xlpm.aa,_xlpm.ww,-_xlpm.ww)/16777216,_xlpm.t_25,_xlpm.t_24+IF(_xlpm.dd^2/8*(_xlpm.t_24-SIN(_xlpm.t_24))&lt;_xlpm.aa,_xlpm.ww,-_xlpm.ww)/33554432,_xlpm.t_26,_xlpm.t_25+IF(_xlpm.dd^2/8*(_xlpm.t_25-SIN(_xlpm.t_25))&lt;_xlpm.aa,_xlpm.ww,-_xlpm.ww)/67108864,IF(OR(_xlpm.aa&lt;=0,_xlpm.dd&lt;=0),#VALUE!,_xlpm.dd/2*IF(_xlpm.t_26&gt;0.000001+_xlpm.ww*(1-1.5/2^26),0.000001+_xlpm.ww,_xlpm.t_26)))</f>
        <v>7.0827678719590086</v>
      </c>
      <c r="AA23" s="365">
        <v>0.89600000000000002</v>
      </c>
      <c r="AB23" s="365">
        <v>2.4830000000000001</v>
      </c>
      <c r="AC23" s="365">
        <f t="shared" ca="1" si="32"/>
        <v>0.46244895485764831</v>
      </c>
      <c r="AD23" s="365">
        <f t="shared" si="43"/>
        <v>0.36085380587998389</v>
      </c>
      <c r="AE23" s="368">
        <f ca="1">IFERROR(IF(IF(OR(ISNUMBER(SEARCH("BSTC",AM23)),ISNUMBER(SEARCH("BDTC",AM23)),ISNUMBER(SEARCH("BTTC",AM23))),"CIRCULAR",IF(OR(ISNUMBER(SEARCH("BSCC",AM23)),ISNUMBER(SEARCH("BDCC",AM23)),ISNUMBER(SEARCH("BTCC",AM23))),"CELULAR",""))="CIRCULAR",AG23/SQRT(9.80665*(AA23/(AZ23*SIN((2*ACOS(1-2*AH23/AZ23))/2)))),AG23/SQRT(9.80665*AH23)),"")</f>
        <v>1.0261764187018469</v>
      </c>
      <c r="AF23" s="365" t="str">
        <f t="shared" ca="1" si="44"/>
        <v>Supercrítico</v>
      </c>
      <c r="AG23" s="368">
        <f t="shared" ca="1" si="45"/>
        <v>3.7850785507540516</v>
      </c>
      <c r="AH23" s="368">
        <f ca="1">IFERROR(IF(IF(OR(ISNUMBER(SEARCH("BSTC",AM23)),ISNUMBER(SEARCH("BDTC",AM23)),ISNUMBER(SEARCH("BTTC",AM23))),"CIRCULAR",IF(OR(ISNUMBER(SEARCH("BSCC",AM23)),ISNUMBER(SEARCH("BDCC",AM23)),ISNUMBER(SEARCH("BTCC",AM23))),"CELULAR",""))="CIRCULAR",_xlfn.LET(_xlpm.qq,(15/3)*1,_xlpm.dd,(AZ23)*1,_xlpm.ss,(X23)*1,_xlpm.nn,(0.015)*1,_xlpm.rr,_xlpm.dd/2,_xlpm.ww,_xlpm.dd-0.000002,_xlpm.zz,(_xlpm.qq*_xlpm.nn/SQRT(_xlpm.ss))^3*_xlpm.rr^2/(_xlpm.dd^2/8)^5,_xlpm.h_1,0.000001+_xlpm.ww/2,_xlpm.u_1,2*ACOS(1-_xlpm.h_1/_xlpm.rr),_xlpm.h_2,_xlpm.h_1+IF((_xlpm.u_1-SIN(_xlpm.u_1))^5&lt;_xlpm.zz*_xlpm.u_1^2,_xlpm.ww,-_xlpm.ww)/4,_xlpm.u_2,2*ACOS(1-_xlpm.h_2/_xlpm.rr),_xlpm.h_3,_xlpm.h_2+IF((_xlpm.u_2-SIN(_xlpm.u_2))^5&lt;_xlpm.zz*_xlpm.u_2^2,_xlpm.ww,-_xlpm.ww)/8,_xlpm.u_3,2*ACOS(1-_xlpm.h_3/_xlpm.rr),_xlpm.h_4,_xlpm.h_3+IF((_xlpm.u_3-SIN(_xlpm.u_3))^5&lt;_xlpm.zz*_xlpm.u_3^2,_xlpm.ww,-_xlpm.ww)/16,_xlpm.u_4,2*ACOS(1-_xlpm.h_4/_xlpm.rr),_xlpm.h_5,_xlpm.h_4+IF((_xlpm.u_4-SIN(_xlpm.u_4))^5&lt;_xlpm.zz*_xlpm.u_4^2,_xlpm.ww,-_xlpm.ww)/32,_xlpm.u_5,2*ACOS(1-_xlpm.h_5/_xlpm.rr),_xlpm.h_6,_xlpm.h_5+IF((_xlpm.u_5-SIN(_xlpm.u_5))^5&lt;_xlpm.zz*_xlpm.u_5^2,_xlpm.ww,-_xlpm.ww)/64,_xlpm.u_6,2*ACOS(1-_xlpm.h_6/_xlpm.rr),_xlpm.h_7,_xlpm.h_6+IF((_xlpm.u_6-SIN(_xlpm.u_6))^5&lt;_xlpm.zz*_xlpm.u_6^2,_xlpm.ww,-_xlpm.ww)/128,_xlpm.u_7,2*ACOS(1-_xlpm.h_7/_xlpm.rr),_xlpm.h_8,_xlpm.h_7+IF((_xlpm.u_7-SIN(_xlpm.u_7))^5&lt;_xlpm.zz*_xlpm.u_7^2,_xlpm.ww,-_xlpm.ww)/256,_xlpm.u_8,2*ACOS(1-_xlpm.h_8/_xlpm.rr),_xlpm.h_9,_xlpm.h_8+IF((_xlpm.u_8-SIN(_xlpm.u_8))^5&lt;_xlpm.zz*_xlpm.u_8^2,_xlpm.ww,-_xlpm.ww)/512,_xlpm.u_9,2*ACOS(1-_xlpm.h_9/_xlpm.rr),_xlpm.h_10,_xlpm.h_9+IF((_xlpm.u_9-SIN(_xlpm.u_9))^5&lt;_xlpm.zz*_xlpm.u_9^2,_xlpm.ww,-_xlpm.ww)/1024,_xlpm.u_10,2*ACOS(1-_xlpm.h_10/_xlpm.rr),_xlpm.h_11,_xlpm.h_10+IF((_xlpm.u_10-SIN(_xlpm.u_10))^5&lt;_xlpm.zz*_xlpm.u_10^2,_xlpm.ww,-_xlpm.ww)/2048,_xlpm.u_11,2*ACOS(1-_xlpm.h_11/_xlpm.rr),_xlpm.h_12,_xlpm.h_11+IF((_xlpm.u_11-SIN(_xlpm.u_11))^5&lt;_xlpm.zz*_xlpm.u_11^2,_xlpm.ww,-_xlpm.ww)/4096,_xlpm.u_12,2*ACOS(1-_xlpm.h_12/_xlpm.rr),_xlpm.h_13,_xlpm.h_12+IF((_xlpm.u_12-SIN(_xlpm.u_12))^5&lt;_xlpm.zz*_xlpm.u_12^2,_xlpm.ww,-_xlpm.ww)/8192,_xlpm.u_13,2*ACOS(1-_xlpm.h_13/_xlpm.rr),_xlpm.h_14,_xlpm.h_13+IF((_xlpm.u_13-SIN(_xlpm.u_13))^5&lt;_xlpm.zz*_xlpm.u_13^2,_xlpm.ww,-_xlpm.ww)/16384,_xlpm.u_14,2*ACOS(1-_xlpm.h_14/_xlpm.rr),_xlpm.h_15,_xlpm.h_14+IF((_xlpm.u_14-SIN(_xlpm.u_14))^5&lt;_xlpm.zz*_xlpm.u_14^2,_xlpm.ww,-_xlpm.ww)/32768,_xlpm.u_15,2*ACOS(1-_xlpm.h_15/_xlpm.rr),_xlpm.h_16,_xlpm.h_15+IF((_xlpm.u_15-SIN(_xlpm.u_15))^5&lt;_xlpm.zz*_xlpm.u_15^2,_xlpm.ww,-_xlpm.ww)/65536,_xlpm.u_16,2*ACOS(1-_xlpm.h_16/_xlpm.rr),_xlpm.h_17,_xlpm.h_16+IF((_xlpm.u_16-SIN(_xlpm.u_16))^5&lt;_xlpm.zz*_xlpm.u_16^2,_xlpm.ww,-_xlpm.ww)/131072,_xlpm.u_17,2*ACOS(1-_xlpm.h_17/_xlpm.rr),_xlpm.h_18,_xlpm.h_17+IF((_xlpm.u_17-SIN(_xlpm.u_17))^5&lt;_xlpm.zz*_xlpm.u_17^2,_xlpm.ww,-_xlpm.ww)/262144,_xlpm.u_18,2*ACOS(1-_xlpm.h_18/_xlpm.rr),_xlpm.h_19,_xlpm.h_18+IF((_xlpm.u_18-SIN(_xlpm.u_18))^5&lt;_xlpm.zz*_xlpm.u_18^2,_xlpm.ww,-_xlpm.ww)/524288,_xlpm.u_19,2*ACOS(1-_xlpm.h_19/_xlpm.rr),_xlpm.h_20,_xlpm.h_19+IF((_xlpm.u_19-SIN(_xlpm.u_19))^5&lt;_xlpm.zz*_xlpm.u_19^2,_xlpm.ww,-_xlpm.ww)/1048576,_xlpm.u_20,2*ACOS(1-_xlpm.h_20/_xlpm.rr),_xlpm.h_21,_xlpm.h_20+IF((_xlpm.u_20-SIN(_xlpm.u_20))^5&lt;_xlpm.zz*_xlpm.u_20^2,_xlpm.ww,-_xlpm.ww)/2097152,_xlpm.u_21,2*ACOS(1-_xlpm.h_21/_xlpm.rr),_xlpm.h_22,_xlpm.h_21+IF((_xlpm.u_21-SIN(_xlpm.u_21))^5&lt;_xlpm.zz*_xlpm.u_21^2,_xlpm.ww,-_xlpm.ww)/4194304,_xlpm.u_22,2*ACOS(1-_xlpm.h_22/_xlpm.rr),_xlpm.h_23,_xlpm.h_22+IF((_xlpm.u_22-SIN(_xlpm.u_22))^5&lt;_xlpm.zz*_xlpm.u_22^2,_xlpm.ww,-_xlpm.ww)/8388608,_xlpm.u_23,2*ACOS(1-_xlpm.h_23/_xlpm.rr),_xlpm.h_24,_xlpm.h_23+IF((_xlpm.u_23-SIN(_xlpm.u_23))^5&lt;_xlpm.zz*_xlpm.u_23^2,_xlpm.ww,-_xlpm.ww)/16777216,_xlpm.u_24,2*ACOS(1-_xlpm.h_24/_xlpm.rr),_xlpm.h_25,_xlpm.h_24+IF((_xlpm.u_24-SIN(_xlpm.u_24))^5&lt;_xlpm.zz*_xlpm.u_24^2,_xlpm.ww,-_xlpm.ww)/33554432,_xlpm.u_25,2*ACOS(1-_xlpm.h_25/_xlpm.rr),_xlpm.h_26,_xlpm.h_25+IF((_xlpm.u_25-SIN(_xlpm.u_25))^5&lt;_xlpm.zz*_xlpm.u_25^2,_xlpm.ww,-_xlpm.ww)/67108864,IF(OR(_xlpm.qq&lt;=0,_xlpm.dd&lt;=0,_xlpm.ss&lt;=0,_xlpm.nn&lt;=0),#VALUE!,IF(_xlpm.h_26&gt;0.000001+_xlpm.ww*(1-1.5/2^26),0.000001+_xlpm.ww,_xlpm.h_26))),_xlfn.LET(_xlpm.ob,AM23,_xlpm.ss,(X23)*1,_xlpm.nn,(0.015)*1,_xlpm.qq,(BP23)*1/IF(OR(ISNUMBER(SEARCH("BSTC",_xlpm.ob)),ISNUMBER(SEARCH("BSCC",_xlpm.ob))),1,IF(OR(ISNUMBER(SEARCH("BDTC",_xlpm.ob)),ISNUMBER(SEARCH("BDCC",_xlpm.ob))),2,IF(OR(ISNUMBER(SEARCH("BTTC",_xlpm.ob)),ISNUMBER(SEARCH("BTCC",_xlpm.ob))),3,#VALUE!))),_xlpm.bb,_xlfn.NUMBERVALUE(SUBSTITUTE(TRIM(MID(_xlpm.ob,SEARCH("cc",_xlpm.ob)+3,SEARCH("x",_xlpm.ob)-SEARCH("cc",_xlpm.ob)-3)),".",","),",","."),_xlpm.hh,_xlfn.NUMBERVALUE(SUBSTITUTE(TRIM(MID(_xlpm.ob,SEARCH("x",_xlpm.ob)+1,SEARCH("m",_xlpm.ob,SEARCH("x",_xlpm.ob))-SEARCH("x",_xlpm.ob)-1)),".",","),",","."),_xlpm.kk,SQRT(_xlpm.ss)/_xlpm.nn,_xlpm.x_0,_xlpm.hh,_xlpm.g_0,_xlpm.kk*_xlpm.bb*_xlpm.x_0*(_xlpm.bb*_xlpm.x_0/(_xlpm.bb+2*_xlpm.x_0))^(2/3),_xlpm.x_1,_xlpm.x_0-(_xlpm.g_0-_xlpm.qq)/(_xlpm.g_0*(5/(3*_xlpm.x_0)-4/(3*(_xlpm.bb+2*_xlpm.x_0)))),_xlpm.g_1,_xlpm.kk*_xlpm.bb*_xlpm.x_1*(_xlpm.bb*_xlpm.x_1/(_xlpm.bb+2*_xlpm.x_1))^(2/3),_xlpm.x_2,_xlpm.x_1-(_xlpm.g_1-_xlpm.qq)/(_xlpm.g_1*(5/(3*_xlpm.x_1)-4/(3*(_xlpm.bb+2*_xlpm.x_1)))),_xlpm.g_2,_xlpm.kk*_xlpm.bb*_xlpm.x_2*(_xlpm.bb*_xlpm.x_2/(_xlpm.bb+2*_xlpm.x_2))^(2/3),_xlpm.x_3,_xlpm.x_2-(_xlpm.g_2-_xlpm.qq)/(_xlpm.g_2*(5/(3*_xlpm.x_2)-4/(3*(_xlpm.bb+2*_xlpm.x_2)))),_xlpm.g_3,_xlpm.kk*_xlpm.bb*_xlpm.x_3*(_xlpm.bb*_xlpm.x_3/(_xlpm.bb+2*_xlpm.x_3))^(2/3),_xlpm.x_4,_xlpm.x_3-(_xlpm.g_3-_xlpm.qq)/(_xlpm.g_3*(5/(3*_xlpm.x_3)-4/(3*(_xlpm.bb+2*_xlpm.x_3)))),_xlpm.g_4,_xlpm.kk*_xlpm.bb*_xlpm.x_4*(_xlpm.bb*_xlpm.x_4/(_xlpm.bb+2*_xlpm.x_4))^(2/3),_xlpm.x_5,_xlpm.x_4-(_xlpm.g_4-_xlpm.qq)/(_xlpm.g_4*(5/(3*_xlpm.x_4)-4/(3*(_xlpm.bb+2*_xlpm.x_4)))),_xlpm.g_5,_xlpm.kk*_xlpm.bb*_xlpm.x_5*(_xlpm.bb*_xlpm.x_5/(_xlpm.bb+2*_xlpm.x_5))^(2/3),_xlpm.x_6,_xlpm.x_5-(_xlpm.g_5-_xlpm.qq)/(_xlpm.g_5*(5/(3*_xlpm.x_5)-4/(3*(_xlpm.bb+2*_xlpm.x_5)))),_xlpm.g_6,_xlpm.kk*_xlpm.bb*_xlpm.x_6*(_xlpm.bb*_xlpm.x_6/(_xlpm.bb+2*_xlpm.x_6))^(2/3),_xlpm.x_7,_xlpm.x_6-(_xlpm.g_6-_xlpm.qq)/(_xlpm.g_6*(5/(3*_xlpm.x_6)-4/(3*(_xlpm.bb+2*_xlpm.x_6)))),_xlpm.g_7,_xlpm.kk*_xlpm.bb*_xlpm.x_7*(_xlpm.bb*_xlpm.x_7/(_xlpm.bb+2*_xlpm.x_7))^(2/3),_xlpm.x_8,_xlpm.x_7-(_xlpm.g_7-_xlpm.qq)/(_xlpm.g_7*(5/(3*_xlpm.x_7)-4/(3*(_xlpm.bb+2*_xlpm.x_7)))),_xlpm.g_8,_xlpm.kk*_xlpm.bb*_xlpm.x_8*(_xlpm.bb*_xlpm.x_8/(_xlpm.bb+2*_xlpm.x_8))^(2/3),_xlpm.x_9,_xlpm.x_8-(_xlpm.g_8-_xlpm.qq)/(_xlpm.g_8*(5/(3*_xlpm.x_8)-4/(3*(_xlpm.bb+2*_xlpm.x_8)))),_xlpm.g_9,_xlpm.kk*_xlpm.bb*_xlpm.x_9*(_xlpm.bb*_xlpm.x_9/(_xlpm.bb+2*_xlpm.x_9))^(2/3),_xlpm.x_10,_xlpm.x_9-(_xlpm.g_9-_xlpm.qq)/(_xlpm.g_9*(5/(3*_xlpm.x_9)-4/(3*(_xlpm.bb+2*_xlpm.x_9)))),MIN(_xlpm.hh,_xlpm.x_10))),"")</f>
        <v>1.387346864572945</v>
      </c>
      <c r="AI23" s="368">
        <f ca="1">IFERROR(
  IF(
    IF(OR(ISNUMBER(SEARCH("BSTC",AM23)),ISNUMBER(SEARCH("BDTC",AM23)),ISNUMBER(SEARCH("BTTC",AM23))),"CIRCULAR",IF(OR(ISNUMBER(SEARCH("BSCC",AM23)),ISNUMBER(SEARCH("BDCC",AM23)),ISNUMBER(SEARCH("BTCC",AM23))),"CELULAR",""))="CIRCULAR",
    (3/2)*(((AZ23^2/8)*((2*ACOS(1-2*BB23/AZ23))-SIN(2*ACOS(1-2*BB23/AZ23))))/(AZ23*SIN((2*ACOS(1-2*BB23/AZ23))/2))),
    (3/2)*BB23
  ),
  ""
)</f>
        <v>2.3586756560424389</v>
      </c>
      <c r="AJ23" s="368">
        <f t="shared" ca="1" si="46"/>
        <v>0.92093403320570444</v>
      </c>
      <c r="AK23" s="369" t="s">
        <v>366</v>
      </c>
      <c r="AL23" s="370" t="str">
        <f ca="1">IFERROR(INDIRECT("'"&amp;BN23&amp;"'!J26"),"")</f>
        <v>BSCC 3,00 x 3,00m</v>
      </c>
      <c r="AM23" s="373" t="str">
        <f ca="1">IFERROR(INDIRECT("'"&amp;BN23&amp;"'!J31"),"")</f>
        <v>BDCC 2,50 x 2,50m</v>
      </c>
      <c r="AN23" s="371" t="s">
        <v>25</v>
      </c>
      <c r="AO23" s="371" t="s">
        <v>25</v>
      </c>
      <c r="AP23" s="371" t="s">
        <v>373</v>
      </c>
      <c r="AQ23" s="117">
        <f t="shared" ca="1" si="33"/>
        <v>40.013281292434272</v>
      </c>
      <c r="AR23" s="31">
        <f t="shared" ca="1" si="34"/>
        <v>0.90882911499244001</v>
      </c>
      <c r="AS23" s="93">
        <v>1.4999999999999999E-2</v>
      </c>
      <c r="AT23" s="33">
        <f ca="1">IFERROR(IF(IF(OR(ISNUMBER(SEARCH("BSTC",AL23)),ISNUMBER(SEARCH("BDTC",AL23)),ISNUMBER(SEARCH("BTTC",AL23))),"CIRCULAR",IF(OR(ISNUMBER(SEARCH("BSCC",AL23)),ISNUMBER(SEARCH("BDCC",AL23)),ISNUMBER(SEARCH("BTCC",AL23))),"CELULAR",""))="CIRCULAR",_xlfn.LET(_xlpm.qq,(BS23/(IFERROR(IF(OR(ISNUMBER(FIND("BDTC",AL23)),ISNUMBER(FIND("BDCC",AL23))),2,IF(OR(ISNUMBER(FIND("BTTC",AL23)),ISNUMBER(FIND("BTCC",AL23))),3,IF(OR(ISNUMBER(FIND("BSTC",AL23)),ISNUMBER(FIND("BSCC",AL23))),1,""))),"")))*1,_xlpm.dd,(AY23)*1,_xlpm.ss,(X23)*1,_xlpm.nn,(0.015)*1,_xlpm.rr,_xlpm.dd/2,_xlpm.ww,_xlpm.dd-0.000002,_xlpm.zz,(_xlpm.qq*_xlpm.nn/SQRT(_xlpm.ss))^3*_xlpm.rr^2/(_xlpm.dd^2/8)^5,_xlpm.h_1,0.000001+_xlpm.ww/2,_xlpm.u_1,2*ACOS(1-_xlpm.h_1/_xlpm.rr),_xlpm.h_2,_xlpm.h_1+IF((_xlpm.u_1-SIN(_xlpm.u_1))^5&lt;_xlpm.zz*_xlpm.u_1^2,_xlpm.ww,-_xlpm.ww)/4,_xlpm.u_2,2*ACOS(1-_xlpm.h_2/_xlpm.rr),_xlpm.h_3,_xlpm.h_2+IF((_xlpm.u_2-SIN(_xlpm.u_2))^5&lt;_xlpm.zz*_xlpm.u_2^2,_xlpm.ww,-_xlpm.ww)/8,_xlpm.u_3,2*ACOS(1-_xlpm.h_3/_xlpm.rr),_xlpm.h_4,_xlpm.h_3+IF((_xlpm.u_3-SIN(_xlpm.u_3))^5&lt;_xlpm.zz*_xlpm.u_3^2,_xlpm.ww,-_xlpm.ww)/16,_xlpm.u_4,2*ACOS(1-_xlpm.h_4/_xlpm.rr),_xlpm.h_5,_xlpm.h_4+IF((_xlpm.u_4-SIN(_xlpm.u_4))^5&lt;_xlpm.zz*_xlpm.u_4^2,_xlpm.ww,-_xlpm.ww)/32,_xlpm.u_5,2*ACOS(1-_xlpm.h_5/_xlpm.rr),_xlpm.h_6,_xlpm.h_5+IF((_xlpm.u_5-SIN(_xlpm.u_5))^5&lt;_xlpm.zz*_xlpm.u_5^2,_xlpm.ww,-_xlpm.ww)/64,_xlpm.u_6,2*ACOS(1-_xlpm.h_6/_xlpm.rr),_xlpm.h_7,_xlpm.h_6+IF((_xlpm.u_6-SIN(_xlpm.u_6))^5&lt;_xlpm.zz*_xlpm.u_6^2,_xlpm.ww,-_xlpm.ww)/128,_xlpm.u_7,2*ACOS(1-_xlpm.h_7/_xlpm.rr),_xlpm.h_8,_xlpm.h_7+IF((_xlpm.u_7-SIN(_xlpm.u_7))^5&lt;_xlpm.zz*_xlpm.u_7^2,_xlpm.ww,-_xlpm.ww)/256,_xlpm.u_8,2*ACOS(1-_xlpm.h_8/_xlpm.rr),_xlpm.h_9,_xlpm.h_8+IF((_xlpm.u_8-SIN(_xlpm.u_8))^5&lt;_xlpm.zz*_xlpm.u_8^2,_xlpm.ww,-_xlpm.ww)/512,_xlpm.u_9,2*ACOS(1-_xlpm.h_9/_xlpm.rr),_xlpm.h_10,_xlpm.h_9+IF((_xlpm.u_9-SIN(_xlpm.u_9))^5&lt;_xlpm.zz*_xlpm.u_9^2,_xlpm.ww,-_xlpm.ww)/1024,_xlpm.u_10,2*ACOS(1-_xlpm.h_10/_xlpm.rr),_xlpm.h_11,_xlpm.h_10+IF((_xlpm.u_10-SIN(_xlpm.u_10))^5&lt;_xlpm.zz*_xlpm.u_10^2,_xlpm.ww,-_xlpm.ww)/2048,_xlpm.u_11,2*ACOS(1-_xlpm.h_11/_xlpm.rr),_xlpm.h_12,_xlpm.h_11+IF((_xlpm.u_11-SIN(_xlpm.u_11))^5&lt;_xlpm.zz*_xlpm.u_11^2,_xlpm.ww,-_xlpm.ww)/4096,_xlpm.u_12,2*ACOS(1-_xlpm.h_12/_xlpm.rr),_xlpm.h_13,_xlpm.h_12+IF((_xlpm.u_12-SIN(_xlpm.u_12))^5&lt;_xlpm.zz*_xlpm.u_12^2,_xlpm.ww,-_xlpm.ww)/8192,_xlpm.u_13,2*ACOS(1-_xlpm.h_13/_xlpm.rr),_xlpm.h_14,_xlpm.h_13+IF((_xlpm.u_13-SIN(_xlpm.u_13))^5&lt;_xlpm.zz*_xlpm.u_13^2,_xlpm.ww,-_xlpm.ww)/16384,_xlpm.u_14,2*ACOS(1-_xlpm.h_14/_xlpm.rr),_xlpm.h_15,_xlpm.h_14+IF((_xlpm.u_14-SIN(_xlpm.u_14))^5&lt;_xlpm.zz*_xlpm.u_14^2,_xlpm.ww,-_xlpm.ww)/32768,_xlpm.u_15,2*ACOS(1-_xlpm.h_15/_xlpm.rr),_xlpm.h_16,_xlpm.h_15+IF((_xlpm.u_15-SIN(_xlpm.u_15))^5&lt;_xlpm.zz*_xlpm.u_15^2,_xlpm.ww,-_xlpm.ww)/65536,_xlpm.u_16,2*ACOS(1-_xlpm.h_16/_xlpm.rr),_xlpm.h_17,_xlpm.h_16+IF((_xlpm.u_16-SIN(_xlpm.u_16))^5&lt;_xlpm.zz*_xlpm.u_16^2,_xlpm.ww,-_xlpm.ww)/131072,_xlpm.u_17,2*ACOS(1-_xlpm.h_17/_xlpm.rr),_xlpm.h_18,_xlpm.h_17+IF((_xlpm.u_17-SIN(_xlpm.u_17))^5&lt;_xlpm.zz*_xlpm.u_17^2,_xlpm.ww,-_xlpm.ww)/262144,_xlpm.u_18,2*ACOS(1-_xlpm.h_18/_xlpm.rr),_xlpm.h_19,_xlpm.h_18+IF((_xlpm.u_18-SIN(_xlpm.u_18))^5&lt;_xlpm.zz*_xlpm.u_18^2,_xlpm.ww,-_xlpm.ww)/524288,_xlpm.u_19,2*ACOS(1-_xlpm.h_19/_xlpm.rr),_xlpm.h_20,_xlpm.h_19+IF((_xlpm.u_19-SIN(_xlpm.u_19))^5&lt;_xlpm.zz*_xlpm.u_19^2,_xlpm.ww,-_xlpm.ww)/1048576,_xlpm.u_20,2*ACOS(1-_xlpm.h_20/_xlpm.rr),_xlpm.h_21,_xlpm.h_20+IF((_xlpm.u_20-SIN(_xlpm.u_20))^5&lt;_xlpm.zz*_xlpm.u_20^2,_xlpm.ww,-_xlpm.ww)/2097152,_xlpm.u_21,2*ACOS(1-_xlpm.h_21/_xlpm.rr),_xlpm.h_22,_xlpm.h_21+IF((_xlpm.u_21-SIN(_xlpm.u_21))^5&lt;_xlpm.zz*_xlpm.u_21^2,_xlpm.ww,-_xlpm.ww)/4194304,_xlpm.u_22,2*ACOS(1-_xlpm.h_22/_xlpm.rr),_xlpm.h_23,_xlpm.h_22+IF((_xlpm.u_22-SIN(_xlpm.u_22))^5&lt;_xlpm.zz*_xlpm.u_22^2,_xlpm.ww,-_xlpm.ww)/8388608,_xlpm.u_23,2*ACOS(1-_xlpm.h_23/_xlpm.rr),_xlpm.h_24,_xlpm.h_23+IF((_xlpm.u_23-SIN(_xlpm.u_23))^5&lt;_xlpm.zz*_xlpm.u_23^2,_xlpm.ww,-_xlpm.ww)/16777216,_xlpm.u_24,2*ACOS(1-_xlpm.h_24/_xlpm.rr),_xlpm.h_25,_xlpm.h_24+IF((_xlpm.u_24-SIN(_xlpm.u_24))^5&lt;_xlpm.zz*_xlpm.u_24^2,_xlpm.ww,-_xlpm.ww)/33554432,_xlpm.u_25,2*ACOS(1-_xlpm.h_25/_xlpm.rr),_xlpm.h_26,_xlpm.h_25+IF((_xlpm.u_25-SIN(_xlpm.u_25))^5&lt;_xlpm.zz*_xlpm.u_25^2,_xlpm.ww,-_xlpm.ww)/67108864,IF(OR(_xlpm.qq&lt;=0,_xlpm.dd&lt;=0,_xlpm.ss&lt;=0,_xlpm.nn&lt;=0),#VALUE!,IF(_xlpm.h_26&gt;0.000001+_xlpm.ww*(1-1.5/2^26),0.000001+_xlpm.ww,_xlpm.h_26))),_xlfn.LET(_xlpm.ob,AL23,_xlpm.ss,(X23)*1,_xlpm.nn,(0.015)*1,_xlpm.qq,(BS23)*1/IF(OR(ISNUMBER(SEARCH("BSTC",_xlpm.ob)),ISNUMBER(SEARCH("BSCC",_xlpm.ob))),1,IF(OR(ISNUMBER(SEARCH("BDTC",_xlpm.ob)),ISNUMBER(SEARCH("BDCC",_xlpm.ob))),2,IF(OR(ISNUMBER(SEARCH("BTTC",_xlpm.ob)),ISNUMBER(SEARCH("BTCC",_xlpm.ob))),3,#VALUE!))),_xlpm.bb,_xlfn.NUMBERVALUE(SUBSTITUTE(TRIM(MID(_xlpm.ob,SEARCH("cc",_xlpm.ob)+3,SEARCH("x",_xlpm.ob)-SEARCH("cc",_xlpm.ob)-3)),".",","),",","."),_xlpm.hh,_xlfn.NUMBERVALUE(SUBSTITUTE(TRIM(MID(_xlpm.ob,SEARCH("x",_xlpm.ob)+1,SEARCH("m",_xlpm.ob,SEARCH("x",_xlpm.ob))-SEARCH("x",_xlpm.ob)-1)),".",","),",","."),_xlpm.kk,SQRT(_xlpm.ss)/_xlpm.nn,_xlpm.x_0,_xlpm.hh,_xlpm.g_0,_xlpm.kk*_xlpm.bb*_xlpm.x_0*(_xlpm.bb*_xlpm.x_0/(_xlpm.bb+2*_xlpm.x_0))^(2/3),_xlpm.x_1,_xlpm.x_0-(_xlpm.g_0-_xlpm.qq)/(_xlpm.g_0*(5/(3*_xlpm.x_0)-4/(3*(_xlpm.bb+2*_xlpm.x_0)))),_xlpm.g_1,_xlpm.kk*_xlpm.bb*_xlpm.x_1*(_xlpm.bb*_xlpm.x_1/(_xlpm.bb+2*_xlpm.x_1))^(2/3),_xlpm.x_2,_xlpm.x_1-(_xlpm.g_1-_xlpm.qq)/(_xlpm.g_1*(5/(3*_xlpm.x_1)-4/(3*(_xlpm.bb+2*_xlpm.x_1)))),_xlpm.g_2,_xlpm.kk*_xlpm.bb*_xlpm.x_2*(_xlpm.bb*_xlpm.x_2/(_xlpm.bb+2*_xlpm.x_2))^(2/3),_xlpm.x_3,_xlpm.x_2-(_xlpm.g_2-_xlpm.qq)/(_xlpm.g_2*(5/(3*_xlpm.x_2)-4/(3*(_xlpm.bb+2*_xlpm.x_2)))),_xlpm.g_3,_xlpm.kk*_xlpm.bb*_xlpm.x_3*(_xlpm.bb*_xlpm.x_3/(_xlpm.bb+2*_xlpm.x_3))^(2/3),_xlpm.x_4,_xlpm.x_3-(_xlpm.g_3-_xlpm.qq)/(_xlpm.g_3*(5/(3*_xlpm.x_3)-4/(3*(_xlpm.bb+2*_xlpm.x_3)))),_xlpm.g_4,_xlpm.kk*_xlpm.bb*_xlpm.x_4*(_xlpm.bb*_xlpm.x_4/(_xlpm.bb+2*_xlpm.x_4))^(2/3),_xlpm.x_5,_xlpm.x_4-(_xlpm.g_4-_xlpm.qq)/(_xlpm.g_4*(5/(3*_xlpm.x_4)-4/(3*(_xlpm.bb+2*_xlpm.x_4)))),_xlpm.g_5,_xlpm.kk*_xlpm.bb*_xlpm.x_5*(_xlpm.bb*_xlpm.x_5/(_xlpm.bb+2*_xlpm.x_5))^(2/3),_xlpm.x_6,_xlpm.x_5-(_xlpm.g_5-_xlpm.qq)/(_xlpm.g_5*(5/(3*_xlpm.x_5)-4/(3*(_xlpm.bb+2*_xlpm.x_5)))),_xlpm.g_6,_xlpm.kk*_xlpm.bb*_xlpm.x_6*(_xlpm.bb*_xlpm.x_6/(_xlpm.bb+2*_xlpm.x_6))^(2/3),_xlpm.x_7,_xlpm.x_6-(_xlpm.g_6-_xlpm.qq)/(_xlpm.g_6*(5/(3*_xlpm.x_6)-4/(3*(_xlpm.bb+2*_xlpm.x_6)))),_xlpm.g_7,_xlpm.kk*_xlpm.bb*_xlpm.x_7*(_xlpm.bb*_xlpm.x_7/(_xlpm.bb+2*_xlpm.x_7))^(2/3),_xlpm.x_8,_xlpm.x_7-(_xlpm.g_7-_xlpm.qq)/(_xlpm.g_7*(5/(3*_xlpm.x_7)-4/(3*(_xlpm.bb+2*_xlpm.x_7)))),_xlpm.g_8,_xlpm.kk*_xlpm.bb*_xlpm.x_8*(_xlpm.bb*_xlpm.x_8/(_xlpm.bb+2*_xlpm.x_8))^(2/3),_xlpm.x_9,_xlpm.x_8-(_xlpm.g_8-_xlpm.qq)/(_xlpm.g_8*(5/(3*_xlpm.x_8)-4/(3*(_xlpm.bb+2*_xlpm.x_8)))),_xlpm.g_9,_xlpm.kk*_xlpm.bb*_xlpm.x_9*(_xlpm.bb*_xlpm.x_9/(_xlpm.bb+2*_xlpm.x_9))^(2/3),_xlpm.x_10,_xlpm.x_9-(_xlpm.g_9-_xlpm.qq)/(_xlpm.g_9*(5/(3*_xlpm.x_9)-4/(3*(_xlpm.bb+2*_xlpm.x_9)))),MIN(_xlpm.hh,_xlpm.x_10))),"")</f>
        <v>2.302335083014261</v>
      </c>
      <c r="AU23" s="33">
        <f t="shared" si="35"/>
        <v>2.1645216718818077</v>
      </c>
      <c r="AW23" s="33" t="str">
        <f t="shared" ca="1" si="36"/>
        <v>BDCC</v>
      </c>
      <c r="AY23" s="33">
        <f t="shared" ca="1" si="37"/>
        <v>3</v>
      </c>
      <c r="AZ23" s="33">
        <f t="shared" ca="1" si="38"/>
        <v>2.5</v>
      </c>
      <c r="BA23" s="33" t="str">
        <f ca="1">IFERROR(INDEX(Tabela_DEB!$A$2:$A$12,MATCH(LEFT(AM23,FIND(" ",AM23)-1)&amp;" "&amp;TEXT(VALUE(MID(AM23,FIND("=",AM23)+1,FIND("m",AM23)-FIND("=",AM23)-1))*100,"0"),Tabela_DEB!$E$2:$E$12,0)),"")</f>
        <v/>
      </c>
      <c r="BB23" s="33">
        <f ca="1">IFERROR(IF(IF(OR(ISNUMBER(SEARCH("BSTC",AM23)),ISNUMBER(SEARCH("BDTC",AM23)),ISNUMBER(SEARCH("BTTC",AM23))),"CIRCULAR",IF(OR(ISNUMBER(SEARCH("BSCC",AM23)),ISNUMBER(SEARCH("BDCC",AM23)),ISNUMBER(SEARCH("BTCC",AM23))),"CELULAR",""))="CIRCULAR",_xlfn.LET(_xlpm.qq,(BQ23/BC23)*1,_xlpm.dd,(AZ23)*1,_xlpm.ww,_xlpm.dd-0.0002,_xlpm.f_0,_xlpm.qq^2*_xlpm.dd*SIN(ACOS(1-2*0.0001/_xlpm.dd))-9.81*(_xlpm.dd^2/8*(2*ACOS(1-2*0.0001/_xlpm.dd)-SIN(2*ACOS(1-2*0.0001/_xlpm.dd))))^3,_xlpm.y_1,0.0001+_xlpm.ww/2,_xlpm.f_1,_xlpm.qq^2*_xlpm.dd*SIN(ACOS(1-2*_xlpm.y_1/_xlpm.dd))-9.81*(_xlpm.dd^2/8*(2*ACOS(1-2*_xlpm.y_1/_xlpm.dd)-SIN(2*ACOS(1-2*_xlpm.y_1/_xlpm.dd))))^3,_xlpm.y_2,_xlpm.y_1+IF(ABS(_xlpm.f_1)&lt;0.000001,0,IF(_xlpm.f_0*_xlpm.f_1&lt;0,-_xlpm.ww,_xlpm.ww))/4,_xlpm.f_2,_xlpm.qq^2*_xlpm.dd*SIN(ACOS(1-2*_xlpm.y_2/_xlpm.dd))-9.81*(_xlpm.dd^2/8*(2*ACOS(1-2*_xlpm.y_2/_xlpm.dd)-SIN(2*ACOS(1-2*_xlpm.y_2/_xlpm.dd))))^3,_xlpm.y_3,_xlpm.y_2+IF(ABS(_xlpm.f_2)&lt;0.000001,0,IF(_xlpm.f_0*_xlpm.f_2&lt;0,-_xlpm.ww,_xlpm.ww))/8,_xlpm.f_3,_xlpm.qq^2*_xlpm.dd*SIN(ACOS(1-2*_xlpm.y_3/_xlpm.dd))-9.81*(_xlpm.dd^2/8*(2*ACOS(1-2*_xlpm.y_3/_xlpm.dd)-SIN(2*ACOS(1-2*_xlpm.y_3/_xlpm.dd))))^3,_xlpm.y_4,_xlpm.y_3+IF(ABS(_xlpm.f_3)&lt;0.000001,0,IF(_xlpm.f_0*_xlpm.f_3&lt;0,-_xlpm.ww,_xlpm.ww))/16,_xlpm.f_4,_xlpm.qq^2*_xlpm.dd*SIN(ACOS(1-2*_xlpm.y_4/_xlpm.dd))-9.81*(_xlpm.dd^2/8*(2*ACOS(1-2*_xlpm.y_4/_xlpm.dd)-SIN(2*ACOS(1-2*_xlpm.y_4/_xlpm.dd))))^3,_xlpm.y_5,_xlpm.y_4+IF(ABS(_xlpm.f_4)&lt;0.000001,0,IF(_xlpm.f_0*_xlpm.f_4&lt;0,-_xlpm.ww,_xlpm.ww))/32,_xlpm.f_5,_xlpm.qq^2*_xlpm.dd*SIN(ACOS(1-2*_xlpm.y_5/_xlpm.dd))-9.81*(_xlpm.dd^2/8*(2*ACOS(1-2*_xlpm.y_5/_xlpm.dd)-SIN(2*ACOS(1-2*_xlpm.y_5/_xlpm.dd))))^3,_xlpm.y_6,_xlpm.y_5+IF(ABS(_xlpm.f_5)&lt;0.000001,0,IF(_xlpm.f_0*_xlpm.f_5&lt;0,-_xlpm.ww,_xlpm.ww))/64,_xlpm.f_6,_xlpm.qq^2*_xlpm.dd*SIN(ACOS(1-2*_xlpm.y_6/_xlpm.dd))-9.81*(_xlpm.dd^2/8*(2*ACOS(1-2*_xlpm.y_6/_xlpm.dd)-SIN(2*ACOS(1-2*_xlpm.y_6/_xlpm.dd))))^3,_xlpm.y_7,_xlpm.y_6+IF(ABS(_xlpm.f_6)&lt;0.000001,0,IF(_xlpm.f_0*_xlpm.f_6&lt;0,-_xlpm.ww,_xlpm.ww))/128,_xlpm.f_7,_xlpm.qq^2*_xlpm.dd*SIN(ACOS(1-2*_xlpm.y_7/_xlpm.dd))-9.81*(_xlpm.dd^2/8*(2*ACOS(1-2*_xlpm.y_7/_xlpm.dd)-SIN(2*ACOS(1-2*_xlpm.y_7/_xlpm.dd))))^3,_xlpm.y_8,_xlpm.y_7+IF(ABS(_xlpm.f_7)&lt;0.000001,0,IF(_xlpm.f_0*_xlpm.f_7&lt;0,-_xlpm.ww,_xlpm.ww))/256,_xlpm.f_8,_xlpm.qq^2*_xlpm.dd*SIN(ACOS(1-2*_xlpm.y_8/_xlpm.dd))-9.81*(_xlpm.dd^2/8*(2*ACOS(1-2*_xlpm.y_8/_xlpm.dd)-SIN(2*ACOS(1-2*_xlpm.y_8/_xlpm.dd))))^3,_xlpm.y_9,_xlpm.y_8+IF(ABS(_xlpm.f_8)&lt;0.000001,0,IF(_xlpm.f_0*_xlpm.f_8&lt;0,-_xlpm.ww,_xlpm.ww))/512,_xlpm.f_9,_xlpm.qq^2*_xlpm.dd*SIN(ACOS(1-2*_xlpm.y_9/_xlpm.dd))-9.81*(_xlpm.dd^2/8*(2*ACOS(1-2*_xlpm.y_9/_xlpm.dd)-SIN(2*ACOS(1-2*_xlpm.y_9/_xlpm.dd))))^3,_xlpm.y_10,_xlpm.y_9+IF(ABS(_xlpm.f_9)&lt;0.000001,0,IF(_xlpm.f_0*_xlpm.f_9&lt;0,-_xlpm.ww,_xlpm.ww))/1024,_xlpm.f_10,_xlpm.qq^2*_xlpm.dd*SIN(ACOS(1-2*_xlpm.y_10/_xlpm.dd))-9.81*(_xlpm.dd^2/8*(2*ACOS(1-2*_xlpm.y_10/_xlpm.dd)-SIN(2*ACOS(1-2*_xlpm.y_10/_xlpm.dd))))^3,_xlpm.y_11,_xlpm.y_10+IF(ABS(_xlpm.f_10)&lt;0.000001,0,IF(_xlpm.f_0*_xlpm.f_10&lt;0,-_xlpm.ww,_xlpm.ww))/2048,_xlpm.f_11,_xlpm.qq^2*_xlpm.dd*SIN(ACOS(1-2*_xlpm.y_11/_xlpm.dd))-9.81*(_xlpm.dd^2/8*(2*ACOS(1-2*_xlpm.y_11/_xlpm.dd)-SIN(2*ACOS(1-2*_xlpm.y_11/_xlpm.dd))))^3,_xlpm.y_12,_xlpm.y_11+IF(ABS(_xlpm.f_11)&lt;0.000001,0,IF(_xlpm.f_0*_xlpm.f_11&lt;0,-_xlpm.ww,_xlpm.ww))/4096,_xlpm.f_12,_xlpm.qq^2*_xlpm.dd*SIN(ACOS(1-2*_xlpm.y_12/_xlpm.dd))-9.81*(_xlpm.dd^2/8*(2*ACOS(1-2*_xlpm.y_12/_xlpm.dd)-SIN(2*ACOS(1-2*_xlpm.y_12/_xlpm.dd))))^3,_xlpm.y_13,_xlpm.y_12+IF(ABS(_xlpm.f_12)&lt;0.000001,0,IF(_xlpm.f_0*_xlpm.f_12&lt;0,-_xlpm.ww,_xlpm.ww))/8192,_xlpm.f_13,_xlpm.qq^2*_xlpm.dd*SIN(ACOS(1-2*_xlpm.y_13/_xlpm.dd))-9.81*(_xlpm.dd^2/8*(2*ACOS(1-2*_xlpm.y_13/_xlpm.dd)-SIN(2*ACOS(1-2*_xlpm.y_13/_xlpm.dd))))^3,_xlpm.y_14,_xlpm.y_13+IF(ABS(_xlpm.f_13)&lt;0.000001,0,IF(_xlpm.f_0*_xlpm.f_13&lt;0,-_xlpm.ww,_xlpm.ww))/16384,_xlpm.f_14,_xlpm.qq^2*_xlpm.dd*SIN(ACOS(1-2*_xlpm.y_14/_xlpm.dd))-9.81*(_xlpm.dd^2/8*(2*ACOS(1-2*_xlpm.y_14/_xlpm.dd)-SIN(2*ACOS(1-2*_xlpm.y_14/_xlpm.dd))))^3,_xlpm.y_15,_xlpm.y_14+IF(ABS(_xlpm.f_14)&lt;0.000001,0,IF(_xlpm.f_0*_xlpm.f_14&lt;0,-_xlpm.ww,_xlpm.ww))/32768,_xlpm.f_15,_xlpm.qq^2*_xlpm.dd*SIN(ACOS(1-2*_xlpm.y_15/_xlpm.dd))-9.81*(_xlpm.dd^2/8*(2*ACOS(1-2*_xlpm.y_15/_xlpm.dd)-SIN(2*ACOS(1-2*_xlpm.y_15/_xlpm.dd))))^3,_xlpm.y_16,_xlpm.y_15+IF(ABS(_xlpm.f_15)&lt;0.000001,0,IF(_xlpm.f_0*_xlpm.f_15&lt;0,-_xlpm.ww,_xlpm.ww))/65536,_xlpm.f_16,_xlpm.qq^2*_xlpm.dd*SIN(ACOS(1-2*_xlpm.y_16/_xlpm.dd))-9.81*(_xlpm.dd^2/8*(2*ACOS(1-2*_xlpm.y_16/_xlpm.dd)-SIN(2*ACOS(1-2*_xlpm.y_16/_xlpm.dd))))^3,_xlpm.y_17,_xlpm.y_16+IF(ABS(_xlpm.f_16)&lt;0.000001,0,IF(_xlpm.f_0*_xlpm.f_16&lt;0,-_xlpm.ww,_xlpm.ww))/131072,_xlpm.f_17,_xlpm.qq^2*_xlpm.dd*SIN(ACOS(1-2*_xlpm.y_17/_xlpm.dd))-9.81*(_xlpm.dd^2/8*(2*ACOS(1-2*_xlpm.y_17/_xlpm.dd)-SIN(2*ACOS(1-2*_xlpm.y_17/_xlpm.dd))))^3,_xlpm.y_18,_xlpm.y_17+IF(ABS(_xlpm.f_17)&lt;0.000001,0,IF(_xlpm.f_0*_xlpm.f_17&lt;0,-_xlpm.ww,_xlpm.ww))/262144,_xlpm.f_18,_xlpm.qq^2*_xlpm.dd*SIN(ACOS(1-2*_xlpm.y_18/_xlpm.dd))-9.81*(_xlpm.dd^2/8*(2*ACOS(1-2*_xlpm.y_18/_xlpm.dd)-SIN(2*ACOS(1-2*_xlpm.y_18/_xlpm.dd))))^3,_xlpm.y_19,_xlpm.y_18+IF(ABS(_xlpm.f_18)&lt;0.000001,0,IF(_xlpm.f_0*_xlpm.f_18&lt;0,-_xlpm.ww,_xlpm.ww))/524288,_xlpm.f_19,_xlpm.qq^2*_xlpm.dd*SIN(ACOS(1-2*_xlpm.y_19/_xlpm.dd))-9.81*(_xlpm.dd^2/8*(2*ACOS(1-2*_xlpm.y_19/_xlpm.dd)-SIN(2*ACOS(1-2*_xlpm.y_19/_xlpm.dd))))^3,_xlpm.y_20,_xlpm.y_19+IF(ABS(_xlpm.f_19)&lt;0.000001,0,IF(_xlpm.f_0*_xlpm.f_19&lt;0,-_xlpm.ww,_xlpm.ww))/1048576,_xlpm.f_20,_xlpm.qq^2*_xlpm.dd*SIN(ACOS(1-2*_xlpm.y_20/_xlpm.dd))-9.81*(_xlpm.dd^2/8*(2*ACOS(1-2*_xlpm.y_20/_xlpm.dd)-SIN(2*ACOS(1-2*_xlpm.y_20/_xlpm.dd))))^3,_xlpm.y_21,_xlpm.y_20+IF(ABS(_xlpm.f_20)&lt;0.000001,0,IF(_xlpm.f_0*_xlpm.f_20&lt;0,-_xlpm.ww,_xlpm.ww))/2097152,_xlpm.f_21,_xlpm.qq^2*_xlpm.dd*SIN(ACOS(1-2*_xlpm.y_21/_xlpm.dd))-9.81*(_xlpm.dd^2/8*(2*ACOS(1-2*_xlpm.y_21/_xlpm.dd)-SIN(2*ACOS(1-2*_xlpm.y_21/_xlpm.dd))))^3,_xlpm.y_22,_xlpm.y_21+IF(ABS(_xlpm.f_21)&lt;0.000001,0,IF(_xlpm.f_0*_xlpm.f_21&lt;0,-_xlpm.ww,_xlpm.ww))/4194304,_xlpm.f_22,_xlpm.qq^2*_xlpm.dd*SIN(ACOS(1-2*_xlpm.y_22/_xlpm.dd))-9.81*(_xlpm.dd^2/8*(2*ACOS(1-2*_xlpm.y_22/_xlpm.dd)-SIN(2*ACOS(1-2*_xlpm.y_22/_xlpm.dd))))^3,_xlpm.y_23,_xlpm.y_22+IF(ABS(_xlpm.f_22)&lt;0.000001,0,IF(_xlpm.f_0*_xlpm.f_22&lt;0,-_xlpm.ww,_xlpm.ww))/8388608,_xlpm.f_23,_xlpm.qq^2*_xlpm.dd*SIN(ACOS(1-2*_xlpm.y_23/_xlpm.dd))-9.81*(_xlpm.dd^2/8*(2*ACOS(1-2*_xlpm.y_23/_xlpm.dd)-SIN(2*ACOS(1-2*_xlpm.y_23/_xlpm.dd))))^3,_xlpm.y_24,_xlpm.y_23+IF(ABS(_xlpm.f_23)&lt;0.000001,0,IF(_xlpm.f_0*_xlpm.f_23&lt;0,-_xlpm.ww,_xlpm.ww))/16777216,_xlpm.f_24,_xlpm.qq^2*_xlpm.dd*SIN(ACOS(1-2*_xlpm.y_24/_xlpm.dd))-9.81*(_xlpm.dd^2/8*(2*ACOS(1-2*_xlpm.y_24/_xlpm.dd)-SIN(2*ACOS(1-2*_xlpm.y_24/_xlpm.dd))))^3,_xlpm.y_25,_xlpm.y_24+IF(ABS(_xlpm.f_24)&lt;0.000001,0,IF(_xlpm.f_0*_xlpm.f_24&lt;0,-_xlpm.ww,_xlpm.ww))/33554432,_xlpm.f_25,_xlpm.qq^2*_xlpm.dd*SIN(ACOS(1-2*_xlpm.y_25/_xlpm.dd))-9.81*(_xlpm.dd^2/8*(2*ACOS(1-2*_xlpm.y_25/_xlpm.dd)-SIN(2*ACOS(1-2*_xlpm.y_25/_xlpm.dd))))^3,_xlpm.y_26,_xlpm.y_25+IF(ABS(_xlpm.f_25)&lt;0.000001,0,IF(_xlpm.f_0*_xlpm.f_25&lt;0,-_xlpm.ww,_xlpm.ww))/67108864,_xlpm.y_26),((BQ23/BC23/_xlfn.NUMBERVALUE(SUBSTITUTE(TRIM(MID(AM23,SEARCH("cc",AM23)+3,SEARCH("x",AM23)-SEARCH("cc",AM23)-3)),".",","),",","."))^2/9.80665)^(1/3)),"")</f>
        <v>1.5724504373616259</v>
      </c>
      <c r="BC23" s="117">
        <f t="shared" ca="1" si="47"/>
        <v>2</v>
      </c>
      <c r="BE23" s="174">
        <f>'Cadastro das Obras'!U7</f>
        <v>18</v>
      </c>
      <c r="BF23" s="174">
        <f ca="1">'Cadastro das Obras'!V7</f>
        <v>36</v>
      </c>
      <c r="BH23" s="33" t="str">
        <f>'Cadastro das Obras'!T7</f>
        <v>15º</v>
      </c>
      <c r="BJ23" s="117">
        <f>'Cadastro das Obras'!W7</f>
        <v>0.7</v>
      </c>
      <c r="BN23" s="33" t="s">
        <v>351</v>
      </c>
      <c r="BP23" s="33">
        <f t="shared" ca="1" si="48"/>
        <v>25</v>
      </c>
      <c r="BQ23" s="33">
        <f ca="1">CHOOSE(MATCH(BP23,{15,25,50,100},0),S23,T23,U23,V23)</f>
        <v>30.874205505789412</v>
      </c>
      <c r="BR23" s="33">
        <f ca="1">IFERROR(IF(ISNUMBER(FIND("50 anos",INDIRECT("'"&amp;#REF!&amp;"'!"&amp;IF(ISNUMBER(FIND("HUT",#REF!)),"U40","Q14")))),50,25),25)</f>
        <v>25</v>
      </c>
      <c r="BS23" s="33">
        <f ca="1">CHOOSE(MATCH(BR23,{15,25,50,100},0),S23,T23,U23,V23)</f>
        <v>30.874205505789412</v>
      </c>
      <c r="BU23" s="33">
        <f t="shared" ca="1" si="49"/>
        <v>0.57717376615611449</v>
      </c>
      <c r="BV23" s="33" t="str">
        <f t="shared" ca="1" si="39"/>
        <v>SUBCRÍTICO</v>
      </c>
      <c r="BW23" s="33" t="str">
        <f t="shared" ca="1" si="50"/>
        <v>SUFICIENTE</v>
      </c>
      <c r="BY23" s="33">
        <f t="shared" ca="1" si="51"/>
        <v>1.6313638305635816</v>
      </c>
      <c r="BZ23" s="33" t="str">
        <f t="shared" ca="1" si="52"/>
        <v>Celular</v>
      </c>
      <c r="CA23" s="115">
        <f t="shared" ca="1" si="53"/>
        <v>15.437102752894706</v>
      </c>
      <c r="CB23" s="353" t="str">
        <f ca="1">IF($AW23="","",IF($BZ23="Tubular",IF($CO23=0,0.01,IF($CO23&gt;=93,1,INDEX('Tab18'!$A$5:$A$97,$CO23)+($CN23-INDEX('Tab18'!$E$5:$E$97,$CO23))*(INDEX('Tab18'!$A$5:$A$97,$CO23+1)-INDEX('Tab18'!$A$5:$A$97,$CO23))/(INDEX('Tab18'!$E$5:$E$97,$CO23+1)-INDEX('Tab18'!$E$5:$E$97,$CO23)))),"-"))</f>
        <v>-</v>
      </c>
      <c r="CC23" s="33">
        <f t="shared" ca="1" si="54"/>
        <v>1.1680881833119767</v>
      </c>
      <c r="CD23" s="33">
        <f t="shared" ref="CD23:CM23" ca="1" si="59">IF($AW23="","",IF($BZ23="Celular",$CN23^0.6*($AZ23+2*CC23)^0.4/$AZ23,"-"))</f>
        <v>1.5208993672544713</v>
      </c>
      <c r="CE23" s="33">
        <f t="shared" ca="1" si="59"/>
        <v>1.6060531987400346</v>
      </c>
      <c r="CF23" s="33">
        <f t="shared" ca="1" si="59"/>
        <v>1.6256166634035381</v>
      </c>
      <c r="CG23" s="33">
        <f t="shared" ca="1" si="59"/>
        <v>1.630061619679531</v>
      </c>
      <c r="CH23" s="33">
        <f t="shared" ca="1" si="59"/>
        <v>1.6310690134067063</v>
      </c>
      <c r="CI23" s="33">
        <f t="shared" ca="1" si="59"/>
        <v>1.6312971969000833</v>
      </c>
      <c r="CJ23" s="33">
        <f t="shared" ca="1" si="59"/>
        <v>1.6313488758077874</v>
      </c>
      <c r="CK23" s="33">
        <f t="shared" ca="1" si="59"/>
        <v>1.6313605796853943</v>
      </c>
      <c r="CL23" s="33">
        <f t="shared" ca="1" si="59"/>
        <v>1.6313632302802534</v>
      </c>
      <c r="CM23" s="33">
        <f t="shared" ca="1" si="59"/>
        <v>1.6313638305635816</v>
      </c>
      <c r="CN23" s="352">
        <f t="shared" ca="1" si="56"/>
        <v>3.2389138220344438</v>
      </c>
      <c r="CO23" s="174" t="str">
        <f ca="1">IF($AW23="","",IF($BZ23="Tubular",IFERROR(MATCH($CN23,'Tab18'!$E$5:$E$97,1),0),"-"))</f>
        <v>-</v>
      </c>
      <c r="CP23" s="33">
        <f ca="1">IF($AW23="","",IF($BZ23="Tubular",IF($CB23&gt;=1,'Tab18'!$D$104,INDEX('Tab18'!$D$5:$D$104,MATCH($CB23,'Tab18'!$A$5:$A$104,1))+($CB23-INDEX('Tab18'!$A$5:$A$104,MATCH($CB23,'Tab18'!$A$5:$A$104,1)))*(INDEX('Tab18'!$D$5:$D$104,MATCH($CB23,'Tab18'!$A$5:$A$104,1)+1)-INDEX('Tab18'!$D$5:$D$104,MATCH($CB23,'Tab18'!$A$5:$A$104,1)))/(INDEX('Tab18'!$A$5:$A$104,MATCH($CB23,'Tab18'!$A$5:$A$104,1)+1)-INDEX('Tab18'!$A$5:$A$104,MATCH($CB23,'Tab18'!$A$5:$A$104,1)))),($AZ23*$BY23/($AZ23+2*$BY23))^(2/3)))</f>
        <v>0.79416088833278886</v>
      </c>
    </row>
    <row r="24" spans="2:94" s="33" customFormat="1" ht="81.75" hidden="1" customHeight="1">
      <c r="B24" s="362" t="str" cm="1">
        <f t="array" aca="1" ref="B24" ca="1">IFERROR(INDIRECT("'"&amp;BN24&amp;"'!F11"),"")</f>
        <v>BC06</v>
      </c>
      <c r="C24" s="362" t="s">
        <v>241</v>
      </c>
      <c r="D24" s="363" t="str">
        <f ca="1">IFERROR(INDIRECT("'"&amp;BN24&amp;"'!E4"),"")</f>
        <v>397</v>
      </c>
      <c r="E24" s="363" t="str">
        <f ca="1">IFERROR(INDIRECT("'"&amp;BN24&amp;"'!F4"),"")</f>
        <v>+</v>
      </c>
      <c r="F24" s="363">
        <f ca="1">IFERROR(INDIRECT("'"&amp;BN24&amp;"'!G4"),"")</f>
        <v>4.42</v>
      </c>
      <c r="G24" s="364"/>
      <c r="H24" s="365">
        <f ca="1">IFERROR(INDIRECT("'"&amp;BN24&amp;"'!E7"),"")</f>
        <v>17.228540401840885</v>
      </c>
      <c r="I24" s="365">
        <f ca="1">IFERROR(INDIRECT("'"&amp;BN24&amp;"'!E8"),"")</f>
        <v>9.217249068243289</v>
      </c>
      <c r="J24" s="365">
        <f t="shared" ca="1" si="30"/>
        <v>9.217249068243289</v>
      </c>
      <c r="K24" s="365">
        <f ca="1">IFERROR(INDIRECT("'"&amp;BN24&amp;"'!E10"),"")</f>
        <v>3.3974950615021733</v>
      </c>
      <c r="L24" s="365">
        <f ca="1">IFERROR(INDIRECT("'"&amp;BN24&amp;"'!Q7"),"")</f>
        <v>2.0375059202816321</v>
      </c>
      <c r="M24" s="365">
        <f ca="1">IFERROR(INDIRECT("'"&amp;BN24&amp;"'!N6"),"")</f>
        <v>59</v>
      </c>
      <c r="N24" s="366" t="str">
        <f t="shared" ca="1" si="41"/>
        <v>HUT</v>
      </c>
      <c r="O24" s="365" cm="1">
        <f t="array" aca="1" ref="O24" ca="1">IFERROR(INDIRECT("'"&amp;$BN24&amp;"'!F29")/INDIRECT("'"&amp;$BN24&amp;"'!B29"),"")</f>
        <v>2.1451395300642973</v>
      </c>
      <c r="P24" s="365" cm="1">
        <f t="array" aca="1" ref="P24" ca="1">IFERROR(INDIRECT("'"&amp;$BN24&amp;"'!H29")/INDIRECT("'"&amp;$BN24&amp;"'!B29"),"")</f>
        <v>2.3667106022133542</v>
      </c>
      <c r="Q24" s="365" cm="1">
        <f t="array" aca="1" ref="Q24" ca="1">IFERROR(INDIRECT("'"&amp;$BN24&amp;"'!I29")/INDIRECT("'"&amp;$BN24&amp;"'!B29"),"")</f>
        <v>2.6556938383280131</v>
      </c>
      <c r="R24" s="365" cm="1">
        <f t="array" aca="1" ref="R24" ca="1">IFERROR(INDIRECT("'"&amp;$BN24&amp;"'!J29")/INDIRECT("'"&amp;$BN24&amp;"'!B29"),"")</f>
        <v>2.9047665709941572</v>
      </c>
      <c r="S24" s="365">
        <f ca="1">IFERROR(INDIRECT("'"&amp;BN24&amp;"'!E38"),"")</f>
        <v>44.990923236834263</v>
      </c>
      <c r="T24" s="365">
        <f ca="1">IFERROR(INDIRECT("'"&amp;BN24&amp;"'!E39"),"")</f>
        <v>56.797830531936128</v>
      </c>
      <c r="U24" s="365">
        <f ca="1">IFERROR(INDIRECT("'"&amp;BN24&amp;"'!E40"),"")</f>
        <v>73.480912212061355</v>
      </c>
      <c r="V24" s="365">
        <f ca="1">IFERROR(INDIRECT("'"&amp;BN24&amp;"'!E41"),"")</f>
        <v>91.21534250026329</v>
      </c>
      <c r="W24" s="365">
        <f t="shared" ca="1" si="42"/>
        <v>3.5999999999999996</v>
      </c>
      <c r="X24" s="367">
        <f>'Cadastro das Obras'!Q8</f>
        <v>5.0000000000017687E-3</v>
      </c>
      <c r="Y24" s="368">
        <f t="shared" ca="1" si="31"/>
        <v>11.841894759505804</v>
      </c>
      <c r="Z24" s="365">
        <f ca="1">_xlfn.LET(_xlpm.aa,(Y24)*1,_xlpm.dd,(AY24)*1,_xlpm.ww,2*PI()-0.000002,_xlpm.t_1,0.000001+_xlpm.ww/2,_xlpm.t_2,_xlpm.t_1+IF(_xlpm.dd^2/8*(_xlpm.t_1-SIN(_xlpm.t_1))&lt;_xlpm.aa,_xlpm.ww,-_xlpm.ww)/4,_xlpm.t_3,_xlpm.t_2+IF(_xlpm.dd^2/8*(_xlpm.t_2-SIN(_xlpm.t_2))&lt;_xlpm.aa,_xlpm.ww,-_xlpm.ww)/8,_xlpm.t_4,_xlpm.t_3+IF(_xlpm.dd^2/8*(_xlpm.t_3-SIN(_xlpm.t_3))&lt;_xlpm.aa,_xlpm.ww,-_xlpm.ww)/16,_xlpm.t_5,_xlpm.t_4+IF(_xlpm.dd^2/8*(_xlpm.t_4-SIN(_xlpm.t_4))&lt;_xlpm.aa,_xlpm.ww,-_xlpm.ww)/32,_xlpm.t_6,_xlpm.t_5+IF(_xlpm.dd^2/8*(_xlpm.t_5-SIN(_xlpm.t_5))&lt;_xlpm.aa,_xlpm.ww,-_xlpm.ww)/64,_xlpm.t_7,_xlpm.t_6+IF(_xlpm.dd^2/8*(_xlpm.t_6-SIN(_xlpm.t_6))&lt;_xlpm.aa,_xlpm.ww,-_xlpm.ww)/128,_xlpm.t_8,_xlpm.t_7+IF(_xlpm.dd^2/8*(_xlpm.t_7-SIN(_xlpm.t_7))&lt;_xlpm.aa,_xlpm.ww,-_xlpm.ww)/256,_xlpm.t_9,_xlpm.t_8+IF(_xlpm.dd^2/8*(_xlpm.t_8-SIN(_xlpm.t_8))&lt;_xlpm.aa,_xlpm.ww,-_xlpm.ww)/512,_xlpm.t_10,_xlpm.t_9+IF(_xlpm.dd^2/8*(_xlpm.t_9-SIN(_xlpm.t_9))&lt;_xlpm.aa,_xlpm.ww,-_xlpm.ww)/1024,_xlpm.t_11,_xlpm.t_10+IF(_xlpm.dd^2/8*(_xlpm.t_10-SIN(_xlpm.t_10))&lt;_xlpm.aa,_xlpm.ww,-_xlpm.ww)/2048,_xlpm.t_12,_xlpm.t_11+IF(_xlpm.dd^2/8*(_xlpm.t_11-SIN(_xlpm.t_11))&lt;_xlpm.aa,_xlpm.ww,-_xlpm.ww)/4096,_xlpm.t_13,_xlpm.t_12+IF(_xlpm.dd^2/8*(_xlpm.t_12-SIN(_xlpm.t_12))&lt;_xlpm.aa,_xlpm.ww,-_xlpm.ww)/8192,_xlpm.t_14,_xlpm.t_13+IF(_xlpm.dd^2/8*(_xlpm.t_13-SIN(_xlpm.t_13))&lt;_xlpm.aa,_xlpm.ww,-_xlpm.ww)/16384,_xlpm.t_15,_xlpm.t_14+IF(_xlpm.dd^2/8*(_xlpm.t_14-SIN(_xlpm.t_14))&lt;_xlpm.aa,_xlpm.ww,-_xlpm.ww)/32768,_xlpm.t_16,_xlpm.t_15+IF(_xlpm.dd^2/8*(_xlpm.t_15-SIN(_xlpm.t_15))&lt;_xlpm.aa,_xlpm.ww,-_xlpm.ww)/65536,_xlpm.t_17,_xlpm.t_16+IF(_xlpm.dd^2/8*(_xlpm.t_16-SIN(_xlpm.t_16))&lt;_xlpm.aa,_xlpm.ww,-_xlpm.ww)/131072,_xlpm.t_18,_xlpm.t_17+IF(_xlpm.dd^2/8*(_xlpm.t_17-SIN(_xlpm.t_17))&lt;_xlpm.aa,_xlpm.ww,-_xlpm.ww)/262144,_xlpm.t_19,_xlpm.t_18+IF(_xlpm.dd^2/8*(_xlpm.t_18-SIN(_xlpm.t_18))&lt;_xlpm.aa,_xlpm.ww,-_xlpm.ww)/524288,_xlpm.t_20,_xlpm.t_19+IF(_xlpm.dd^2/8*(_xlpm.t_19-SIN(_xlpm.t_19))&lt;_xlpm.aa,_xlpm.ww,-_xlpm.ww)/1048576,_xlpm.t_21,_xlpm.t_20+IF(_xlpm.dd^2/8*(_xlpm.t_20-SIN(_xlpm.t_20))&lt;_xlpm.aa,_xlpm.ww,-_xlpm.ww)/2097152,_xlpm.t_22,_xlpm.t_21+IF(_xlpm.dd^2/8*(_xlpm.t_21-SIN(_xlpm.t_21))&lt;_xlpm.aa,_xlpm.ww,-_xlpm.ww)/4194304,_xlpm.t_23,_xlpm.t_22+IF(_xlpm.dd^2/8*(_xlpm.t_22-SIN(_xlpm.t_22))&lt;_xlpm.aa,_xlpm.ww,-_xlpm.ww)/8388608,_xlpm.t_24,_xlpm.t_23+IF(_xlpm.dd^2/8*(_xlpm.t_23-SIN(_xlpm.t_23))&lt;_xlpm.aa,_xlpm.ww,-_xlpm.ww)/16777216,_xlpm.t_25,_xlpm.t_24+IF(_xlpm.dd^2/8*(_xlpm.t_24-SIN(_xlpm.t_24))&lt;_xlpm.aa,_xlpm.ww,-_xlpm.ww)/33554432,_xlpm.t_26,_xlpm.t_25+IF(_xlpm.dd^2/8*(_xlpm.t_25-SIN(_xlpm.t_25))&lt;_xlpm.aa,_xlpm.ww,-_xlpm.ww)/67108864,IF(OR(_xlpm.aa&lt;=0,_xlpm.dd&lt;=0),#VALUE!,_xlpm.dd/2*IF(_xlpm.t_26&gt;0.000001+_xlpm.ww*(1-1.5/2^26),0.000001+_xlpm.ww,_xlpm.t_26)))</f>
        <v>9.4247764607693796</v>
      </c>
      <c r="AA24" s="365">
        <v>0.215</v>
      </c>
      <c r="AB24" s="365">
        <v>1.1990000000000001</v>
      </c>
      <c r="AC24" s="365">
        <f t="shared" ca="1" si="32"/>
        <v>0.2049388664812383</v>
      </c>
      <c r="AD24" s="365">
        <f t="shared" si="43"/>
        <v>0.17931609674728941</v>
      </c>
      <c r="AE24" s="368">
        <f ca="1">IFERROR(IF(IF(OR(ISNUMBER(SEARCH("BSTC",AM24)),ISNUMBER(SEARCH("BDTC",AM24)),ISNUMBER(SEARCH("BTTC",AM24))),"CIRCULAR",IF(OR(ISNUMBER(SEARCH("BSCC",AM24)),ISNUMBER(SEARCH("BDCC",AM24)),ISNUMBER(SEARCH("BTCC",AM24))),"CELULAR",""))="CIRCULAR",AG24/SQRT(9.80665*(AA24/(AZ24*SIN((2*ACOS(1-2*AH24/AZ24))/2)))),AG24/SQRT(9.80665*AH24)),"")</f>
        <v>1.5232783355035513</v>
      </c>
      <c r="AF24" s="365" t="str">
        <f t="shared" ca="1" si="44"/>
        <v>Supercrítico</v>
      </c>
      <c r="AG24" s="368">
        <f t="shared" ca="1" si="45"/>
        <v>3.7403513149732115</v>
      </c>
      <c r="AH24" s="368">
        <f ca="1">IFERROR(IF(IF(OR(ISNUMBER(SEARCH("BSTC",AM24)),ISNUMBER(SEARCH("BDTC",AM24)),ISNUMBER(SEARCH("BTTC",AM24))),"CIRCULAR",IF(OR(ISNUMBER(SEARCH("BSCC",AM24)),ISNUMBER(SEARCH("BDCC",AM24)),ISNUMBER(SEARCH("BTCC",AM24))),"CELULAR",""))="CIRCULAR",_xlfn.LET(_xlpm.qq,(15/3)*1,_xlpm.dd,(AZ24)*1,_xlpm.ss,(X24)*1,_xlpm.nn,(0.015)*1,_xlpm.rr,_xlpm.dd/2,_xlpm.ww,_xlpm.dd-0.000002,_xlpm.zz,(_xlpm.qq*_xlpm.nn/SQRT(_xlpm.ss))^3*_xlpm.rr^2/(_xlpm.dd^2/8)^5,_xlpm.h_1,0.000001+_xlpm.ww/2,_xlpm.u_1,2*ACOS(1-_xlpm.h_1/_xlpm.rr),_xlpm.h_2,_xlpm.h_1+IF((_xlpm.u_1-SIN(_xlpm.u_1))^5&lt;_xlpm.zz*_xlpm.u_1^2,_xlpm.ww,-_xlpm.ww)/4,_xlpm.u_2,2*ACOS(1-_xlpm.h_2/_xlpm.rr),_xlpm.h_3,_xlpm.h_2+IF((_xlpm.u_2-SIN(_xlpm.u_2))^5&lt;_xlpm.zz*_xlpm.u_2^2,_xlpm.ww,-_xlpm.ww)/8,_xlpm.u_3,2*ACOS(1-_xlpm.h_3/_xlpm.rr),_xlpm.h_4,_xlpm.h_3+IF((_xlpm.u_3-SIN(_xlpm.u_3))^5&lt;_xlpm.zz*_xlpm.u_3^2,_xlpm.ww,-_xlpm.ww)/16,_xlpm.u_4,2*ACOS(1-_xlpm.h_4/_xlpm.rr),_xlpm.h_5,_xlpm.h_4+IF((_xlpm.u_4-SIN(_xlpm.u_4))^5&lt;_xlpm.zz*_xlpm.u_4^2,_xlpm.ww,-_xlpm.ww)/32,_xlpm.u_5,2*ACOS(1-_xlpm.h_5/_xlpm.rr),_xlpm.h_6,_xlpm.h_5+IF((_xlpm.u_5-SIN(_xlpm.u_5))^5&lt;_xlpm.zz*_xlpm.u_5^2,_xlpm.ww,-_xlpm.ww)/64,_xlpm.u_6,2*ACOS(1-_xlpm.h_6/_xlpm.rr),_xlpm.h_7,_xlpm.h_6+IF((_xlpm.u_6-SIN(_xlpm.u_6))^5&lt;_xlpm.zz*_xlpm.u_6^2,_xlpm.ww,-_xlpm.ww)/128,_xlpm.u_7,2*ACOS(1-_xlpm.h_7/_xlpm.rr),_xlpm.h_8,_xlpm.h_7+IF((_xlpm.u_7-SIN(_xlpm.u_7))^5&lt;_xlpm.zz*_xlpm.u_7^2,_xlpm.ww,-_xlpm.ww)/256,_xlpm.u_8,2*ACOS(1-_xlpm.h_8/_xlpm.rr),_xlpm.h_9,_xlpm.h_8+IF((_xlpm.u_8-SIN(_xlpm.u_8))^5&lt;_xlpm.zz*_xlpm.u_8^2,_xlpm.ww,-_xlpm.ww)/512,_xlpm.u_9,2*ACOS(1-_xlpm.h_9/_xlpm.rr),_xlpm.h_10,_xlpm.h_9+IF((_xlpm.u_9-SIN(_xlpm.u_9))^5&lt;_xlpm.zz*_xlpm.u_9^2,_xlpm.ww,-_xlpm.ww)/1024,_xlpm.u_10,2*ACOS(1-_xlpm.h_10/_xlpm.rr),_xlpm.h_11,_xlpm.h_10+IF((_xlpm.u_10-SIN(_xlpm.u_10))^5&lt;_xlpm.zz*_xlpm.u_10^2,_xlpm.ww,-_xlpm.ww)/2048,_xlpm.u_11,2*ACOS(1-_xlpm.h_11/_xlpm.rr),_xlpm.h_12,_xlpm.h_11+IF((_xlpm.u_11-SIN(_xlpm.u_11))^5&lt;_xlpm.zz*_xlpm.u_11^2,_xlpm.ww,-_xlpm.ww)/4096,_xlpm.u_12,2*ACOS(1-_xlpm.h_12/_xlpm.rr),_xlpm.h_13,_xlpm.h_12+IF((_xlpm.u_12-SIN(_xlpm.u_12))^5&lt;_xlpm.zz*_xlpm.u_12^2,_xlpm.ww,-_xlpm.ww)/8192,_xlpm.u_13,2*ACOS(1-_xlpm.h_13/_xlpm.rr),_xlpm.h_14,_xlpm.h_13+IF((_xlpm.u_13-SIN(_xlpm.u_13))^5&lt;_xlpm.zz*_xlpm.u_13^2,_xlpm.ww,-_xlpm.ww)/16384,_xlpm.u_14,2*ACOS(1-_xlpm.h_14/_xlpm.rr),_xlpm.h_15,_xlpm.h_14+IF((_xlpm.u_14-SIN(_xlpm.u_14))^5&lt;_xlpm.zz*_xlpm.u_14^2,_xlpm.ww,-_xlpm.ww)/32768,_xlpm.u_15,2*ACOS(1-_xlpm.h_15/_xlpm.rr),_xlpm.h_16,_xlpm.h_15+IF((_xlpm.u_15-SIN(_xlpm.u_15))^5&lt;_xlpm.zz*_xlpm.u_15^2,_xlpm.ww,-_xlpm.ww)/65536,_xlpm.u_16,2*ACOS(1-_xlpm.h_16/_xlpm.rr),_xlpm.h_17,_xlpm.h_16+IF((_xlpm.u_16-SIN(_xlpm.u_16))^5&lt;_xlpm.zz*_xlpm.u_16^2,_xlpm.ww,-_xlpm.ww)/131072,_xlpm.u_17,2*ACOS(1-_xlpm.h_17/_xlpm.rr),_xlpm.h_18,_xlpm.h_17+IF((_xlpm.u_17-SIN(_xlpm.u_17))^5&lt;_xlpm.zz*_xlpm.u_17^2,_xlpm.ww,-_xlpm.ww)/262144,_xlpm.u_18,2*ACOS(1-_xlpm.h_18/_xlpm.rr),_xlpm.h_19,_xlpm.h_18+IF((_xlpm.u_18-SIN(_xlpm.u_18))^5&lt;_xlpm.zz*_xlpm.u_18^2,_xlpm.ww,-_xlpm.ww)/524288,_xlpm.u_19,2*ACOS(1-_xlpm.h_19/_xlpm.rr),_xlpm.h_20,_xlpm.h_19+IF((_xlpm.u_19-SIN(_xlpm.u_19))^5&lt;_xlpm.zz*_xlpm.u_19^2,_xlpm.ww,-_xlpm.ww)/1048576,_xlpm.u_20,2*ACOS(1-_xlpm.h_20/_xlpm.rr),_xlpm.h_21,_xlpm.h_20+IF((_xlpm.u_20-SIN(_xlpm.u_20))^5&lt;_xlpm.zz*_xlpm.u_20^2,_xlpm.ww,-_xlpm.ww)/2097152,_xlpm.u_21,2*ACOS(1-_xlpm.h_21/_xlpm.rr),_xlpm.h_22,_xlpm.h_21+IF((_xlpm.u_21-SIN(_xlpm.u_21))^5&lt;_xlpm.zz*_xlpm.u_21^2,_xlpm.ww,-_xlpm.ww)/4194304,_xlpm.u_22,2*ACOS(1-_xlpm.h_22/_xlpm.rr),_xlpm.h_23,_xlpm.h_22+IF((_xlpm.u_22-SIN(_xlpm.u_22))^5&lt;_xlpm.zz*_xlpm.u_22^2,_xlpm.ww,-_xlpm.ww)/8388608,_xlpm.u_23,2*ACOS(1-_xlpm.h_23/_xlpm.rr),_xlpm.h_24,_xlpm.h_23+IF((_xlpm.u_23-SIN(_xlpm.u_23))^5&lt;_xlpm.zz*_xlpm.u_23^2,_xlpm.ww,-_xlpm.ww)/16777216,_xlpm.u_24,2*ACOS(1-_xlpm.h_24/_xlpm.rr),_xlpm.h_25,_xlpm.h_24+IF((_xlpm.u_24-SIN(_xlpm.u_24))^5&lt;_xlpm.zz*_xlpm.u_24^2,_xlpm.ww,-_xlpm.ww)/33554432,_xlpm.u_25,2*ACOS(1-_xlpm.h_25/_xlpm.rr),_xlpm.h_26,_xlpm.h_25+IF((_xlpm.u_25-SIN(_xlpm.u_25))^5&lt;_xlpm.zz*_xlpm.u_25^2,_xlpm.ww,-_xlpm.ww)/67108864,IF(OR(_xlpm.qq&lt;=0,_xlpm.dd&lt;=0,_xlpm.ss&lt;=0,_xlpm.nn&lt;=0),#VALUE!,IF(_xlpm.h_26&gt;0.000001+_xlpm.ww*(1-1.5/2^26),0.000001+_xlpm.ww,_xlpm.h_26))),_xlfn.LET(_xlpm.ob,AM24,_xlpm.ss,(X24)*1,_xlpm.nn,(0.015)*1,_xlpm.qq,(BP24)*1/IF(OR(ISNUMBER(SEARCH("BSTC",_xlpm.ob)),ISNUMBER(SEARCH("BSCC",_xlpm.ob))),1,IF(OR(ISNUMBER(SEARCH("BDTC",_xlpm.ob)),ISNUMBER(SEARCH("BDCC",_xlpm.ob))),2,IF(OR(ISNUMBER(SEARCH("BTTC",_xlpm.ob)),ISNUMBER(SEARCH("BTCC",_xlpm.ob))),3,#VALUE!))),_xlpm.bb,_xlfn.NUMBERVALUE(SUBSTITUTE(TRIM(MID(_xlpm.ob,SEARCH("cc",_xlpm.ob)+3,SEARCH("x",_xlpm.ob)-SEARCH("cc",_xlpm.ob)-3)),".",","),",","."),_xlpm.hh,_xlfn.NUMBERVALUE(SUBSTITUTE(TRIM(MID(_xlpm.ob,SEARCH("x",_xlpm.ob)+1,SEARCH("m",_xlpm.ob,SEARCH("x",_xlpm.ob))-SEARCH("x",_xlpm.ob)-1)),".",","),",","."),_xlpm.kk,SQRT(_xlpm.ss)/_xlpm.nn,_xlpm.x_0,_xlpm.hh,_xlpm.g_0,_xlpm.kk*_xlpm.bb*_xlpm.x_0*(_xlpm.bb*_xlpm.x_0/(_xlpm.bb+2*_xlpm.x_0))^(2/3),_xlpm.x_1,_xlpm.x_0-(_xlpm.g_0-_xlpm.qq)/(_xlpm.g_0*(5/(3*_xlpm.x_0)-4/(3*(_xlpm.bb+2*_xlpm.x_0)))),_xlpm.g_1,_xlpm.kk*_xlpm.bb*_xlpm.x_1*(_xlpm.bb*_xlpm.x_1/(_xlpm.bb+2*_xlpm.x_1))^(2/3),_xlpm.x_2,_xlpm.x_1-(_xlpm.g_1-_xlpm.qq)/(_xlpm.g_1*(5/(3*_xlpm.x_1)-4/(3*(_xlpm.bb+2*_xlpm.x_1)))),_xlpm.g_2,_xlpm.kk*_xlpm.bb*_xlpm.x_2*(_xlpm.bb*_xlpm.x_2/(_xlpm.bb+2*_xlpm.x_2))^(2/3),_xlpm.x_3,_xlpm.x_2-(_xlpm.g_2-_xlpm.qq)/(_xlpm.g_2*(5/(3*_xlpm.x_2)-4/(3*(_xlpm.bb+2*_xlpm.x_2)))),_xlpm.g_3,_xlpm.kk*_xlpm.bb*_xlpm.x_3*(_xlpm.bb*_xlpm.x_3/(_xlpm.bb+2*_xlpm.x_3))^(2/3),_xlpm.x_4,_xlpm.x_3-(_xlpm.g_3-_xlpm.qq)/(_xlpm.g_3*(5/(3*_xlpm.x_3)-4/(3*(_xlpm.bb+2*_xlpm.x_3)))),_xlpm.g_4,_xlpm.kk*_xlpm.bb*_xlpm.x_4*(_xlpm.bb*_xlpm.x_4/(_xlpm.bb+2*_xlpm.x_4))^(2/3),_xlpm.x_5,_xlpm.x_4-(_xlpm.g_4-_xlpm.qq)/(_xlpm.g_4*(5/(3*_xlpm.x_4)-4/(3*(_xlpm.bb+2*_xlpm.x_4)))),_xlpm.g_5,_xlpm.kk*_xlpm.bb*_xlpm.x_5*(_xlpm.bb*_xlpm.x_5/(_xlpm.bb+2*_xlpm.x_5))^(2/3),_xlpm.x_6,_xlpm.x_5-(_xlpm.g_5-_xlpm.qq)/(_xlpm.g_5*(5/(3*_xlpm.x_5)-4/(3*(_xlpm.bb+2*_xlpm.x_5)))),_xlpm.g_6,_xlpm.kk*_xlpm.bb*_xlpm.x_6*(_xlpm.bb*_xlpm.x_6/(_xlpm.bb+2*_xlpm.x_6))^(2/3),_xlpm.x_7,_xlpm.x_6-(_xlpm.g_6-_xlpm.qq)/(_xlpm.g_6*(5/(3*_xlpm.x_6)-4/(3*(_xlpm.bb+2*_xlpm.x_6)))),_xlpm.g_7,_xlpm.kk*_xlpm.bb*_xlpm.x_7*(_xlpm.bb*_xlpm.x_7/(_xlpm.bb+2*_xlpm.x_7))^(2/3),_xlpm.x_8,_xlpm.x_7-(_xlpm.g_7-_xlpm.qq)/(_xlpm.g_7*(5/(3*_xlpm.x_7)-4/(3*(_xlpm.bb+2*_xlpm.x_7)))),_xlpm.g_8,_xlpm.kk*_xlpm.bb*_xlpm.x_8*(_xlpm.bb*_xlpm.x_8/(_xlpm.bb+2*_xlpm.x_8))^(2/3),_xlpm.x_9,_xlpm.x_8-(_xlpm.g_8-_xlpm.qq)/(_xlpm.g_8*(5/(3*_xlpm.x_8)-4/(3*(_xlpm.bb+2*_xlpm.x_8)))),_xlpm.g_9,_xlpm.kk*_xlpm.bb*_xlpm.x_9*(_xlpm.bb*_xlpm.x_9/(_xlpm.bb+2*_xlpm.x_9))^(2/3),_xlpm.x_10,_xlpm.x_9-(_xlpm.g_9-_xlpm.qq)/(_xlpm.g_9*(5/(3*_xlpm.x_9)-4/(3*(_xlpm.bb+2*_xlpm.x_9)))),MIN(_xlpm.hh,_xlpm.x_10))),"")</f>
        <v>0.61481659944371492</v>
      </c>
      <c r="AI24" s="368">
        <f ca="1">IFERROR(
  IF(
    IF(OR(ISNUMBER(SEARCH("BSTC",AM24)),ISNUMBER(SEARCH("BDTC",AM24)),ISNUMBER(SEARCH("BTTC",AM24))),"CIRCULAR",IF(OR(ISNUMBER(SEARCH("BSCC",AM24)),ISNUMBER(SEARCH("BDCC",AM24)),ISNUMBER(SEARCH("BTCC",AM24))),"CELULAR",""))="CIRCULAR",
    (3/2)*(((AZ24^2/8)*((2*ACOS(1-2*BB24/AZ24))-SIN(2*ACOS(1-2*BB24/AZ24))))/(AZ24*SIN((2*ACOS(1-2*BB24/AZ24))/2))),
    (3/2)*BB24
  ),
  ""
)</f>
        <v>2.0488301873212054</v>
      </c>
      <c r="AJ24" s="368">
        <f t="shared" ca="1" si="46"/>
        <v>0.72473590119500431</v>
      </c>
      <c r="AK24" s="369" t="s">
        <v>367</v>
      </c>
      <c r="AL24" s="370" t="str">
        <f ca="1">IFERROR(INDIRECT("'"&amp;BN24&amp;"'!I45"),"")</f>
        <v>BDCC 3,00 x 3,00m</v>
      </c>
      <c r="AM24" s="373" t="str">
        <f ca="1">IFERROR(INDIRECT("'"&amp;BN24&amp;"'!I41"),"")</f>
        <v>BTCC 3,00 x 3,00m</v>
      </c>
      <c r="AN24" s="371" t="s">
        <v>25</v>
      </c>
      <c r="AO24" s="371" t="s">
        <v>25</v>
      </c>
      <c r="AP24" s="371" t="s">
        <v>373</v>
      </c>
      <c r="AQ24" s="117">
        <f t="shared" ca="1" si="33"/>
        <v>96.532322860226401</v>
      </c>
      <c r="AR24" s="31">
        <f t="shared" ca="1" si="34"/>
        <v>1.2564642576720706</v>
      </c>
      <c r="AS24" s="93">
        <v>1.4999999999999999E-2</v>
      </c>
      <c r="AT24" s="33">
        <f ca="1">IFERROR(IF(IF(OR(ISNUMBER(SEARCH("BSTC",AL24)),ISNUMBER(SEARCH("BDTC",AL24)),ISNUMBER(SEARCH("BTTC",AL24))),"CIRCULAR",IF(OR(ISNUMBER(SEARCH("BSCC",AL24)),ISNUMBER(SEARCH("BDCC",AL24)),ISNUMBER(SEARCH("BTCC",AL24))),"CELULAR",""))="CIRCULAR",_xlfn.LET(_xlpm.qq,(BS24/(IFERROR(IF(OR(ISNUMBER(FIND("BDTC",AL24)),ISNUMBER(FIND("BDCC",AL24))),2,IF(OR(ISNUMBER(FIND("BTTC",AL24)),ISNUMBER(FIND("BTCC",AL24))),3,IF(OR(ISNUMBER(FIND("BSTC",AL24)),ISNUMBER(FIND("BSCC",AL24))),1,""))),"")))*1,_xlpm.dd,(AY24)*1,_xlpm.ss,(X24)*1,_xlpm.nn,(0.015)*1,_xlpm.rr,_xlpm.dd/2,_xlpm.ww,_xlpm.dd-0.000002,_xlpm.zz,(_xlpm.qq*_xlpm.nn/SQRT(_xlpm.ss))^3*_xlpm.rr^2/(_xlpm.dd^2/8)^5,_xlpm.h_1,0.000001+_xlpm.ww/2,_xlpm.u_1,2*ACOS(1-_xlpm.h_1/_xlpm.rr),_xlpm.h_2,_xlpm.h_1+IF((_xlpm.u_1-SIN(_xlpm.u_1))^5&lt;_xlpm.zz*_xlpm.u_1^2,_xlpm.ww,-_xlpm.ww)/4,_xlpm.u_2,2*ACOS(1-_xlpm.h_2/_xlpm.rr),_xlpm.h_3,_xlpm.h_2+IF((_xlpm.u_2-SIN(_xlpm.u_2))^5&lt;_xlpm.zz*_xlpm.u_2^2,_xlpm.ww,-_xlpm.ww)/8,_xlpm.u_3,2*ACOS(1-_xlpm.h_3/_xlpm.rr),_xlpm.h_4,_xlpm.h_3+IF((_xlpm.u_3-SIN(_xlpm.u_3))^5&lt;_xlpm.zz*_xlpm.u_3^2,_xlpm.ww,-_xlpm.ww)/16,_xlpm.u_4,2*ACOS(1-_xlpm.h_4/_xlpm.rr),_xlpm.h_5,_xlpm.h_4+IF((_xlpm.u_4-SIN(_xlpm.u_4))^5&lt;_xlpm.zz*_xlpm.u_4^2,_xlpm.ww,-_xlpm.ww)/32,_xlpm.u_5,2*ACOS(1-_xlpm.h_5/_xlpm.rr),_xlpm.h_6,_xlpm.h_5+IF((_xlpm.u_5-SIN(_xlpm.u_5))^5&lt;_xlpm.zz*_xlpm.u_5^2,_xlpm.ww,-_xlpm.ww)/64,_xlpm.u_6,2*ACOS(1-_xlpm.h_6/_xlpm.rr),_xlpm.h_7,_xlpm.h_6+IF((_xlpm.u_6-SIN(_xlpm.u_6))^5&lt;_xlpm.zz*_xlpm.u_6^2,_xlpm.ww,-_xlpm.ww)/128,_xlpm.u_7,2*ACOS(1-_xlpm.h_7/_xlpm.rr),_xlpm.h_8,_xlpm.h_7+IF((_xlpm.u_7-SIN(_xlpm.u_7))^5&lt;_xlpm.zz*_xlpm.u_7^2,_xlpm.ww,-_xlpm.ww)/256,_xlpm.u_8,2*ACOS(1-_xlpm.h_8/_xlpm.rr),_xlpm.h_9,_xlpm.h_8+IF((_xlpm.u_8-SIN(_xlpm.u_8))^5&lt;_xlpm.zz*_xlpm.u_8^2,_xlpm.ww,-_xlpm.ww)/512,_xlpm.u_9,2*ACOS(1-_xlpm.h_9/_xlpm.rr),_xlpm.h_10,_xlpm.h_9+IF((_xlpm.u_9-SIN(_xlpm.u_9))^5&lt;_xlpm.zz*_xlpm.u_9^2,_xlpm.ww,-_xlpm.ww)/1024,_xlpm.u_10,2*ACOS(1-_xlpm.h_10/_xlpm.rr),_xlpm.h_11,_xlpm.h_10+IF((_xlpm.u_10-SIN(_xlpm.u_10))^5&lt;_xlpm.zz*_xlpm.u_10^2,_xlpm.ww,-_xlpm.ww)/2048,_xlpm.u_11,2*ACOS(1-_xlpm.h_11/_xlpm.rr),_xlpm.h_12,_xlpm.h_11+IF((_xlpm.u_11-SIN(_xlpm.u_11))^5&lt;_xlpm.zz*_xlpm.u_11^2,_xlpm.ww,-_xlpm.ww)/4096,_xlpm.u_12,2*ACOS(1-_xlpm.h_12/_xlpm.rr),_xlpm.h_13,_xlpm.h_12+IF((_xlpm.u_12-SIN(_xlpm.u_12))^5&lt;_xlpm.zz*_xlpm.u_12^2,_xlpm.ww,-_xlpm.ww)/8192,_xlpm.u_13,2*ACOS(1-_xlpm.h_13/_xlpm.rr),_xlpm.h_14,_xlpm.h_13+IF((_xlpm.u_13-SIN(_xlpm.u_13))^5&lt;_xlpm.zz*_xlpm.u_13^2,_xlpm.ww,-_xlpm.ww)/16384,_xlpm.u_14,2*ACOS(1-_xlpm.h_14/_xlpm.rr),_xlpm.h_15,_xlpm.h_14+IF((_xlpm.u_14-SIN(_xlpm.u_14))^5&lt;_xlpm.zz*_xlpm.u_14^2,_xlpm.ww,-_xlpm.ww)/32768,_xlpm.u_15,2*ACOS(1-_xlpm.h_15/_xlpm.rr),_xlpm.h_16,_xlpm.h_15+IF((_xlpm.u_15-SIN(_xlpm.u_15))^5&lt;_xlpm.zz*_xlpm.u_15^2,_xlpm.ww,-_xlpm.ww)/65536,_xlpm.u_16,2*ACOS(1-_xlpm.h_16/_xlpm.rr),_xlpm.h_17,_xlpm.h_16+IF((_xlpm.u_16-SIN(_xlpm.u_16))^5&lt;_xlpm.zz*_xlpm.u_16^2,_xlpm.ww,-_xlpm.ww)/131072,_xlpm.u_17,2*ACOS(1-_xlpm.h_17/_xlpm.rr),_xlpm.h_18,_xlpm.h_17+IF((_xlpm.u_17-SIN(_xlpm.u_17))^5&lt;_xlpm.zz*_xlpm.u_17^2,_xlpm.ww,-_xlpm.ww)/262144,_xlpm.u_18,2*ACOS(1-_xlpm.h_18/_xlpm.rr),_xlpm.h_19,_xlpm.h_18+IF((_xlpm.u_18-SIN(_xlpm.u_18))^5&lt;_xlpm.zz*_xlpm.u_18^2,_xlpm.ww,-_xlpm.ww)/524288,_xlpm.u_19,2*ACOS(1-_xlpm.h_19/_xlpm.rr),_xlpm.h_20,_xlpm.h_19+IF((_xlpm.u_19-SIN(_xlpm.u_19))^5&lt;_xlpm.zz*_xlpm.u_19^2,_xlpm.ww,-_xlpm.ww)/1048576,_xlpm.u_20,2*ACOS(1-_xlpm.h_20/_xlpm.rr),_xlpm.h_21,_xlpm.h_20+IF((_xlpm.u_20-SIN(_xlpm.u_20))^5&lt;_xlpm.zz*_xlpm.u_20^2,_xlpm.ww,-_xlpm.ww)/2097152,_xlpm.u_21,2*ACOS(1-_xlpm.h_21/_xlpm.rr),_xlpm.h_22,_xlpm.h_21+IF((_xlpm.u_21-SIN(_xlpm.u_21))^5&lt;_xlpm.zz*_xlpm.u_21^2,_xlpm.ww,-_xlpm.ww)/4194304,_xlpm.u_22,2*ACOS(1-_xlpm.h_22/_xlpm.rr),_xlpm.h_23,_xlpm.h_22+IF((_xlpm.u_22-SIN(_xlpm.u_22))^5&lt;_xlpm.zz*_xlpm.u_22^2,_xlpm.ww,-_xlpm.ww)/8388608,_xlpm.u_23,2*ACOS(1-_xlpm.h_23/_xlpm.rr),_xlpm.h_24,_xlpm.h_23+IF((_xlpm.u_23-SIN(_xlpm.u_23))^5&lt;_xlpm.zz*_xlpm.u_23^2,_xlpm.ww,-_xlpm.ww)/16777216,_xlpm.u_24,2*ACOS(1-_xlpm.h_24/_xlpm.rr),_xlpm.h_25,_xlpm.h_24+IF((_xlpm.u_24-SIN(_xlpm.u_24))^5&lt;_xlpm.zz*_xlpm.u_24^2,_xlpm.ww,-_xlpm.ww)/33554432,_xlpm.u_25,2*ACOS(1-_xlpm.h_25/_xlpm.rr),_xlpm.h_26,_xlpm.h_25+IF((_xlpm.u_25-SIN(_xlpm.u_25))^5&lt;_xlpm.zz*_xlpm.u_25^2,_xlpm.ww,-_xlpm.ww)/67108864,IF(OR(_xlpm.qq&lt;=0,_xlpm.dd&lt;=0,_xlpm.ss&lt;=0,_xlpm.nn&lt;=0),#VALUE!,IF(_xlpm.h_26&gt;0.000001+_xlpm.ww*(1-1.5/2^26),0.000001+_xlpm.ww,_xlpm.h_26))),_xlfn.LET(_xlpm.ob,AL24,_xlpm.ss,(X24)*1,_xlpm.nn,(0.015)*1,_xlpm.qq,(BS24)*1/IF(OR(ISNUMBER(SEARCH("BSTC",_xlpm.ob)),ISNUMBER(SEARCH("BSCC",_xlpm.ob))),1,IF(OR(ISNUMBER(SEARCH("BDTC",_xlpm.ob)),ISNUMBER(SEARCH("BDCC",_xlpm.ob))),2,IF(OR(ISNUMBER(SEARCH("BTTC",_xlpm.ob)),ISNUMBER(SEARCH("BTCC",_xlpm.ob))),3,#VALUE!))),_xlpm.bb,_xlfn.NUMBERVALUE(SUBSTITUTE(TRIM(MID(_xlpm.ob,SEARCH("cc",_xlpm.ob)+3,SEARCH("x",_xlpm.ob)-SEARCH("cc",_xlpm.ob)-3)),".",","),",","."),_xlpm.hh,_xlfn.NUMBERVALUE(SUBSTITUTE(TRIM(MID(_xlpm.ob,SEARCH("x",_xlpm.ob)+1,SEARCH("m",_xlpm.ob,SEARCH("x",_xlpm.ob))-SEARCH("x",_xlpm.ob)-1)),".",","),",","."),_xlpm.kk,SQRT(_xlpm.ss)/_xlpm.nn,_xlpm.x_0,_xlpm.hh,_xlpm.g_0,_xlpm.kk*_xlpm.bb*_xlpm.x_0*(_xlpm.bb*_xlpm.x_0/(_xlpm.bb+2*_xlpm.x_0))^(2/3),_xlpm.x_1,_xlpm.x_0-(_xlpm.g_0-_xlpm.qq)/(_xlpm.g_0*(5/(3*_xlpm.x_0)-4/(3*(_xlpm.bb+2*_xlpm.x_0)))),_xlpm.g_1,_xlpm.kk*_xlpm.bb*_xlpm.x_1*(_xlpm.bb*_xlpm.x_1/(_xlpm.bb+2*_xlpm.x_1))^(2/3),_xlpm.x_2,_xlpm.x_1-(_xlpm.g_1-_xlpm.qq)/(_xlpm.g_1*(5/(3*_xlpm.x_1)-4/(3*(_xlpm.bb+2*_xlpm.x_1)))),_xlpm.g_2,_xlpm.kk*_xlpm.bb*_xlpm.x_2*(_xlpm.bb*_xlpm.x_2/(_xlpm.bb+2*_xlpm.x_2))^(2/3),_xlpm.x_3,_xlpm.x_2-(_xlpm.g_2-_xlpm.qq)/(_xlpm.g_2*(5/(3*_xlpm.x_2)-4/(3*(_xlpm.bb+2*_xlpm.x_2)))),_xlpm.g_3,_xlpm.kk*_xlpm.bb*_xlpm.x_3*(_xlpm.bb*_xlpm.x_3/(_xlpm.bb+2*_xlpm.x_3))^(2/3),_xlpm.x_4,_xlpm.x_3-(_xlpm.g_3-_xlpm.qq)/(_xlpm.g_3*(5/(3*_xlpm.x_3)-4/(3*(_xlpm.bb+2*_xlpm.x_3)))),_xlpm.g_4,_xlpm.kk*_xlpm.bb*_xlpm.x_4*(_xlpm.bb*_xlpm.x_4/(_xlpm.bb+2*_xlpm.x_4))^(2/3),_xlpm.x_5,_xlpm.x_4-(_xlpm.g_4-_xlpm.qq)/(_xlpm.g_4*(5/(3*_xlpm.x_4)-4/(3*(_xlpm.bb+2*_xlpm.x_4)))),_xlpm.g_5,_xlpm.kk*_xlpm.bb*_xlpm.x_5*(_xlpm.bb*_xlpm.x_5/(_xlpm.bb+2*_xlpm.x_5))^(2/3),_xlpm.x_6,_xlpm.x_5-(_xlpm.g_5-_xlpm.qq)/(_xlpm.g_5*(5/(3*_xlpm.x_5)-4/(3*(_xlpm.bb+2*_xlpm.x_5)))),_xlpm.g_6,_xlpm.kk*_xlpm.bb*_xlpm.x_6*(_xlpm.bb*_xlpm.x_6/(_xlpm.bb+2*_xlpm.x_6))^(2/3),_xlpm.x_7,_xlpm.x_6-(_xlpm.g_6-_xlpm.qq)/(_xlpm.g_6*(5/(3*_xlpm.x_6)-4/(3*(_xlpm.bb+2*_xlpm.x_6)))),_xlpm.g_7,_xlpm.kk*_xlpm.bb*_xlpm.x_7*(_xlpm.bb*_xlpm.x_7/(_xlpm.bb+2*_xlpm.x_7))^(2/3),_xlpm.x_8,_xlpm.x_7-(_xlpm.g_7-_xlpm.qq)/(_xlpm.g_7*(5/(3*_xlpm.x_7)-4/(3*(_xlpm.bb+2*_xlpm.x_7)))),_xlpm.g_8,_xlpm.kk*_xlpm.bb*_xlpm.x_8*(_xlpm.bb*_xlpm.x_8/(_xlpm.bb+2*_xlpm.x_8))^(2/3),_xlpm.x_9,_xlpm.x_8-(_xlpm.g_8-_xlpm.qq)/(_xlpm.g_8*(5/(3*_xlpm.x_8)-4/(3*(_xlpm.bb+2*_xlpm.x_8)))),_xlpm.g_9,_xlpm.kk*_xlpm.bb*_xlpm.x_9*(_xlpm.bb*_xlpm.x_9/(_xlpm.bb+2*_xlpm.x_9))^(2/3),_xlpm.x_10,_xlpm.x_9-(_xlpm.g_9-_xlpm.qq)/(_xlpm.g_9*(5/(3*_xlpm.x_9)-4/(3*(_xlpm.bb+2*_xlpm.x_9)))),MIN(_xlpm.hh,_xlpm.x_10))),"")</f>
        <v>2.1742077035850129</v>
      </c>
      <c r="AU24" s="33">
        <f t="shared" si="35"/>
        <v>0.32228868187547016</v>
      </c>
      <c r="AW24" s="33" t="str">
        <f t="shared" ca="1" si="36"/>
        <v>BTCC</v>
      </c>
      <c r="AY24" s="33">
        <f t="shared" ca="1" si="37"/>
        <v>3</v>
      </c>
      <c r="AZ24" s="33">
        <f t="shared" ca="1" si="38"/>
        <v>3</v>
      </c>
      <c r="BA24" s="33" t="str">
        <f ca="1">IFERROR(INDEX(Tabela_DEB!$A$2:$A$12,MATCH(LEFT(AM24,FIND(" ",AM24)-1)&amp;" "&amp;TEXT(VALUE(MID(AM24,FIND("=",AM24)+1,FIND("m",AM24)-FIND("=",AM24)-1))*100,"0"),Tabela_DEB!$E$2:$E$12,0)),"")</f>
        <v/>
      </c>
      <c r="BB24" s="33">
        <f ca="1">IFERROR(IF(IF(OR(ISNUMBER(SEARCH("BSTC",AM24)),ISNUMBER(SEARCH("BDTC",AM24)),ISNUMBER(SEARCH("BTTC",AM24))),"CIRCULAR",IF(OR(ISNUMBER(SEARCH("BSCC",AM24)),ISNUMBER(SEARCH("BDCC",AM24)),ISNUMBER(SEARCH("BTCC",AM24))),"CELULAR",""))="CIRCULAR",_xlfn.LET(_xlpm.qq,(BQ24/BC24)*1,_xlpm.dd,(AZ24)*1,_xlpm.ww,_xlpm.dd-0.0002,_xlpm.f_0,_xlpm.qq^2*_xlpm.dd*SIN(ACOS(1-2*0.0001/_xlpm.dd))-9.81*(_xlpm.dd^2/8*(2*ACOS(1-2*0.0001/_xlpm.dd)-SIN(2*ACOS(1-2*0.0001/_xlpm.dd))))^3,_xlpm.y_1,0.0001+_xlpm.ww/2,_xlpm.f_1,_xlpm.qq^2*_xlpm.dd*SIN(ACOS(1-2*_xlpm.y_1/_xlpm.dd))-9.81*(_xlpm.dd^2/8*(2*ACOS(1-2*_xlpm.y_1/_xlpm.dd)-SIN(2*ACOS(1-2*_xlpm.y_1/_xlpm.dd))))^3,_xlpm.y_2,_xlpm.y_1+IF(ABS(_xlpm.f_1)&lt;0.000001,0,IF(_xlpm.f_0*_xlpm.f_1&lt;0,-_xlpm.ww,_xlpm.ww))/4,_xlpm.f_2,_xlpm.qq^2*_xlpm.dd*SIN(ACOS(1-2*_xlpm.y_2/_xlpm.dd))-9.81*(_xlpm.dd^2/8*(2*ACOS(1-2*_xlpm.y_2/_xlpm.dd)-SIN(2*ACOS(1-2*_xlpm.y_2/_xlpm.dd))))^3,_xlpm.y_3,_xlpm.y_2+IF(ABS(_xlpm.f_2)&lt;0.000001,0,IF(_xlpm.f_0*_xlpm.f_2&lt;0,-_xlpm.ww,_xlpm.ww))/8,_xlpm.f_3,_xlpm.qq^2*_xlpm.dd*SIN(ACOS(1-2*_xlpm.y_3/_xlpm.dd))-9.81*(_xlpm.dd^2/8*(2*ACOS(1-2*_xlpm.y_3/_xlpm.dd)-SIN(2*ACOS(1-2*_xlpm.y_3/_xlpm.dd))))^3,_xlpm.y_4,_xlpm.y_3+IF(ABS(_xlpm.f_3)&lt;0.000001,0,IF(_xlpm.f_0*_xlpm.f_3&lt;0,-_xlpm.ww,_xlpm.ww))/16,_xlpm.f_4,_xlpm.qq^2*_xlpm.dd*SIN(ACOS(1-2*_xlpm.y_4/_xlpm.dd))-9.81*(_xlpm.dd^2/8*(2*ACOS(1-2*_xlpm.y_4/_xlpm.dd)-SIN(2*ACOS(1-2*_xlpm.y_4/_xlpm.dd))))^3,_xlpm.y_5,_xlpm.y_4+IF(ABS(_xlpm.f_4)&lt;0.000001,0,IF(_xlpm.f_0*_xlpm.f_4&lt;0,-_xlpm.ww,_xlpm.ww))/32,_xlpm.f_5,_xlpm.qq^2*_xlpm.dd*SIN(ACOS(1-2*_xlpm.y_5/_xlpm.dd))-9.81*(_xlpm.dd^2/8*(2*ACOS(1-2*_xlpm.y_5/_xlpm.dd)-SIN(2*ACOS(1-2*_xlpm.y_5/_xlpm.dd))))^3,_xlpm.y_6,_xlpm.y_5+IF(ABS(_xlpm.f_5)&lt;0.000001,0,IF(_xlpm.f_0*_xlpm.f_5&lt;0,-_xlpm.ww,_xlpm.ww))/64,_xlpm.f_6,_xlpm.qq^2*_xlpm.dd*SIN(ACOS(1-2*_xlpm.y_6/_xlpm.dd))-9.81*(_xlpm.dd^2/8*(2*ACOS(1-2*_xlpm.y_6/_xlpm.dd)-SIN(2*ACOS(1-2*_xlpm.y_6/_xlpm.dd))))^3,_xlpm.y_7,_xlpm.y_6+IF(ABS(_xlpm.f_6)&lt;0.000001,0,IF(_xlpm.f_0*_xlpm.f_6&lt;0,-_xlpm.ww,_xlpm.ww))/128,_xlpm.f_7,_xlpm.qq^2*_xlpm.dd*SIN(ACOS(1-2*_xlpm.y_7/_xlpm.dd))-9.81*(_xlpm.dd^2/8*(2*ACOS(1-2*_xlpm.y_7/_xlpm.dd)-SIN(2*ACOS(1-2*_xlpm.y_7/_xlpm.dd))))^3,_xlpm.y_8,_xlpm.y_7+IF(ABS(_xlpm.f_7)&lt;0.000001,0,IF(_xlpm.f_0*_xlpm.f_7&lt;0,-_xlpm.ww,_xlpm.ww))/256,_xlpm.f_8,_xlpm.qq^2*_xlpm.dd*SIN(ACOS(1-2*_xlpm.y_8/_xlpm.dd))-9.81*(_xlpm.dd^2/8*(2*ACOS(1-2*_xlpm.y_8/_xlpm.dd)-SIN(2*ACOS(1-2*_xlpm.y_8/_xlpm.dd))))^3,_xlpm.y_9,_xlpm.y_8+IF(ABS(_xlpm.f_8)&lt;0.000001,0,IF(_xlpm.f_0*_xlpm.f_8&lt;0,-_xlpm.ww,_xlpm.ww))/512,_xlpm.f_9,_xlpm.qq^2*_xlpm.dd*SIN(ACOS(1-2*_xlpm.y_9/_xlpm.dd))-9.81*(_xlpm.dd^2/8*(2*ACOS(1-2*_xlpm.y_9/_xlpm.dd)-SIN(2*ACOS(1-2*_xlpm.y_9/_xlpm.dd))))^3,_xlpm.y_10,_xlpm.y_9+IF(ABS(_xlpm.f_9)&lt;0.000001,0,IF(_xlpm.f_0*_xlpm.f_9&lt;0,-_xlpm.ww,_xlpm.ww))/1024,_xlpm.f_10,_xlpm.qq^2*_xlpm.dd*SIN(ACOS(1-2*_xlpm.y_10/_xlpm.dd))-9.81*(_xlpm.dd^2/8*(2*ACOS(1-2*_xlpm.y_10/_xlpm.dd)-SIN(2*ACOS(1-2*_xlpm.y_10/_xlpm.dd))))^3,_xlpm.y_11,_xlpm.y_10+IF(ABS(_xlpm.f_10)&lt;0.000001,0,IF(_xlpm.f_0*_xlpm.f_10&lt;0,-_xlpm.ww,_xlpm.ww))/2048,_xlpm.f_11,_xlpm.qq^2*_xlpm.dd*SIN(ACOS(1-2*_xlpm.y_11/_xlpm.dd))-9.81*(_xlpm.dd^2/8*(2*ACOS(1-2*_xlpm.y_11/_xlpm.dd)-SIN(2*ACOS(1-2*_xlpm.y_11/_xlpm.dd))))^3,_xlpm.y_12,_xlpm.y_11+IF(ABS(_xlpm.f_11)&lt;0.000001,0,IF(_xlpm.f_0*_xlpm.f_11&lt;0,-_xlpm.ww,_xlpm.ww))/4096,_xlpm.f_12,_xlpm.qq^2*_xlpm.dd*SIN(ACOS(1-2*_xlpm.y_12/_xlpm.dd))-9.81*(_xlpm.dd^2/8*(2*ACOS(1-2*_xlpm.y_12/_xlpm.dd)-SIN(2*ACOS(1-2*_xlpm.y_12/_xlpm.dd))))^3,_xlpm.y_13,_xlpm.y_12+IF(ABS(_xlpm.f_12)&lt;0.000001,0,IF(_xlpm.f_0*_xlpm.f_12&lt;0,-_xlpm.ww,_xlpm.ww))/8192,_xlpm.f_13,_xlpm.qq^2*_xlpm.dd*SIN(ACOS(1-2*_xlpm.y_13/_xlpm.dd))-9.81*(_xlpm.dd^2/8*(2*ACOS(1-2*_xlpm.y_13/_xlpm.dd)-SIN(2*ACOS(1-2*_xlpm.y_13/_xlpm.dd))))^3,_xlpm.y_14,_xlpm.y_13+IF(ABS(_xlpm.f_13)&lt;0.000001,0,IF(_xlpm.f_0*_xlpm.f_13&lt;0,-_xlpm.ww,_xlpm.ww))/16384,_xlpm.f_14,_xlpm.qq^2*_xlpm.dd*SIN(ACOS(1-2*_xlpm.y_14/_xlpm.dd))-9.81*(_xlpm.dd^2/8*(2*ACOS(1-2*_xlpm.y_14/_xlpm.dd)-SIN(2*ACOS(1-2*_xlpm.y_14/_xlpm.dd))))^3,_xlpm.y_15,_xlpm.y_14+IF(ABS(_xlpm.f_14)&lt;0.000001,0,IF(_xlpm.f_0*_xlpm.f_14&lt;0,-_xlpm.ww,_xlpm.ww))/32768,_xlpm.f_15,_xlpm.qq^2*_xlpm.dd*SIN(ACOS(1-2*_xlpm.y_15/_xlpm.dd))-9.81*(_xlpm.dd^2/8*(2*ACOS(1-2*_xlpm.y_15/_xlpm.dd)-SIN(2*ACOS(1-2*_xlpm.y_15/_xlpm.dd))))^3,_xlpm.y_16,_xlpm.y_15+IF(ABS(_xlpm.f_15)&lt;0.000001,0,IF(_xlpm.f_0*_xlpm.f_15&lt;0,-_xlpm.ww,_xlpm.ww))/65536,_xlpm.f_16,_xlpm.qq^2*_xlpm.dd*SIN(ACOS(1-2*_xlpm.y_16/_xlpm.dd))-9.81*(_xlpm.dd^2/8*(2*ACOS(1-2*_xlpm.y_16/_xlpm.dd)-SIN(2*ACOS(1-2*_xlpm.y_16/_xlpm.dd))))^3,_xlpm.y_17,_xlpm.y_16+IF(ABS(_xlpm.f_16)&lt;0.000001,0,IF(_xlpm.f_0*_xlpm.f_16&lt;0,-_xlpm.ww,_xlpm.ww))/131072,_xlpm.f_17,_xlpm.qq^2*_xlpm.dd*SIN(ACOS(1-2*_xlpm.y_17/_xlpm.dd))-9.81*(_xlpm.dd^2/8*(2*ACOS(1-2*_xlpm.y_17/_xlpm.dd)-SIN(2*ACOS(1-2*_xlpm.y_17/_xlpm.dd))))^3,_xlpm.y_18,_xlpm.y_17+IF(ABS(_xlpm.f_17)&lt;0.000001,0,IF(_xlpm.f_0*_xlpm.f_17&lt;0,-_xlpm.ww,_xlpm.ww))/262144,_xlpm.f_18,_xlpm.qq^2*_xlpm.dd*SIN(ACOS(1-2*_xlpm.y_18/_xlpm.dd))-9.81*(_xlpm.dd^2/8*(2*ACOS(1-2*_xlpm.y_18/_xlpm.dd)-SIN(2*ACOS(1-2*_xlpm.y_18/_xlpm.dd))))^3,_xlpm.y_19,_xlpm.y_18+IF(ABS(_xlpm.f_18)&lt;0.000001,0,IF(_xlpm.f_0*_xlpm.f_18&lt;0,-_xlpm.ww,_xlpm.ww))/524288,_xlpm.f_19,_xlpm.qq^2*_xlpm.dd*SIN(ACOS(1-2*_xlpm.y_19/_xlpm.dd))-9.81*(_xlpm.dd^2/8*(2*ACOS(1-2*_xlpm.y_19/_xlpm.dd)-SIN(2*ACOS(1-2*_xlpm.y_19/_xlpm.dd))))^3,_xlpm.y_20,_xlpm.y_19+IF(ABS(_xlpm.f_19)&lt;0.000001,0,IF(_xlpm.f_0*_xlpm.f_19&lt;0,-_xlpm.ww,_xlpm.ww))/1048576,_xlpm.f_20,_xlpm.qq^2*_xlpm.dd*SIN(ACOS(1-2*_xlpm.y_20/_xlpm.dd))-9.81*(_xlpm.dd^2/8*(2*ACOS(1-2*_xlpm.y_20/_xlpm.dd)-SIN(2*ACOS(1-2*_xlpm.y_20/_xlpm.dd))))^3,_xlpm.y_21,_xlpm.y_20+IF(ABS(_xlpm.f_20)&lt;0.000001,0,IF(_xlpm.f_0*_xlpm.f_20&lt;0,-_xlpm.ww,_xlpm.ww))/2097152,_xlpm.f_21,_xlpm.qq^2*_xlpm.dd*SIN(ACOS(1-2*_xlpm.y_21/_xlpm.dd))-9.81*(_xlpm.dd^2/8*(2*ACOS(1-2*_xlpm.y_21/_xlpm.dd)-SIN(2*ACOS(1-2*_xlpm.y_21/_xlpm.dd))))^3,_xlpm.y_22,_xlpm.y_21+IF(ABS(_xlpm.f_21)&lt;0.000001,0,IF(_xlpm.f_0*_xlpm.f_21&lt;0,-_xlpm.ww,_xlpm.ww))/4194304,_xlpm.f_22,_xlpm.qq^2*_xlpm.dd*SIN(ACOS(1-2*_xlpm.y_22/_xlpm.dd))-9.81*(_xlpm.dd^2/8*(2*ACOS(1-2*_xlpm.y_22/_xlpm.dd)-SIN(2*ACOS(1-2*_xlpm.y_22/_xlpm.dd))))^3,_xlpm.y_23,_xlpm.y_22+IF(ABS(_xlpm.f_22)&lt;0.000001,0,IF(_xlpm.f_0*_xlpm.f_22&lt;0,-_xlpm.ww,_xlpm.ww))/8388608,_xlpm.f_23,_xlpm.qq^2*_xlpm.dd*SIN(ACOS(1-2*_xlpm.y_23/_xlpm.dd))-9.81*(_xlpm.dd^2/8*(2*ACOS(1-2*_xlpm.y_23/_xlpm.dd)-SIN(2*ACOS(1-2*_xlpm.y_23/_xlpm.dd))))^3,_xlpm.y_24,_xlpm.y_23+IF(ABS(_xlpm.f_23)&lt;0.000001,0,IF(_xlpm.f_0*_xlpm.f_23&lt;0,-_xlpm.ww,_xlpm.ww))/16777216,_xlpm.f_24,_xlpm.qq^2*_xlpm.dd*SIN(ACOS(1-2*_xlpm.y_24/_xlpm.dd))-9.81*(_xlpm.dd^2/8*(2*ACOS(1-2*_xlpm.y_24/_xlpm.dd)-SIN(2*ACOS(1-2*_xlpm.y_24/_xlpm.dd))))^3,_xlpm.y_25,_xlpm.y_24+IF(ABS(_xlpm.f_24)&lt;0.000001,0,IF(_xlpm.f_0*_xlpm.f_24&lt;0,-_xlpm.ww,_xlpm.ww))/33554432,_xlpm.f_25,_xlpm.qq^2*_xlpm.dd*SIN(ACOS(1-2*_xlpm.y_25/_xlpm.dd))-9.81*(_xlpm.dd^2/8*(2*ACOS(1-2*_xlpm.y_25/_xlpm.dd)-SIN(2*ACOS(1-2*_xlpm.y_25/_xlpm.dd))))^3,_xlpm.y_26,_xlpm.y_25+IF(ABS(_xlpm.f_25)&lt;0.000001,0,IF(_xlpm.f_0*_xlpm.f_25&lt;0,-_xlpm.ww,_xlpm.ww))/67108864,_xlpm.y_26),((BQ24/BC24/_xlfn.NUMBERVALUE(SUBSTITUTE(TRIM(MID(AM24,SEARCH("cc",AM24)+3,SEARCH("x",AM24)-SEARCH("cc",AM24)-3)),".",","),",","."))^2/9.80665)^(1/3)),"")</f>
        <v>1.3658867915474702</v>
      </c>
      <c r="BC24" s="117">
        <f t="shared" ca="1" si="47"/>
        <v>3</v>
      </c>
      <c r="BE24" s="174">
        <f>'Cadastro das Obras'!U8</f>
        <v>18</v>
      </c>
      <c r="BF24" s="174">
        <f ca="1">'Cadastro das Obras'!V8</f>
        <v>54</v>
      </c>
      <c r="BH24" s="33" t="str">
        <f>'Cadastro das Obras'!T8</f>
        <v>0º</v>
      </c>
      <c r="BJ24" s="117">
        <f>'Cadastro das Obras'!W8</f>
        <v>1.05</v>
      </c>
      <c r="BN24" s="33" t="s">
        <v>352</v>
      </c>
      <c r="BP24" s="33">
        <f ca="1">IFERROR(IF(ISNUMBER(FIND("25 anos",INDIRECT("'"&amp;BN24&amp;"'!"&amp;IF(ISNUMBER(FIND("HUT",BN24)),"U39","Q13")))),25,15),15)</f>
        <v>15</v>
      </c>
      <c r="BQ24" s="33">
        <f ca="1">CHOOSE(MATCH(BP24,{15,25,50,100},0),S24,T24,U24,V24)</f>
        <v>44.990923236834263</v>
      </c>
      <c r="BR24" s="33">
        <f ca="1">IFERROR(IF(ISNUMBER(FIND("50 anos",INDIRECT("'"&amp;#REF!&amp;"'!"&amp;IF(ISNUMBER(FIND("HUT",#REF!)),"U40","Q14")))),50,25),25)</f>
        <v>25</v>
      </c>
      <c r="BS24" s="33">
        <f ca="1">CHOOSE(MATCH(BR24,{15,25,50,100},0),S24,T24,U24,V24)</f>
        <v>56.797830531936128</v>
      </c>
      <c r="BU24" s="33">
        <f t="shared" ca="1" si="49"/>
        <v>0.54314130887785739</v>
      </c>
      <c r="BV24" s="33" t="str">
        <f t="shared" ca="1" si="39"/>
        <v>SUBCRÍTICO</v>
      </c>
      <c r="BW24" s="33" t="str">
        <f t="shared" ca="1" si="50"/>
        <v>SUFICIENTE</v>
      </c>
      <c r="BY24" s="33">
        <f t="shared" ca="1" si="51"/>
        <v>1.3365031678005579</v>
      </c>
      <c r="BZ24" s="33" t="str">
        <f t="shared" ca="1" si="52"/>
        <v>Celular</v>
      </c>
      <c r="CA24" s="115">
        <f t="shared" ca="1" si="53"/>
        <v>14.996974412278087</v>
      </c>
      <c r="CB24" s="353" t="str">
        <f ca="1">IF($AW24="","",IF($BZ24="Tubular",IF($CO24=0,0.01,IF($CO24&gt;=93,1,INDEX('Tab18'!$A$5:$A$97,$CO24)+($CN24-INDEX('Tab18'!$E$5:$E$97,$CO24))*(INDEX('Tab18'!$A$5:$A$97,$CO24+1)-INDEX('Tab18'!$A$5:$A$97,$CO24))/(INDEX('Tab18'!$E$5:$E$97,$CO24+1)-INDEX('Tab18'!$E$5:$E$97,$CO24)))),"-"))</f>
        <v>-</v>
      </c>
      <c r="CC24" s="33">
        <f t="shared" ca="1" si="54"/>
        <v>1.035841225632482</v>
      </c>
      <c r="CD24" s="33">
        <f t="shared" ref="CD24:CM24" ca="1" si="60">IF($AW24="","",IF($BZ24="Celular",$CN24^0.6*($AZ24+2*CC24)^0.4/$AZ24,"-"))</f>
        <v>1.2779254262143114</v>
      </c>
      <c r="CE24" s="33">
        <f t="shared" ca="1" si="60"/>
        <v>1.3253937585577529</v>
      </c>
      <c r="CF24" s="33">
        <f t="shared" ca="1" si="60"/>
        <v>1.3344069048618297</v>
      </c>
      <c r="CG24" s="33">
        <f t="shared" ca="1" si="60"/>
        <v>1.3361080077902094</v>
      </c>
      <c r="CH24" s="33">
        <f t="shared" ca="1" si="60"/>
        <v>1.3364287024860977</v>
      </c>
      <c r="CI24" s="33">
        <f t="shared" ca="1" si="60"/>
        <v>1.3364891474419662</v>
      </c>
      <c r="CJ24" s="33">
        <f t="shared" ca="1" si="60"/>
        <v>1.3365005397270622</v>
      </c>
      <c r="CK24" s="33">
        <f t="shared" ca="1" si="60"/>
        <v>1.3365026868569883</v>
      </c>
      <c r="CL24" s="33">
        <f t="shared" ca="1" si="60"/>
        <v>1.3365030915308775</v>
      </c>
      <c r="CM24" s="33">
        <f t="shared" ca="1" si="60"/>
        <v>1.3365031678005579</v>
      </c>
      <c r="CN24" s="352">
        <f t="shared" ca="1" si="56"/>
        <v>3.1813386912603292</v>
      </c>
      <c r="CO24" s="174" t="str">
        <f ca="1">IF($AW24="","",IF($BZ24="Tubular",IFERROR(MATCH($CN24,'Tab18'!$E$5:$E$97,1),0),"-"))</f>
        <v>-</v>
      </c>
      <c r="CP24" s="33">
        <f ca="1">IF($AW24="","",IF($BZ24="Tubular",IF($CB24&gt;=1,'Tab18'!$D$104,INDEX('Tab18'!$D$5:$D$104,MATCH($CB24,'Tab18'!$A$5:$A$104,1))+($CB24-INDEX('Tab18'!$A$5:$A$104,MATCH($CB24,'Tab18'!$A$5:$A$104,1)))*(INDEX('Tab18'!$D$5:$D$104,MATCH($CB24,'Tab18'!$A$5:$A$104,1)+1)-INDEX('Tab18'!$D$5:$D$104,MATCH($CB24,'Tab18'!$A$5:$A$104,1)))/(INDEX('Tab18'!$A$5:$A$104,MATCH($CB24,'Tab18'!$A$5:$A$104,1)+1)-INDEX('Tab18'!$A$5:$A$104,MATCH($CB24,'Tab18'!$A$5:$A$104,1)))),($AZ24*$BY24/($AZ24+2*$BY24))^(2/3)))</f>
        <v>0.7934483336511331</v>
      </c>
    </row>
    <row r="25" spans="2:94" s="33" customFormat="1" ht="81.75" hidden="1" customHeight="1">
      <c r="B25" s="362" t="str" cm="1">
        <f t="array" aca="1" ref="B25" ca="1">IFERROR(INDIRECT("'"&amp;BN25&amp;"'!F10"),"")</f>
        <v>BC07</v>
      </c>
      <c r="C25" s="362" t="s">
        <v>242</v>
      </c>
      <c r="D25" s="363" t="str">
        <f ca="1">IFERROR(INDIRECT("'"&amp;BN25&amp;"'!E3"),"")</f>
        <v>496</v>
      </c>
      <c r="E25" s="363" t="str">
        <f ca="1">IFERROR(INDIRECT("'"&amp;BN25&amp;"'!F3"),"")</f>
        <v>+</v>
      </c>
      <c r="F25" s="363">
        <f ca="1">IFERROR(INDIRECT("'"&amp;BN25&amp;"'!G3"),"")</f>
        <v>14.93</v>
      </c>
      <c r="G25" s="364"/>
      <c r="H25" s="365">
        <f ca="1">IFERROR(INDIRECT("'"&amp;BN25&amp;"'!E6"),"")</f>
        <v>7.6303087891945394</v>
      </c>
      <c r="I25" s="365">
        <f ca="1">IFERROR(INDIRECT("'"&amp;BN25&amp;"'!E7"),"")</f>
        <v>5.0370615192364543</v>
      </c>
      <c r="J25" s="365">
        <f t="shared" ca="1" si="30"/>
        <v>424</v>
      </c>
      <c r="K25" s="365">
        <f ca="1">IFERROR(INDIRECT("'"&amp;BN25&amp;"'!E9"),"")</f>
        <v>3.6580516944386825</v>
      </c>
      <c r="L25" s="365">
        <f ca="1">IFERROR(INDIRECT("'"&amp;BN25&amp;"'!O9"),"")</f>
        <v>1.2435902551390159</v>
      </c>
      <c r="M25" s="365">
        <f ca="1">IFERROR(INDIRECT("'"&amp;BN25&amp;"'!O8"),"")</f>
        <v>0.35</v>
      </c>
      <c r="N25" s="366" t="str">
        <f t="shared" ca="1" si="41"/>
        <v>RAC MOD</v>
      </c>
      <c r="O25" s="365">
        <f ca="1">IFERROR(INDIRECT("'"&amp;BN25&amp;"'!n14"),"")</f>
        <v>1.1881328952104806</v>
      </c>
      <c r="P25" s="365">
        <f ca="1">IFERROR(INDIRECT("'"&amp;BN25&amp;"'!n15"),"")</f>
        <v>1.3096134857927384</v>
      </c>
      <c r="Q25" s="365">
        <f ca="1">IFERROR(INDIRECT("'"&amp;BN25&amp;"'!N16"),"")</f>
        <v>1.4680350518515883</v>
      </c>
      <c r="R25" s="365">
        <f ca="1">IFERROR(INDIRECT("'"&amp;BN25&amp;"'!N17"),"")</f>
        <v>1.6223292645289724</v>
      </c>
      <c r="S25" s="365">
        <f ca="1">IFERROR(INDIRECT("'"&amp;BN25&amp;"'!M20"),"")</f>
        <v>30.652059305588189</v>
      </c>
      <c r="T25" s="365">
        <f ca="1">IFERROR(INDIRECT("'"&amp;BN25&amp;"'!M21"),"")</f>
        <v>33.786077631329086</v>
      </c>
      <c r="U25" s="365">
        <f ca="1">IFERROR(INDIRECT("'"&amp;BN25&amp;"'!M22"),"")</f>
        <v>37.873118111139881</v>
      </c>
      <c r="V25" s="365">
        <f ca="1">IFERROR(INDIRECT("'"&amp;BN25&amp;"'!M23"),"")</f>
        <v>41.853679020244556</v>
      </c>
      <c r="W25" s="365">
        <f t="shared" ca="1" si="42"/>
        <v>3.5999999999999996</v>
      </c>
      <c r="X25" s="367">
        <f>'Cadastro das Obras'!Q9</f>
        <v>5.0216763005783965E-3</v>
      </c>
      <c r="Y25" s="368">
        <f t="shared" ca="1" si="31"/>
        <v>7.04412777565034</v>
      </c>
      <c r="Z25" s="365">
        <f ca="1">_xlfn.LET(_xlpm.aa,(Y25)*1,_xlpm.dd,(AY25)*1,_xlpm.ww,2*PI()-0.000002,_xlpm.t_1,0.000001+_xlpm.ww/2,_xlpm.t_2,_xlpm.t_1+IF(_xlpm.dd^2/8*(_xlpm.t_1-SIN(_xlpm.t_1))&lt;_xlpm.aa,_xlpm.ww,-_xlpm.ww)/4,_xlpm.t_3,_xlpm.t_2+IF(_xlpm.dd^2/8*(_xlpm.t_2-SIN(_xlpm.t_2))&lt;_xlpm.aa,_xlpm.ww,-_xlpm.ww)/8,_xlpm.t_4,_xlpm.t_3+IF(_xlpm.dd^2/8*(_xlpm.t_3-SIN(_xlpm.t_3))&lt;_xlpm.aa,_xlpm.ww,-_xlpm.ww)/16,_xlpm.t_5,_xlpm.t_4+IF(_xlpm.dd^2/8*(_xlpm.t_4-SIN(_xlpm.t_4))&lt;_xlpm.aa,_xlpm.ww,-_xlpm.ww)/32,_xlpm.t_6,_xlpm.t_5+IF(_xlpm.dd^2/8*(_xlpm.t_5-SIN(_xlpm.t_5))&lt;_xlpm.aa,_xlpm.ww,-_xlpm.ww)/64,_xlpm.t_7,_xlpm.t_6+IF(_xlpm.dd^2/8*(_xlpm.t_6-SIN(_xlpm.t_6))&lt;_xlpm.aa,_xlpm.ww,-_xlpm.ww)/128,_xlpm.t_8,_xlpm.t_7+IF(_xlpm.dd^2/8*(_xlpm.t_7-SIN(_xlpm.t_7))&lt;_xlpm.aa,_xlpm.ww,-_xlpm.ww)/256,_xlpm.t_9,_xlpm.t_8+IF(_xlpm.dd^2/8*(_xlpm.t_8-SIN(_xlpm.t_8))&lt;_xlpm.aa,_xlpm.ww,-_xlpm.ww)/512,_xlpm.t_10,_xlpm.t_9+IF(_xlpm.dd^2/8*(_xlpm.t_9-SIN(_xlpm.t_9))&lt;_xlpm.aa,_xlpm.ww,-_xlpm.ww)/1024,_xlpm.t_11,_xlpm.t_10+IF(_xlpm.dd^2/8*(_xlpm.t_10-SIN(_xlpm.t_10))&lt;_xlpm.aa,_xlpm.ww,-_xlpm.ww)/2048,_xlpm.t_12,_xlpm.t_11+IF(_xlpm.dd^2/8*(_xlpm.t_11-SIN(_xlpm.t_11))&lt;_xlpm.aa,_xlpm.ww,-_xlpm.ww)/4096,_xlpm.t_13,_xlpm.t_12+IF(_xlpm.dd^2/8*(_xlpm.t_12-SIN(_xlpm.t_12))&lt;_xlpm.aa,_xlpm.ww,-_xlpm.ww)/8192,_xlpm.t_14,_xlpm.t_13+IF(_xlpm.dd^2/8*(_xlpm.t_13-SIN(_xlpm.t_13))&lt;_xlpm.aa,_xlpm.ww,-_xlpm.ww)/16384,_xlpm.t_15,_xlpm.t_14+IF(_xlpm.dd^2/8*(_xlpm.t_14-SIN(_xlpm.t_14))&lt;_xlpm.aa,_xlpm.ww,-_xlpm.ww)/32768,_xlpm.t_16,_xlpm.t_15+IF(_xlpm.dd^2/8*(_xlpm.t_15-SIN(_xlpm.t_15))&lt;_xlpm.aa,_xlpm.ww,-_xlpm.ww)/65536,_xlpm.t_17,_xlpm.t_16+IF(_xlpm.dd^2/8*(_xlpm.t_16-SIN(_xlpm.t_16))&lt;_xlpm.aa,_xlpm.ww,-_xlpm.ww)/131072,_xlpm.t_18,_xlpm.t_17+IF(_xlpm.dd^2/8*(_xlpm.t_17-SIN(_xlpm.t_17))&lt;_xlpm.aa,_xlpm.ww,-_xlpm.ww)/262144,_xlpm.t_19,_xlpm.t_18+IF(_xlpm.dd^2/8*(_xlpm.t_18-SIN(_xlpm.t_18))&lt;_xlpm.aa,_xlpm.ww,-_xlpm.ww)/524288,_xlpm.t_20,_xlpm.t_19+IF(_xlpm.dd^2/8*(_xlpm.t_19-SIN(_xlpm.t_19))&lt;_xlpm.aa,_xlpm.ww,-_xlpm.ww)/1048576,_xlpm.t_21,_xlpm.t_20+IF(_xlpm.dd^2/8*(_xlpm.t_20-SIN(_xlpm.t_20))&lt;_xlpm.aa,_xlpm.ww,-_xlpm.ww)/2097152,_xlpm.t_22,_xlpm.t_21+IF(_xlpm.dd^2/8*(_xlpm.t_21-SIN(_xlpm.t_21))&lt;_xlpm.aa,_xlpm.ww,-_xlpm.ww)/4194304,_xlpm.t_23,_xlpm.t_22+IF(_xlpm.dd^2/8*(_xlpm.t_22-SIN(_xlpm.t_22))&lt;_xlpm.aa,_xlpm.ww,-_xlpm.ww)/8388608,_xlpm.t_24,_xlpm.t_23+IF(_xlpm.dd^2/8*(_xlpm.t_23-SIN(_xlpm.t_23))&lt;_xlpm.aa,_xlpm.ww,-_xlpm.ww)/16777216,_xlpm.t_25,_xlpm.t_24+IF(_xlpm.dd^2/8*(_xlpm.t_24-SIN(_xlpm.t_24))&lt;_xlpm.aa,_xlpm.ww,-_xlpm.ww)/33554432,_xlpm.t_26,_xlpm.t_25+IF(_xlpm.dd^2/8*(_xlpm.t_25-SIN(_xlpm.t_25))&lt;_xlpm.aa,_xlpm.ww,-_xlpm.ww)/67108864,IF(OR(_xlpm.aa&lt;=0,_xlpm.dd&lt;=0),#VALUE!,_xlpm.dd/2*IF(_xlpm.t_26&gt;0.000001+_xlpm.ww*(1-1.5/2^26),0.000001+_xlpm.ww,_xlpm.t_26)))</f>
        <v>8.6607735185141195</v>
      </c>
      <c r="AA25" s="365">
        <v>0.35799999999999998</v>
      </c>
      <c r="AB25" s="365">
        <v>1.5009999999999999</v>
      </c>
      <c r="AC25" s="365">
        <f t="shared" ca="1" si="32"/>
        <v>0.38919032021075478</v>
      </c>
      <c r="AD25" s="365">
        <f t="shared" si="43"/>
        <v>0.23850766155896069</v>
      </c>
      <c r="AE25" s="368">
        <f ca="1">IFERROR(IF(IF(OR(ISNUMBER(SEARCH("BSTC",AM25)),ISNUMBER(SEARCH("BDTC",AM25)),ISNUMBER(SEARCH("BTTC",AM25))),"CIRCULAR",IF(OR(ISNUMBER(SEARCH("BSCC",AM25)),ISNUMBER(SEARCH("BDCC",AM25)),ISNUMBER(SEARCH("BTCC",AM25))),"CELULAR",""))="CIRCULAR",AG25/SQRT(9.80665*(AA25/(AZ25*SIN((2*ACOS(1-2*AH25/AZ25))/2)))),AG25/SQRT(9.80665*AH25)),"")</f>
        <v>1.1415112815145267</v>
      </c>
      <c r="AF25" s="365" t="str">
        <f t="shared" ca="1" si="44"/>
        <v>Supercrítico</v>
      </c>
      <c r="AG25" s="368">
        <f t="shared" ca="1" si="45"/>
        <v>3.8626218082355401</v>
      </c>
      <c r="AH25" s="368">
        <f ca="1">IFERROR(IF(IF(OR(ISNUMBER(SEARCH("BSTC",AM25)),ISNUMBER(SEARCH("BDTC",AM25)),ISNUMBER(SEARCH("BTTC",AM25))),"CIRCULAR",IF(OR(ISNUMBER(SEARCH("BSCC",AM25)),ISNUMBER(SEARCH("BDCC",AM25)),ISNUMBER(SEARCH("BTCC",AM25))),"CELULAR",""))="CIRCULAR",_xlfn.LET(_xlpm.qq,(15/3)*1,_xlpm.dd,(AZ25)*1,_xlpm.ss,(X25)*1,_xlpm.nn,(0.015)*1,_xlpm.rr,_xlpm.dd/2,_xlpm.ww,_xlpm.dd-0.000002,_xlpm.zz,(_xlpm.qq*_xlpm.nn/SQRT(_xlpm.ss))^3*_xlpm.rr^2/(_xlpm.dd^2/8)^5,_xlpm.h_1,0.000001+_xlpm.ww/2,_xlpm.u_1,2*ACOS(1-_xlpm.h_1/_xlpm.rr),_xlpm.h_2,_xlpm.h_1+IF((_xlpm.u_1-SIN(_xlpm.u_1))^5&lt;_xlpm.zz*_xlpm.u_1^2,_xlpm.ww,-_xlpm.ww)/4,_xlpm.u_2,2*ACOS(1-_xlpm.h_2/_xlpm.rr),_xlpm.h_3,_xlpm.h_2+IF((_xlpm.u_2-SIN(_xlpm.u_2))^5&lt;_xlpm.zz*_xlpm.u_2^2,_xlpm.ww,-_xlpm.ww)/8,_xlpm.u_3,2*ACOS(1-_xlpm.h_3/_xlpm.rr),_xlpm.h_4,_xlpm.h_3+IF((_xlpm.u_3-SIN(_xlpm.u_3))^5&lt;_xlpm.zz*_xlpm.u_3^2,_xlpm.ww,-_xlpm.ww)/16,_xlpm.u_4,2*ACOS(1-_xlpm.h_4/_xlpm.rr),_xlpm.h_5,_xlpm.h_4+IF((_xlpm.u_4-SIN(_xlpm.u_4))^5&lt;_xlpm.zz*_xlpm.u_4^2,_xlpm.ww,-_xlpm.ww)/32,_xlpm.u_5,2*ACOS(1-_xlpm.h_5/_xlpm.rr),_xlpm.h_6,_xlpm.h_5+IF((_xlpm.u_5-SIN(_xlpm.u_5))^5&lt;_xlpm.zz*_xlpm.u_5^2,_xlpm.ww,-_xlpm.ww)/64,_xlpm.u_6,2*ACOS(1-_xlpm.h_6/_xlpm.rr),_xlpm.h_7,_xlpm.h_6+IF((_xlpm.u_6-SIN(_xlpm.u_6))^5&lt;_xlpm.zz*_xlpm.u_6^2,_xlpm.ww,-_xlpm.ww)/128,_xlpm.u_7,2*ACOS(1-_xlpm.h_7/_xlpm.rr),_xlpm.h_8,_xlpm.h_7+IF((_xlpm.u_7-SIN(_xlpm.u_7))^5&lt;_xlpm.zz*_xlpm.u_7^2,_xlpm.ww,-_xlpm.ww)/256,_xlpm.u_8,2*ACOS(1-_xlpm.h_8/_xlpm.rr),_xlpm.h_9,_xlpm.h_8+IF((_xlpm.u_8-SIN(_xlpm.u_8))^5&lt;_xlpm.zz*_xlpm.u_8^2,_xlpm.ww,-_xlpm.ww)/512,_xlpm.u_9,2*ACOS(1-_xlpm.h_9/_xlpm.rr),_xlpm.h_10,_xlpm.h_9+IF((_xlpm.u_9-SIN(_xlpm.u_9))^5&lt;_xlpm.zz*_xlpm.u_9^2,_xlpm.ww,-_xlpm.ww)/1024,_xlpm.u_10,2*ACOS(1-_xlpm.h_10/_xlpm.rr),_xlpm.h_11,_xlpm.h_10+IF((_xlpm.u_10-SIN(_xlpm.u_10))^5&lt;_xlpm.zz*_xlpm.u_10^2,_xlpm.ww,-_xlpm.ww)/2048,_xlpm.u_11,2*ACOS(1-_xlpm.h_11/_xlpm.rr),_xlpm.h_12,_xlpm.h_11+IF((_xlpm.u_11-SIN(_xlpm.u_11))^5&lt;_xlpm.zz*_xlpm.u_11^2,_xlpm.ww,-_xlpm.ww)/4096,_xlpm.u_12,2*ACOS(1-_xlpm.h_12/_xlpm.rr),_xlpm.h_13,_xlpm.h_12+IF((_xlpm.u_12-SIN(_xlpm.u_12))^5&lt;_xlpm.zz*_xlpm.u_12^2,_xlpm.ww,-_xlpm.ww)/8192,_xlpm.u_13,2*ACOS(1-_xlpm.h_13/_xlpm.rr),_xlpm.h_14,_xlpm.h_13+IF((_xlpm.u_13-SIN(_xlpm.u_13))^5&lt;_xlpm.zz*_xlpm.u_13^2,_xlpm.ww,-_xlpm.ww)/16384,_xlpm.u_14,2*ACOS(1-_xlpm.h_14/_xlpm.rr),_xlpm.h_15,_xlpm.h_14+IF((_xlpm.u_14-SIN(_xlpm.u_14))^5&lt;_xlpm.zz*_xlpm.u_14^2,_xlpm.ww,-_xlpm.ww)/32768,_xlpm.u_15,2*ACOS(1-_xlpm.h_15/_xlpm.rr),_xlpm.h_16,_xlpm.h_15+IF((_xlpm.u_15-SIN(_xlpm.u_15))^5&lt;_xlpm.zz*_xlpm.u_15^2,_xlpm.ww,-_xlpm.ww)/65536,_xlpm.u_16,2*ACOS(1-_xlpm.h_16/_xlpm.rr),_xlpm.h_17,_xlpm.h_16+IF((_xlpm.u_16-SIN(_xlpm.u_16))^5&lt;_xlpm.zz*_xlpm.u_16^2,_xlpm.ww,-_xlpm.ww)/131072,_xlpm.u_17,2*ACOS(1-_xlpm.h_17/_xlpm.rr),_xlpm.h_18,_xlpm.h_17+IF((_xlpm.u_17-SIN(_xlpm.u_17))^5&lt;_xlpm.zz*_xlpm.u_17^2,_xlpm.ww,-_xlpm.ww)/262144,_xlpm.u_18,2*ACOS(1-_xlpm.h_18/_xlpm.rr),_xlpm.h_19,_xlpm.h_18+IF((_xlpm.u_18-SIN(_xlpm.u_18))^5&lt;_xlpm.zz*_xlpm.u_18^2,_xlpm.ww,-_xlpm.ww)/524288,_xlpm.u_19,2*ACOS(1-_xlpm.h_19/_xlpm.rr),_xlpm.h_20,_xlpm.h_19+IF((_xlpm.u_19-SIN(_xlpm.u_19))^5&lt;_xlpm.zz*_xlpm.u_19^2,_xlpm.ww,-_xlpm.ww)/1048576,_xlpm.u_20,2*ACOS(1-_xlpm.h_20/_xlpm.rr),_xlpm.h_21,_xlpm.h_20+IF((_xlpm.u_20-SIN(_xlpm.u_20))^5&lt;_xlpm.zz*_xlpm.u_20^2,_xlpm.ww,-_xlpm.ww)/2097152,_xlpm.u_21,2*ACOS(1-_xlpm.h_21/_xlpm.rr),_xlpm.h_22,_xlpm.h_21+IF((_xlpm.u_21-SIN(_xlpm.u_21))^5&lt;_xlpm.zz*_xlpm.u_21^2,_xlpm.ww,-_xlpm.ww)/4194304,_xlpm.u_22,2*ACOS(1-_xlpm.h_22/_xlpm.rr),_xlpm.h_23,_xlpm.h_22+IF((_xlpm.u_22-SIN(_xlpm.u_22))^5&lt;_xlpm.zz*_xlpm.u_22^2,_xlpm.ww,-_xlpm.ww)/8388608,_xlpm.u_23,2*ACOS(1-_xlpm.h_23/_xlpm.rr),_xlpm.h_24,_xlpm.h_23+IF((_xlpm.u_23-SIN(_xlpm.u_23))^5&lt;_xlpm.zz*_xlpm.u_23^2,_xlpm.ww,-_xlpm.ww)/16777216,_xlpm.u_24,2*ACOS(1-_xlpm.h_24/_xlpm.rr),_xlpm.h_25,_xlpm.h_24+IF((_xlpm.u_24-SIN(_xlpm.u_24))^5&lt;_xlpm.zz*_xlpm.u_24^2,_xlpm.ww,-_xlpm.ww)/33554432,_xlpm.u_25,2*ACOS(1-_xlpm.h_25/_xlpm.rr),_xlpm.h_26,_xlpm.h_25+IF((_xlpm.u_25-SIN(_xlpm.u_25))^5&lt;_xlpm.zz*_xlpm.u_25^2,_xlpm.ww,-_xlpm.ww)/67108864,IF(OR(_xlpm.qq&lt;=0,_xlpm.dd&lt;=0,_xlpm.ss&lt;=0,_xlpm.nn&lt;=0),#VALUE!,IF(_xlpm.h_26&gt;0.000001+_xlpm.ww*(1-1.5/2^26),0.000001+_xlpm.ww,_xlpm.h_26))),_xlfn.LET(_xlpm.ob,AM25,_xlpm.ss,(X25)*1,_xlpm.nn,(0.015)*1,_xlpm.qq,(BP25)*1/IF(OR(ISNUMBER(SEARCH("BSTC",_xlpm.ob)),ISNUMBER(SEARCH("BSCC",_xlpm.ob))),1,IF(OR(ISNUMBER(SEARCH("BDTC",_xlpm.ob)),ISNUMBER(SEARCH("BDCC",_xlpm.ob))),2,IF(OR(ISNUMBER(SEARCH("BTTC",_xlpm.ob)),ISNUMBER(SEARCH("BTCC",_xlpm.ob))),3,#VALUE!))),_xlpm.bb,_xlfn.NUMBERVALUE(SUBSTITUTE(TRIM(MID(_xlpm.ob,SEARCH("cc",_xlpm.ob)+3,SEARCH("x",_xlpm.ob)-SEARCH("cc",_xlpm.ob)-3)),".",","),",","."),_xlpm.hh,_xlfn.NUMBERVALUE(SUBSTITUTE(TRIM(MID(_xlpm.ob,SEARCH("x",_xlpm.ob)+1,SEARCH("m",_xlpm.ob,SEARCH("x",_xlpm.ob))-SEARCH("x",_xlpm.ob)-1)),".",","),",","."),_xlpm.kk,SQRT(_xlpm.ss)/_xlpm.nn,_xlpm.x_0,_xlpm.hh,_xlpm.g_0,_xlpm.kk*_xlpm.bb*_xlpm.x_0*(_xlpm.bb*_xlpm.x_0/(_xlpm.bb+2*_xlpm.x_0))^(2/3),_xlpm.x_1,_xlpm.x_0-(_xlpm.g_0-_xlpm.qq)/(_xlpm.g_0*(5/(3*_xlpm.x_0)-4/(3*(_xlpm.bb+2*_xlpm.x_0)))),_xlpm.g_1,_xlpm.kk*_xlpm.bb*_xlpm.x_1*(_xlpm.bb*_xlpm.x_1/(_xlpm.bb+2*_xlpm.x_1))^(2/3),_xlpm.x_2,_xlpm.x_1-(_xlpm.g_1-_xlpm.qq)/(_xlpm.g_1*(5/(3*_xlpm.x_1)-4/(3*(_xlpm.bb+2*_xlpm.x_1)))),_xlpm.g_2,_xlpm.kk*_xlpm.bb*_xlpm.x_2*(_xlpm.bb*_xlpm.x_2/(_xlpm.bb+2*_xlpm.x_2))^(2/3),_xlpm.x_3,_xlpm.x_2-(_xlpm.g_2-_xlpm.qq)/(_xlpm.g_2*(5/(3*_xlpm.x_2)-4/(3*(_xlpm.bb+2*_xlpm.x_2)))),_xlpm.g_3,_xlpm.kk*_xlpm.bb*_xlpm.x_3*(_xlpm.bb*_xlpm.x_3/(_xlpm.bb+2*_xlpm.x_3))^(2/3),_xlpm.x_4,_xlpm.x_3-(_xlpm.g_3-_xlpm.qq)/(_xlpm.g_3*(5/(3*_xlpm.x_3)-4/(3*(_xlpm.bb+2*_xlpm.x_3)))),_xlpm.g_4,_xlpm.kk*_xlpm.bb*_xlpm.x_4*(_xlpm.bb*_xlpm.x_4/(_xlpm.bb+2*_xlpm.x_4))^(2/3),_xlpm.x_5,_xlpm.x_4-(_xlpm.g_4-_xlpm.qq)/(_xlpm.g_4*(5/(3*_xlpm.x_4)-4/(3*(_xlpm.bb+2*_xlpm.x_4)))),_xlpm.g_5,_xlpm.kk*_xlpm.bb*_xlpm.x_5*(_xlpm.bb*_xlpm.x_5/(_xlpm.bb+2*_xlpm.x_5))^(2/3),_xlpm.x_6,_xlpm.x_5-(_xlpm.g_5-_xlpm.qq)/(_xlpm.g_5*(5/(3*_xlpm.x_5)-4/(3*(_xlpm.bb+2*_xlpm.x_5)))),_xlpm.g_6,_xlpm.kk*_xlpm.bb*_xlpm.x_6*(_xlpm.bb*_xlpm.x_6/(_xlpm.bb+2*_xlpm.x_6))^(2/3),_xlpm.x_7,_xlpm.x_6-(_xlpm.g_6-_xlpm.qq)/(_xlpm.g_6*(5/(3*_xlpm.x_6)-4/(3*(_xlpm.bb+2*_xlpm.x_6)))),_xlpm.g_7,_xlpm.kk*_xlpm.bb*_xlpm.x_7*(_xlpm.bb*_xlpm.x_7/(_xlpm.bb+2*_xlpm.x_7))^(2/3),_xlpm.x_8,_xlpm.x_7-(_xlpm.g_7-_xlpm.qq)/(_xlpm.g_7*(5/(3*_xlpm.x_7)-4/(3*(_xlpm.bb+2*_xlpm.x_7)))),_xlpm.g_8,_xlpm.kk*_xlpm.bb*_xlpm.x_8*(_xlpm.bb*_xlpm.x_8/(_xlpm.bb+2*_xlpm.x_8))^(2/3),_xlpm.x_9,_xlpm.x_8-(_xlpm.g_8-_xlpm.qq)/(_xlpm.g_8*(5/(3*_xlpm.x_8)-4/(3*(_xlpm.bb+2*_xlpm.x_8)))),_xlpm.g_9,_xlpm.kk*_xlpm.bb*_xlpm.x_9*(_xlpm.bb*_xlpm.x_9/(_xlpm.bb+2*_xlpm.x_9))^(2/3),_xlpm.x_10,_xlpm.x_9-(_xlpm.g_9-_xlpm.qq)/(_xlpm.g_9*(5/(3*_xlpm.x_9)-4/(3*(_xlpm.bb+2*_xlpm.x_9)))),MIN(_xlpm.hh,_xlpm.x_10))),"")</f>
        <v>1.1675709606322644</v>
      </c>
      <c r="AI25" s="368">
        <f ca="1">IFERROR(
  IF(
    IF(OR(ISNUMBER(SEARCH("BSTC",AM25)),ISNUMBER(SEARCH("BDTC",AM25)),ISNUMBER(SEARCH("BTTC",AM25))),"CIRCULAR",IF(OR(ISNUMBER(SEARCH("BSCC",AM25)),ISNUMBER(SEARCH("BDCC",AM25)),ISNUMBER(SEARCH("BTCC",AM25))),"CELULAR",""))="CIRCULAR",
    (3/2)*(((AZ25^2/8)*((2*ACOS(1-2*BB25/AZ25))-SIN(2*ACOS(1-2*BB25/AZ25))))/(AZ25*SIN((2*ACOS(1-2*BB25/AZ25))/2))),
    (3/2)*BB25
  ),
  ""
)</f>
        <v>2.2180706951251223</v>
      </c>
      <c r="AJ25" s="368">
        <f t="shared" ca="1" si="46"/>
        <v>0.83031425768629974</v>
      </c>
      <c r="AK25" s="369" t="s">
        <v>368</v>
      </c>
      <c r="AL25" s="370" t="str">
        <f ca="1">IFERROR(INDIRECT("'"&amp;BN25&amp;"'!J26"),"")</f>
        <v>BSCC 3,00 x 3,00m</v>
      </c>
      <c r="AM25" s="373" t="str">
        <f ca="1">IFERROR(INDIRECT("'"&amp;BN25&amp;"'!J31"),"")</f>
        <v>BDCC 3,00 x 3,00m</v>
      </c>
      <c r="AN25" s="371" t="s">
        <v>25</v>
      </c>
      <c r="AO25" s="371" t="s">
        <v>25</v>
      </c>
      <c r="AP25" s="371" t="s">
        <v>373</v>
      </c>
      <c r="AQ25" s="117">
        <f t="shared" ca="1" si="33"/>
        <v>64.494228620464114</v>
      </c>
      <c r="AR25" s="31">
        <f t="shared" ca="1" si="34"/>
        <v>0.81333702591253787</v>
      </c>
      <c r="AS25" s="93">
        <v>1.4999999999999999E-2</v>
      </c>
      <c r="AT25" s="33">
        <f ca="1">IFERROR(IF(IF(OR(ISNUMBER(SEARCH("BSTC",AL25)),ISNUMBER(SEARCH("BDTC",AL25)),ISNUMBER(SEARCH("BTTC",AL25))),"CIRCULAR",IF(OR(ISNUMBER(SEARCH("BSCC",AL25)),ISNUMBER(SEARCH("BDCC",AL25)),ISNUMBER(SEARCH("BTCC",AL25))),"CELULAR",""))="CIRCULAR",_xlfn.LET(_xlpm.qq,(BS25/(IFERROR(IF(OR(ISNUMBER(FIND("BDTC",AL25)),ISNUMBER(FIND("BDCC",AL25))),2,IF(OR(ISNUMBER(FIND("BTTC",AL25)),ISNUMBER(FIND("BTCC",AL25))),3,IF(OR(ISNUMBER(FIND("BSTC",AL25)),ISNUMBER(FIND("BSCC",AL25))),1,""))),"")))*1,_xlpm.dd,(AY25)*1,_xlpm.ss,(X25)*1,_xlpm.nn,(0.015)*1,_xlpm.rr,_xlpm.dd/2,_xlpm.ww,_xlpm.dd-0.000002,_xlpm.zz,(_xlpm.qq*_xlpm.nn/SQRT(_xlpm.ss))^3*_xlpm.rr^2/(_xlpm.dd^2/8)^5,_xlpm.h_1,0.000001+_xlpm.ww/2,_xlpm.u_1,2*ACOS(1-_xlpm.h_1/_xlpm.rr),_xlpm.h_2,_xlpm.h_1+IF((_xlpm.u_1-SIN(_xlpm.u_1))^5&lt;_xlpm.zz*_xlpm.u_1^2,_xlpm.ww,-_xlpm.ww)/4,_xlpm.u_2,2*ACOS(1-_xlpm.h_2/_xlpm.rr),_xlpm.h_3,_xlpm.h_2+IF((_xlpm.u_2-SIN(_xlpm.u_2))^5&lt;_xlpm.zz*_xlpm.u_2^2,_xlpm.ww,-_xlpm.ww)/8,_xlpm.u_3,2*ACOS(1-_xlpm.h_3/_xlpm.rr),_xlpm.h_4,_xlpm.h_3+IF((_xlpm.u_3-SIN(_xlpm.u_3))^5&lt;_xlpm.zz*_xlpm.u_3^2,_xlpm.ww,-_xlpm.ww)/16,_xlpm.u_4,2*ACOS(1-_xlpm.h_4/_xlpm.rr),_xlpm.h_5,_xlpm.h_4+IF((_xlpm.u_4-SIN(_xlpm.u_4))^5&lt;_xlpm.zz*_xlpm.u_4^2,_xlpm.ww,-_xlpm.ww)/32,_xlpm.u_5,2*ACOS(1-_xlpm.h_5/_xlpm.rr),_xlpm.h_6,_xlpm.h_5+IF((_xlpm.u_5-SIN(_xlpm.u_5))^5&lt;_xlpm.zz*_xlpm.u_5^2,_xlpm.ww,-_xlpm.ww)/64,_xlpm.u_6,2*ACOS(1-_xlpm.h_6/_xlpm.rr),_xlpm.h_7,_xlpm.h_6+IF((_xlpm.u_6-SIN(_xlpm.u_6))^5&lt;_xlpm.zz*_xlpm.u_6^2,_xlpm.ww,-_xlpm.ww)/128,_xlpm.u_7,2*ACOS(1-_xlpm.h_7/_xlpm.rr),_xlpm.h_8,_xlpm.h_7+IF((_xlpm.u_7-SIN(_xlpm.u_7))^5&lt;_xlpm.zz*_xlpm.u_7^2,_xlpm.ww,-_xlpm.ww)/256,_xlpm.u_8,2*ACOS(1-_xlpm.h_8/_xlpm.rr),_xlpm.h_9,_xlpm.h_8+IF((_xlpm.u_8-SIN(_xlpm.u_8))^5&lt;_xlpm.zz*_xlpm.u_8^2,_xlpm.ww,-_xlpm.ww)/512,_xlpm.u_9,2*ACOS(1-_xlpm.h_9/_xlpm.rr),_xlpm.h_10,_xlpm.h_9+IF((_xlpm.u_9-SIN(_xlpm.u_9))^5&lt;_xlpm.zz*_xlpm.u_9^2,_xlpm.ww,-_xlpm.ww)/1024,_xlpm.u_10,2*ACOS(1-_xlpm.h_10/_xlpm.rr),_xlpm.h_11,_xlpm.h_10+IF((_xlpm.u_10-SIN(_xlpm.u_10))^5&lt;_xlpm.zz*_xlpm.u_10^2,_xlpm.ww,-_xlpm.ww)/2048,_xlpm.u_11,2*ACOS(1-_xlpm.h_11/_xlpm.rr),_xlpm.h_12,_xlpm.h_11+IF((_xlpm.u_11-SIN(_xlpm.u_11))^5&lt;_xlpm.zz*_xlpm.u_11^2,_xlpm.ww,-_xlpm.ww)/4096,_xlpm.u_12,2*ACOS(1-_xlpm.h_12/_xlpm.rr),_xlpm.h_13,_xlpm.h_12+IF((_xlpm.u_12-SIN(_xlpm.u_12))^5&lt;_xlpm.zz*_xlpm.u_12^2,_xlpm.ww,-_xlpm.ww)/8192,_xlpm.u_13,2*ACOS(1-_xlpm.h_13/_xlpm.rr),_xlpm.h_14,_xlpm.h_13+IF((_xlpm.u_13-SIN(_xlpm.u_13))^5&lt;_xlpm.zz*_xlpm.u_13^2,_xlpm.ww,-_xlpm.ww)/16384,_xlpm.u_14,2*ACOS(1-_xlpm.h_14/_xlpm.rr),_xlpm.h_15,_xlpm.h_14+IF((_xlpm.u_14-SIN(_xlpm.u_14))^5&lt;_xlpm.zz*_xlpm.u_14^2,_xlpm.ww,-_xlpm.ww)/32768,_xlpm.u_15,2*ACOS(1-_xlpm.h_15/_xlpm.rr),_xlpm.h_16,_xlpm.h_15+IF((_xlpm.u_15-SIN(_xlpm.u_15))^5&lt;_xlpm.zz*_xlpm.u_15^2,_xlpm.ww,-_xlpm.ww)/65536,_xlpm.u_16,2*ACOS(1-_xlpm.h_16/_xlpm.rr),_xlpm.h_17,_xlpm.h_16+IF((_xlpm.u_16-SIN(_xlpm.u_16))^5&lt;_xlpm.zz*_xlpm.u_16^2,_xlpm.ww,-_xlpm.ww)/131072,_xlpm.u_17,2*ACOS(1-_xlpm.h_17/_xlpm.rr),_xlpm.h_18,_xlpm.h_17+IF((_xlpm.u_17-SIN(_xlpm.u_17))^5&lt;_xlpm.zz*_xlpm.u_17^2,_xlpm.ww,-_xlpm.ww)/262144,_xlpm.u_18,2*ACOS(1-_xlpm.h_18/_xlpm.rr),_xlpm.h_19,_xlpm.h_18+IF((_xlpm.u_18-SIN(_xlpm.u_18))^5&lt;_xlpm.zz*_xlpm.u_18^2,_xlpm.ww,-_xlpm.ww)/524288,_xlpm.u_19,2*ACOS(1-_xlpm.h_19/_xlpm.rr),_xlpm.h_20,_xlpm.h_19+IF((_xlpm.u_19-SIN(_xlpm.u_19))^5&lt;_xlpm.zz*_xlpm.u_19^2,_xlpm.ww,-_xlpm.ww)/1048576,_xlpm.u_20,2*ACOS(1-_xlpm.h_20/_xlpm.rr),_xlpm.h_21,_xlpm.h_20+IF((_xlpm.u_20-SIN(_xlpm.u_20))^5&lt;_xlpm.zz*_xlpm.u_20^2,_xlpm.ww,-_xlpm.ww)/2097152,_xlpm.u_21,2*ACOS(1-_xlpm.h_21/_xlpm.rr),_xlpm.h_22,_xlpm.h_21+IF((_xlpm.u_21-SIN(_xlpm.u_21))^5&lt;_xlpm.zz*_xlpm.u_21^2,_xlpm.ww,-_xlpm.ww)/4194304,_xlpm.u_22,2*ACOS(1-_xlpm.h_22/_xlpm.rr),_xlpm.h_23,_xlpm.h_22+IF((_xlpm.u_22-SIN(_xlpm.u_22))^5&lt;_xlpm.zz*_xlpm.u_22^2,_xlpm.ww,-_xlpm.ww)/8388608,_xlpm.u_23,2*ACOS(1-_xlpm.h_23/_xlpm.rr),_xlpm.h_24,_xlpm.h_23+IF((_xlpm.u_23-SIN(_xlpm.u_23))^5&lt;_xlpm.zz*_xlpm.u_23^2,_xlpm.ww,-_xlpm.ww)/16777216,_xlpm.u_24,2*ACOS(1-_xlpm.h_24/_xlpm.rr),_xlpm.h_25,_xlpm.h_24+IF((_xlpm.u_24-SIN(_xlpm.u_24))^5&lt;_xlpm.zz*_xlpm.u_24^2,_xlpm.ww,-_xlpm.ww)/33554432,_xlpm.u_25,2*ACOS(1-_xlpm.h_25/_xlpm.rr),_xlpm.h_26,_xlpm.h_25+IF((_xlpm.u_25-SIN(_xlpm.u_25))^5&lt;_xlpm.zz*_xlpm.u_25^2,_xlpm.ww,-_xlpm.ww)/67108864,IF(OR(_xlpm.qq&lt;=0,_xlpm.dd&lt;=0,_xlpm.ss&lt;=0,_xlpm.nn&lt;=0),#VALUE!,IF(_xlpm.h_26&gt;0.000001+_xlpm.ww*(1-1.5/2^26),0.000001+_xlpm.ww,_xlpm.h_26))),_xlfn.LET(_xlpm.ob,AL25,_xlpm.ss,(X25)*1,_xlpm.nn,(0.015)*1,_xlpm.qq,(BS25)*1/IF(OR(ISNUMBER(SEARCH("BSTC",_xlpm.ob)),ISNUMBER(SEARCH("BSCC",_xlpm.ob))),1,IF(OR(ISNUMBER(SEARCH("BDTC",_xlpm.ob)),ISNUMBER(SEARCH("BDCC",_xlpm.ob))),2,IF(OR(ISNUMBER(SEARCH("BTTC",_xlpm.ob)),ISNUMBER(SEARCH("BTCC",_xlpm.ob))),3,#VALUE!))),_xlpm.bb,_xlfn.NUMBERVALUE(SUBSTITUTE(TRIM(MID(_xlpm.ob,SEARCH("cc",_xlpm.ob)+3,SEARCH("x",_xlpm.ob)-SEARCH("cc",_xlpm.ob)-3)),".",","),",","."),_xlpm.hh,_xlfn.NUMBERVALUE(SUBSTITUTE(TRIM(MID(_xlpm.ob,SEARCH("x",_xlpm.ob)+1,SEARCH("m",_xlpm.ob,SEARCH("x",_xlpm.ob))-SEARCH("x",_xlpm.ob)-1)),".",","),",","."),_xlpm.kk,SQRT(_xlpm.ss)/_xlpm.nn,_xlpm.x_0,_xlpm.hh,_xlpm.g_0,_xlpm.kk*_xlpm.bb*_xlpm.x_0*(_xlpm.bb*_xlpm.x_0/(_xlpm.bb+2*_xlpm.x_0))^(2/3),_xlpm.x_1,_xlpm.x_0-(_xlpm.g_0-_xlpm.qq)/(_xlpm.g_0*(5/(3*_xlpm.x_0)-4/(3*(_xlpm.bb+2*_xlpm.x_0)))),_xlpm.g_1,_xlpm.kk*_xlpm.bb*_xlpm.x_1*(_xlpm.bb*_xlpm.x_1/(_xlpm.bb+2*_xlpm.x_1))^(2/3),_xlpm.x_2,_xlpm.x_1-(_xlpm.g_1-_xlpm.qq)/(_xlpm.g_1*(5/(3*_xlpm.x_1)-4/(3*(_xlpm.bb+2*_xlpm.x_1)))),_xlpm.g_2,_xlpm.kk*_xlpm.bb*_xlpm.x_2*(_xlpm.bb*_xlpm.x_2/(_xlpm.bb+2*_xlpm.x_2))^(2/3),_xlpm.x_3,_xlpm.x_2-(_xlpm.g_2-_xlpm.qq)/(_xlpm.g_2*(5/(3*_xlpm.x_2)-4/(3*(_xlpm.bb+2*_xlpm.x_2)))),_xlpm.g_3,_xlpm.kk*_xlpm.bb*_xlpm.x_3*(_xlpm.bb*_xlpm.x_3/(_xlpm.bb+2*_xlpm.x_3))^(2/3),_xlpm.x_4,_xlpm.x_3-(_xlpm.g_3-_xlpm.qq)/(_xlpm.g_3*(5/(3*_xlpm.x_3)-4/(3*(_xlpm.bb+2*_xlpm.x_3)))),_xlpm.g_4,_xlpm.kk*_xlpm.bb*_xlpm.x_4*(_xlpm.bb*_xlpm.x_4/(_xlpm.bb+2*_xlpm.x_4))^(2/3),_xlpm.x_5,_xlpm.x_4-(_xlpm.g_4-_xlpm.qq)/(_xlpm.g_4*(5/(3*_xlpm.x_4)-4/(3*(_xlpm.bb+2*_xlpm.x_4)))),_xlpm.g_5,_xlpm.kk*_xlpm.bb*_xlpm.x_5*(_xlpm.bb*_xlpm.x_5/(_xlpm.bb+2*_xlpm.x_5))^(2/3),_xlpm.x_6,_xlpm.x_5-(_xlpm.g_5-_xlpm.qq)/(_xlpm.g_5*(5/(3*_xlpm.x_5)-4/(3*(_xlpm.bb+2*_xlpm.x_5)))),_xlpm.g_6,_xlpm.kk*_xlpm.bb*_xlpm.x_6*(_xlpm.bb*_xlpm.x_6/(_xlpm.bb+2*_xlpm.x_6))^(2/3),_xlpm.x_7,_xlpm.x_6-(_xlpm.g_6-_xlpm.qq)/(_xlpm.g_6*(5/(3*_xlpm.x_6)-4/(3*(_xlpm.bb+2*_xlpm.x_6)))),_xlpm.g_7,_xlpm.kk*_xlpm.bb*_xlpm.x_7*(_xlpm.bb*_xlpm.x_7/(_xlpm.bb+2*_xlpm.x_7))^(2/3),_xlpm.x_8,_xlpm.x_7-(_xlpm.g_7-_xlpm.qq)/(_xlpm.g_7*(5/(3*_xlpm.x_7)-4/(3*(_xlpm.bb+2*_xlpm.x_7)))),_xlpm.g_8,_xlpm.kk*_xlpm.bb*_xlpm.x_8*(_xlpm.bb*_xlpm.x_8/(_xlpm.bb+2*_xlpm.x_8))^(2/3),_xlpm.x_9,_xlpm.x_8-(_xlpm.g_8-_xlpm.qq)/(_xlpm.g_8*(5/(3*_xlpm.x_8)-4/(3*(_xlpm.bb+2*_xlpm.x_8)))),_xlpm.g_9,_xlpm.kk*_xlpm.bb*_xlpm.x_9*(_xlpm.bb*_xlpm.x_9/(_xlpm.bb+2*_xlpm.x_9))^(2/3),_xlpm.x_10,_xlpm.x_9-(_xlpm.g_9-_xlpm.qq)/(_xlpm.g_9*(5/(3*_xlpm.x_9)-4/(3*(_xlpm.bb+2*_xlpm.x_9)))),MIN(_xlpm.hh,_xlpm.x_10))),"")</f>
        <v>2.4909427730588991</v>
      </c>
      <c r="AU25" s="33">
        <f t="shared" si="35"/>
        <v>0.65045563602891887</v>
      </c>
      <c r="AW25" s="33" t="str">
        <f t="shared" ca="1" si="36"/>
        <v>BDCC</v>
      </c>
      <c r="AY25" s="33">
        <f t="shared" ca="1" si="37"/>
        <v>3</v>
      </c>
      <c r="AZ25" s="33">
        <f t="shared" ca="1" si="38"/>
        <v>3</v>
      </c>
      <c r="BA25" s="33" t="str">
        <f ca="1">IFERROR(INDEX(Tabela_DEB!$A$2:$A$12,MATCH(LEFT(AM25,FIND(" ",AM25)-1)&amp;" "&amp;TEXT(VALUE(MID(AM25,FIND("=",AM25)+1,FIND("m",AM25)-FIND("=",AM25)-1))*100,"0"),Tabela_DEB!$E$2:$E$12,0)),"")</f>
        <v/>
      </c>
      <c r="BB25" s="33">
        <f ca="1">IFERROR(IF(IF(OR(ISNUMBER(SEARCH("BSTC",AM25)),ISNUMBER(SEARCH("BDTC",AM25)),ISNUMBER(SEARCH("BTTC",AM25))),"CIRCULAR",IF(OR(ISNUMBER(SEARCH("BSCC",AM25)),ISNUMBER(SEARCH("BDCC",AM25)),ISNUMBER(SEARCH("BTCC",AM25))),"CELULAR",""))="CIRCULAR",_xlfn.LET(_xlpm.qq,(BQ25/BC25)*1,_xlpm.dd,(AZ25)*1,_xlpm.ww,_xlpm.dd-0.0002,_xlpm.f_0,_xlpm.qq^2*_xlpm.dd*SIN(ACOS(1-2*0.0001/_xlpm.dd))-9.81*(_xlpm.dd^2/8*(2*ACOS(1-2*0.0001/_xlpm.dd)-SIN(2*ACOS(1-2*0.0001/_xlpm.dd))))^3,_xlpm.y_1,0.0001+_xlpm.ww/2,_xlpm.f_1,_xlpm.qq^2*_xlpm.dd*SIN(ACOS(1-2*_xlpm.y_1/_xlpm.dd))-9.81*(_xlpm.dd^2/8*(2*ACOS(1-2*_xlpm.y_1/_xlpm.dd)-SIN(2*ACOS(1-2*_xlpm.y_1/_xlpm.dd))))^3,_xlpm.y_2,_xlpm.y_1+IF(ABS(_xlpm.f_1)&lt;0.000001,0,IF(_xlpm.f_0*_xlpm.f_1&lt;0,-_xlpm.ww,_xlpm.ww))/4,_xlpm.f_2,_xlpm.qq^2*_xlpm.dd*SIN(ACOS(1-2*_xlpm.y_2/_xlpm.dd))-9.81*(_xlpm.dd^2/8*(2*ACOS(1-2*_xlpm.y_2/_xlpm.dd)-SIN(2*ACOS(1-2*_xlpm.y_2/_xlpm.dd))))^3,_xlpm.y_3,_xlpm.y_2+IF(ABS(_xlpm.f_2)&lt;0.000001,0,IF(_xlpm.f_0*_xlpm.f_2&lt;0,-_xlpm.ww,_xlpm.ww))/8,_xlpm.f_3,_xlpm.qq^2*_xlpm.dd*SIN(ACOS(1-2*_xlpm.y_3/_xlpm.dd))-9.81*(_xlpm.dd^2/8*(2*ACOS(1-2*_xlpm.y_3/_xlpm.dd)-SIN(2*ACOS(1-2*_xlpm.y_3/_xlpm.dd))))^3,_xlpm.y_4,_xlpm.y_3+IF(ABS(_xlpm.f_3)&lt;0.000001,0,IF(_xlpm.f_0*_xlpm.f_3&lt;0,-_xlpm.ww,_xlpm.ww))/16,_xlpm.f_4,_xlpm.qq^2*_xlpm.dd*SIN(ACOS(1-2*_xlpm.y_4/_xlpm.dd))-9.81*(_xlpm.dd^2/8*(2*ACOS(1-2*_xlpm.y_4/_xlpm.dd)-SIN(2*ACOS(1-2*_xlpm.y_4/_xlpm.dd))))^3,_xlpm.y_5,_xlpm.y_4+IF(ABS(_xlpm.f_4)&lt;0.000001,0,IF(_xlpm.f_0*_xlpm.f_4&lt;0,-_xlpm.ww,_xlpm.ww))/32,_xlpm.f_5,_xlpm.qq^2*_xlpm.dd*SIN(ACOS(1-2*_xlpm.y_5/_xlpm.dd))-9.81*(_xlpm.dd^2/8*(2*ACOS(1-2*_xlpm.y_5/_xlpm.dd)-SIN(2*ACOS(1-2*_xlpm.y_5/_xlpm.dd))))^3,_xlpm.y_6,_xlpm.y_5+IF(ABS(_xlpm.f_5)&lt;0.000001,0,IF(_xlpm.f_0*_xlpm.f_5&lt;0,-_xlpm.ww,_xlpm.ww))/64,_xlpm.f_6,_xlpm.qq^2*_xlpm.dd*SIN(ACOS(1-2*_xlpm.y_6/_xlpm.dd))-9.81*(_xlpm.dd^2/8*(2*ACOS(1-2*_xlpm.y_6/_xlpm.dd)-SIN(2*ACOS(1-2*_xlpm.y_6/_xlpm.dd))))^3,_xlpm.y_7,_xlpm.y_6+IF(ABS(_xlpm.f_6)&lt;0.000001,0,IF(_xlpm.f_0*_xlpm.f_6&lt;0,-_xlpm.ww,_xlpm.ww))/128,_xlpm.f_7,_xlpm.qq^2*_xlpm.dd*SIN(ACOS(1-2*_xlpm.y_7/_xlpm.dd))-9.81*(_xlpm.dd^2/8*(2*ACOS(1-2*_xlpm.y_7/_xlpm.dd)-SIN(2*ACOS(1-2*_xlpm.y_7/_xlpm.dd))))^3,_xlpm.y_8,_xlpm.y_7+IF(ABS(_xlpm.f_7)&lt;0.000001,0,IF(_xlpm.f_0*_xlpm.f_7&lt;0,-_xlpm.ww,_xlpm.ww))/256,_xlpm.f_8,_xlpm.qq^2*_xlpm.dd*SIN(ACOS(1-2*_xlpm.y_8/_xlpm.dd))-9.81*(_xlpm.dd^2/8*(2*ACOS(1-2*_xlpm.y_8/_xlpm.dd)-SIN(2*ACOS(1-2*_xlpm.y_8/_xlpm.dd))))^3,_xlpm.y_9,_xlpm.y_8+IF(ABS(_xlpm.f_8)&lt;0.000001,0,IF(_xlpm.f_0*_xlpm.f_8&lt;0,-_xlpm.ww,_xlpm.ww))/512,_xlpm.f_9,_xlpm.qq^2*_xlpm.dd*SIN(ACOS(1-2*_xlpm.y_9/_xlpm.dd))-9.81*(_xlpm.dd^2/8*(2*ACOS(1-2*_xlpm.y_9/_xlpm.dd)-SIN(2*ACOS(1-2*_xlpm.y_9/_xlpm.dd))))^3,_xlpm.y_10,_xlpm.y_9+IF(ABS(_xlpm.f_9)&lt;0.000001,0,IF(_xlpm.f_0*_xlpm.f_9&lt;0,-_xlpm.ww,_xlpm.ww))/1024,_xlpm.f_10,_xlpm.qq^2*_xlpm.dd*SIN(ACOS(1-2*_xlpm.y_10/_xlpm.dd))-9.81*(_xlpm.dd^2/8*(2*ACOS(1-2*_xlpm.y_10/_xlpm.dd)-SIN(2*ACOS(1-2*_xlpm.y_10/_xlpm.dd))))^3,_xlpm.y_11,_xlpm.y_10+IF(ABS(_xlpm.f_10)&lt;0.000001,0,IF(_xlpm.f_0*_xlpm.f_10&lt;0,-_xlpm.ww,_xlpm.ww))/2048,_xlpm.f_11,_xlpm.qq^2*_xlpm.dd*SIN(ACOS(1-2*_xlpm.y_11/_xlpm.dd))-9.81*(_xlpm.dd^2/8*(2*ACOS(1-2*_xlpm.y_11/_xlpm.dd)-SIN(2*ACOS(1-2*_xlpm.y_11/_xlpm.dd))))^3,_xlpm.y_12,_xlpm.y_11+IF(ABS(_xlpm.f_11)&lt;0.000001,0,IF(_xlpm.f_0*_xlpm.f_11&lt;0,-_xlpm.ww,_xlpm.ww))/4096,_xlpm.f_12,_xlpm.qq^2*_xlpm.dd*SIN(ACOS(1-2*_xlpm.y_12/_xlpm.dd))-9.81*(_xlpm.dd^2/8*(2*ACOS(1-2*_xlpm.y_12/_xlpm.dd)-SIN(2*ACOS(1-2*_xlpm.y_12/_xlpm.dd))))^3,_xlpm.y_13,_xlpm.y_12+IF(ABS(_xlpm.f_12)&lt;0.000001,0,IF(_xlpm.f_0*_xlpm.f_12&lt;0,-_xlpm.ww,_xlpm.ww))/8192,_xlpm.f_13,_xlpm.qq^2*_xlpm.dd*SIN(ACOS(1-2*_xlpm.y_13/_xlpm.dd))-9.81*(_xlpm.dd^2/8*(2*ACOS(1-2*_xlpm.y_13/_xlpm.dd)-SIN(2*ACOS(1-2*_xlpm.y_13/_xlpm.dd))))^3,_xlpm.y_14,_xlpm.y_13+IF(ABS(_xlpm.f_13)&lt;0.000001,0,IF(_xlpm.f_0*_xlpm.f_13&lt;0,-_xlpm.ww,_xlpm.ww))/16384,_xlpm.f_14,_xlpm.qq^2*_xlpm.dd*SIN(ACOS(1-2*_xlpm.y_14/_xlpm.dd))-9.81*(_xlpm.dd^2/8*(2*ACOS(1-2*_xlpm.y_14/_xlpm.dd)-SIN(2*ACOS(1-2*_xlpm.y_14/_xlpm.dd))))^3,_xlpm.y_15,_xlpm.y_14+IF(ABS(_xlpm.f_14)&lt;0.000001,0,IF(_xlpm.f_0*_xlpm.f_14&lt;0,-_xlpm.ww,_xlpm.ww))/32768,_xlpm.f_15,_xlpm.qq^2*_xlpm.dd*SIN(ACOS(1-2*_xlpm.y_15/_xlpm.dd))-9.81*(_xlpm.dd^2/8*(2*ACOS(1-2*_xlpm.y_15/_xlpm.dd)-SIN(2*ACOS(1-2*_xlpm.y_15/_xlpm.dd))))^3,_xlpm.y_16,_xlpm.y_15+IF(ABS(_xlpm.f_15)&lt;0.000001,0,IF(_xlpm.f_0*_xlpm.f_15&lt;0,-_xlpm.ww,_xlpm.ww))/65536,_xlpm.f_16,_xlpm.qq^2*_xlpm.dd*SIN(ACOS(1-2*_xlpm.y_16/_xlpm.dd))-9.81*(_xlpm.dd^2/8*(2*ACOS(1-2*_xlpm.y_16/_xlpm.dd)-SIN(2*ACOS(1-2*_xlpm.y_16/_xlpm.dd))))^3,_xlpm.y_17,_xlpm.y_16+IF(ABS(_xlpm.f_16)&lt;0.000001,0,IF(_xlpm.f_0*_xlpm.f_16&lt;0,-_xlpm.ww,_xlpm.ww))/131072,_xlpm.f_17,_xlpm.qq^2*_xlpm.dd*SIN(ACOS(1-2*_xlpm.y_17/_xlpm.dd))-9.81*(_xlpm.dd^2/8*(2*ACOS(1-2*_xlpm.y_17/_xlpm.dd)-SIN(2*ACOS(1-2*_xlpm.y_17/_xlpm.dd))))^3,_xlpm.y_18,_xlpm.y_17+IF(ABS(_xlpm.f_17)&lt;0.000001,0,IF(_xlpm.f_0*_xlpm.f_17&lt;0,-_xlpm.ww,_xlpm.ww))/262144,_xlpm.f_18,_xlpm.qq^2*_xlpm.dd*SIN(ACOS(1-2*_xlpm.y_18/_xlpm.dd))-9.81*(_xlpm.dd^2/8*(2*ACOS(1-2*_xlpm.y_18/_xlpm.dd)-SIN(2*ACOS(1-2*_xlpm.y_18/_xlpm.dd))))^3,_xlpm.y_19,_xlpm.y_18+IF(ABS(_xlpm.f_18)&lt;0.000001,0,IF(_xlpm.f_0*_xlpm.f_18&lt;0,-_xlpm.ww,_xlpm.ww))/524288,_xlpm.f_19,_xlpm.qq^2*_xlpm.dd*SIN(ACOS(1-2*_xlpm.y_19/_xlpm.dd))-9.81*(_xlpm.dd^2/8*(2*ACOS(1-2*_xlpm.y_19/_xlpm.dd)-SIN(2*ACOS(1-2*_xlpm.y_19/_xlpm.dd))))^3,_xlpm.y_20,_xlpm.y_19+IF(ABS(_xlpm.f_19)&lt;0.000001,0,IF(_xlpm.f_0*_xlpm.f_19&lt;0,-_xlpm.ww,_xlpm.ww))/1048576,_xlpm.f_20,_xlpm.qq^2*_xlpm.dd*SIN(ACOS(1-2*_xlpm.y_20/_xlpm.dd))-9.81*(_xlpm.dd^2/8*(2*ACOS(1-2*_xlpm.y_20/_xlpm.dd)-SIN(2*ACOS(1-2*_xlpm.y_20/_xlpm.dd))))^3,_xlpm.y_21,_xlpm.y_20+IF(ABS(_xlpm.f_20)&lt;0.000001,0,IF(_xlpm.f_0*_xlpm.f_20&lt;0,-_xlpm.ww,_xlpm.ww))/2097152,_xlpm.f_21,_xlpm.qq^2*_xlpm.dd*SIN(ACOS(1-2*_xlpm.y_21/_xlpm.dd))-9.81*(_xlpm.dd^2/8*(2*ACOS(1-2*_xlpm.y_21/_xlpm.dd)-SIN(2*ACOS(1-2*_xlpm.y_21/_xlpm.dd))))^3,_xlpm.y_22,_xlpm.y_21+IF(ABS(_xlpm.f_21)&lt;0.000001,0,IF(_xlpm.f_0*_xlpm.f_21&lt;0,-_xlpm.ww,_xlpm.ww))/4194304,_xlpm.f_22,_xlpm.qq^2*_xlpm.dd*SIN(ACOS(1-2*_xlpm.y_22/_xlpm.dd))-9.81*(_xlpm.dd^2/8*(2*ACOS(1-2*_xlpm.y_22/_xlpm.dd)-SIN(2*ACOS(1-2*_xlpm.y_22/_xlpm.dd))))^3,_xlpm.y_23,_xlpm.y_22+IF(ABS(_xlpm.f_22)&lt;0.000001,0,IF(_xlpm.f_0*_xlpm.f_22&lt;0,-_xlpm.ww,_xlpm.ww))/8388608,_xlpm.f_23,_xlpm.qq^2*_xlpm.dd*SIN(ACOS(1-2*_xlpm.y_23/_xlpm.dd))-9.81*(_xlpm.dd^2/8*(2*ACOS(1-2*_xlpm.y_23/_xlpm.dd)-SIN(2*ACOS(1-2*_xlpm.y_23/_xlpm.dd))))^3,_xlpm.y_24,_xlpm.y_23+IF(ABS(_xlpm.f_23)&lt;0.000001,0,IF(_xlpm.f_0*_xlpm.f_23&lt;0,-_xlpm.ww,_xlpm.ww))/16777216,_xlpm.f_24,_xlpm.qq^2*_xlpm.dd*SIN(ACOS(1-2*_xlpm.y_24/_xlpm.dd))-9.81*(_xlpm.dd^2/8*(2*ACOS(1-2*_xlpm.y_24/_xlpm.dd)-SIN(2*ACOS(1-2*_xlpm.y_24/_xlpm.dd))))^3,_xlpm.y_25,_xlpm.y_24+IF(ABS(_xlpm.f_24)&lt;0.000001,0,IF(_xlpm.f_0*_xlpm.f_24&lt;0,-_xlpm.ww,_xlpm.ww))/33554432,_xlpm.f_25,_xlpm.qq^2*_xlpm.dd*SIN(ACOS(1-2*_xlpm.y_25/_xlpm.dd))-9.81*(_xlpm.dd^2/8*(2*ACOS(1-2*_xlpm.y_25/_xlpm.dd)-SIN(2*ACOS(1-2*_xlpm.y_25/_xlpm.dd))))^3,_xlpm.y_26,_xlpm.y_25+IF(ABS(_xlpm.f_25)&lt;0.000001,0,IF(_xlpm.f_0*_xlpm.f_25&lt;0,-_xlpm.ww,_xlpm.ww))/67108864,_xlpm.y_26),((BQ25/BC25/_xlfn.NUMBERVALUE(SUBSTITUTE(TRIM(MID(AM25,SEARCH("cc",AM25)+3,SEARCH("x",AM25)-SEARCH("cc",AM25)-3)),".",","),",","."))^2/9.80665)^(1/3)),"")</f>
        <v>1.4787137967500816</v>
      </c>
      <c r="BC25" s="117">
        <f t="shared" ca="1" si="47"/>
        <v>2</v>
      </c>
      <c r="BE25" s="174">
        <f>'Cadastro das Obras'!U9</f>
        <v>27.68</v>
      </c>
      <c r="BF25" s="174">
        <f ca="1">'Cadastro das Obras'!V9</f>
        <v>55.36</v>
      </c>
      <c r="BH25" s="33" t="str">
        <f>'Cadastro das Obras'!T9</f>
        <v>30º</v>
      </c>
      <c r="BJ25" s="117">
        <f>'Cadastro das Obras'!W9</f>
        <v>1.37</v>
      </c>
      <c r="BN25" s="33" t="s">
        <v>232</v>
      </c>
      <c r="BP25" s="33">
        <f t="shared" ca="1" si="48"/>
        <v>25</v>
      </c>
      <c r="BQ25" s="33">
        <f ca="1">CHOOSE(MATCH(BP25,{15,25,50,100},0),S25,T25,U25,V25)</f>
        <v>33.786077631329086</v>
      </c>
      <c r="BR25" s="33">
        <f ca="1">IFERROR(IF(ISNUMBER(FIND("50 anos",INDIRECT("'"&amp;#REF!&amp;"'!"&amp;IF(ISNUMBER(FIND("HUT",#REF!)),"U40","Q14")))),50,25),25)</f>
        <v>25</v>
      </c>
      <c r="BS25" s="33">
        <f ca="1">CHOOSE(MATCH(BR25,{15,25,50,100},0),S25,T25,U25,V25)</f>
        <v>33.786077631329086</v>
      </c>
      <c r="BU25" s="33">
        <f t="shared" ca="1" si="49"/>
        <v>0.54314130887785739</v>
      </c>
      <c r="BV25" s="33" t="str">
        <f t="shared" ca="1" si="39"/>
        <v>SUBCRÍTICO</v>
      </c>
      <c r="BW25" s="33" t="str">
        <f t="shared" ca="1" si="50"/>
        <v>SUFICIENTE</v>
      </c>
      <c r="BY25" s="33">
        <f t="shared" ca="1" si="51"/>
        <v>1.4578214103506479</v>
      </c>
      <c r="BZ25" s="33" t="str">
        <f t="shared" ca="1" si="52"/>
        <v>Celular</v>
      </c>
      <c r="CA25" s="115">
        <f t="shared" ca="1" si="53"/>
        <v>16.893038815664543</v>
      </c>
      <c r="CB25" s="353" t="str">
        <f ca="1">IF($AW25="","",IF($BZ25="Tubular",IF($CO25=0,0.01,IF($CO25&gt;=93,1,INDEX('Tab18'!$A$5:$A$97,$CO25)+($CN25-INDEX('Tab18'!$E$5:$E$97,$CO25))*(INDEX('Tab18'!$A$5:$A$97,$CO25+1)-INDEX('Tab18'!$A$5:$A$97,$CO25))/(INDEX('Tab18'!$E$5:$E$97,$CO25+1)-INDEX('Tab18'!$E$5:$E$97,$CO25)))),"-"))</f>
        <v>-</v>
      </c>
      <c r="CC25" s="33">
        <f t="shared" ca="1" si="54"/>
        <v>1.11109720786292</v>
      </c>
      <c r="CD25" s="33">
        <f t="shared" ref="CD25:CM25" ca="1" si="61">IF($AW25="","",IF($BZ25="Celular",$CN25^0.6*($AZ25+2*CC25)^0.4/$AZ25,"-"))</f>
        <v>1.3868987883954507</v>
      </c>
      <c r="CE25" s="33">
        <f t="shared" ca="1" si="61"/>
        <v>1.4437372965978483</v>
      </c>
      <c r="CF25" s="33">
        <f t="shared" ca="1" si="61"/>
        <v>1.455040804805247</v>
      </c>
      <c r="CG25" s="33">
        <f t="shared" ca="1" si="61"/>
        <v>1.4572730906990963</v>
      </c>
      <c r="CH25" s="33">
        <f t="shared" ca="1" si="61"/>
        <v>1.4577133300668008</v>
      </c>
      <c r="CI25" s="33">
        <f t="shared" ca="1" si="61"/>
        <v>1.4578001281564037</v>
      </c>
      <c r="CJ25" s="33">
        <f t="shared" ca="1" si="61"/>
        <v>1.4578172404506724</v>
      </c>
      <c r="CK25" s="33">
        <f t="shared" ca="1" si="61"/>
        <v>1.4578206141139669</v>
      </c>
      <c r="CL25" s="33">
        <f t="shared" ca="1" si="61"/>
        <v>1.4578212792252723</v>
      </c>
      <c r="CM25" s="33">
        <f t="shared" ca="1" si="61"/>
        <v>1.4578214103506479</v>
      </c>
      <c r="CN25" s="352">
        <f t="shared" ca="1" si="56"/>
        <v>3.5758120353029739</v>
      </c>
      <c r="CO25" s="174" t="str">
        <f ca="1">IF($AW25="","",IF($BZ25="Tubular",IFERROR(MATCH($CN25,'Tab18'!$E$5:$E$97,1),0),"-"))</f>
        <v>-</v>
      </c>
      <c r="CP25" s="33">
        <f ca="1">IF($AW25="","",IF($BZ25="Tubular",IF($CB25&gt;=1,'Tab18'!$D$104,INDEX('Tab18'!$D$5:$D$104,MATCH($CB25,'Tab18'!$A$5:$A$104,1))+($CB25-INDEX('Tab18'!$A$5:$A$104,MATCH($CB25,'Tab18'!$A$5:$A$104,1)))*(INDEX('Tab18'!$D$5:$D$104,MATCH($CB25,'Tab18'!$A$5:$A$104,1)+1)-INDEX('Tab18'!$D$5:$D$104,MATCH($CB25,'Tab18'!$A$5:$A$104,1)))/(INDEX('Tab18'!$A$5:$A$104,MATCH($CB25,'Tab18'!$A$5:$A$104,1)+1)-INDEX('Tab18'!$A$5:$A$104,MATCH($CB25,'Tab18'!$A$5:$A$104,1)))),($AZ25*$BY25/($AZ25+2*$BY25))^(2/3)))</f>
        <v>0.81761545098119404</v>
      </c>
    </row>
    <row r="26" spans="2:94" s="33" customFormat="1" ht="81.75" hidden="1" customHeight="1">
      <c r="B26" s="362" t="str" cm="1">
        <f t="array" aca="1" ref="B26" ca="1">IFERROR(INDIRECT("'"&amp;BN26&amp;"'!F10"),"")</f>
        <v>BC08</v>
      </c>
      <c r="C26" s="362" t="s">
        <v>243</v>
      </c>
      <c r="D26" s="363" t="str">
        <f ca="1">IFERROR(INDIRECT("'"&amp;BN26&amp;"'!E3"),"")</f>
        <v>542</v>
      </c>
      <c r="E26" s="363" t="str">
        <f ca="1">IFERROR(INDIRECT("'"&amp;BN26&amp;"'!F3"),"")</f>
        <v>+</v>
      </c>
      <c r="F26" s="363">
        <f ca="1">IFERROR(INDIRECT("'"&amp;BN26&amp;"'!G3"),"")</f>
        <v>6.47</v>
      </c>
      <c r="G26" s="364"/>
      <c r="H26" s="365">
        <f ca="1">IFERROR(INDIRECT("'"&amp;BN26&amp;"'!E6"),"")</f>
        <v>6.3304017846148657</v>
      </c>
      <c r="I26" s="365">
        <f ca="1">IFERROR(INDIRECT("'"&amp;BN26&amp;"'!E7"),"")</f>
        <v>4.5538123586517587</v>
      </c>
      <c r="J26" s="365">
        <f t="shared" ca="1" si="30"/>
        <v>369</v>
      </c>
      <c r="K26" s="365">
        <f ca="1">IFERROR(INDIRECT("'"&amp;BN26&amp;"'!E9"),"")</f>
        <v>2.9048783213608274</v>
      </c>
      <c r="L26" s="365">
        <f ca="1">IFERROR(INDIRECT("'"&amp;BN26&amp;"'!O9"),"")</f>
        <v>1.2574670208773875</v>
      </c>
      <c r="M26" s="365">
        <f ca="1">IFERROR(INDIRECT("'"&amp;BN26&amp;"'!O8"),"")</f>
        <v>0.2</v>
      </c>
      <c r="N26" s="366" t="str">
        <f t="shared" ca="1" si="41"/>
        <v>RAC MOD</v>
      </c>
      <c r="O26" s="365">
        <f ca="1">IFERROR(INDIRECT("'"&amp;BN26&amp;"'!n14"),"")</f>
        <v>1.1785789619103375</v>
      </c>
      <c r="P26" s="365">
        <f ca="1">IFERROR(INDIRECT("'"&amp;BN26&amp;"'!n15"),"")</f>
        <v>1.299069562718693</v>
      </c>
      <c r="Q26" s="365">
        <f ca="1">IFERROR(INDIRECT("'"&amp;BN26&amp;"'!N16"),"")</f>
        <v>1.4562145713965686</v>
      </c>
      <c r="R26" s="365">
        <f ca="1">IFERROR(INDIRECT("'"&amp;BN26&amp;"'!N17"),"")</f>
        <v>1.6092803170237489</v>
      </c>
      <c r="S26" s="365">
        <f ca="1">IFERROR(INDIRECT("'"&amp;BN26&amp;"'!M20"),"")</f>
        <v>16.551171001546638</v>
      </c>
      <c r="T26" s="365">
        <f ca="1">IFERROR(INDIRECT("'"&amp;BN26&amp;"'!M21"),"")</f>
        <v>18.243260036315871</v>
      </c>
      <c r="U26" s="365">
        <f ca="1">IFERROR(INDIRECT("'"&amp;BN26&amp;"'!M22"),"")</f>
        <v>20.450098945480892</v>
      </c>
      <c r="V26" s="365">
        <f ca="1">IFERROR(INDIRECT("'"&amp;BN26&amp;"'!M23"),"")</f>
        <v>22.59965142539987</v>
      </c>
      <c r="W26" s="365">
        <f t="shared" ca="1" si="42"/>
        <v>1.7999999999999998</v>
      </c>
      <c r="X26" s="367">
        <f>'Cadastro das Obras'!Q10</f>
        <v>4.9939589206614444E-3</v>
      </c>
      <c r="Y26" s="368">
        <f t="shared" ca="1" si="31"/>
        <v>5.3790662836983421</v>
      </c>
      <c r="Z26" s="365">
        <f ca="1">_xlfn.LET(_xlpm.aa,(Y26)*1,_xlpm.dd,(AY26)*1,_xlpm.ww,2*PI()-0.000002,_xlpm.t_1,0.000001+_xlpm.ww/2,_xlpm.t_2,_xlpm.t_1+IF(_xlpm.dd^2/8*(_xlpm.t_1-SIN(_xlpm.t_1))&lt;_xlpm.aa,_xlpm.ww,-_xlpm.ww)/4,_xlpm.t_3,_xlpm.t_2+IF(_xlpm.dd^2/8*(_xlpm.t_2-SIN(_xlpm.t_2))&lt;_xlpm.aa,_xlpm.ww,-_xlpm.ww)/8,_xlpm.t_4,_xlpm.t_3+IF(_xlpm.dd^2/8*(_xlpm.t_3-SIN(_xlpm.t_3))&lt;_xlpm.aa,_xlpm.ww,-_xlpm.ww)/16,_xlpm.t_5,_xlpm.t_4+IF(_xlpm.dd^2/8*(_xlpm.t_4-SIN(_xlpm.t_4))&lt;_xlpm.aa,_xlpm.ww,-_xlpm.ww)/32,_xlpm.t_6,_xlpm.t_5+IF(_xlpm.dd^2/8*(_xlpm.t_5-SIN(_xlpm.t_5))&lt;_xlpm.aa,_xlpm.ww,-_xlpm.ww)/64,_xlpm.t_7,_xlpm.t_6+IF(_xlpm.dd^2/8*(_xlpm.t_6-SIN(_xlpm.t_6))&lt;_xlpm.aa,_xlpm.ww,-_xlpm.ww)/128,_xlpm.t_8,_xlpm.t_7+IF(_xlpm.dd^2/8*(_xlpm.t_7-SIN(_xlpm.t_7))&lt;_xlpm.aa,_xlpm.ww,-_xlpm.ww)/256,_xlpm.t_9,_xlpm.t_8+IF(_xlpm.dd^2/8*(_xlpm.t_8-SIN(_xlpm.t_8))&lt;_xlpm.aa,_xlpm.ww,-_xlpm.ww)/512,_xlpm.t_10,_xlpm.t_9+IF(_xlpm.dd^2/8*(_xlpm.t_9-SIN(_xlpm.t_9))&lt;_xlpm.aa,_xlpm.ww,-_xlpm.ww)/1024,_xlpm.t_11,_xlpm.t_10+IF(_xlpm.dd^2/8*(_xlpm.t_10-SIN(_xlpm.t_10))&lt;_xlpm.aa,_xlpm.ww,-_xlpm.ww)/2048,_xlpm.t_12,_xlpm.t_11+IF(_xlpm.dd^2/8*(_xlpm.t_11-SIN(_xlpm.t_11))&lt;_xlpm.aa,_xlpm.ww,-_xlpm.ww)/4096,_xlpm.t_13,_xlpm.t_12+IF(_xlpm.dd^2/8*(_xlpm.t_12-SIN(_xlpm.t_12))&lt;_xlpm.aa,_xlpm.ww,-_xlpm.ww)/8192,_xlpm.t_14,_xlpm.t_13+IF(_xlpm.dd^2/8*(_xlpm.t_13-SIN(_xlpm.t_13))&lt;_xlpm.aa,_xlpm.ww,-_xlpm.ww)/16384,_xlpm.t_15,_xlpm.t_14+IF(_xlpm.dd^2/8*(_xlpm.t_14-SIN(_xlpm.t_14))&lt;_xlpm.aa,_xlpm.ww,-_xlpm.ww)/32768,_xlpm.t_16,_xlpm.t_15+IF(_xlpm.dd^2/8*(_xlpm.t_15-SIN(_xlpm.t_15))&lt;_xlpm.aa,_xlpm.ww,-_xlpm.ww)/65536,_xlpm.t_17,_xlpm.t_16+IF(_xlpm.dd^2/8*(_xlpm.t_16-SIN(_xlpm.t_16))&lt;_xlpm.aa,_xlpm.ww,-_xlpm.ww)/131072,_xlpm.t_18,_xlpm.t_17+IF(_xlpm.dd^2/8*(_xlpm.t_17-SIN(_xlpm.t_17))&lt;_xlpm.aa,_xlpm.ww,-_xlpm.ww)/262144,_xlpm.t_19,_xlpm.t_18+IF(_xlpm.dd^2/8*(_xlpm.t_18-SIN(_xlpm.t_18))&lt;_xlpm.aa,_xlpm.ww,-_xlpm.ww)/524288,_xlpm.t_20,_xlpm.t_19+IF(_xlpm.dd^2/8*(_xlpm.t_19-SIN(_xlpm.t_19))&lt;_xlpm.aa,_xlpm.ww,-_xlpm.ww)/1048576,_xlpm.t_21,_xlpm.t_20+IF(_xlpm.dd^2/8*(_xlpm.t_20-SIN(_xlpm.t_20))&lt;_xlpm.aa,_xlpm.ww,-_xlpm.ww)/2097152,_xlpm.t_22,_xlpm.t_21+IF(_xlpm.dd^2/8*(_xlpm.t_21-SIN(_xlpm.t_21))&lt;_xlpm.aa,_xlpm.ww,-_xlpm.ww)/4194304,_xlpm.t_23,_xlpm.t_22+IF(_xlpm.dd^2/8*(_xlpm.t_22-SIN(_xlpm.t_22))&lt;_xlpm.aa,_xlpm.ww,-_xlpm.ww)/8388608,_xlpm.t_24,_xlpm.t_23+IF(_xlpm.dd^2/8*(_xlpm.t_23-SIN(_xlpm.t_23))&lt;_xlpm.aa,_xlpm.ww,-_xlpm.ww)/16777216,_xlpm.t_25,_xlpm.t_24+IF(_xlpm.dd^2/8*(_xlpm.t_24-SIN(_xlpm.t_24))&lt;_xlpm.aa,_xlpm.ww,-_xlpm.ww)/33554432,_xlpm.t_26,_xlpm.t_25+IF(_xlpm.dd^2/8*(_xlpm.t_25-SIN(_xlpm.t_25))&lt;_xlpm.aa,_xlpm.ww,-_xlpm.ww)/67108864,IF(OR(_xlpm.aa&lt;=0,_xlpm.dd&lt;=0),#VALUE!,_xlpm.dd/2*IF(_xlpm.t_26&gt;0.000001+_xlpm.ww*(1-1.5/2^26),0.000001+_xlpm.ww,_xlpm.t_26)))</f>
        <v>4.7123882303846898</v>
      </c>
      <c r="AA26" s="365">
        <v>0.55500000000000005</v>
      </c>
      <c r="AB26" s="365">
        <v>1.9079999999999999</v>
      </c>
      <c r="AC26" s="365">
        <f t="shared" ca="1" si="32"/>
        <v>1.3127136630680765</v>
      </c>
      <c r="AD26" s="365">
        <f t="shared" si="43"/>
        <v>0.29088050314465413</v>
      </c>
      <c r="AE26" s="368">
        <f ca="1">IFERROR(IF(IF(OR(ISNUMBER(SEARCH("BSTC",AM26)),ISNUMBER(SEARCH("BDTC",AM26)),ISNUMBER(SEARCH("BTTC",AM26))),"CIRCULAR",IF(OR(ISNUMBER(SEARCH("BSCC",AM26)),ISNUMBER(SEARCH("BDCC",AM26)),ISNUMBER(SEARCH("BTCC",AM26))),"CELULAR",""))="CIRCULAR",AG26/SQRT(9.80665*(AA26/(AZ26*SIN((2*ACOS(1-2*AH26/AZ26))/2)))),AG26/SQRT(9.80665*AH26)),"")</f>
        <v>0.89419879273028335</v>
      </c>
      <c r="AF26" s="365" t="str">
        <f t="shared" ca="1" si="44"/>
        <v>Subcrítico</v>
      </c>
      <c r="AG26" s="368">
        <f t="shared" ca="1" si="45"/>
        <v>3.9293892191208037</v>
      </c>
      <c r="AH26" s="368">
        <f ca="1">IFERROR(IF(IF(OR(ISNUMBER(SEARCH("BSTC",AM26)),ISNUMBER(SEARCH("BDTC",AM26)),ISNUMBER(SEARCH("BTTC",AM26))),"CIRCULAR",IF(OR(ISNUMBER(SEARCH("BSCC",AM26)),ISNUMBER(SEARCH("BDCC",AM26)),ISNUMBER(SEARCH("BTCC",AM26))),"CELULAR",""))="CIRCULAR",_xlfn.LET(_xlpm.qq,(15/3)*1,_xlpm.dd,(AZ26)*1,_xlpm.ss,(X26)*1,_xlpm.nn,(0.015)*1,_xlpm.rr,_xlpm.dd/2,_xlpm.ww,_xlpm.dd-0.000002,_xlpm.zz,(_xlpm.qq*_xlpm.nn/SQRT(_xlpm.ss))^3*_xlpm.rr^2/(_xlpm.dd^2/8)^5,_xlpm.h_1,0.000001+_xlpm.ww/2,_xlpm.u_1,2*ACOS(1-_xlpm.h_1/_xlpm.rr),_xlpm.h_2,_xlpm.h_1+IF((_xlpm.u_1-SIN(_xlpm.u_1))^5&lt;_xlpm.zz*_xlpm.u_1^2,_xlpm.ww,-_xlpm.ww)/4,_xlpm.u_2,2*ACOS(1-_xlpm.h_2/_xlpm.rr),_xlpm.h_3,_xlpm.h_2+IF((_xlpm.u_2-SIN(_xlpm.u_2))^5&lt;_xlpm.zz*_xlpm.u_2^2,_xlpm.ww,-_xlpm.ww)/8,_xlpm.u_3,2*ACOS(1-_xlpm.h_3/_xlpm.rr),_xlpm.h_4,_xlpm.h_3+IF((_xlpm.u_3-SIN(_xlpm.u_3))^5&lt;_xlpm.zz*_xlpm.u_3^2,_xlpm.ww,-_xlpm.ww)/16,_xlpm.u_4,2*ACOS(1-_xlpm.h_4/_xlpm.rr),_xlpm.h_5,_xlpm.h_4+IF((_xlpm.u_4-SIN(_xlpm.u_4))^5&lt;_xlpm.zz*_xlpm.u_4^2,_xlpm.ww,-_xlpm.ww)/32,_xlpm.u_5,2*ACOS(1-_xlpm.h_5/_xlpm.rr),_xlpm.h_6,_xlpm.h_5+IF((_xlpm.u_5-SIN(_xlpm.u_5))^5&lt;_xlpm.zz*_xlpm.u_5^2,_xlpm.ww,-_xlpm.ww)/64,_xlpm.u_6,2*ACOS(1-_xlpm.h_6/_xlpm.rr),_xlpm.h_7,_xlpm.h_6+IF((_xlpm.u_6-SIN(_xlpm.u_6))^5&lt;_xlpm.zz*_xlpm.u_6^2,_xlpm.ww,-_xlpm.ww)/128,_xlpm.u_7,2*ACOS(1-_xlpm.h_7/_xlpm.rr),_xlpm.h_8,_xlpm.h_7+IF((_xlpm.u_7-SIN(_xlpm.u_7))^5&lt;_xlpm.zz*_xlpm.u_7^2,_xlpm.ww,-_xlpm.ww)/256,_xlpm.u_8,2*ACOS(1-_xlpm.h_8/_xlpm.rr),_xlpm.h_9,_xlpm.h_8+IF((_xlpm.u_8-SIN(_xlpm.u_8))^5&lt;_xlpm.zz*_xlpm.u_8^2,_xlpm.ww,-_xlpm.ww)/512,_xlpm.u_9,2*ACOS(1-_xlpm.h_9/_xlpm.rr),_xlpm.h_10,_xlpm.h_9+IF((_xlpm.u_9-SIN(_xlpm.u_9))^5&lt;_xlpm.zz*_xlpm.u_9^2,_xlpm.ww,-_xlpm.ww)/1024,_xlpm.u_10,2*ACOS(1-_xlpm.h_10/_xlpm.rr),_xlpm.h_11,_xlpm.h_10+IF((_xlpm.u_10-SIN(_xlpm.u_10))^5&lt;_xlpm.zz*_xlpm.u_10^2,_xlpm.ww,-_xlpm.ww)/2048,_xlpm.u_11,2*ACOS(1-_xlpm.h_11/_xlpm.rr),_xlpm.h_12,_xlpm.h_11+IF((_xlpm.u_11-SIN(_xlpm.u_11))^5&lt;_xlpm.zz*_xlpm.u_11^2,_xlpm.ww,-_xlpm.ww)/4096,_xlpm.u_12,2*ACOS(1-_xlpm.h_12/_xlpm.rr),_xlpm.h_13,_xlpm.h_12+IF((_xlpm.u_12-SIN(_xlpm.u_12))^5&lt;_xlpm.zz*_xlpm.u_12^2,_xlpm.ww,-_xlpm.ww)/8192,_xlpm.u_13,2*ACOS(1-_xlpm.h_13/_xlpm.rr),_xlpm.h_14,_xlpm.h_13+IF((_xlpm.u_13-SIN(_xlpm.u_13))^5&lt;_xlpm.zz*_xlpm.u_13^2,_xlpm.ww,-_xlpm.ww)/16384,_xlpm.u_14,2*ACOS(1-_xlpm.h_14/_xlpm.rr),_xlpm.h_15,_xlpm.h_14+IF((_xlpm.u_14-SIN(_xlpm.u_14))^5&lt;_xlpm.zz*_xlpm.u_14^2,_xlpm.ww,-_xlpm.ww)/32768,_xlpm.u_15,2*ACOS(1-_xlpm.h_15/_xlpm.rr),_xlpm.h_16,_xlpm.h_15+IF((_xlpm.u_15-SIN(_xlpm.u_15))^5&lt;_xlpm.zz*_xlpm.u_15^2,_xlpm.ww,-_xlpm.ww)/65536,_xlpm.u_16,2*ACOS(1-_xlpm.h_16/_xlpm.rr),_xlpm.h_17,_xlpm.h_16+IF((_xlpm.u_16-SIN(_xlpm.u_16))^5&lt;_xlpm.zz*_xlpm.u_16^2,_xlpm.ww,-_xlpm.ww)/131072,_xlpm.u_17,2*ACOS(1-_xlpm.h_17/_xlpm.rr),_xlpm.h_18,_xlpm.h_17+IF((_xlpm.u_17-SIN(_xlpm.u_17))^5&lt;_xlpm.zz*_xlpm.u_17^2,_xlpm.ww,-_xlpm.ww)/262144,_xlpm.u_18,2*ACOS(1-_xlpm.h_18/_xlpm.rr),_xlpm.h_19,_xlpm.h_18+IF((_xlpm.u_18-SIN(_xlpm.u_18))^5&lt;_xlpm.zz*_xlpm.u_18^2,_xlpm.ww,-_xlpm.ww)/524288,_xlpm.u_19,2*ACOS(1-_xlpm.h_19/_xlpm.rr),_xlpm.h_20,_xlpm.h_19+IF((_xlpm.u_19-SIN(_xlpm.u_19))^5&lt;_xlpm.zz*_xlpm.u_19^2,_xlpm.ww,-_xlpm.ww)/1048576,_xlpm.u_20,2*ACOS(1-_xlpm.h_20/_xlpm.rr),_xlpm.h_21,_xlpm.h_20+IF((_xlpm.u_20-SIN(_xlpm.u_20))^5&lt;_xlpm.zz*_xlpm.u_20^2,_xlpm.ww,-_xlpm.ww)/2097152,_xlpm.u_21,2*ACOS(1-_xlpm.h_21/_xlpm.rr),_xlpm.h_22,_xlpm.h_21+IF((_xlpm.u_21-SIN(_xlpm.u_21))^5&lt;_xlpm.zz*_xlpm.u_21^2,_xlpm.ww,-_xlpm.ww)/4194304,_xlpm.u_22,2*ACOS(1-_xlpm.h_22/_xlpm.rr),_xlpm.h_23,_xlpm.h_22+IF((_xlpm.u_22-SIN(_xlpm.u_22))^5&lt;_xlpm.zz*_xlpm.u_22^2,_xlpm.ww,-_xlpm.ww)/8388608,_xlpm.u_23,2*ACOS(1-_xlpm.h_23/_xlpm.rr),_xlpm.h_24,_xlpm.h_23+IF((_xlpm.u_23-SIN(_xlpm.u_23))^5&lt;_xlpm.zz*_xlpm.u_23^2,_xlpm.ww,-_xlpm.ww)/16777216,_xlpm.u_24,2*ACOS(1-_xlpm.h_24/_xlpm.rr),_xlpm.h_25,_xlpm.h_24+IF((_xlpm.u_24-SIN(_xlpm.u_24))^5&lt;_xlpm.zz*_xlpm.u_24^2,_xlpm.ww,-_xlpm.ww)/33554432,_xlpm.u_25,2*ACOS(1-_xlpm.h_25/_xlpm.rr),_xlpm.h_26,_xlpm.h_25+IF((_xlpm.u_25-SIN(_xlpm.u_25))^5&lt;_xlpm.zz*_xlpm.u_25^2,_xlpm.ww,-_xlpm.ww)/67108864,IF(OR(_xlpm.qq&lt;=0,_xlpm.dd&lt;=0,_xlpm.ss&lt;=0,_xlpm.nn&lt;=0),#VALUE!,IF(_xlpm.h_26&gt;0.000001+_xlpm.ww*(1-1.5/2^26),0.000001+_xlpm.ww,_xlpm.h_26))),_xlfn.LET(_xlpm.ob,AM26,_xlpm.ss,(X26)*1,_xlpm.nn,(0.015)*1,_xlpm.qq,(BP26)*1/IF(OR(ISNUMBER(SEARCH("BSTC",_xlpm.ob)),ISNUMBER(SEARCH("BSCC",_xlpm.ob))),1,IF(OR(ISNUMBER(SEARCH("BDTC",_xlpm.ob)),ISNUMBER(SEARCH("BDCC",_xlpm.ob))),2,IF(OR(ISNUMBER(SEARCH("BTTC",_xlpm.ob)),ISNUMBER(SEARCH("BTCC",_xlpm.ob))),3,#VALUE!))),_xlpm.bb,_xlfn.NUMBERVALUE(SUBSTITUTE(TRIM(MID(_xlpm.ob,SEARCH("cc",_xlpm.ob)+3,SEARCH("x",_xlpm.ob)-SEARCH("cc",_xlpm.ob)-3)),".",","),",","."),_xlpm.hh,_xlfn.NUMBERVALUE(SUBSTITUTE(TRIM(MID(_xlpm.ob,SEARCH("x",_xlpm.ob)+1,SEARCH("m",_xlpm.ob,SEARCH("x",_xlpm.ob))-SEARCH("x",_xlpm.ob)-1)),".",","),",","."),_xlpm.kk,SQRT(_xlpm.ss)/_xlpm.nn,_xlpm.x_0,_xlpm.hh,_xlpm.g_0,_xlpm.kk*_xlpm.bb*_xlpm.x_0*(_xlpm.bb*_xlpm.x_0/(_xlpm.bb+2*_xlpm.x_0))^(2/3),_xlpm.x_1,_xlpm.x_0-(_xlpm.g_0-_xlpm.qq)/(_xlpm.g_0*(5/(3*_xlpm.x_0)-4/(3*(_xlpm.bb+2*_xlpm.x_0)))),_xlpm.g_1,_xlpm.kk*_xlpm.bb*_xlpm.x_1*(_xlpm.bb*_xlpm.x_1/(_xlpm.bb+2*_xlpm.x_1))^(2/3),_xlpm.x_2,_xlpm.x_1-(_xlpm.g_1-_xlpm.qq)/(_xlpm.g_1*(5/(3*_xlpm.x_1)-4/(3*(_xlpm.bb+2*_xlpm.x_1)))),_xlpm.g_2,_xlpm.kk*_xlpm.bb*_xlpm.x_2*(_xlpm.bb*_xlpm.x_2/(_xlpm.bb+2*_xlpm.x_2))^(2/3),_xlpm.x_3,_xlpm.x_2-(_xlpm.g_2-_xlpm.qq)/(_xlpm.g_2*(5/(3*_xlpm.x_2)-4/(3*(_xlpm.bb+2*_xlpm.x_2)))),_xlpm.g_3,_xlpm.kk*_xlpm.bb*_xlpm.x_3*(_xlpm.bb*_xlpm.x_3/(_xlpm.bb+2*_xlpm.x_3))^(2/3),_xlpm.x_4,_xlpm.x_3-(_xlpm.g_3-_xlpm.qq)/(_xlpm.g_3*(5/(3*_xlpm.x_3)-4/(3*(_xlpm.bb+2*_xlpm.x_3)))),_xlpm.g_4,_xlpm.kk*_xlpm.bb*_xlpm.x_4*(_xlpm.bb*_xlpm.x_4/(_xlpm.bb+2*_xlpm.x_4))^(2/3),_xlpm.x_5,_xlpm.x_4-(_xlpm.g_4-_xlpm.qq)/(_xlpm.g_4*(5/(3*_xlpm.x_4)-4/(3*(_xlpm.bb+2*_xlpm.x_4)))),_xlpm.g_5,_xlpm.kk*_xlpm.bb*_xlpm.x_5*(_xlpm.bb*_xlpm.x_5/(_xlpm.bb+2*_xlpm.x_5))^(2/3),_xlpm.x_6,_xlpm.x_5-(_xlpm.g_5-_xlpm.qq)/(_xlpm.g_5*(5/(3*_xlpm.x_5)-4/(3*(_xlpm.bb+2*_xlpm.x_5)))),_xlpm.g_6,_xlpm.kk*_xlpm.bb*_xlpm.x_6*(_xlpm.bb*_xlpm.x_6/(_xlpm.bb+2*_xlpm.x_6))^(2/3),_xlpm.x_7,_xlpm.x_6-(_xlpm.g_6-_xlpm.qq)/(_xlpm.g_6*(5/(3*_xlpm.x_6)-4/(3*(_xlpm.bb+2*_xlpm.x_6)))),_xlpm.g_7,_xlpm.kk*_xlpm.bb*_xlpm.x_7*(_xlpm.bb*_xlpm.x_7/(_xlpm.bb+2*_xlpm.x_7))^(2/3),_xlpm.x_8,_xlpm.x_7-(_xlpm.g_7-_xlpm.qq)/(_xlpm.g_7*(5/(3*_xlpm.x_7)-4/(3*(_xlpm.bb+2*_xlpm.x_7)))),_xlpm.g_8,_xlpm.kk*_xlpm.bb*_xlpm.x_8*(_xlpm.bb*_xlpm.x_8/(_xlpm.bb+2*_xlpm.x_8))^(2/3),_xlpm.x_9,_xlpm.x_8-(_xlpm.g_8-_xlpm.qq)/(_xlpm.g_8*(5/(3*_xlpm.x_8)-4/(3*(_xlpm.bb+2*_xlpm.x_8)))),_xlpm.g_9,_xlpm.kk*_xlpm.bb*_xlpm.x_9*(_xlpm.bb*_xlpm.x_9/(_xlpm.bb+2*_xlpm.x_9))^(2/3),_xlpm.x_10,_xlpm.x_9-(_xlpm.g_9-_xlpm.qq)/(_xlpm.g_9*(5/(3*_xlpm.x_9)-4/(3*(_xlpm.bb+2*_xlpm.x_9)))),MIN(_xlpm.hh,_xlpm.x_10))),"")</f>
        <v>1.9690704946021147</v>
      </c>
      <c r="AI26" s="368">
        <f ca="1">IFERROR(
  IF(
    IF(OR(ISNUMBER(SEARCH("BSTC",AM26)),ISNUMBER(SEARCH("BDTC",AM26)),ISNUMBER(SEARCH("BTTC",AM26))),"CIRCULAR",IF(OR(ISNUMBER(SEARCH("BSCC",AM26)),ISNUMBER(SEARCH("BDCC",AM26)),ISNUMBER(SEARCH("BTCC",AM26))),"CELULAR",""))="CIRCULAR",
    (3/2)*(((AZ26^2/8)*((2*ACOS(1-2*BB26/AZ26))-SIN(2*ACOS(1-2*BB26/AZ26))))/(AZ26*SIN((2*ACOS(1-2*BB26/AZ26))/2))),
    (3/2)*BB26
  ),
  ""
)</f>
        <v>2.3347398519998115</v>
      </c>
      <c r="AJ26" s="368">
        <f t="shared" ca="1" si="46"/>
        <v>0.49999966666666662</v>
      </c>
      <c r="AK26" s="369" t="s">
        <v>370</v>
      </c>
      <c r="AL26" s="370" t="str">
        <f ca="1">IFERROR(INDIRECT("'"&amp;BN26&amp;"'!J26"),"")</f>
        <v>BTTC d= 1,50m</v>
      </c>
      <c r="AM26" s="373" t="str">
        <f ca="1">IFERROR(INDIRECT("'"&amp;BN26&amp;"'!J31"),"")</f>
        <v>BSCC 3,00 x 3,00m</v>
      </c>
      <c r="AN26" s="371" t="s">
        <v>25</v>
      </c>
      <c r="AO26" s="371" t="s">
        <v>25</v>
      </c>
      <c r="AP26" s="371" t="s">
        <v>373</v>
      </c>
      <c r="AQ26" s="117">
        <f t="shared" ca="1" si="33"/>
        <v>32.157996430961724</v>
      </c>
      <c r="AR26" s="31">
        <f t="shared" ca="1" si="34"/>
        <v>1.1414734993638733</v>
      </c>
      <c r="AS26" s="93">
        <v>1.4999999999999999E-2</v>
      </c>
      <c r="AT26" s="33">
        <f ca="1">IFERROR(IF(IF(OR(ISNUMBER(SEARCH("BSTC",AL26)),ISNUMBER(SEARCH("BDTC",AL26)),ISNUMBER(SEARCH("BTTC",AL26))),"CIRCULAR",IF(OR(ISNUMBER(SEARCH("BSCC",AL26)),ISNUMBER(SEARCH("BDCC",AL26)),ISNUMBER(SEARCH("BTCC",AL26))),"CELULAR",""))="CIRCULAR",_xlfn.LET(_xlpm.qq,(BS26/(IFERROR(IF(OR(ISNUMBER(FIND("BDTC",AL26)),ISNUMBER(FIND("BDCC",AL26))),2,IF(OR(ISNUMBER(FIND("BTTC",AL26)),ISNUMBER(FIND("BTCC",AL26))),3,IF(OR(ISNUMBER(FIND("BSTC",AL26)),ISNUMBER(FIND("BSCC",AL26))),1,""))),"")))*1,_xlpm.dd,(AY26)*1,_xlpm.ss,(X26)*1,_xlpm.nn,(0.015)*1,_xlpm.rr,_xlpm.dd/2,_xlpm.ww,_xlpm.dd-0.000002,_xlpm.zz,(_xlpm.qq*_xlpm.nn/SQRT(_xlpm.ss))^3*_xlpm.rr^2/(_xlpm.dd^2/8)^5,_xlpm.h_1,0.000001+_xlpm.ww/2,_xlpm.u_1,2*ACOS(1-_xlpm.h_1/_xlpm.rr),_xlpm.h_2,_xlpm.h_1+IF((_xlpm.u_1-SIN(_xlpm.u_1))^5&lt;_xlpm.zz*_xlpm.u_1^2,_xlpm.ww,-_xlpm.ww)/4,_xlpm.u_2,2*ACOS(1-_xlpm.h_2/_xlpm.rr),_xlpm.h_3,_xlpm.h_2+IF((_xlpm.u_2-SIN(_xlpm.u_2))^5&lt;_xlpm.zz*_xlpm.u_2^2,_xlpm.ww,-_xlpm.ww)/8,_xlpm.u_3,2*ACOS(1-_xlpm.h_3/_xlpm.rr),_xlpm.h_4,_xlpm.h_3+IF((_xlpm.u_3-SIN(_xlpm.u_3))^5&lt;_xlpm.zz*_xlpm.u_3^2,_xlpm.ww,-_xlpm.ww)/16,_xlpm.u_4,2*ACOS(1-_xlpm.h_4/_xlpm.rr),_xlpm.h_5,_xlpm.h_4+IF((_xlpm.u_4-SIN(_xlpm.u_4))^5&lt;_xlpm.zz*_xlpm.u_4^2,_xlpm.ww,-_xlpm.ww)/32,_xlpm.u_5,2*ACOS(1-_xlpm.h_5/_xlpm.rr),_xlpm.h_6,_xlpm.h_5+IF((_xlpm.u_5-SIN(_xlpm.u_5))^5&lt;_xlpm.zz*_xlpm.u_5^2,_xlpm.ww,-_xlpm.ww)/64,_xlpm.u_6,2*ACOS(1-_xlpm.h_6/_xlpm.rr),_xlpm.h_7,_xlpm.h_6+IF((_xlpm.u_6-SIN(_xlpm.u_6))^5&lt;_xlpm.zz*_xlpm.u_6^2,_xlpm.ww,-_xlpm.ww)/128,_xlpm.u_7,2*ACOS(1-_xlpm.h_7/_xlpm.rr),_xlpm.h_8,_xlpm.h_7+IF((_xlpm.u_7-SIN(_xlpm.u_7))^5&lt;_xlpm.zz*_xlpm.u_7^2,_xlpm.ww,-_xlpm.ww)/256,_xlpm.u_8,2*ACOS(1-_xlpm.h_8/_xlpm.rr),_xlpm.h_9,_xlpm.h_8+IF((_xlpm.u_8-SIN(_xlpm.u_8))^5&lt;_xlpm.zz*_xlpm.u_8^2,_xlpm.ww,-_xlpm.ww)/512,_xlpm.u_9,2*ACOS(1-_xlpm.h_9/_xlpm.rr),_xlpm.h_10,_xlpm.h_9+IF((_xlpm.u_9-SIN(_xlpm.u_9))^5&lt;_xlpm.zz*_xlpm.u_9^2,_xlpm.ww,-_xlpm.ww)/1024,_xlpm.u_10,2*ACOS(1-_xlpm.h_10/_xlpm.rr),_xlpm.h_11,_xlpm.h_10+IF((_xlpm.u_10-SIN(_xlpm.u_10))^5&lt;_xlpm.zz*_xlpm.u_10^2,_xlpm.ww,-_xlpm.ww)/2048,_xlpm.u_11,2*ACOS(1-_xlpm.h_11/_xlpm.rr),_xlpm.h_12,_xlpm.h_11+IF((_xlpm.u_11-SIN(_xlpm.u_11))^5&lt;_xlpm.zz*_xlpm.u_11^2,_xlpm.ww,-_xlpm.ww)/4096,_xlpm.u_12,2*ACOS(1-_xlpm.h_12/_xlpm.rr),_xlpm.h_13,_xlpm.h_12+IF((_xlpm.u_12-SIN(_xlpm.u_12))^5&lt;_xlpm.zz*_xlpm.u_12^2,_xlpm.ww,-_xlpm.ww)/8192,_xlpm.u_13,2*ACOS(1-_xlpm.h_13/_xlpm.rr),_xlpm.h_14,_xlpm.h_13+IF((_xlpm.u_13-SIN(_xlpm.u_13))^5&lt;_xlpm.zz*_xlpm.u_13^2,_xlpm.ww,-_xlpm.ww)/16384,_xlpm.u_14,2*ACOS(1-_xlpm.h_14/_xlpm.rr),_xlpm.h_15,_xlpm.h_14+IF((_xlpm.u_14-SIN(_xlpm.u_14))^5&lt;_xlpm.zz*_xlpm.u_14^2,_xlpm.ww,-_xlpm.ww)/32768,_xlpm.u_15,2*ACOS(1-_xlpm.h_15/_xlpm.rr),_xlpm.h_16,_xlpm.h_15+IF((_xlpm.u_15-SIN(_xlpm.u_15))^5&lt;_xlpm.zz*_xlpm.u_15^2,_xlpm.ww,-_xlpm.ww)/65536,_xlpm.u_16,2*ACOS(1-_xlpm.h_16/_xlpm.rr),_xlpm.h_17,_xlpm.h_16+IF((_xlpm.u_16-SIN(_xlpm.u_16))^5&lt;_xlpm.zz*_xlpm.u_16^2,_xlpm.ww,-_xlpm.ww)/131072,_xlpm.u_17,2*ACOS(1-_xlpm.h_17/_xlpm.rr),_xlpm.h_18,_xlpm.h_17+IF((_xlpm.u_17-SIN(_xlpm.u_17))^5&lt;_xlpm.zz*_xlpm.u_17^2,_xlpm.ww,-_xlpm.ww)/262144,_xlpm.u_18,2*ACOS(1-_xlpm.h_18/_xlpm.rr),_xlpm.h_19,_xlpm.h_18+IF((_xlpm.u_18-SIN(_xlpm.u_18))^5&lt;_xlpm.zz*_xlpm.u_18^2,_xlpm.ww,-_xlpm.ww)/524288,_xlpm.u_19,2*ACOS(1-_xlpm.h_19/_xlpm.rr),_xlpm.h_20,_xlpm.h_19+IF((_xlpm.u_19-SIN(_xlpm.u_19))^5&lt;_xlpm.zz*_xlpm.u_19^2,_xlpm.ww,-_xlpm.ww)/1048576,_xlpm.u_20,2*ACOS(1-_xlpm.h_20/_xlpm.rr),_xlpm.h_21,_xlpm.h_20+IF((_xlpm.u_20-SIN(_xlpm.u_20))^5&lt;_xlpm.zz*_xlpm.u_20^2,_xlpm.ww,-_xlpm.ww)/2097152,_xlpm.u_21,2*ACOS(1-_xlpm.h_21/_xlpm.rr),_xlpm.h_22,_xlpm.h_21+IF((_xlpm.u_21-SIN(_xlpm.u_21))^5&lt;_xlpm.zz*_xlpm.u_21^2,_xlpm.ww,-_xlpm.ww)/4194304,_xlpm.u_22,2*ACOS(1-_xlpm.h_22/_xlpm.rr),_xlpm.h_23,_xlpm.h_22+IF((_xlpm.u_22-SIN(_xlpm.u_22))^5&lt;_xlpm.zz*_xlpm.u_22^2,_xlpm.ww,-_xlpm.ww)/8388608,_xlpm.u_23,2*ACOS(1-_xlpm.h_23/_xlpm.rr),_xlpm.h_24,_xlpm.h_23+IF((_xlpm.u_23-SIN(_xlpm.u_23))^5&lt;_xlpm.zz*_xlpm.u_23^2,_xlpm.ww,-_xlpm.ww)/16777216,_xlpm.u_24,2*ACOS(1-_xlpm.h_24/_xlpm.rr),_xlpm.h_25,_xlpm.h_24+IF((_xlpm.u_24-SIN(_xlpm.u_24))^5&lt;_xlpm.zz*_xlpm.u_24^2,_xlpm.ww,-_xlpm.ww)/33554432,_xlpm.u_25,2*ACOS(1-_xlpm.h_25/_xlpm.rr),_xlpm.h_26,_xlpm.h_25+IF((_xlpm.u_25-SIN(_xlpm.u_25))^5&lt;_xlpm.zz*_xlpm.u_25^2,_xlpm.ww,-_xlpm.ww)/67108864,IF(OR(_xlpm.qq&lt;=0,_xlpm.dd&lt;=0,_xlpm.ss&lt;=0,_xlpm.nn&lt;=0),#VALUE!,IF(_xlpm.h_26&gt;0.000001+_xlpm.ww*(1-1.5/2^26),0.000001+_xlpm.ww,_xlpm.h_26))),_xlfn.LET(_xlpm.ob,AL26,_xlpm.ss,(X26)*1,_xlpm.nn,(0.015)*1,_xlpm.qq,(BS26)*1/IF(OR(ISNUMBER(SEARCH("BSTC",_xlpm.ob)),ISNUMBER(SEARCH("BSCC",_xlpm.ob))),1,IF(OR(ISNUMBER(SEARCH("BDTC",_xlpm.ob)),ISNUMBER(SEARCH("BDCC",_xlpm.ob))),2,IF(OR(ISNUMBER(SEARCH("BTTC",_xlpm.ob)),ISNUMBER(SEARCH("BTCC",_xlpm.ob))),3,#VALUE!))),_xlpm.bb,_xlfn.NUMBERVALUE(SUBSTITUTE(TRIM(MID(_xlpm.ob,SEARCH("cc",_xlpm.ob)+3,SEARCH("x",_xlpm.ob)-SEARCH("cc",_xlpm.ob)-3)),".",","),",","."),_xlpm.hh,_xlfn.NUMBERVALUE(SUBSTITUTE(TRIM(MID(_xlpm.ob,SEARCH("x",_xlpm.ob)+1,SEARCH("m",_xlpm.ob,SEARCH("x",_xlpm.ob))-SEARCH("x",_xlpm.ob)-1)),".",","),",","."),_xlpm.kk,SQRT(_xlpm.ss)/_xlpm.nn,_xlpm.x_0,_xlpm.hh,_xlpm.g_0,_xlpm.kk*_xlpm.bb*_xlpm.x_0*(_xlpm.bb*_xlpm.x_0/(_xlpm.bb+2*_xlpm.x_0))^(2/3),_xlpm.x_1,_xlpm.x_0-(_xlpm.g_0-_xlpm.qq)/(_xlpm.g_0*(5/(3*_xlpm.x_0)-4/(3*(_xlpm.bb+2*_xlpm.x_0)))),_xlpm.g_1,_xlpm.kk*_xlpm.bb*_xlpm.x_1*(_xlpm.bb*_xlpm.x_1/(_xlpm.bb+2*_xlpm.x_1))^(2/3),_xlpm.x_2,_xlpm.x_1-(_xlpm.g_1-_xlpm.qq)/(_xlpm.g_1*(5/(3*_xlpm.x_1)-4/(3*(_xlpm.bb+2*_xlpm.x_1)))),_xlpm.g_2,_xlpm.kk*_xlpm.bb*_xlpm.x_2*(_xlpm.bb*_xlpm.x_2/(_xlpm.bb+2*_xlpm.x_2))^(2/3),_xlpm.x_3,_xlpm.x_2-(_xlpm.g_2-_xlpm.qq)/(_xlpm.g_2*(5/(3*_xlpm.x_2)-4/(3*(_xlpm.bb+2*_xlpm.x_2)))),_xlpm.g_3,_xlpm.kk*_xlpm.bb*_xlpm.x_3*(_xlpm.bb*_xlpm.x_3/(_xlpm.bb+2*_xlpm.x_3))^(2/3),_xlpm.x_4,_xlpm.x_3-(_xlpm.g_3-_xlpm.qq)/(_xlpm.g_3*(5/(3*_xlpm.x_3)-4/(3*(_xlpm.bb+2*_xlpm.x_3)))),_xlpm.g_4,_xlpm.kk*_xlpm.bb*_xlpm.x_4*(_xlpm.bb*_xlpm.x_4/(_xlpm.bb+2*_xlpm.x_4))^(2/3),_xlpm.x_5,_xlpm.x_4-(_xlpm.g_4-_xlpm.qq)/(_xlpm.g_4*(5/(3*_xlpm.x_4)-4/(3*(_xlpm.bb+2*_xlpm.x_4)))),_xlpm.g_5,_xlpm.kk*_xlpm.bb*_xlpm.x_5*(_xlpm.bb*_xlpm.x_5/(_xlpm.bb+2*_xlpm.x_5))^(2/3),_xlpm.x_6,_xlpm.x_5-(_xlpm.g_5-_xlpm.qq)/(_xlpm.g_5*(5/(3*_xlpm.x_5)-4/(3*(_xlpm.bb+2*_xlpm.x_5)))),_xlpm.g_6,_xlpm.kk*_xlpm.bb*_xlpm.x_6*(_xlpm.bb*_xlpm.x_6/(_xlpm.bb+2*_xlpm.x_6))^(2/3),_xlpm.x_7,_xlpm.x_6-(_xlpm.g_6-_xlpm.qq)/(_xlpm.g_6*(5/(3*_xlpm.x_6)-4/(3*(_xlpm.bb+2*_xlpm.x_6)))),_xlpm.g_7,_xlpm.kk*_xlpm.bb*_xlpm.x_7*(_xlpm.bb*_xlpm.x_7/(_xlpm.bb+2*_xlpm.x_7))^(2/3),_xlpm.x_8,_xlpm.x_7-(_xlpm.g_7-_xlpm.qq)/(_xlpm.g_7*(5/(3*_xlpm.x_7)-4/(3*(_xlpm.bb+2*_xlpm.x_7)))),_xlpm.g_8,_xlpm.kk*_xlpm.bb*_xlpm.x_8*(_xlpm.bb*_xlpm.x_8/(_xlpm.bb+2*_xlpm.x_8))^(2/3),_xlpm.x_9,_xlpm.x_8-(_xlpm.g_8-_xlpm.qq)/(_xlpm.g_8*(5/(3*_xlpm.x_8)-4/(3*(_xlpm.bb+2*_xlpm.x_8)))),_xlpm.g_9,_xlpm.kk*_xlpm.bb*_xlpm.x_9*(_xlpm.bb*_xlpm.x_9/(_xlpm.bb+2*_xlpm.x_9))^(2/3),_xlpm.x_10,_xlpm.x_9-(_xlpm.g_9-_xlpm.qq)/(_xlpm.g_9*(5/(3*_xlpm.x_9)-4/(3*(_xlpm.bb+2*_xlpm.x_9)))),MIN(_xlpm.hh,_xlpm.x_10))),"")</f>
        <v>1.4999989999999999</v>
      </c>
      <c r="AU26" s="33">
        <f t="shared" si="35"/>
        <v>1.1478909062940335</v>
      </c>
      <c r="AW26" s="33" t="str">
        <f t="shared" ca="1" si="36"/>
        <v>BSCC</v>
      </c>
      <c r="AY26" s="33">
        <f t="shared" ca="1" si="37"/>
        <v>1.5</v>
      </c>
      <c r="AZ26" s="33">
        <f t="shared" ca="1" si="38"/>
        <v>3</v>
      </c>
      <c r="BA26" s="33" t="str">
        <f ca="1">IFERROR(INDEX(Tabela_DEB!$A$2:$A$12,MATCH(LEFT(AM26,FIND(" ",AM26)-1)&amp;" "&amp;TEXT(VALUE(MID(AM26,FIND("=",AM26)+1,FIND("m",AM26)-FIND("=",AM26)-1))*100,"0"),Tabela_DEB!$E$2:$E$12,0)),"")</f>
        <v/>
      </c>
      <c r="BB26" s="33">
        <f ca="1">IFERROR(IF(IF(OR(ISNUMBER(SEARCH("BSTC",AM26)),ISNUMBER(SEARCH("BDTC",AM26)),ISNUMBER(SEARCH("BTTC",AM26))),"CIRCULAR",IF(OR(ISNUMBER(SEARCH("BSCC",AM26)),ISNUMBER(SEARCH("BDCC",AM26)),ISNUMBER(SEARCH("BTCC",AM26))),"CELULAR",""))="CIRCULAR",_xlfn.LET(_xlpm.qq,(BQ26/BC26)*1,_xlpm.dd,(AZ26)*1,_xlpm.ww,_xlpm.dd-0.0002,_xlpm.f_0,_xlpm.qq^2*_xlpm.dd*SIN(ACOS(1-2*0.0001/_xlpm.dd))-9.81*(_xlpm.dd^2/8*(2*ACOS(1-2*0.0001/_xlpm.dd)-SIN(2*ACOS(1-2*0.0001/_xlpm.dd))))^3,_xlpm.y_1,0.0001+_xlpm.ww/2,_xlpm.f_1,_xlpm.qq^2*_xlpm.dd*SIN(ACOS(1-2*_xlpm.y_1/_xlpm.dd))-9.81*(_xlpm.dd^2/8*(2*ACOS(1-2*_xlpm.y_1/_xlpm.dd)-SIN(2*ACOS(1-2*_xlpm.y_1/_xlpm.dd))))^3,_xlpm.y_2,_xlpm.y_1+IF(ABS(_xlpm.f_1)&lt;0.000001,0,IF(_xlpm.f_0*_xlpm.f_1&lt;0,-_xlpm.ww,_xlpm.ww))/4,_xlpm.f_2,_xlpm.qq^2*_xlpm.dd*SIN(ACOS(1-2*_xlpm.y_2/_xlpm.dd))-9.81*(_xlpm.dd^2/8*(2*ACOS(1-2*_xlpm.y_2/_xlpm.dd)-SIN(2*ACOS(1-2*_xlpm.y_2/_xlpm.dd))))^3,_xlpm.y_3,_xlpm.y_2+IF(ABS(_xlpm.f_2)&lt;0.000001,0,IF(_xlpm.f_0*_xlpm.f_2&lt;0,-_xlpm.ww,_xlpm.ww))/8,_xlpm.f_3,_xlpm.qq^2*_xlpm.dd*SIN(ACOS(1-2*_xlpm.y_3/_xlpm.dd))-9.81*(_xlpm.dd^2/8*(2*ACOS(1-2*_xlpm.y_3/_xlpm.dd)-SIN(2*ACOS(1-2*_xlpm.y_3/_xlpm.dd))))^3,_xlpm.y_4,_xlpm.y_3+IF(ABS(_xlpm.f_3)&lt;0.000001,0,IF(_xlpm.f_0*_xlpm.f_3&lt;0,-_xlpm.ww,_xlpm.ww))/16,_xlpm.f_4,_xlpm.qq^2*_xlpm.dd*SIN(ACOS(1-2*_xlpm.y_4/_xlpm.dd))-9.81*(_xlpm.dd^2/8*(2*ACOS(1-2*_xlpm.y_4/_xlpm.dd)-SIN(2*ACOS(1-2*_xlpm.y_4/_xlpm.dd))))^3,_xlpm.y_5,_xlpm.y_4+IF(ABS(_xlpm.f_4)&lt;0.000001,0,IF(_xlpm.f_0*_xlpm.f_4&lt;0,-_xlpm.ww,_xlpm.ww))/32,_xlpm.f_5,_xlpm.qq^2*_xlpm.dd*SIN(ACOS(1-2*_xlpm.y_5/_xlpm.dd))-9.81*(_xlpm.dd^2/8*(2*ACOS(1-2*_xlpm.y_5/_xlpm.dd)-SIN(2*ACOS(1-2*_xlpm.y_5/_xlpm.dd))))^3,_xlpm.y_6,_xlpm.y_5+IF(ABS(_xlpm.f_5)&lt;0.000001,0,IF(_xlpm.f_0*_xlpm.f_5&lt;0,-_xlpm.ww,_xlpm.ww))/64,_xlpm.f_6,_xlpm.qq^2*_xlpm.dd*SIN(ACOS(1-2*_xlpm.y_6/_xlpm.dd))-9.81*(_xlpm.dd^2/8*(2*ACOS(1-2*_xlpm.y_6/_xlpm.dd)-SIN(2*ACOS(1-2*_xlpm.y_6/_xlpm.dd))))^3,_xlpm.y_7,_xlpm.y_6+IF(ABS(_xlpm.f_6)&lt;0.000001,0,IF(_xlpm.f_0*_xlpm.f_6&lt;0,-_xlpm.ww,_xlpm.ww))/128,_xlpm.f_7,_xlpm.qq^2*_xlpm.dd*SIN(ACOS(1-2*_xlpm.y_7/_xlpm.dd))-9.81*(_xlpm.dd^2/8*(2*ACOS(1-2*_xlpm.y_7/_xlpm.dd)-SIN(2*ACOS(1-2*_xlpm.y_7/_xlpm.dd))))^3,_xlpm.y_8,_xlpm.y_7+IF(ABS(_xlpm.f_7)&lt;0.000001,0,IF(_xlpm.f_0*_xlpm.f_7&lt;0,-_xlpm.ww,_xlpm.ww))/256,_xlpm.f_8,_xlpm.qq^2*_xlpm.dd*SIN(ACOS(1-2*_xlpm.y_8/_xlpm.dd))-9.81*(_xlpm.dd^2/8*(2*ACOS(1-2*_xlpm.y_8/_xlpm.dd)-SIN(2*ACOS(1-2*_xlpm.y_8/_xlpm.dd))))^3,_xlpm.y_9,_xlpm.y_8+IF(ABS(_xlpm.f_8)&lt;0.000001,0,IF(_xlpm.f_0*_xlpm.f_8&lt;0,-_xlpm.ww,_xlpm.ww))/512,_xlpm.f_9,_xlpm.qq^2*_xlpm.dd*SIN(ACOS(1-2*_xlpm.y_9/_xlpm.dd))-9.81*(_xlpm.dd^2/8*(2*ACOS(1-2*_xlpm.y_9/_xlpm.dd)-SIN(2*ACOS(1-2*_xlpm.y_9/_xlpm.dd))))^3,_xlpm.y_10,_xlpm.y_9+IF(ABS(_xlpm.f_9)&lt;0.000001,0,IF(_xlpm.f_0*_xlpm.f_9&lt;0,-_xlpm.ww,_xlpm.ww))/1024,_xlpm.f_10,_xlpm.qq^2*_xlpm.dd*SIN(ACOS(1-2*_xlpm.y_10/_xlpm.dd))-9.81*(_xlpm.dd^2/8*(2*ACOS(1-2*_xlpm.y_10/_xlpm.dd)-SIN(2*ACOS(1-2*_xlpm.y_10/_xlpm.dd))))^3,_xlpm.y_11,_xlpm.y_10+IF(ABS(_xlpm.f_10)&lt;0.000001,0,IF(_xlpm.f_0*_xlpm.f_10&lt;0,-_xlpm.ww,_xlpm.ww))/2048,_xlpm.f_11,_xlpm.qq^2*_xlpm.dd*SIN(ACOS(1-2*_xlpm.y_11/_xlpm.dd))-9.81*(_xlpm.dd^2/8*(2*ACOS(1-2*_xlpm.y_11/_xlpm.dd)-SIN(2*ACOS(1-2*_xlpm.y_11/_xlpm.dd))))^3,_xlpm.y_12,_xlpm.y_11+IF(ABS(_xlpm.f_11)&lt;0.000001,0,IF(_xlpm.f_0*_xlpm.f_11&lt;0,-_xlpm.ww,_xlpm.ww))/4096,_xlpm.f_12,_xlpm.qq^2*_xlpm.dd*SIN(ACOS(1-2*_xlpm.y_12/_xlpm.dd))-9.81*(_xlpm.dd^2/8*(2*ACOS(1-2*_xlpm.y_12/_xlpm.dd)-SIN(2*ACOS(1-2*_xlpm.y_12/_xlpm.dd))))^3,_xlpm.y_13,_xlpm.y_12+IF(ABS(_xlpm.f_12)&lt;0.000001,0,IF(_xlpm.f_0*_xlpm.f_12&lt;0,-_xlpm.ww,_xlpm.ww))/8192,_xlpm.f_13,_xlpm.qq^2*_xlpm.dd*SIN(ACOS(1-2*_xlpm.y_13/_xlpm.dd))-9.81*(_xlpm.dd^2/8*(2*ACOS(1-2*_xlpm.y_13/_xlpm.dd)-SIN(2*ACOS(1-2*_xlpm.y_13/_xlpm.dd))))^3,_xlpm.y_14,_xlpm.y_13+IF(ABS(_xlpm.f_13)&lt;0.000001,0,IF(_xlpm.f_0*_xlpm.f_13&lt;0,-_xlpm.ww,_xlpm.ww))/16384,_xlpm.f_14,_xlpm.qq^2*_xlpm.dd*SIN(ACOS(1-2*_xlpm.y_14/_xlpm.dd))-9.81*(_xlpm.dd^2/8*(2*ACOS(1-2*_xlpm.y_14/_xlpm.dd)-SIN(2*ACOS(1-2*_xlpm.y_14/_xlpm.dd))))^3,_xlpm.y_15,_xlpm.y_14+IF(ABS(_xlpm.f_14)&lt;0.000001,0,IF(_xlpm.f_0*_xlpm.f_14&lt;0,-_xlpm.ww,_xlpm.ww))/32768,_xlpm.f_15,_xlpm.qq^2*_xlpm.dd*SIN(ACOS(1-2*_xlpm.y_15/_xlpm.dd))-9.81*(_xlpm.dd^2/8*(2*ACOS(1-2*_xlpm.y_15/_xlpm.dd)-SIN(2*ACOS(1-2*_xlpm.y_15/_xlpm.dd))))^3,_xlpm.y_16,_xlpm.y_15+IF(ABS(_xlpm.f_15)&lt;0.000001,0,IF(_xlpm.f_0*_xlpm.f_15&lt;0,-_xlpm.ww,_xlpm.ww))/65536,_xlpm.f_16,_xlpm.qq^2*_xlpm.dd*SIN(ACOS(1-2*_xlpm.y_16/_xlpm.dd))-9.81*(_xlpm.dd^2/8*(2*ACOS(1-2*_xlpm.y_16/_xlpm.dd)-SIN(2*ACOS(1-2*_xlpm.y_16/_xlpm.dd))))^3,_xlpm.y_17,_xlpm.y_16+IF(ABS(_xlpm.f_16)&lt;0.000001,0,IF(_xlpm.f_0*_xlpm.f_16&lt;0,-_xlpm.ww,_xlpm.ww))/131072,_xlpm.f_17,_xlpm.qq^2*_xlpm.dd*SIN(ACOS(1-2*_xlpm.y_17/_xlpm.dd))-9.81*(_xlpm.dd^2/8*(2*ACOS(1-2*_xlpm.y_17/_xlpm.dd)-SIN(2*ACOS(1-2*_xlpm.y_17/_xlpm.dd))))^3,_xlpm.y_18,_xlpm.y_17+IF(ABS(_xlpm.f_17)&lt;0.000001,0,IF(_xlpm.f_0*_xlpm.f_17&lt;0,-_xlpm.ww,_xlpm.ww))/262144,_xlpm.f_18,_xlpm.qq^2*_xlpm.dd*SIN(ACOS(1-2*_xlpm.y_18/_xlpm.dd))-9.81*(_xlpm.dd^2/8*(2*ACOS(1-2*_xlpm.y_18/_xlpm.dd)-SIN(2*ACOS(1-2*_xlpm.y_18/_xlpm.dd))))^3,_xlpm.y_19,_xlpm.y_18+IF(ABS(_xlpm.f_18)&lt;0.000001,0,IF(_xlpm.f_0*_xlpm.f_18&lt;0,-_xlpm.ww,_xlpm.ww))/524288,_xlpm.f_19,_xlpm.qq^2*_xlpm.dd*SIN(ACOS(1-2*_xlpm.y_19/_xlpm.dd))-9.81*(_xlpm.dd^2/8*(2*ACOS(1-2*_xlpm.y_19/_xlpm.dd)-SIN(2*ACOS(1-2*_xlpm.y_19/_xlpm.dd))))^3,_xlpm.y_20,_xlpm.y_19+IF(ABS(_xlpm.f_19)&lt;0.000001,0,IF(_xlpm.f_0*_xlpm.f_19&lt;0,-_xlpm.ww,_xlpm.ww))/1048576,_xlpm.f_20,_xlpm.qq^2*_xlpm.dd*SIN(ACOS(1-2*_xlpm.y_20/_xlpm.dd))-9.81*(_xlpm.dd^2/8*(2*ACOS(1-2*_xlpm.y_20/_xlpm.dd)-SIN(2*ACOS(1-2*_xlpm.y_20/_xlpm.dd))))^3,_xlpm.y_21,_xlpm.y_20+IF(ABS(_xlpm.f_20)&lt;0.000001,0,IF(_xlpm.f_0*_xlpm.f_20&lt;0,-_xlpm.ww,_xlpm.ww))/2097152,_xlpm.f_21,_xlpm.qq^2*_xlpm.dd*SIN(ACOS(1-2*_xlpm.y_21/_xlpm.dd))-9.81*(_xlpm.dd^2/8*(2*ACOS(1-2*_xlpm.y_21/_xlpm.dd)-SIN(2*ACOS(1-2*_xlpm.y_21/_xlpm.dd))))^3,_xlpm.y_22,_xlpm.y_21+IF(ABS(_xlpm.f_21)&lt;0.000001,0,IF(_xlpm.f_0*_xlpm.f_21&lt;0,-_xlpm.ww,_xlpm.ww))/4194304,_xlpm.f_22,_xlpm.qq^2*_xlpm.dd*SIN(ACOS(1-2*_xlpm.y_22/_xlpm.dd))-9.81*(_xlpm.dd^2/8*(2*ACOS(1-2*_xlpm.y_22/_xlpm.dd)-SIN(2*ACOS(1-2*_xlpm.y_22/_xlpm.dd))))^3,_xlpm.y_23,_xlpm.y_22+IF(ABS(_xlpm.f_22)&lt;0.000001,0,IF(_xlpm.f_0*_xlpm.f_22&lt;0,-_xlpm.ww,_xlpm.ww))/8388608,_xlpm.f_23,_xlpm.qq^2*_xlpm.dd*SIN(ACOS(1-2*_xlpm.y_23/_xlpm.dd))-9.81*(_xlpm.dd^2/8*(2*ACOS(1-2*_xlpm.y_23/_xlpm.dd)-SIN(2*ACOS(1-2*_xlpm.y_23/_xlpm.dd))))^3,_xlpm.y_24,_xlpm.y_23+IF(ABS(_xlpm.f_23)&lt;0.000001,0,IF(_xlpm.f_0*_xlpm.f_23&lt;0,-_xlpm.ww,_xlpm.ww))/16777216,_xlpm.f_24,_xlpm.qq^2*_xlpm.dd*SIN(ACOS(1-2*_xlpm.y_24/_xlpm.dd))-9.81*(_xlpm.dd^2/8*(2*ACOS(1-2*_xlpm.y_24/_xlpm.dd)-SIN(2*ACOS(1-2*_xlpm.y_24/_xlpm.dd))))^3,_xlpm.y_25,_xlpm.y_24+IF(ABS(_xlpm.f_24)&lt;0.000001,0,IF(_xlpm.f_0*_xlpm.f_24&lt;0,-_xlpm.ww,_xlpm.ww))/33554432,_xlpm.f_25,_xlpm.qq^2*_xlpm.dd*SIN(ACOS(1-2*_xlpm.y_25/_xlpm.dd))-9.81*(_xlpm.dd^2/8*(2*ACOS(1-2*_xlpm.y_25/_xlpm.dd)-SIN(2*ACOS(1-2*_xlpm.y_25/_xlpm.dd))))^3,_xlpm.y_26,_xlpm.y_25+IF(ABS(_xlpm.f_25)&lt;0.000001,0,IF(_xlpm.f_0*_xlpm.f_25&lt;0,-_xlpm.ww,_xlpm.ww))/67108864,_xlpm.y_26),((BQ26/BC26/_xlfn.NUMBERVALUE(SUBSTITUTE(TRIM(MID(AM26,SEARCH("cc",AM26)+3,SEARCH("x",AM26)-SEARCH("cc",AM26)-3)),".",","),",","."))^2/9.80665)^(1/3)),"")</f>
        <v>1.556493234666541</v>
      </c>
      <c r="BC26" s="117">
        <f t="shared" ca="1" si="47"/>
        <v>1</v>
      </c>
      <c r="BE26" s="174">
        <f>'Cadastro das Obras'!U10</f>
        <v>37.244999999999997</v>
      </c>
      <c r="BF26" s="174">
        <f ca="1">'Cadastro das Obras'!V10</f>
        <v>37.244999999999997</v>
      </c>
      <c r="BH26" s="33" t="str">
        <f>'Cadastro das Obras'!T10</f>
        <v>0º</v>
      </c>
      <c r="BJ26" s="117">
        <f>'Cadastro das Obras'!W10</f>
        <v>4.51</v>
      </c>
      <c r="BN26" s="34" t="s">
        <v>353</v>
      </c>
      <c r="BP26" s="33">
        <f t="shared" ca="1" si="48"/>
        <v>25</v>
      </c>
      <c r="BQ26" s="33">
        <f ca="1">CHOOSE(MATCH(BP26,{15,25,50,100},0),S26,T26,U26,V26)</f>
        <v>18.243260036315871</v>
      </c>
      <c r="BR26" s="33">
        <f ca="1">IFERROR(IF(ISNUMBER(FIND("50 anos",INDIRECT("'"&amp;#REF!&amp;"'!"&amp;IF(ISNUMBER(FIND("HUT",#REF!)),"U40","Q14")))),50,25),25)</f>
        <v>25</v>
      </c>
      <c r="BS26" s="33">
        <f ca="1">CHOOSE(MATCH(BR26,{15,25,50,100},0),S26,T26,U26,V26)</f>
        <v>18.243260036315871</v>
      </c>
      <c r="BU26" s="33">
        <f t="shared" ca="1" si="49"/>
        <v>0.54314130887785739</v>
      </c>
      <c r="BV26" s="33" t="str">
        <f t="shared" ca="1" si="39"/>
        <v>SUBCRÍTICO</v>
      </c>
      <c r="BW26" s="33" t="str">
        <f t="shared" ca="1" si="50"/>
        <v>SUFICIENTE</v>
      </c>
      <c r="BY26" s="33">
        <f t="shared" ca="1" si="51"/>
        <v>1.5475907549786445</v>
      </c>
      <c r="BZ26" s="33" t="str">
        <f t="shared" ca="1" si="52"/>
        <v>Celular</v>
      </c>
      <c r="CA26" s="115">
        <f t="shared" ca="1" si="53"/>
        <v>18.243260036315871</v>
      </c>
      <c r="CB26" s="353" t="str">
        <f ca="1">IF($AW26="","",IF($BZ26="Tubular",IF($CO26=0,0.01,IF($CO26&gt;=93,1,INDEX('Tab18'!$A$5:$A$97,$CO26)+($CN26-INDEX('Tab18'!$E$5:$E$97,$CO26))*(INDEX('Tab18'!$A$5:$A$97,$CO26+1)-INDEX('Tab18'!$A$5:$A$97,$CO26))/(INDEX('Tab18'!$E$5:$E$97,$CO26+1)-INDEX('Tab18'!$E$5:$E$97,$CO26)))),"-"))</f>
        <v>-</v>
      </c>
      <c r="CC26" s="33">
        <f t="shared" ca="1" si="54"/>
        <v>1.1654938388206135</v>
      </c>
      <c r="CD26" s="33">
        <f t="shared" ref="CD26:CM26" ca="1" si="62">IF($AW26="","",IF($BZ26="Celular",$CN26^0.6*($AZ26+2*CC26)^0.4/$AZ26,"-"))</f>
        <v>1.4668461037945388</v>
      </c>
      <c r="CE26" s="33">
        <f t="shared" ca="1" si="62"/>
        <v>1.5310574465403022</v>
      </c>
      <c r="CF26" s="33">
        <f t="shared" ca="1" si="62"/>
        <v>1.5442270135518574</v>
      </c>
      <c r="CG26" s="33">
        <f t="shared" ca="1" si="62"/>
        <v>1.5469073130166844</v>
      </c>
      <c r="CH26" s="33">
        <f t="shared" ca="1" si="62"/>
        <v>1.5474519609926507</v>
      </c>
      <c r="CI26" s="33">
        <f t="shared" ca="1" si="62"/>
        <v>1.5475626005755521</v>
      </c>
      <c r="CJ26" s="33">
        <f t="shared" ca="1" si="62"/>
        <v>1.5475850744085085</v>
      </c>
      <c r="CK26" s="33">
        <f t="shared" ca="1" si="62"/>
        <v>1.5475896393800694</v>
      </c>
      <c r="CL26" s="33">
        <f t="shared" ca="1" si="62"/>
        <v>1.5475905666322174</v>
      </c>
      <c r="CM26" s="33">
        <f t="shared" ca="1" si="62"/>
        <v>1.5475907549786445</v>
      </c>
      <c r="CN26" s="352">
        <f t="shared" ca="1" si="56"/>
        <v>3.8723198709667979</v>
      </c>
      <c r="CO26" s="174" t="str">
        <f ca="1">IF($AW26="","",IF($BZ26="Tubular",IFERROR(MATCH($CN26,'Tab18'!$E$5:$E$97,1),0),"-"))</f>
        <v>-</v>
      </c>
      <c r="CP26" s="33">
        <f ca="1">IF($AW26="","",IF($BZ26="Tubular",IF($CB26&gt;=1,'Tab18'!$D$104,INDEX('Tab18'!$D$5:$D$104,MATCH($CB26,'Tab18'!$A$5:$A$104,1))+($CB26-INDEX('Tab18'!$A$5:$A$104,MATCH($CB26,'Tab18'!$A$5:$A$104,1)))*(INDEX('Tab18'!$D$5:$D$104,MATCH($CB26,'Tab18'!$A$5:$A$104,1)+1)-INDEX('Tab18'!$D$5:$D$104,MATCH($CB26,'Tab18'!$A$5:$A$104,1)))/(INDEX('Tab18'!$A$5:$A$104,MATCH($CB26,'Tab18'!$A$5:$A$104,1)+1)-INDEX('Tab18'!$A$5:$A$104,MATCH($CB26,'Tab18'!$A$5:$A$104,1)))),($AZ26*$BY26/($AZ26+2*$BY26))^(2/3)))</f>
        <v>0.83405333935244164</v>
      </c>
    </row>
    <row r="27" spans="2:94" s="33" customFormat="1" ht="81.75" hidden="1" customHeight="1">
      <c r="B27" s="362" t="str" cm="1">
        <f t="array" aca="1" ref="B27" ca="1">IFERROR(INDIRECT("'"&amp;BN27&amp;"'!F11"),"")</f>
        <v>BC09</v>
      </c>
      <c r="C27" s="362" t="s">
        <v>244</v>
      </c>
      <c r="D27" s="363" t="str">
        <f ca="1">IFERROR(INDIRECT("'"&amp;BN27&amp;"'!E4"),"")</f>
        <v>754</v>
      </c>
      <c r="E27" s="363" t="str">
        <f ca="1">IFERROR(INDIRECT("'"&amp;BN27&amp;"'!F4"),"")</f>
        <v>+</v>
      </c>
      <c r="F27" s="363">
        <f ca="1">IFERROR(INDIRECT("'"&amp;BN27&amp;"'!G4"),"")</f>
        <v>8.1999999999999993</v>
      </c>
      <c r="G27" s="364"/>
      <c r="H27" s="365">
        <f ca="1">IFERROR(INDIRECT("'"&amp;BN27&amp;"'!E7"),"")</f>
        <v>16.939486870219991</v>
      </c>
      <c r="I27" s="365">
        <f ca="1">IFERROR(INDIRECT("'"&amp;BN27&amp;"'!E8"),"")</f>
        <v>5.832545936297505</v>
      </c>
      <c r="J27" s="365">
        <f t="shared" ca="1" si="30"/>
        <v>5.832545936297505</v>
      </c>
      <c r="K27" s="365">
        <f ca="1">IFERROR(INDIRECT("'"&amp;BN27&amp;"'!E10"),"")</f>
        <v>2.7646412801374676</v>
      </c>
      <c r="L27" s="365">
        <f ca="1">IFERROR(INDIRECT("'"&amp;BN27&amp;"'!Q7"),"")</f>
        <v>1.5507145700692448</v>
      </c>
      <c r="M27" s="365">
        <f ca="1">IFERROR(INDIRECT("'"&amp;BN27&amp;"'!N6"),"")</f>
        <v>53</v>
      </c>
      <c r="N27" s="366" t="str">
        <f ca="1">IF(H27&lt;=5,"RAC",IF(H27&lt;=10,"RAC MOD","HUT"))</f>
        <v>HUT</v>
      </c>
      <c r="O27" s="365" cm="1">
        <f t="array" aca="1" ref="O27" ca="1">IFERROR(INDIRECT("'"&amp;$BN27&amp;"'!F29")/INDIRECT("'"&amp;$BN27&amp;"'!B29"),"")</f>
        <v>2.5084962456933897</v>
      </c>
      <c r="P27" s="365" cm="1">
        <f t="array" aca="1" ref="P27" ca="1">IFERROR(INDIRECT("'"&amp;$BN27&amp;"'!H29")/INDIRECT("'"&amp;$BN27&amp;"'!B29"),"")</f>
        <v>2.7687751157171836</v>
      </c>
      <c r="Q27" s="365" cm="1">
        <f t="array" aca="1" ref="Q27" ca="1">IFERROR(INDIRECT("'"&amp;$BN24&amp;"'!I29")/INDIRECT("'"&amp;$BN24&amp;"'!B29"),"")</f>
        <v>2.6556938383280131</v>
      </c>
      <c r="R27" s="365" cm="1">
        <f t="array" aca="1" ref="R27" ca="1">IFERROR(INDIRECT("'"&amp;$BN24&amp;"'!J29")/INDIRECT("'"&amp;$BN24&amp;"'!B29"),"")</f>
        <v>2.9047665709941572</v>
      </c>
      <c r="S27" s="365">
        <f ca="1">IFERROR(INDIRECT("'"&amp;BN27&amp;"'!E38"),"")</f>
        <v>27.999832673547697</v>
      </c>
      <c r="T27" s="365">
        <f ca="1">IFERROR(INDIRECT("'"&amp;BN27&amp;"'!E39"),"")</f>
        <v>37.694557589694597</v>
      </c>
      <c r="U27" s="365">
        <f ca="1">IFERROR(INDIRECT("'"&amp;BN27&amp;"'!E40"),"")</f>
        <v>51.827876598442238</v>
      </c>
      <c r="V27" s="365">
        <f ca="1">IFERROR(INDIRECT("'"&amp;BN27&amp;"'!E41"),"")</f>
        <v>67.369948736005398</v>
      </c>
      <c r="W27" s="365">
        <f t="shared" ca="1" si="42"/>
        <v>3</v>
      </c>
      <c r="X27" s="367">
        <f>'Cadastro das Obras'!Q11</f>
        <v>5.0094355807156687E-3</v>
      </c>
      <c r="Y27" s="368">
        <f t="shared" ca="1" si="31"/>
        <v>8.6091192407846098</v>
      </c>
      <c r="Z27" s="365">
        <f ca="1">_xlfn.LET(_xlpm.aa,(Y27)*1,_xlpm.dd,(AY27)*1,_xlpm.ww,2*PI()-0.000002,_xlpm.t_1,0.000001+_xlpm.ww/2,_xlpm.t_2,_xlpm.t_1+IF(_xlpm.dd^2/8*(_xlpm.t_1-SIN(_xlpm.t_1))&lt;_xlpm.aa,_xlpm.ww,-_xlpm.ww)/4,_xlpm.t_3,_xlpm.t_2+IF(_xlpm.dd^2/8*(_xlpm.t_2-SIN(_xlpm.t_2))&lt;_xlpm.aa,_xlpm.ww,-_xlpm.ww)/8,_xlpm.t_4,_xlpm.t_3+IF(_xlpm.dd^2/8*(_xlpm.t_3-SIN(_xlpm.t_3))&lt;_xlpm.aa,_xlpm.ww,-_xlpm.ww)/16,_xlpm.t_5,_xlpm.t_4+IF(_xlpm.dd^2/8*(_xlpm.t_4-SIN(_xlpm.t_4))&lt;_xlpm.aa,_xlpm.ww,-_xlpm.ww)/32,_xlpm.t_6,_xlpm.t_5+IF(_xlpm.dd^2/8*(_xlpm.t_5-SIN(_xlpm.t_5))&lt;_xlpm.aa,_xlpm.ww,-_xlpm.ww)/64,_xlpm.t_7,_xlpm.t_6+IF(_xlpm.dd^2/8*(_xlpm.t_6-SIN(_xlpm.t_6))&lt;_xlpm.aa,_xlpm.ww,-_xlpm.ww)/128,_xlpm.t_8,_xlpm.t_7+IF(_xlpm.dd^2/8*(_xlpm.t_7-SIN(_xlpm.t_7))&lt;_xlpm.aa,_xlpm.ww,-_xlpm.ww)/256,_xlpm.t_9,_xlpm.t_8+IF(_xlpm.dd^2/8*(_xlpm.t_8-SIN(_xlpm.t_8))&lt;_xlpm.aa,_xlpm.ww,-_xlpm.ww)/512,_xlpm.t_10,_xlpm.t_9+IF(_xlpm.dd^2/8*(_xlpm.t_9-SIN(_xlpm.t_9))&lt;_xlpm.aa,_xlpm.ww,-_xlpm.ww)/1024,_xlpm.t_11,_xlpm.t_10+IF(_xlpm.dd^2/8*(_xlpm.t_10-SIN(_xlpm.t_10))&lt;_xlpm.aa,_xlpm.ww,-_xlpm.ww)/2048,_xlpm.t_12,_xlpm.t_11+IF(_xlpm.dd^2/8*(_xlpm.t_11-SIN(_xlpm.t_11))&lt;_xlpm.aa,_xlpm.ww,-_xlpm.ww)/4096,_xlpm.t_13,_xlpm.t_12+IF(_xlpm.dd^2/8*(_xlpm.t_12-SIN(_xlpm.t_12))&lt;_xlpm.aa,_xlpm.ww,-_xlpm.ww)/8192,_xlpm.t_14,_xlpm.t_13+IF(_xlpm.dd^2/8*(_xlpm.t_13-SIN(_xlpm.t_13))&lt;_xlpm.aa,_xlpm.ww,-_xlpm.ww)/16384,_xlpm.t_15,_xlpm.t_14+IF(_xlpm.dd^2/8*(_xlpm.t_14-SIN(_xlpm.t_14))&lt;_xlpm.aa,_xlpm.ww,-_xlpm.ww)/32768,_xlpm.t_16,_xlpm.t_15+IF(_xlpm.dd^2/8*(_xlpm.t_15-SIN(_xlpm.t_15))&lt;_xlpm.aa,_xlpm.ww,-_xlpm.ww)/65536,_xlpm.t_17,_xlpm.t_16+IF(_xlpm.dd^2/8*(_xlpm.t_16-SIN(_xlpm.t_16))&lt;_xlpm.aa,_xlpm.ww,-_xlpm.ww)/131072,_xlpm.t_18,_xlpm.t_17+IF(_xlpm.dd^2/8*(_xlpm.t_17-SIN(_xlpm.t_17))&lt;_xlpm.aa,_xlpm.ww,-_xlpm.ww)/262144,_xlpm.t_19,_xlpm.t_18+IF(_xlpm.dd^2/8*(_xlpm.t_18-SIN(_xlpm.t_18))&lt;_xlpm.aa,_xlpm.ww,-_xlpm.ww)/524288,_xlpm.t_20,_xlpm.t_19+IF(_xlpm.dd^2/8*(_xlpm.t_19-SIN(_xlpm.t_19))&lt;_xlpm.aa,_xlpm.ww,-_xlpm.ww)/1048576,_xlpm.t_21,_xlpm.t_20+IF(_xlpm.dd^2/8*(_xlpm.t_20-SIN(_xlpm.t_20))&lt;_xlpm.aa,_xlpm.ww,-_xlpm.ww)/2097152,_xlpm.t_22,_xlpm.t_21+IF(_xlpm.dd^2/8*(_xlpm.t_21-SIN(_xlpm.t_21))&lt;_xlpm.aa,_xlpm.ww,-_xlpm.ww)/4194304,_xlpm.t_23,_xlpm.t_22+IF(_xlpm.dd^2/8*(_xlpm.t_22-SIN(_xlpm.t_22))&lt;_xlpm.aa,_xlpm.ww,-_xlpm.ww)/8388608,_xlpm.t_24,_xlpm.t_23+IF(_xlpm.dd^2/8*(_xlpm.t_23-SIN(_xlpm.t_23))&lt;_xlpm.aa,_xlpm.ww,-_xlpm.ww)/16777216,_xlpm.t_25,_xlpm.t_24+IF(_xlpm.dd^2/8*(_xlpm.t_24-SIN(_xlpm.t_24))&lt;_xlpm.aa,_xlpm.ww,-_xlpm.ww)/33554432,_xlpm.t_26,_xlpm.t_25+IF(_xlpm.dd^2/8*(_xlpm.t_25-SIN(_xlpm.t_25))&lt;_xlpm.aa,_xlpm.ww,-_xlpm.ww)/67108864,IF(OR(_xlpm.aa&lt;=0,_xlpm.dd&lt;=0),#VALUE!,_xlpm.dd/2*IF(_xlpm.t_26&gt;0.000001+_xlpm.ww*(1-1.5/2^26),0.000001+_xlpm.ww,_xlpm.t_26)))</f>
        <v>7.8539803839744824</v>
      </c>
      <c r="AA27" s="365">
        <v>0.55500000000000005</v>
      </c>
      <c r="AB27" s="365">
        <v>1.9079999999999999</v>
      </c>
      <c r="AC27" s="365">
        <f t="shared" ca="1" si="32"/>
        <v>0.32487372634335021</v>
      </c>
      <c r="AD27" s="365">
        <f>IFERROR(AA27/AB27,"")</f>
        <v>0.29088050314465413</v>
      </c>
      <c r="AE27" s="368">
        <f ca="1">IFERROR(IF(IF(OR(ISNUMBER(SEARCH("BSTC",AM27)),ISNUMBER(SEARCH("BDTC",AM27)),ISNUMBER(SEARCH("BTTC",AM27))),"CIRCULAR",IF(OR(ISNUMBER(SEARCH("BSCC",AM27)),ISNUMBER(SEARCH("BDCC",AM27)),ISNUMBER(SEARCH("BTCC",AM27))),"CELULAR",""))="CIRCULAR",AG27/SQRT(9.80665*(AA27/(AZ27*SIN((2*ACOS(1-2*AH27/AZ27))/2)))),AG27/SQRT(9.80665*AH27)),"")</f>
        <v>1.3024743760005</v>
      </c>
      <c r="AF27" s="365" t="str">
        <f ca="1">IF(AE27&lt;1,"Subcrítico",IF(AE27=1,"Crítico","Supercrítico"))</f>
        <v>Supercrítico</v>
      </c>
      <c r="AG27" s="368">
        <f t="shared" ca="1" si="45"/>
        <v>3.6758419104366786</v>
      </c>
      <c r="AH27" s="368">
        <f ca="1">IFERROR(IF(IF(OR(ISNUMBER(SEARCH("BSTC",AM27)),ISNUMBER(SEARCH("BDTC",AM27)),ISNUMBER(SEARCH("BTTC",AM27))),"CIRCULAR",IF(OR(ISNUMBER(SEARCH("BSCC",AM27)),ISNUMBER(SEARCH("BDCC",AM27)),ISNUMBER(SEARCH("BTCC",AM27))),"CELULAR",""))="CIRCULAR",_xlfn.LET(_xlpm.qq,(15/3)*1,_xlpm.dd,(AZ27)*1,_xlpm.ss,(X27)*1,_xlpm.nn,(0.015)*1,_xlpm.rr,_xlpm.dd/2,_xlpm.ww,_xlpm.dd-0.000002,_xlpm.zz,(_xlpm.qq*_xlpm.nn/SQRT(_xlpm.ss))^3*_xlpm.rr^2/(_xlpm.dd^2/8)^5,_xlpm.h_1,0.000001+_xlpm.ww/2,_xlpm.u_1,2*ACOS(1-_xlpm.h_1/_xlpm.rr),_xlpm.h_2,_xlpm.h_1+IF((_xlpm.u_1-SIN(_xlpm.u_1))^5&lt;_xlpm.zz*_xlpm.u_1^2,_xlpm.ww,-_xlpm.ww)/4,_xlpm.u_2,2*ACOS(1-_xlpm.h_2/_xlpm.rr),_xlpm.h_3,_xlpm.h_2+IF((_xlpm.u_2-SIN(_xlpm.u_2))^5&lt;_xlpm.zz*_xlpm.u_2^2,_xlpm.ww,-_xlpm.ww)/8,_xlpm.u_3,2*ACOS(1-_xlpm.h_3/_xlpm.rr),_xlpm.h_4,_xlpm.h_3+IF((_xlpm.u_3-SIN(_xlpm.u_3))^5&lt;_xlpm.zz*_xlpm.u_3^2,_xlpm.ww,-_xlpm.ww)/16,_xlpm.u_4,2*ACOS(1-_xlpm.h_4/_xlpm.rr),_xlpm.h_5,_xlpm.h_4+IF((_xlpm.u_4-SIN(_xlpm.u_4))^5&lt;_xlpm.zz*_xlpm.u_4^2,_xlpm.ww,-_xlpm.ww)/32,_xlpm.u_5,2*ACOS(1-_xlpm.h_5/_xlpm.rr),_xlpm.h_6,_xlpm.h_5+IF((_xlpm.u_5-SIN(_xlpm.u_5))^5&lt;_xlpm.zz*_xlpm.u_5^2,_xlpm.ww,-_xlpm.ww)/64,_xlpm.u_6,2*ACOS(1-_xlpm.h_6/_xlpm.rr),_xlpm.h_7,_xlpm.h_6+IF((_xlpm.u_6-SIN(_xlpm.u_6))^5&lt;_xlpm.zz*_xlpm.u_6^2,_xlpm.ww,-_xlpm.ww)/128,_xlpm.u_7,2*ACOS(1-_xlpm.h_7/_xlpm.rr),_xlpm.h_8,_xlpm.h_7+IF((_xlpm.u_7-SIN(_xlpm.u_7))^5&lt;_xlpm.zz*_xlpm.u_7^2,_xlpm.ww,-_xlpm.ww)/256,_xlpm.u_8,2*ACOS(1-_xlpm.h_8/_xlpm.rr),_xlpm.h_9,_xlpm.h_8+IF((_xlpm.u_8-SIN(_xlpm.u_8))^5&lt;_xlpm.zz*_xlpm.u_8^2,_xlpm.ww,-_xlpm.ww)/512,_xlpm.u_9,2*ACOS(1-_xlpm.h_9/_xlpm.rr),_xlpm.h_10,_xlpm.h_9+IF((_xlpm.u_9-SIN(_xlpm.u_9))^5&lt;_xlpm.zz*_xlpm.u_9^2,_xlpm.ww,-_xlpm.ww)/1024,_xlpm.u_10,2*ACOS(1-_xlpm.h_10/_xlpm.rr),_xlpm.h_11,_xlpm.h_10+IF((_xlpm.u_10-SIN(_xlpm.u_10))^5&lt;_xlpm.zz*_xlpm.u_10^2,_xlpm.ww,-_xlpm.ww)/2048,_xlpm.u_11,2*ACOS(1-_xlpm.h_11/_xlpm.rr),_xlpm.h_12,_xlpm.h_11+IF((_xlpm.u_11-SIN(_xlpm.u_11))^5&lt;_xlpm.zz*_xlpm.u_11^2,_xlpm.ww,-_xlpm.ww)/4096,_xlpm.u_12,2*ACOS(1-_xlpm.h_12/_xlpm.rr),_xlpm.h_13,_xlpm.h_12+IF((_xlpm.u_12-SIN(_xlpm.u_12))^5&lt;_xlpm.zz*_xlpm.u_12^2,_xlpm.ww,-_xlpm.ww)/8192,_xlpm.u_13,2*ACOS(1-_xlpm.h_13/_xlpm.rr),_xlpm.h_14,_xlpm.h_13+IF((_xlpm.u_13-SIN(_xlpm.u_13))^5&lt;_xlpm.zz*_xlpm.u_13^2,_xlpm.ww,-_xlpm.ww)/16384,_xlpm.u_14,2*ACOS(1-_xlpm.h_14/_xlpm.rr),_xlpm.h_15,_xlpm.h_14+IF((_xlpm.u_14-SIN(_xlpm.u_14))^5&lt;_xlpm.zz*_xlpm.u_14^2,_xlpm.ww,-_xlpm.ww)/32768,_xlpm.u_15,2*ACOS(1-_xlpm.h_15/_xlpm.rr),_xlpm.h_16,_xlpm.h_15+IF((_xlpm.u_15-SIN(_xlpm.u_15))^5&lt;_xlpm.zz*_xlpm.u_15^2,_xlpm.ww,-_xlpm.ww)/65536,_xlpm.u_16,2*ACOS(1-_xlpm.h_16/_xlpm.rr),_xlpm.h_17,_xlpm.h_16+IF((_xlpm.u_16-SIN(_xlpm.u_16))^5&lt;_xlpm.zz*_xlpm.u_16^2,_xlpm.ww,-_xlpm.ww)/131072,_xlpm.u_17,2*ACOS(1-_xlpm.h_17/_xlpm.rr),_xlpm.h_18,_xlpm.h_17+IF((_xlpm.u_17-SIN(_xlpm.u_17))^5&lt;_xlpm.zz*_xlpm.u_17^2,_xlpm.ww,-_xlpm.ww)/262144,_xlpm.u_18,2*ACOS(1-_xlpm.h_18/_xlpm.rr),_xlpm.h_19,_xlpm.h_18+IF((_xlpm.u_18-SIN(_xlpm.u_18))^5&lt;_xlpm.zz*_xlpm.u_18^2,_xlpm.ww,-_xlpm.ww)/524288,_xlpm.u_19,2*ACOS(1-_xlpm.h_19/_xlpm.rr),_xlpm.h_20,_xlpm.h_19+IF((_xlpm.u_19-SIN(_xlpm.u_19))^5&lt;_xlpm.zz*_xlpm.u_19^2,_xlpm.ww,-_xlpm.ww)/1048576,_xlpm.u_20,2*ACOS(1-_xlpm.h_20/_xlpm.rr),_xlpm.h_21,_xlpm.h_20+IF((_xlpm.u_20-SIN(_xlpm.u_20))^5&lt;_xlpm.zz*_xlpm.u_20^2,_xlpm.ww,-_xlpm.ww)/2097152,_xlpm.u_21,2*ACOS(1-_xlpm.h_21/_xlpm.rr),_xlpm.h_22,_xlpm.h_21+IF((_xlpm.u_21-SIN(_xlpm.u_21))^5&lt;_xlpm.zz*_xlpm.u_21^2,_xlpm.ww,-_xlpm.ww)/4194304,_xlpm.u_22,2*ACOS(1-_xlpm.h_22/_xlpm.rr),_xlpm.h_23,_xlpm.h_22+IF((_xlpm.u_22-SIN(_xlpm.u_22))^5&lt;_xlpm.zz*_xlpm.u_22^2,_xlpm.ww,-_xlpm.ww)/8388608,_xlpm.u_23,2*ACOS(1-_xlpm.h_23/_xlpm.rr),_xlpm.h_24,_xlpm.h_23+IF((_xlpm.u_23-SIN(_xlpm.u_23))^5&lt;_xlpm.zz*_xlpm.u_23^2,_xlpm.ww,-_xlpm.ww)/16777216,_xlpm.u_24,2*ACOS(1-_xlpm.h_24/_xlpm.rr),_xlpm.h_25,_xlpm.h_24+IF((_xlpm.u_24-SIN(_xlpm.u_24))^5&lt;_xlpm.zz*_xlpm.u_24^2,_xlpm.ww,-_xlpm.ww)/33554432,_xlpm.u_25,2*ACOS(1-_xlpm.h_25/_xlpm.rr),_xlpm.h_26,_xlpm.h_25+IF((_xlpm.u_25-SIN(_xlpm.u_25))^5&lt;_xlpm.zz*_xlpm.u_25^2,_xlpm.ww,-_xlpm.ww)/67108864,IF(OR(_xlpm.qq&lt;=0,_xlpm.dd&lt;=0,_xlpm.ss&lt;=0,_xlpm.nn&lt;=0),#VALUE!,IF(_xlpm.h_26&gt;0.000001+_xlpm.ww*(1-1.5/2^26),0.000001+_xlpm.ww,_xlpm.h_26))),_xlfn.LET(_xlpm.ob,AM27,_xlpm.ss,(X27)*1,_xlpm.nn,(0.015)*1,_xlpm.qq,(BP27)*1/IF(OR(ISNUMBER(SEARCH("BSTC",_xlpm.ob)),ISNUMBER(SEARCH("BSCC",_xlpm.ob))),1,IF(OR(ISNUMBER(SEARCH("BDTC",_xlpm.ob)),ISNUMBER(SEARCH("BDCC",_xlpm.ob))),2,IF(OR(ISNUMBER(SEARCH("BTTC",_xlpm.ob)),ISNUMBER(SEARCH("BTCC",_xlpm.ob))),3,#VALUE!))),_xlpm.bb,_xlfn.NUMBERVALUE(SUBSTITUTE(TRIM(MID(_xlpm.ob,SEARCH("cc",_xlpm.ob)+3,SEARCH("x",_xlpm.ob)-SEARCH("cc",_xlpm.ob)-3)),".",","),",","."),_xlpm.hh,_xlfn.NUMBERVALUE(SUBSTITUTE(TRIM(MID(_xlpm.ob,SEARCH("x",_xlpm.ob)+1,SEARCH("m",_xlpm.ob,SEARCH("x",_xlpm.ob))-SEARCH("x",_xlpm.ob)-1)),".",","),",","."),_xlpm.kk,SQRT(_xlpm.ss)/_xlpm.nn,_xlpm.x_0,_xlpm.hh,_xlpm.g_0,_xlpm.kk*_xlpm.bb*_xlpm.x_0*(_xlpm.bb*_xlpm.x_0/(_xlpm.bb+2*_xlpm.x_0))^(2/3),_xlpm.x_1,_xlpm.x_0-(_xlpm.g_0-_xlpm.qq)/(_xlpm.g_0*(5/(3*_xlpm.x_0)-4/(3*(_xlpm.bb+2*_xlpm.x_0)))),_xlpm.g_1,_xlpm.kk*_xlpm.bb*_xlpm.x_1*(_xlpm.bb*_xlpm.x_1/(_xlpm.bb+2*_xlpm.x_1))^(2/3),_xlpm.x_2,_xlpm.x_1-(_xlpm.g_1-_xlpm.qq)/(_xlpm.g_1*(5/(3*_xlpm.x_1)-4/(3*(_xlpm.bb+2*_xlpm.x_1)))),_xlpm.g_2,_xlpm.kk*_xlpm.bb*_xlpm.x_2*(_xlpm.bb*_xlpm.x_2/(_xlpm.bb+2*_xlpm.x_2))^(2/3),_xlpm.x_3,_xlpm.x_2-(_xlpm.g_2-_xlpm.qq)/(_xlpm.g_2*(5/(3*_xlpm.x_2)-4/(3*(_xlpm.bb+2*_xlpm.x_2)))),_xlpm.g_3,_xlpm.kk*_xlpm.bb*_xlpm.x_3*(_xlpm.bb*_xlpm.x_3/(_xlpm.bb+2*_xlpm.x_3))^(2/3),_xlpm.x_4,_xlpm.x_3-(_xlpm.g_3-_xlpm.qq)/(_xlpm.g_3*(5/(3*_xlpm.x_3)-4/(3*(_xlpm.bb+2*_xlpm.x_3)))),_xlpm.g_4,_xlpm.kk*_xlpm.bb*_xlpm.x_4*(_xlpm.bb*_xlpm.x_4/(_xlpm.bb+2*_xlpm.x_4))^(2/3),_xlpm.x_5,_xlpm.x_4-(_xlpm.g_4-_xlpm.qq)/(_xlpm.g_4*(5/(3*_xlpm.x_4)-4/(3*(_xlpm.bb+2*_xlpm.x_4)))),_xlpm.g_5,_xlpm.kk*_xlpm.bb*_xlpm.x_5*(_xlpm.bb*_xlpm.x_5/(_xlpm.bb+2*_xlpm.x_5))^(2/3),_xlpm.x_6,_xlpm.x_5-(_xlpm.g_5-_xlpm.qq)/(_xlpm.g_5*(5/(3*_xlpm.x_5)-4/(3*(_xlpm.bb+2*_xlpm.x_5)))),_xlpm.g_6,_xlpm.kk*_xlpm.bb*_xlpm.x_6*(_xlpm.bb*_xlpm.x_6/(_xlpm.bb+2*_xlpm.x_6))^(2/3),_xlpm.x_7,_xlpm.x_6-(_xlpm.g_6-_xlpm.qq)/(_xlpm.g_6*(5/(3*_xlpm.x_6)-4/(3*(_xlpm.bb+2*_xlpm.x_6)))),_xlpm.g_7,_xlpm.kk*_xlpm.bb*_xlpm.x_7*(_xlpm.bb*_xlpm.x_7/(_xlpm.bb+2*_xlpm.x_7))^(2/3),_xlpm.x_8,_xlpm.x_7-(_xlpm.g_7-_xlpm.qq)/(_xlpm.g_7*(5/(3*_xlpm.x_7)-4/(3*(_xlpm.bb+2*_xlpm.x_7)))),_xlpm.g_8,_xlpm.kk*_xlpm.bb*_xlpm.x_8*(_xlpm.bb*_xlpm.x_8/(_xlpm.bb+2*_xlpm.x_8))^(2/3),_xlpm.x_9,_xlpm.x_8-(_xlpm.g_8-_xlpm.qq)/(_xlpm.g_8*(5/(3*_xlpm.x_8)-4/(3*(_xlpm.bb+2*_xlpm.x_8)))),_xlpm.g_9,_xlpm.kk*_xlpm.bb*_xlpm.x_9*(_xlpm.bb*_xlpm.x_9/(_xlpm.bb+2*_xlpm.x_9))^(2/3),_xlpm.x_10,_xlpm.x_9-(_xlpm.g_9-_xlpm.qq)/(_xlpm.g_9*(5/(3*_xlpm.x_9)-4/(3*(_xlpm.bb+2*_xlpm.x_9)))),MIN(_xlpm.hh,_xlpm.x_10))),"")</f>
        <v>0.81218431585837547</v>
      </c>
      <c r="AI27" s="368">
        <f ca="1">IFERROR(
  IF(
    IF(OR(ISNUMBER(SEARCH("BSTC",AM27)),ISNUMBER(SEARCH("BDTC",AM27)),ISNUMBER(SEARCH("BTTC",AM27))),"CIRCULAR",IF(OR(ISNUMBER(SEARCH("BSCC",AM27)),ISNUMBER(SEARCH("BDCC",AM27)),ISNUMBER(SEARCH("BTCC",AM27))),"CELULAR",""))="CIRCULAR",
    (3/2)*(((AZ27^2/8)*((2*ACOS(1-2*BB27/AZ27))-SIN(2*ACOS(1-2*BB27/AZ27))))/(AZ27*SIN((2*ACOS(1-2*BB27/AZ27))/2))),
    (3/2)*BB27
  ),
  ""
)</f>
        <v>1.9569834712949037</v>
      </c>
      <c r="AJ27" s="368">
        <f ca="1">IFERROR(AT27/AZ27,"")</f>
        <v>0.64089878492619345</v>
      </c>
      <c r="AK27" s="369" t="s">
        <v>369</v>
      </c>
      <c r="AL27" s="370" t="str">
        <f ca="1">IFERROR(INDIRECT("'"&amp;BN27&amp;"'!I45"),"")</f>
        <v>BDCC 2,50 x 2,50m</v>
      </c>
      <c r="AM27" s="373" t="str">
        <f ca="1">IFERROR(INDIRECT("'"&amp;BN27&amp;"'!I41"),"")</f>
        <v>BDCC 3,00 x 3,00m</v>
      </c>
      <c r="AN27" s="371" t="s">
        <v>25</v>
      </c>
      <c r="AO27" s="371" t="s">
        <v>25</v>
      </c>
      <c r="AP27" s="371" t="s">
        <v>373</v>
      </c>
      <c r="AQ27" s="117">
        <f t="shared" ca="1" si="33"/>
        <v>64.415575854438273</v>
      </c>
      <c r="AR27" s="31">
        <f t="shared" ca="1" si="34"/>
        <v>1.0961472807279908</v>
      </c>
      <c r="AS27" s="93">
        <v>1.4999999999999999E-2</v>
      </c>
      <c r="AT27" s="33">
        <f ca="1">IFERROR(IF(IF(OR(ISNUMBER(SEARCH("BSTC",AL27)),ISNUMBER(SEARCH("BDTC",AL27)),ISNUMBER(SEARCH("BTTC",AL27))),"CIRCULAR",IF(OR(ISNUMBER(SEARCH("BSCC",AL27)),ISNUMBER(SEARCH("BDCC",AL27)),ISNUMBER(SEARCH("BTCC",AL27))),"CELULAR",""))="CIRCULAR",_xlfn.LET(_xlpm.qq,(BS27/(IFERROR(IF(OR(ISNUMBER(FIND("BDTC",AL27)),ISNUMBER(FIND("BDCC",AL27))),2,IF(OR(ISNUMBER(FIND("BTTC",AL27)),ISNUMBER(FIND("BTCC",AL27))),3,IF(OR(ISNUMBER(FIND("BSTC",AL27)),ISNUMBER(FIND("BSCC",AL27))),1,""))),"")))*1,_xlpm.dd,(AY27)*1,_xlpm.ss,(X27)*1,_xlpm.nn,(0.015)*1,_xlpm.rr,_xlpm.dd/2,_xlpm.ww,_xlpm.dd-0.000002,_xlpm.zz,(_xlpm.qq*_xlpm.nn/SQRT(_xlpm.ss))^3*_xlpm.rr^2/(_xlpm.dd^2/8)^5,_xlpm.h_1,0.000001+_xlpm.ww/2,_xlpm.u_1,2*ACOS(1-_xlpm.h_1/_xlpm.rr),_xlpm.h_2,_xlpm.h_1+IF((_xlpm.u_1-SIN(_xlpm.u_1))^5&lt;_xlpm.zz*_xlpm.u_1^2,_xlpm.ww,-_xlpm.ww)/4,_xlpm.u_2,2*ACOS(1-_xlpm.h_2/_xlpm.rr),_xlpm.h_3,_xlpm.h_2+IF((_xlpm.u_2-SIN(_xlpm.u_2))^5&lt;_xlpm.zz*_xlpm.u_2^2,_xlpm.ww,-_xlpm.ww)/8,_xlpm.u_3,2*ACOS(1-_xlpm.h_3/_xlpm.rr),_xlpm.h_4,_xlpm.h_3+IF((_xlpm.u_3-SIN(_xlpm.u_3))^5&lt;_xlpm.zz*_xlpm.u_3^2,_xlpm.ww,-_xlpm.ww)/16,_xlpm.u_4,2*ACOS(1-_xlpm.h_4/_xlpm.rr),_xlpm.h_5,_xlpm.h_4+IF((_xlpm.u_4-SIN(_xlpm.u_4))^5&lt;_xlpm.zz*_xlpm.u_4^2,_xlpm.ww,-_xlpm.ww)/32,_xlpm.u_5,2*ACOS(1-_xlpm.h_5/_xlpm.rr),_xlpm.h_6,_xlpm.h_5+IF((_xlpm.u_5-SIN(_xlpm.u_5))^5&lt;_xlpm.zz*_xlpm.u_5^2,_xlpm.ww,-_xlpm.ww)/64,_xlpm.u_6,2*ACOS(1-_xlpm.h_6/_xlpm.rr),_xlpm.h_7,_xlpm.h_6+IF((_xlpm.u_6-SIN(_xlpm.u_6))^5&lt;_xlpm.zz*_xlpm.u_6^2,_xlpm.ww,-_xlpm.ww)/128,_xlpm.u_7,2*ACOS(1-_xlpm.h_7/_xlpm.rr),_xlpm.h_8,_xlpm.h_7+IF((_xlpm.u_7-SIN(_xlpm.u_7))^5&lt;_xlpm.zz*_xlpm.u_7^2,_xlpm.ww,-_xlpm.ww)/256,_xlpm.u_8,2*ACOS(1-_xlpm.h_8/_xlpm.rr),_xlpm.h_9,_xlpm.h_8+IF((_xlpm.u_8-SIN(_xlpm.u_8))^5&lt;_xlpm.zz*_xlpm.u_8^2,_xlpm.ww,-_xlpm.ww)/512,_xlpm.u_9,2*ACOS(1-_xlpm.h_9/_xlpm.rr),_xlpm.h_10,_xlpm.h_9+IF((_xlpm.u_9-SIN(_xlpm.u_9))^5&lt;_xlpm.zz*_xlpm.u_9^2,_xlpm.ww,-_xlpm.ww)/1024,_xlpm.u_10,2*ACOS(1-_xlpm.h_10/_xlpm.rr),_xlpm.h_11,_xlpm.h_10+IF((_xlpm.u_10-SIN(_xlpm.u_10))^5&lt;_xlpm.zz*_xlpm.u_10^2,_xlpm.ww,-_xlpm.ww)/2048,_xlpm.u_11,2*ACOS(1-_xlpm.h_11/_xlpm.rr),_xlpm.h_12,_xlpm.h_11+IF((_xlpm.u_11-SIN(_xlpm.u_11))^5&lt;_xlpm.zz*_xlpm.u_11^2,_xlpm.ww,-_xlpm.ww)/4096,_xlpm.u_12,2*ACOS(1-_xlpm.h_12/_xlpm.rr),_xlpm.h_13,_xlpm.h_12+IF((_xlpm.u_12-SIN(_xlpm.u_12))^5&lt;_xlpm.zz*_xlpm.u_12^2,_xlpm.ww,-_xlpm.ww)/8192,_xlpm.u_13,2*ACOS(1-_xlpm.h_13/_xlpm.rr),_xlpm.h_14,_xlpm.h_13+IF((_xlpm.u_13-SIN(_xlpm.u_13))^5&lt;_xlpm.zz*_xlpm.u_13^2,_xlpm.ww,-_xlpm.ww)/16384,_xlpm.u_14,2*ACOS(1-_xlpm.h_14/_xlpm.rr),_xlpm.h_15,_xlpm.h_14+IF((_xlpm.u_14-SIN(_xlpm.u_14))^5&lt;_xlpm.zz*_xlpm.u_14^2,_xlpm.ww,-_xlpm.ww)/32768,_xlpm.u_15,2*ACOS(1-_xlpm.h_15/_xlpm.rr),_xlpm.h_16,_xlpm.h_15+IF((_xlpm.u_15-SIN(_xlpm.u_15))^5&lt;_xlpm.zz*_xlpm.u_15^2,_xlpm.ww,-_xlpm.ww)/65536,_xlpm.u_16,2*ACOS(1-_xlpm.h_16/_xlpm.rr),_xlpm.h_17,_xlpm.h_16+IF((_xlpm.u_16-SIN(_xlpm.u_16))^5&lt;_xlpm.zz*_xlpm.u_16^2,_xlpm.ww,-_xlpm.ww)/131072,_xlpm.u_17,2*ACOS(1-_xlpm.h_17/_xlpm.rr),_xlpm.h_18,_xlpm.h_17+IF((_xlpm.u_17-SIN(_xlpm.u_17))^5&lt;_xlpm.zz*_xlpm.u_17^2,_xlpm.ww,-_xlpm.ww)/262144,_xlpm.u_18,2*ACOS(1-_xlpm.h_18/_xlpm.rr),_xlpm.h_19,_xlpm.h_18+IF((_xlpm.u_18-SIN(_xlpm.u_18))^5&lt;_xlpm.zz*_xlpm.u_18^2,_xlpm.ww,-_xlpm.ww)/524288,_xlpm.u_19,2*ACOS(1-_xlpm.h_19/_xlpm.rr),_xlpm.h_20,_xlpm.h_19+IF((_xlpm.u_19-SIN(_xlpm.u_19))^5&lt;_xlpm.zz*_xlpm.u_19^2,_xlpm.ww,-_xlpm.ww)/1048576,_xlpm.u_20,2*ACOS(1-_xlpm.h_20/_xlpm.rr),_xlpm.h_21,_xlpm.h_20+IF((_xlpm.u_20-SIN(_xlpm.u_20))^5&lt;_xlpm.zz*_xlpm.u_20^2,_xlpm.ww,-_xlpm.ww)/2097152,_xlpm.u_21,2*ACOS(1-_xlpm.h_21/_xlpm.rr),_xlpm.h_22,_xlpm.h_21+IF((_xlpm.u_21-SIN(_xlpm.u_21))^5&lt;_xlpm.zz*_xlpm.u_21^2,_xlpm.ww,-_xlpm.ww)/4194304,_xlpm.u_22,2*ACOS(1-_xlpm.h_22/_xlpm.rr),_xlpm.h_23,_xlpm.h_22+IF((_xlpm.u_22-SIN(_xlpm.u_22))^5&lt;_xlpm.zz*_xlpm.u_22^2,_xlpm.ww,-_xlpm.ww)/8388608,_xlpm.u_23,2*ACOS(1-_xlpm.h_23/_xlpm.rr),_xlpm.h_24,_xlpm.h_23+IF((_xlpm.u_23-SIN(_xlpm.u_23))^5&lt;_xlpm.zz*_xlpm.u_23^2,_xlpm.ww,-_xlpm.ww)/16777216,_xlpm.u_24,2*ACOS(1-_xlpm.h_24/_xlpm.rr),_xlpm.h_25,_xlpm.h_24+IF((_xlpm.u_24-SIN(_xlpm.u_24))^5&lt;_xlpm.zz*_xlpm.u_24^2,_xlpm.ww,-_xlpm.ww)/33554432,_xlpm.u_25,2*ACOS(1-_xlpm.h_25/_xlpm.rr),_xlpm.h_26,_xlpm.h_25+IF((_xlpm.u_25-SIN(_xlpm.u_25))^5&lt;_xlpm.zz*_xlpm.u_25^2,_xlpm.ww,-_xlpm.ww)/67108864,IF(OR(_xlpm.qq&lt;=0,_xlpm.dd&lt;=0,_xlpm.ss&lt;=0,_xlpm.nn&lt;=0),#VALUE!,IF(_xlpm.h_26&gt;0.000001+_xlpm.ww*(1-1.5/2^26),0.000001+_xlpm.ww,_xlpm.h_26))),_xlfn.LET(_xlpm.ob,AL27,_xlpm.ss,(X27)*1,_xlpm.nn,(0.015)*1,_xlpm.qq,(BS27)*1/IF(OR(ISNUMBER(SEARCH("BSTC",_xlpm.ob)),ISNUMBER(SEARCH("BSCC",_xlpm.ob))),1,IF(OR(ISNUMBER(SEARCH("BDTC",_xlpm.ob)),ISNUMBER(SEARCH("BDCC",_xlpm.ob))),2,IF(OR(ISNUMBER(SEARCH("BTTC",_xlpm.ob)),ISNUMBER(SEARCH("BTCC",_xlpm.ob))),3,#VALUE!))),_xlpm.bb,_xlfn.NUMBERVALUE(SUBSTITUTE(TRIM(MID(_xlpm.ob,SEARCH("cc",_xlpm.ob)+3,SEARCH("x",_xlpm.ob)-SEARCH("cc",_xlpm.ob)-3)),".",","),",","."),_xlpm.hh,_xlfn.NUMBERVALUE(SUBSTITUTE(TRIM(MID(_xlpm.ob,SEARCH("x",_xlpm.ob)+1,SEARCH("m",_xlpm.ob,SEARCH("x",_xlpm.ob))-SEARCH("x",_xlpm.ob)-1)),".",","),",","."),_xlpm.kk,SQRT(_xlpm.ss)/_xlpm.nn,_xlpm.x_0,_xlpm.hh,_xlpm.g_0,_xlpm.kk*_xlpm.bb*_xlpm.x_0*(_xlpm.bb*_xlpm.x_0/(_xlpm.bb+2*_xlpm.x_0))^(2/3),_xlpm.x_1,_xlpm.x_0-(_xlpm.g_0-_xlpm.qq)/(_xlpm.g_0*(5/(3*_xlpm.x_0)-4/(3*(_xlpm.bb+2*_xlpm.x_0)))),_xlpm.g_1,_xlpm.kk*_xlpm.bb*_xlpm.x_1*(_xlpm.bb*_xlpm.x_1/(_xlpm.bb+2*_xlpm.x_1))^(2/3),_xlpm.x_2,_xlpm.x_1-(_xlpm.g_1-_xlpm.qq)/(_xlpm.g_1*(5/(3*_xlpm.x_1)-4/(3*(_xlpm.bb+2*_xlpm.x_1)))),_xlpm.g_2,_xlpm.kk*_xlpm.bb*_xlpm.x_2*(_xlpm.bb*_xlpm.x_2/(_xlpm.bb+2*_xlpm.x_2))^(2/3),_xlpm.x_3,_xlpm.x_2-(_xlpm.g_2-_xlpm.qq)/(_xlpm.g_2*(5/(3*_xlpm.x_2)-4/(3*(_xlpm.bb+2*_xlpm.x_2)))),_xlpm.g_3,_xlpm.kk*_xlpm.bb*_xlpm.x_3*(_xlpm.bb*_xlpm.x_3/(_xlpm.bb+2*_xlpm.x_3))^(2/3),_xlpm.x_4,_xlpm.x_3-(_xlpm.g_3-_xlpm.qq)/(_xlpm.g_3*(5/(3*_xlpm.x_3)-4/(3*(_xlpm.bb+2*_xlpm.x_3)))),_xlpm.g_4,_xlpm.kk*_xlpm.bb*_xlpm.x_4*(_xlpm.bb*_xlpm.x_4/(_xlpm.bb+2*_xlpm.x_4))^(2/3),_xlpm.x_5,_xlpm.x_4-(_xlpm.g_4-_xlpm.qq)/(_xlpm.g_4*(5/(3*_xlpm.x_4)-4/(3*(_xlpm.bb+2*_xlpm.x_4)))),_xlpm.g_5,_xlpm.kk*_xlpm.bb*_xlpm.x_5*(_xlpm.bb*_xlpm.x_5/(_xlpm.bb+2*_xlpm.x_5))^(2/3),_xlpm.x_6,_xlpm.x_5-(_xlpm.g_5-_xlpm.qq)/(_xlpm.g_5*(5/(3*_xlpm.x_5)-4/(3*(_xlpm.bb+2*_xlpm.x_5)))),_xlpm.g_6,_xlpm.kk*_xlpm.bb*_xlpm.x_6*(_xlpm.bb*_xlpm.x_6/(_xlpm.bb+2*_xlpm.x_6))^(2/3),_xlpm.x_7,_xlpm.x_6-(_xlpm.g_6-_xlpm.qq)/(_xlpm.g_6*(5/(3*_xlpm.x_6)-4/(3*(_xlpm.bb+2*_xlpm.x_6)))),_xlpm.g_7,_xlpm.kk*_xlpm.bb*_xlpm.x_7*(_xlpm.bb*_xlpm.x_7/(_xlpm.bb+2*_xlpm.x_7))^(2/3),_xlpm.x_8,_xlpm.x_7-(_xlpm.g_7-_xlpm.qq)/(_xlpm.g_7*(5/(3*_xlpm.x_7)-4/(3*(_xlpm.bb+2*_xlpm.x_7)))),_xlpm.g_8,_xlpm.kk*_xlpm.bb*_xlpm.x_8*(_xlpm.bb*_xlpm.x_8/(_xlpm.bb+2*_xlpm.x_8))^(2/3),_xlpm.x_9,_xlpm.x_8-(_xlpm.g_8-_xlpm.qq)/(_xlpm.g_8*(5/(3*_xlpm.x_8)-4/(3*(_xlpm.bb+2*_xlpm.x_8)))),_xlpm.g_9,_xlpm.kk*_xlpm.bb*_xlpm.x_9*(_xlpm.bb*_xlpm.x_9/(_xlpm.bb+2*_xlpm.x_9))^(2/3),_xlpm.x_10,_xlpm.x_9-(_xlpm.g_9-_xlpm.qq)/(_xlpm.g_9*(5/(3*_xlpm.x_9)-4/(3*(_xlpm.bb+2*_xlpm.x_9)))),MIN(_xlpm.hh,_xlpm.x_10))),"")</f>
        <v>1.9226963547785805</v>
      </c>
      <c r="AU27" s="33">
        <f t="shared" si="35"/>
        <v>1.1496682311310256</v>
      </c>
      <c r="AW27" s="33" t="str">
        <f t="shared" ca="1" si="36"/>
        <v>BDCC</v>
      </c>
      <c r="AY27" s="33">
        <f t="shared" ca="1" si="37"/>
        <v>2.5</v>
      </c>
      <c r="AZ27" s="33">
        <f t="shared" ca="1" si="38"/>
        <v>3</v>
      </c>
      <c r="BA27" s="33" t="str">
        <f ca="1">IFERROR(INDEX(Tabela_DEB!$A$2:$A$12,MATCH(LEFT(AM27,FIND(" ",AM27)-1)&amp;" "&amp;TEXT(VALUE(MID(AM27,FIND("=",AM27)+1,FIND("m",AM27)-FIND("=",AM27)-1))*100,"0"),Tabela_DEB!$E$2:$E$12,0)),"")</f>
        <v/>
      </c>
      <c r="BB27" s="33">
        <f ca="1">IFERROR(IF(IF(OR(ISNUMBER(SEARCH("BSTC",AM27)),ISNUMBER(SEARCH("BDTC",AM27)),ISNUMBER(SEARCH("BTTC",AM27))),"CIRCULAR",IF(OR(ISNUMBER(SEARCH("BSCC",AM27)),ISNUMBER(SEARCH("BDCC",AM27)),ISNUMBER(SEARCH("BTCC",AM27))),"CELULAR",""))="CIRCULAR",_xlfn.LET(_xlpm.qq,(BQ27/BC27)*1,_xlpm.dd,(AZ27)*1,_xlpm.ww,_xlpm.dd-0.0002,_xlpm.f_0,_xlpm.qq^2*_xlpm.dd*SIN(ACOS(1-2*0.0001/_xlpm.dd))-9.81*(_xlpm.dd^2/8*(2*ACOS(1-2*0.0001/_xlpm.dd)-SIN(2*ACOS(1-2*0.0001/_xlpm.dd))))^3,_xlpm.y_1,0.0001+_xlpm.ww/2,_xlpm.f_1,_xlpm.qq^2*_xlpm.dd*SIN(ACOS(1-2*_xlpm.y_1/_xlpm.dd))-9.81*(_xlpm.dd^2/8*(2*ACOS(1-2*_xlpm.y_1/_xlpm.dd)-SIN(2*ACOS(1-2*_xlpm.y_1/_xlpm.dd))))^3,_xlpm.y_2,_xlpm.y_1+IF(ABS(_xlpm.f_1)&lt;0.000001,0,IF(_xlpm.f_0*_xlpm.f_1&lt;0,-_xlpm.ww,_xlpm.ww))/4,_xlpm.f_2,_xlpm.qq^2*_xlpm.dd*SIN(ACOS(1-2*_xlpm.y_2/_xlpm.dd))-9.81*(_xlpm.dd^2/8*(2*ACOS(1-2*_xlpm.y_2/_xlpm.dd)-SIN(2*ACOS(1-2*_xlpm.y_2/_xlpm.dd))))^3,_xlpm.y_3,_xlpm.y_2+IF(ABS(_xlpm.f_2)&lt;0.000001,0,IF(_xlpm.f_0*_xlpm.f_2&lt;0,-_xlpm.ww,_xlpm.ww))/8,_xlpm.f_3,_xlpm.qq^2*_xlpm.dd*SIN(ACOS(1-2*_xlpm.y_3/_xlpm.dd))-9.81*(_xlpm.dd^2/8*(2*ACOS(1-2*_xlpm.y_3/_xlpm.dd)-SIN(2*ACOS(1-2*_xlpm.y_3/_xlpm.dd))))^3,_xlpm.y_4,_xlpm.y_3+IF(ABS(_xlpm.f_3)&lt;0.000001,0,IF(_xlpm.f_0*_xlpm.f_3&lt;0,-_xlpm.ww,_xlpm.ww))/16,_xlpm.f_4,_xlpm.qq^2*_xlpm.dd*SIN(ACOS(1-2*_xlpm.y_4/_xlpm.dd))-9.81*(_xlpm.dd^2/8*(2*ACOS(1-2*_xlpm.y_4/_xlpm.dd)-SIN(2*ACOS(1-2*_xlpm.y_4/_xlpm.dd))))^3,_xlpm.y_5,_xlpm.y_4+IF(ABS(_xlpm.f_4)&lt;0.000001,0,IF(_xlpm.f_0*_xlpm.f_4&lt;0,-_xlpm.ww,_xlpm.ww))/32,_xlpm.f_5,_xlpm.qq^2*_xlpm.dd*SIN(ACOS(1-2*_xlpm.y_5/_xlpm.dd))-9.81*(_xlpm.dd^2/8*(2*ACOS(1-2*_xlpm.y_5/_xlpm.dd)-SIN(2*ACOS(1-2*_xlpm.y_5/_xlpm.dd))))^3,_xlpm.y_6,_xlpm.y_5+IF(ABS(_xlpm.f_5)&lt;0.000001,0,IF(_xlpm.f_0*_xlpm.f_5&lt;0,-_xlpm.ww,_xlpm.ww))/64,_xlpm.f_6,_xlpm.qq^2*_xlpm.dd*SIN(ACOS(1-2*_xlpm.y_6/_xlpm.dd))-9.81*(_xlpm.dd^2/8*(2*ACOS(1-2*_xlpm.y_6/_xlpm.dd)-SIN(2*ACOS(1-2*_xlpm.y_6/_xlpm.dd))))^3,_xlpm.y_7,_xlpm.y_6+IF(ABS(_xlpm.f_6)&lt;0.000001,0,IF(_xlpm.f_0*_xlpm.f_6&lt;0,-_xlpm.ww,_xlpm.ww))/128,_xlpm.f_7,_xlpm.qq^2*_xlpm.dd*SIN(ACOS(1-2*_xlpm.y_7/_xlpm.dd))-9.81*(_xlpm.dd^2/8*(2*ACOS(1-2*_xlpm.y_7/_xlpm.dd)-SIN(2*ACOS(1-2*_xlpm.y_7/_xlpm.dd))))^3,_xlpm.y_8,_xlpm.y_7+IF(ABS(_xlpm.f_7)&lt;0.000001,0,IF(_xlpm.f_0*_xlpm.f_7&lt;0,-_xlpm.ww,_xlpm.ww))/256,_xlpm.f_8,_xlpm.qq^2*_xlpm.dd*SIN(ACOS(1-2*_xlpm.y_8/_xlpm.dd))-9.81*(_xlpm.dd^2/8*(2*ACOS(1-2*_xlpm.y_8/_xlpm.dd)-SIN(2*ACOS(1-2*_xlpm.y_8/_xlpm.dd))))^3,_xlpm.y_9,_xlpm.y_8+IF(ABS(_xlpm.f_8)&lt;0.000001,0,IF(_xlpm.f_0*_xlpm.f_8&lt;0,-_xlpm.ww,_xlpm.ww))/512,_xlpm.f_9,_xlpm.qq^2*_xlpm.dd*SIN(ACOS(1-2*_xlpm.y_9/_xlpm.dd))-9.81*(_xlpm.dd^2/8*(2*ACOS(1-2*_xlpm.y_9/_xlpm.dd)-SIN(2*ACOS(1-2*_xlpm.y_9/_xlpm.dd))))^3,_xlpm.y_10,_xlpm.y_9+IF(ABS(_xlpm.f_9)&lt;0.000001,0,IF(_xlpm.f_0*_xlpm.f_9&lt;0,-_xlpm.ww,_xlpm.ww))/1024,_xlpm.f_10,_xlpm.qq^2*_xlpm.dd*SIN(ACOS(1-2*_xlpm.y_10/_xlpm.dd))-9.81*(_xlpm.dd^2/8*(2*ACOS(1-2*_xlpm.y_10/_xlpm.dd)-SIN(2*ACOS(1-2*_xlpm.y_10/_xlpm.dd))))^3,_xlpm.y_11,_xlpm.y_10+IF(ABS(_xlpm.f_10)&lt;0.000001,0,IF(_xlpm.f_0*_xlpm.f_10&lt;0,-_xlpm.ww,_xlpm.ww))/2048,_xlpm.f_11,_xlpm.qq^2*_xlpm.dd*SIN(ACOS(1-2*_xlpm.y_11/_xlpm.dd))-9.81*(_xlpm.dd^2/8*(2*ACOS(1-2*_xlpm.y_11/_xlpm.dd)-SIN(2*ACOS(1-2*_xlpm.y_11/_xlpm.dd))))^3,_xlpm.y_12,_xlpm.y_11+IF(ABS(_xlpm.f_11)&lt;0.000001,0,IF(_xlpm.f_0*_xlpm.f_11&lt;0,-_xlpm.ww,_xlpm.ww))/4096,_xlpm.f_12,_xlpm.qq^2*_xlpm.dd*SIN(ACOS(1-2*_xlpm.y_12/_xlpm.dd))-9.81*(_xlpm.dd^2/8*(2*ACOS(1-2*_xlpm.y_12/_xlpm.dd)-SIN(2*ACOS(1-2*_xlpm.y_12/_xlpm.dd))))^3,_xlpm.y_13,_xlpm.y_12+IF(ABS(_xlpm.f_12)&lt;0.000001,0,IF(_xlpm.f_0*_xlpm.f_12&lt;0,-_xlpm.ww,_xlpm.ww))/8192,_xlpm.f_13,_xlpm.qq^2*_xlpm.dd*SIN(ACOS(1-2*_xlpm.y_13/_xlpm.dd))-9.81*(_xlpm.dd^2/8*(2*ACOS(1-2*_xlpm.y_13/_xlpm.dd)-SIN(2*ACOS(1-2*_xlpm.y_13/_xlpm.dd))))^3,_xlpm.y_14,_xlpm.y_13+IF(ABS(_xlpm.f_13)&lt;0.000001,0,IF(_xlpm.f_0*_xlpm.f_13&lt;0,-_xlpm.ww,_xlpm.ww))/16384,_xlpm.f_14,_xlpm.qq^2*_xlpm.dd*SIN(ACOS(1-2*_xlpm.y_14/_xlpm.dd))-9.81*(_xlpm.dd^2/8*(2*ACOS(1-2*_xlpm.y_14/_xlpm.dd)-SIN(2*ACOS(1-2*_xlpm.y_14/_xlpm.dd))))^3,_xlpm.y_15,_xlpm.y_14+IF(ABS(_xlpm.f_14)&lt;0.000001,0,IF(_xlpm.f_0*_xlpm.f_14&lt;0,-_xlpm.ww,_xlpm.ww))/32768,_xlpm.f_15,_xlpm.qq^2*_xlpm.dd*SIN(ACOS(1-2*_xlpm.y_15/_xlpm.dd))-9.81*(_xlpm.dd^2/8*(2*ACOS(1-2*_xlpm.y_15/_xlpm.dd)-SIN(2*ACOS(1-2*_xlpm.y_15/_xlpm.dd))))^3,_xlpm.y_16,_xlpm.y_15+IF(ABS(_xlpm.f_15)&lt;0.000001,0,IF(_xlpm.f_0*_xlpm.f_15&lt;0,-_xlpm.ww,_xlpm.ww))/65536,_xlpm.f_16,_xlpm.qq^2*_xlpm.dd*SIN(ACOS(1-2*_xlpm.y_16/_xlpm.dd))-9.81*(_xlpm.dd^2/8*(2*ACOS(1-2*_xlpm.y_16/_xlpm.dd)-SIN(2*ACOS(1-2*_xlpm.y_16/_xlpm.dd))))^3,_xlpm.y_17,_xlpm.y_16+IF(ABS(_xlpm.f_16)&lt;0.000001,0,IF(_xlpm.f_0*_xlpm.f_16&lt;0,-_xlpm.ww,_xlpm.ww))/131072,_xlpm.f_17,_xlpm.qq^2*_xlpm.dd*SIN(ACOS(1-2*_xlpm.y_17/_xlpm.dd))-9.81*(_xlpm.dd^2/8*(2*ACOS(1-2*_xlpm.y_17/_xlpm.dd)-SIN(2*ACOS(1-2*_xlpm.y_17/_xlpm.dd))))^3,_xlpm.y_18,_xlpm.y_17+IF(ABS(_xlpm.f_17)&lt;0.000001,0,IF(_xlpm.f_0*_xlpm.f_17&lt;0,-_xlpm.ww,_xlpm.ww))/262144,_xlpm.f_18,_xlpm.qq^2*_xlpm.dd*SIN(ACOS(1-2*_xlpm.y_18/_xlpm.dd))-9.81*(_xlpm.dd^2/8*(2*ACOS(1-2*_xlpm.y_18/_xlpm.dd)-SIN(2*ACOS(1-2*_xlpm.y_18/_xlpm.dd))))^3,_xlpm.y_19,_xlpm.y_18+IF(ABS(_xlpm.f_18)&lt;0.000001,0,IF(_xlpm.f_0*_xlpm.f_18&lt;0,-_xlpm.ww,_xlpm.ww))/524288,_xlpm.f_19,_xlpm.qq^2*_xlpm.dd*SIN(ACOS(1-2*_xlpm.y_19/_xlpm.dd))-9.81*(_xlpm.dd^2/8*(2*ACOS(1-2*_xlpm.y_19/_xlpm.dd)-SIN(2*ACOS(1-2*_xlpm.y_19/_xlpm.dd))))^3,_xlpm.y_20,_xlpm.y_19+IF(ABS(_xlpm.f_19)&lt;0.000001,0,IF(_xlpm.f_0*_xlpm.f_19&lt;0,-_xlpm.ww,_xlpm.ww))/1048576,_xlpm.f_20,_xlpm.qq^2*_xlpm.dd*SIN(ACOS(1-2*_xlpm.y_20/_xlpm.dd))-9.81*(_xlpm.dd^2/8*(2*ACOS(1-2*_xlpm.y_20/_xlpm.dd)-SIN(2*ACOS(1-2*_xlpm.y_20/_xlpm.dd))))^3,_xlpm.y_21,_xlpm.y_20+IF(ABS(_xlpm.f_20)&lt;0.000001,0,IF(_xlpm.f_0*_xlpm.f_20&lt;0,-_xlpm.ww,_xlpm.ww))/2097152,_xlpm.f_21,_xlpm.qq^2*_xlpm.dd*SIN(ACOS(1-2*_xlpm.y_21/_xlpm.dd))-9.81*(_xlpm.dd^2/8*(2*ACOS(1-2*_xlpm.y_21/_xlpm.dd)-SIN(2*ACOS(1-2*_xlpm.y_21/_xlpm.dd))))^3,_xlpm.y_22,_xlpm.y_21+IF(ABS(_xlpm.f_21)&lt;0.000001,0,IF(_xlpm.f_0*_xlpm.f_21&lt;0,-_xlpm.ww,_xlpm.ww))/4194304,_xlpm.f_22,_xlpm.qq^2*_xlpm.dd*SIN(ACOS(1-2*_xlpm.y_22/_xlpm.dd))-9.81*(_xlpm.dd^2/8*(2*ACOS(1-2*_xlpm.y_22/_xlpm.dd)-SIN(2*ACOS(1-2*_xlpm.y_22/_xlpm.dd))))^3,_xlpm.y_23,_xlpm.y_22+IF(ABS(_xlpm.f_22)&lt;0.000001,0,IF(_xlpm.f_0*_xlpm.f_22&lt;0,-_xlpm.ww,_xlpm.ww))/8388608,_xlpm.f_23,_xlpm.qq^2*_xlpm.dd*SIN(ACOS(1-2*_xlpm.y_23/_xlpm.dd))-9.81*(_xlpm.dd^2/8*(2*ACOS(1-2*_xlpm.y_23/_xlpm.dd)-SIN(2*ACOS(1-2*_xlpm.y_23/_xlpm.dd))))^3,_xlpm.y_24,_xlpm.y_23+IF(ABS(_xlpm.f_23)&lt;0.000001,0,IF(_xlpm.f_0*_xlpm.f_23&lt;0,-_xlpm.ww,_xlpm.ww))/16777216,_xlpm.f_24,_xlpm.qq^2*_xlpm.dd*SIN(ACOS(1-2*_xlpm.y_24/_xlpm.dd))-9.81*(_xlpm.dd^2/8*(2*ACOS(1-2*_xlpm.y_24/_xlpm.dd)-SIN(2*ACOS(1-2*_xlpm.y_24/_xlpm.dd))))^3,_xlpm.y_25,_xlpm.y_24+IF(ABS(_xlpm.f_24)&lt;0.000001,0,IF(_xlpm.f_0*_xlpm.f_24&lt;0,-_xlpm.ww,_xlpm.ww))/33554432,_xlpm.f_25,_xlpm.qq^2*_xlpm.dd*SIN(ACOS(1-2*_xlpm.y_25/_xlpm.dd))-9.81*(_xlpm.dd^2/8*(2*ACOS(1-2*_xlpm.y_25/_xlpm.dd)-SIN(2*ACOS(1-2*_xlpm.y_25/_xlpm.dd))))^3,_xlpm.y_26,_xlpm.y_25+IF(ABS(_xlpm.f_25)&lt;0.000001,0,IF(_xlpm.f_0*_xlpm.f_25&lt;0,-_xlpm.ww,_xlpm.ww))/67108864,_xlpm.y_26),((BQ27/BC27/_xlfn.NUMBERVALUE(SUBSTITUTE(TRIM(MID(AM27,SEARCH("cc",AM27)+3,SEARCH("x",AM27)-SEARCH("cc",AM27)-3)),".",","),",","."))^2/9.80665)^(1/3)),"")</f>
        <v>1.3046556475299358</v>
      </c>
      <c r="BC27" s="117">
        <f t="shared" ca="1" si="47"/>
        <v>2</v>
      </c>
      <c r="BE27" s="174">
        <f>'Cadastro das Obras'!U14</f>
        <v>20</v>
      </c>
      <c r="BF27" s="174">
        <f ca="1">'Cadastro das Obras'!V14</f>
        <v>60</v>
      </c>
      <c r="BH27" s="33" t="str">
        <f>'Cadastro das Obras'!T14</f>
        <v>0º</v>
      </c>
      <c r="BJ27" s="117">
        <f>'Cadastro das Obras'!W14</f>
        <v>1.8</v>
      </c>
      <c r="BN27" s="34" t="s">
        <v>354</v>
      </c>
      <c r="BP27" s="33">
        <f ca="1">IFERROR(IF(ISNUMBER(FIND("25 anos",INDIRECT("'"&amp;BN27&amp;"'!"&amp;IF(ISNUMBER(FIND("HUT",BN27)),"U39","Q13")))),25,15),15)</f>
        <v>15</v>
      </c>
      <c r="BQ27" s="33">
        <f ca="1">CHOOSE(MATCH(BP27,{15,25,50,100},0),S27,T27,U27,V27)</f>
        <v>27.999832673547697</v>
      </c>
      <c r="BR27" s="33">
        <f ca="1">IFERROR(IF(ISNUMBER(FIND("50 anos",INDIRECT("'"&amp;#REF!&amp;"'!"&amp;IF(ISNUMBER(FIND("HUT",#REF!)),"U40","Q14")))),50,25),25)</f>
        <v>25</v>
      </c>
      <c r="BS27" s="33">
        <f ca="1">CHOOSE(MATCH(BR27,{15,25,50,100},0),S27,T27,U27,V27)</f>
        <v>37.694557589694597</v>
      </c>
      <c r="BU27" s="33">
        <f t="shared" ca="1" si="49"/>
        <v>0.54314130887785739</v>
      </c>
      <c r="BV27" s="33" t="str">
        <f t="shared" ca="1" si="39"/>
        <v>SUBCRÍTICO</v>
      </c>
      <c r="BW27" s="33" t="str">
        <f t="shared" ca="1" si="50"/>
        <v>SUFICIENTE</v>
      </c>
      <c r="BY27" s="33">
        <f t="shared" ca="1" si="51"/>
        <v>1.2695428233803943</v>
      </c>
      <c r="BZ27" s="33" t="str">
        <f t="shared" ca="1" si="52"/>
        <v>Celular</v>
      </c>
      <c r="CA27" s="115">
        <f t="shared" ca="1" si="53"/>
        <v>13.999916336773849</v>
      </c>
      <c r="CB27" s="353" t="str">
        <f ca="1">IF($AW27="","",IF($BZ27="Tubular",IF($CO27=0,0.01,IF($CO27&gt;=93,1,INDEX('Tab18'!$A$5:$A$97,$CO27)+($CN27-INDEX('Tab18'!$E$5:$E$97,$CO27))*(INDEX('Tab18'!$A$5:$A$97,$CO27+1)-INDEX('Tab18'!$A$5:$A$97,$CO27))/(INDEX('Tab18'!$E$5:$E$97,$CO27+1)-INDEX('Tab18'!$E$5:$E$97,$CO27)))),"-"))</f>
        <v>-</v>
      </c>
      <c r="CC27" s="33">
        <f t="shared" ca="1" si="54"/>
        <v>0.99339193084638289</v>
      </c>
      <c r="CD27" s="33">
        <f t="shared" ref="CD27:CM27" ca="1" si="63">IF($AW27="","",IF($BZ27="Celular",$CN27^0.6*($AZ27+2*CC27)^0.4/$AZ27,"-"))</f>
        <v>1.2173076301880987</v>
      </c>
      <c r="CE27" s="33">
        <f t="shared" ca="1" si="63"/>
        <v>1.2599103617322058</v>
      </c>
      <c r="CF27" s="33">
        <f t="shared" ca="1" si="63"/>
        <v>1.2677748007101768</v>
      </c>
      <c r="CG27" s="33">
        <f t="shared" ca="1" si="63"/>
        <v>1.2692185906827254</v>
      </c>
      <c r="CH27" s="33">
        <f t="shared" ca="1" si="63"/>
        <v>1.2694833807780259</v>
      </c>
      <c r="CI27" s="33">
        <f t="shared" ca="1" si="63"/>
        <v>1.2695319341113589</v>
      </c>
      <c r="CJ27" s="33">
        <f t="shared" ca="1" si="63"/>
        <v>1.2695408368090118</v>
      </c>
      <c r="CK27" s="33">
        <f t="shared" ca="1" si="63"/>
        <v>1.2695424691898756</v>
      </c>
      <c r="CL27" s="33">
        <f t="shared" ca="1" si="63"/>
        <v>1.2695427684996299</v>
      </c>
      <c r="CM27" s="33">
        <f t="shared" ca="1" si="63"/>
        <v>1.2695428233803943</v>
      </c>
      <c r="CN27" s="352">
        <f t="shared" ca="1" si="56"/>
        <v>2.9670324854153907</v>
      </c>
      <c r="CO27" s="174" t="str">
        <f ca="1">IF($AW27="","",IF($BZ27="Tubular",IFERROR(MATCH($CN27,'Tab18'!$E$5:$E$97,1),0),"-"))</f>
        <v>-</v>
      </c>
      <c r="CP27" s="33">
        <f ca="1">IF($AW27="","",IF($BZ27="Tubular",IF($CB27&gt;=1,'Tab18'!$D$104,INDEX('Tab18'!$D$5:$D$104,MATCH($CB27,'Tab18'!$A$5:$A$104,1))+($CB27-INDEX('Tab18'!$A$5:$A$104,MATCH($CB27,'Tab18'!$A$5:$A$104,1)))*(INDEX('Tab18'!$D$5:$D$104,MATCH($CB27,'Tab18'!$A$5:$A$104,1)+1)-INDEX('Tab18'!$D$5:$D$104,MATCH($CB27,'Tab18'!$A$5:$A$104,1)))/(INDEX('Tab18'!$A$5:$A$104,MATCH($CB27,'Tab18'!$A$5:$A$104,1)+1)-INDEX('Tab18'!$A$5:$A$104,MATCH($CB27,'Tab18'!$A$5:$A$104,1)))),($AZ27*$BY27/($AZ27+2*$BY27))^(2/3)))</f>
        <v>0.77902910968611272</v>
      </c>
    </row>
    <row r="28" spans="2:94" s="33" customFormat="1" ht="81.75" hidden="1" customHeight="1">
      <c r="B28" s="362" t="str" cm="1">
        <f t="array" aca="1" ref="B28" ca="1">IFERROR(INDIRECT("'"&amp;BN28&amp;"'!F10"),"")</f>
        <v>BC10</v>
      </c>
      <c r="C28" s="362" t="s">
        <v>358</v>
      </c>
      <c r="D28" s="363" t="str">
        <f ca="1">IFERROR(INDIRECT("'"&amp;BN28&amp;"'!E3"),"")</f>
        <v>847</v>
      </c>
      <c r="E28" s="363" t="str">
        <f ca="1">IFERROR(INDIRECT("'"&amp;BN28&amp;"'!F3"),"")</f>
        <v>+</v>
      </c>
      <c r="F28" s="363">
        <f ca="1">IFERROR(INDIRECT("'"&amp;BN28&amp;"'!G3"),"")</f>
        <v>15.87</v>
      </c>
      <c r="G28" s="364"/>
      <c r="H28" s="365">
        <f ca="1">IFERROR(INDIRECT("'"&amp;BN28&amp;"'!E6"),"")</f>
        <v>3.1849131852715482</v>
      </c>
      <c r="I28" s="365">
        <f ca="1">IFERROR(INDIRECT("'"&amp;BN28&amp;"'!E7"),"")</f>
        <v>3.7917068081139047</v>
      </c>
      <c r="J28" s="365">
        <f t="shared" ca="1" si="30"/>
        <v>216</v>
      </c>
      <c r="K28" s="365">
        <f ca="1">IFERROR(INDIRECT("'"&amp;BN28&amp;"'!E9"),"")</f>
        <v>2.171355384574142</v>
      </c>
      <c r="L28" s="365">
        <f ca="1">IFERROR(INDIRECT("'"&amp;BN28&amp;"'!O9"),"")</f>
        <v>1.2215559615122922</v>
      </c>
      <c r="M28" s="365">
        <f ca="1">IFERROR(INDIRECT("'"&amp;BN28&amp;"'!O8"),"")</f>
        <v>0.2</v>
      </c>
      <c r="N28" s="366" t="str">
        <f ca="1">IF(H28&lt;=5,"RAC",IF(H28&lt;=10,"RAC MOD","HUT"))</f>
        <v>RAC</v>
      </c>
      <c r="O28" s="365">
        <f ca="1">IFERROR(INDIRECT("'"&amp;BN28&amp;"'!n14"),"")</f>
        <v>1.2036643202474839</v>
      </c>
      <c r="P28" s="365">
        <f ca="1">IFERROR(INDIRECT("'"&amp;BN28&amp;"'!n15"),"")</f>
        <v>1.326754725457604</v>
      </c>
      <c r="Q28" s="365">
        <f ca="1">IFERROR(INDIRECT("'"&amp;BN28&amp;"'!N16"),"")</f>
        <v>1.4872516241320612</v>
      </c>
      <c r="R28" s="365">
        <f ca="1">IFERROR(INDIRECT("'"&amp;BN28&amp;"'!N17"),"")</f>
        <v>1.6435425034968565</v>
      </c>
      <c r="S28" s="365">
        <f ca="1">IFERROR(INDIRECT("'"&amp;BN28&amp;"'!M21"),"")</f>
        <v>12.788777390961618</v>
      </c>
      <c r="T28" s="365">
        <f ca="1">IFERROR(INDIRECT("'"&amp;BN28&amp;"'!M22"),"")</f>
        <v>14.096596992087473</v>
      </c>
      <c r="U28" s="365">
        <f ca="1">IFERROR(INDIRECT("'"&amp;BN28&amp;"'!M23"),"")</f>
        <v>15.801855737869133</v>
      </c>
      <c r="V28" s="365">
        <f ca="1">IFERROR(INDIRECT("'"&amp;BN28&amp;"'!M24"),"")</f>
        <v>17.462426073644341</v>
      </c>
      <c r="W28" s="365">
        <f t="shared" ca="1" si="42"/>
        <v>1.7999999999999998</v>
      </c>
      <c r="X28" s="367">
        <f>'Cadastro das Obras'!Q12</f>
        <v>4.996409765438907E-3</v>
      </c>
      <c r="Y28" s="368">
        <f t="shared" ca="1" si="31"/>
        <v>4.1564133517845727</v>
      </c>
      <c r="Z28" s="365">
        <f ca="1">_xlfn.LET(_xlpm.aa,(Y28)*1,_xlpm.dd,(AY28)*1,_xlpm.ww,2*PI()-0.000002,_xlpm.t_1,0.000001+_xlpm.ww/2,_xlpm.t_2,_xlpm.t_1+IF(_xlpm.dd^2/8*(_xlpm.t_1-SIN(_xlpm.t_1))&lt;_xlpm.aa,_xlpm.ww,-_xlpm.ww)/4,_xlpm.t_3,_xlpm.t_2+IF(_xlpm.dd^2/8*(_xlpm.t_2-SIN(_xlpm.t_2))&lt;_xlpm.aa,_xlpm.ww,-_xlpm.ww)/8,_xlpm.t_4,_xlpm.t_3+IF(_xlpm.dd^2/8*(_xlpm.t_3-SIN(_xlpm.t_3))&lt;_xlpm.aa,_xlpm.ww,-_xlpm.ww)/16,_xlpm.t_5,_xlpm.t_4+IF(_xlpm.dd^2/8*(_xlpm.t_4-SIN(_xlpm.t_4))&lt;_xlpm.aa,_xlpm.ww,-_xlpm.ww)/32,_xlpm.t_6,_xlpm.t_5+IF(_xlpm.dd^2/8*(_xlpm.t_5-SIN(_xlpm.t_5))&lt;_xlpm.aa,_xlpm.ww,-_xlpm.ww)/64,_xlpm.t_7,_xlpm.t_6+IF(_xlpm.dd^2/8*(_xlpm.t_6-SIN(_xlpm.t_6))&lt;_xlpm.aa,_xlpm.ww,-_xlpm.ww)/128,_xlpm.t_8,_xlpm.t_7+IF(_xlpm.dd^2/8*(_xlpm.t_7-SIN(_xlpm.t_7))&lt;_xlpm.aa,_xlpm.ww,-_xlpm.ww)/256,_xlpm.t_9,_xlpm.t_8+IF(_xlpm.dd^2/8*(_xlpm.t_8-SIN(_xlpm.t_8))&lt;_xlpm.aa,_xlpm.ww,-_xlpm.ww)/512,_xlpm.t_10,_xlpm.t_9+IF(_xlpm.dd^2/8*(_xlpm.t_9-SIN(_xlpm.t_9))&lt;_xlpm.aa,_xlpm.ww,-_xlpm.ww)/1024,_xlpm.t_11,_xlpm.t_10+IF(_xlpm.dd^2/8*(_xlpm.t_10-SIN(_xlpm.t_10))&lt;_xlpm.aa,_xlpm.ww,-_xlpm.ww)/2048,_xlpm.t_12,_xlpm.t_11+IF(_xlpm.dd^2/8*(_xlpm.t_11-SIN(_xlpm.t_11))&lt;_xlpm.aa,_xlpm.ww,-_xlpm.ww)/4096,_xlpm.t_13,_xlpm.t_12+IF(_xlpm.dd^2/8*(_xlpm.t_12-SIN(_xlpm.t_12))&lt;_xlpm.aa,_xlpm.ww,-_xlpm.ww)/8192,_xlpm.t_14,_xlpm.t_13+IF(_xlpm.dd^2/8*(_xlpm.t_13-SIN(_xlpm.t_13))&lt;_xlpm.aa,_xlpm.ww,-_xlpm.ww)/16384,_xlpm.t_15,_xlpm.t_14+IF(_xlpm.dd^2/8*(_xlpm.t_14-SIN(_xlpm.t_14))&lt;_xlpm.aa,_xlpm.ww,-_xlpm.ww)/32768,_xlpm.t_16,_xlpm.t_15+IF(_xlpm.dd^2/8*(_xlpm.t_15-SIN(_xlpm.t_15))&lt;_xlpm.aa,_xlpm.ww,-_xlpm.ww)/65536,_xlpm.t_17,_xlpm.t_16+IF(_xlpm.dd^2/8*(_xlpm.t_16-SIN(_xlpm.t_16))&lt;_xlpm.aa,_xlpm.ww,-_xlpm.ww)/131072,_xlpm.t_18,_xlpm.t_17+IF(_xlpm.dd^2/8*(_xlpm.t_17-SIN(_xlpm.t_17))&lt;_xlpm.aa,_xlpm.ww,-_xlpm.ww)/262144,_xlpm.t_19,_xlpm.t_18+IF(_xlpm.dd^2/8*(_xlpm.t_18-SIN(_xlpm.t_18))&lt;_xlpm.aa,_xlpm.ww,-_xlpm.ww)/524288,_xlpm.t_20,_xlpm.t_19+IF(_xlpm.dd^2/8*(_xlpm.t_19-SIN(_xlpm.t_19))&lt;_xlpm.aa,_xlpm.ww,-_xlpm.ww)/1048576,_xlpm.t_21,_xlpm.t_20+IF(_xlpm.dd^2/8*(_xlpm.t_20-SIN(_xlpm.t_20))&lt;_xlpm.aa,_xlpm.ww,-_xlpm.ww)/2097152,_xlpm.t_22,_xlpm.t_21+IF(_xlpm.dd^2/8*(_xlpm.t_21-SIN(_xlpm.t_21))&lt;_xlpm.aa,_xlpm.ww,-_xlpm.ww)/4194304,_xlpm.t_23,_xlpm.t_22+IF(_xlpm.dd^2/8*(_xlpm.t_22-SIN(_xlpm.t_22))&lt;_xlpm.aa,_xlpm.ww,-_xlpm.ww)/8388608,_xlpm.t_24,_xlpm.t_23+IF(_xlpm.dd^2/8*(_xlpm.t_23-SIN(_xlpm.t_23))&lt;_xlpm.aa,_xlpm.ww,-_xlpm.ww)/16777216,_xlpm.t_25,_xlpm.t_24+IF(_xlpm.dd^2/8*(_xlpm.t_24-SIN(_xlpm.t_24))&lt;_xlpm.aa,_xlpm.ww,-_xlpm.ww)/33554432,_xlpm.t_26,_xlpm.t_25+IF(_xlpm.dd^2/8*(_xlpm.t_25-SIN(_xlpm.t_25))&lt;_xlpm.aa,_xlpm.ww,-_xlpm.ww)/67108864,IF(OR(_xlpm.aa&lt;=0,_xlpm.dd&lt;=0),#VALUE!,_xlpm.dd/2*IF(_xlpm.t_26&gt;0.000001+_xlpm.ww*(1-1.5/2^26),0.000001+_xlpm.ww,_xlpm.t_26)))</f>
        <v>4.7123882303846898</v>
      </c>
      <c r="AA28" s="365">
        <v>0.55500000000000005</v>
      </c>
      <c r="AB28" s="365">
        <v>1.9079999999999999</v>
      </c>
      <c r="AC28" s="365">
        <f t="shared" ca="1" si="32"/>
        <v>1.6100291580937487</v>
      </c>
      <c r="AD28" s="365">
        <f>IFERROR(AA28/AB28,"")</f>
        <v>0.29088050314465413</v>
      </c>
      <c r="AE28" s="368">
        <f ca="1">IFERROR(IF(IF(OR(ISNUMBER(SEARCH("BSTC",AM28)),ISNUMBER(SEARCH("BDTC",AM28)),ISNUMBER(SEARCH("BTTC",AM28))),"CIRCULAR",IF(OR(ISNUMBER(SEARCH("BSCC",AM28)),ISNUMBER(SEARCH("BDCC",AM28)),ISNUMBER(SEARCH("BTCC",AM28))),"CELULAR",""))="CIRCULAR",AG28/SQRT(9.80665*(AA28/(AZ28*SIN((2*ACOS(1-2*AH28/AZ28))/2)))),AG28/SQRT(9.80665*AH28)),"")</f>
        <v>0.75522169772483583</v>
      </c>
      <c r="AF28" s="365" t="str">
        <f ca="1">IF(AE28&lt;1,"Subcrítico",IF(AE28=1,"Crítico","Supercrítico"))</f>
        <v>Subcrítico</v>
      </c>
      <c r="AG28" s="368">
        <f t="shared" ca="1" si="45"/>
        <v>3.6753381013582556</v>
      </c>
      <c r="AH28" s="368">
        <f ca="1">IFERROR(IF(IF(OR(ISNUMBER(SEARCH("BSTC",AM28)),ISNUMBER(SEARCH("BDTC",AM28)),ISNUMBER(SEARCH("BTTC",AM28))),"CIRCULAR",IF(OR(ISNUMBER(SEARCH("BSCC",AM28)),ISNUMBER(SEARCH("BDCC",AM28)),ISNUMBER(SEARCH("BTCC",AM28))),"CELULAR",""))="CIRCULAR",_xlfn.LET(_xlpm.qq,(15/3)*1,_xlpm.dd,(AZ28)*1,_xlpm.ss,(X28)*1,_xlpm.nn,(0.015)*1,_xlpm.rr,_xlpm.dd/2,_xlpm.ww,_xlpm.dd-0.000002,_xlpm.zz,(_xlpm.qq*_xlpm.nn/SQRT(_xlpm.ss))^3*_xlpm.rr^2/(_xlpm.dd^2/8)^5,_xlpm.h_1,0.000001+_xlpm.ww/2,_xlpm.u_1,2*ACOS(1-_xlpm.h_1/_xlpm.rr),_xlpm.h_2,_xlpm.h_1+IF((_xlpm.u_1-SIN(_xlpm.u_1))^5&lt;_xlpm.zz*_xlpm.u_1^2,_xlpm.ww,-_xlpm.ww)/4,_xlpm.u_2,2*ACOS(1-_xlpm.h_2/_xlpm.rr),_xlpm.h_3,_xlpm.h_2+IF((_xlpm.u_2-SIN(_xlpm.u_2))^5&lt;_xlpm.zz*_xlpm.u_2^2,_xlpm.ww,-_xlpm.ww)/8,_xlpm.u_3,2*ACOS(1-_xlpm.h_3/_xlpm.rr),_xlpm.h_4,_xlpm.h_3+IF((_xlpm.u_3-SIN(_xlpm.u_3))^5&lt;_xlpm.zz*_xlpm.u_3^2,_xlpm.ww,-_xlpm.ww)/16,_xlpm.u_4,2*ACOS(1-_xlpm.h_4/_xlpm.rr),_xlpm.h_5,_xlpm.h_4+IF((_xlpm.u_4-SIN(_xlpm.u_4))^5&lt;_xlpm.zz*_xlpm.u_4^2,_xlpm.ww,-_xlpm.ww)/32,_xlpm.u_5,2*ACOS(1-_xlpm.h_5/_xlpm.rr),_xlpm.h_6,_xlpm.h_5+IF((_xlpm.u_5-SIN(_xlpm.u_5))^5&lt;_xlpm.zz*_xlpm.u_5^2,_xlpm.ww,-_xlpm.ww)/64,_xlpm.u_6,2*ACOS(1-_xlpm.h_6/_xlpm.rr),_xlpm.h_7,_xlpm.h_6+IF((_xlpm.u_6-SIN(_xlpm.u_6))^5&lt;_xlpm.zz*_xlpm.u_6^2,_xlpm.ww,-_xlpm.ww)/128,_xlpm.u_7,2*ACOS(1-_xlpm.h_7/_xlpm.rr),_xlpm.h_8,_xlpm.h_7+IF((_xlpm.u_7-SIN(_xlpm.u_7))^5&lt;_xlpm.zz*_xlpm.u_7^2,_xlpm.ww,-_xlpm.ww)/256,_xlpm.u_8,2*ACOS(1-_xlpm.h_8/_xlpm.rr),_xlpm.h_9,_xlpm.h_8+IF((_xlpm.u_8-SIN(_xlpm.u_8))^5&lt;_xlpm.zz*_xlpm.u_8^2,_xlpm.ww,-_xlpm.ww)/512,_xlpm.u_9,2*ACOS(1-_xlpm.h_9/_xlpm.rr),_xlpm.h_10,_xlpm.h_9+IF((_xlpm.u_9-SIN(_xlpm.u_9))^5&lt;_xlpm.zz*_xlpm.u_9^2,_xlpm.ww,-_xlpm.ww)/1024,_xlpm.u_10,2*ACOS(1-_xlpm.h_10/_xlpm.rr),_xlpm.h_11,_xlpm.h_10+IF((_xlpm.u_10-SIN(_xlpm.u_10))^5&lt;_xlpm.zz*_xlpm.u_10^2,_xlpm.ww,-_xlpm.ww)/2048,_xlpm.u_11,2*ACOS(1-_xlpm.h_11/_xlpm.rr),_xlpm.h_12,_xlpm.h_11+IF((_xlpm.u_11-SIN(_xlpm.u_11))^5&lt;_xlpm.zz*_xlpm.u_11^2,_xlpm.ww,-_xlpm.ww)/4096,_xlpm.u_12,2*ACOS(1-_xlpm.h_12/_xlpm.rr),_xlpm.h_13,_xlpm.h_12+IF((_xlpm.u_12-SIN(_xlpm.u_12))^5&lt;_xlpm.zz*_xlpm.u_12^2,_xlpm.ww,-_xlpm.ww)/8192,_xlpm.u_13,2*ACOS(1-_xlpm.h_13/_xlpm.rr),_xlpm.h_14,_xlpm.h_13+IF((_xlpm.u_13-SIN(_xlpm.u_13))^5&lt;_xlpm.zz*_xlpm.u_13^2,_xlpm.ww,-_xlpm.ww)/16384,_xlpm.u_14,2*ACOS(1-_xlpm.h_14/_xlpm.rr),_xlpm.h_15,_xlpm.h_14+IF((_xlpm.u_14-SIN(_xlpm.u_14))^5&lt;_xlpm.zz*_xlpm.u_14^2,_xlpm.ww,-_xlpm.ww)/32768,_xlpm.u_15,2*ACOS(1-_xlpm.h_15/_xlpm.rr),_xlpm.h_16,_xlpm.h_15+IF((_xlpm.u_15-SIN(_xlpm.u_15))^5&lt;_xlpm.zz*_xlpm.u_15^2,_xlpm.ww,-_xlpm.ww)/65536,_xlpm.u_16,2*ACOS(1-_xlpm.h_16/_xlpm.rr),_xlpm.h_17,_xlpm.h_16+IF((_xlpm.u_16-SIN(_xlpm.u_16))^5&lt;_xlpm.zz*_xlpm.u_16^2,_xlpm.ww,-_xlpm.ww)/131072,_xlpm.u_17,2*ACOS(1-_xlpm.h_17/_xlpm.rr),_xlpm.h_18,_xlpm.h_17+IF((_xlpm.u_17-SIN(_xlpm.u_17))^5&lt;_xlpm.zz*_xlpm.u_17^2,_xlpm.ww,-_xlpm.ww)/262144,_xlpm.u_18,2*ACOS(1-_xlpm.h_18/_xlpm.rr),_xlpm.h_19,_xlpm.h_18+IF((_xlpm.u_18-SIN(_xlpm.u_18))^5&lt;_xlpm.zz*_xlpm.u_18^2,_xlpm.ww,-_xlpm.ww)/524288,_xlpm.u_19,2*ACOS(1-_xlpm.h_19/_xlpm.rr),_xlpm.h_20,_xlpm.h_19+IF((_xlpm.u_19-SIN(_xlpm.u_19))^5&lt;_xlpm.zz*_xlpm.u_19^2,_xlpm.ww,-_xlpm.ww)/1048576,_xlpm.u_20,2*ACOS(1-_xlpm.h_20/_xlpm.rr),_xlpm.h_21,_xlpm.h_20+IF((_xlpm.u_20-SIN(_xlpm.u_20))^5&lt;_xlpm.zz*_xlpm.u_20^2,_xlpm.ww,-_xlpm.ww)/2097152,_xlpm.u_21,2*ACOS(1-_xlpm.h_21/_xlpm.rr),_xlpm.h_22,_xlpm.h_21+IF((_xlpm.u_21-SIN(_xlpm.u_21))^5&lt;_xlpm.zz*_xlpm.u_21^2,_xlpm.ww,-_xlpm.ww)/4194304,_xlpm.u_22,2*ACOS(1-_xlpm.h_22/_xlpm.rr),_xlpm.h_23,_xlpm.h_22+IF((_xlpm.u_22-SIN(_xlpm.u_22))^5&lt;_xlpm.zz*_xlpm.u_22^2,_xlpm.ww,-_xlpm.ww)/8388608,_xlpm.u_23,2*ACOS(1-_xlpm.h_23/_xlpm.rr),_xlpm.h_24,_xlpm.h_23+IF((_xlpm.u_23-SIN(_xlpm.u_23))^5&lt;_xlpm.zz*_xlpm.u_23^2,_xlpm.ww,-_xlpm.ww)/16777216,_xlpm.u_24,2*ACOS(1-_xlpm.h_24/_xlpm.rr),_xlpm.h_25,_xlpm.h_24+IF((_xlpm.u_24-SIN(_xlpm.u_24))^5&lt;_xlpm.zz*_xlpm.u_24^2,_xlpm.ww,-_xlpm.ww)/33554432,_xlpm.u_25,2*ACOS(1-_xlpm.h_25/_xlpm.rr),_xlpm.h_26,_xlpm.h_25+IF((_xlpm.u_25-SIN(_xlpm.u_25))^5&lt;_xlpm.zz*_xlpm.u_25^2,_xlpm.ww,-_xlpm.ww)/67108864,IF(OR(_xlpm.qq&lt;=0,_xlpm.dd&lt;=0,_xlpm.ss&lt;=0,_xlpm.nn&lt;=0),#VALUE!,IF(_xlpm.h_26&gt;0.000001+_xlpm.ww*(1-1.5/2^26),0.000001+_xlpm.ww,_xlpm.h_26))),_xlfn.LET(_xlpm.ob,AM28,_xlpm.ss,(X28)*1,_xlpm.nn,(0.015)*1,_xlpm.qq,(BP28)*1/IF(OR(ISNUMBER(SEARCH("BSTC",_xlpm.ob)),ISNUMBER(SEARCH("BSCC",_xlpm.ob))),1,IF(OR(ISNUMBER(SEARCH("BDTC",_xlpm.ob)),ISNUMBER(SEARCH("BDCC",_xlpm.ob))),2,IF(OR(ISNUMBER(SEARCH("BTTC",_xlpm.ob)),ISNUMBER(SEARCH("BTCC",_xlpm.ob))),3,#VALUE!))),_xlpm.bb,_xlfn.NUMBERVALUE(SUBSTITUTE(TRIM(MID(_xlpm.ob,SEARCH("cc",_xlpm.ob)+3,SEARCH("x",_xlpm.ob)-SEARCH("cc",_xlpm.ob)-3)),".",","),",","."),_xlpm.hh,_xlfn.NUMBERVALUE(SUBSTITUTE(TRIM(MID(_xlpm.ob,SEARCH("x",_xlpm.ob)+1,SEARCH("m",_xlpm.ob,SEARCH("x",_xlpm.ob))-SEARCH("x",_xlpm.ob)-1)),".",","),",","."),_xlpm.kk,SQRT(_xlpm.ss)/_xlpm.nn,_xlpm.x_0,_xlpm.hh,_xlpm.g_0,_xlpm.kk*_xlpm.bb*_xlpm.x_0*(_xlpm.bb*_xlpm.x_0/(_xlpm.bb+2*_xlpm.x_0))^(2/3),_xlpm.x_1,_xlpm.x_0-(_xlpm.g_0-_xlpm.qq)/(_xlpm.g_0*(5/(3*_xlpm.x_0)-4/(3*(_xlpm.bb+2*_xlpm.x_0)))),_xlpm.g_1,_xlpm.kk*_xlpm.bb*_xlpm.x_1*(_xlpm.bb*_xlpm.x_1/(_xlpm.bb+2*_xlpm.x_1))^(2/3),_xlpm.x_2,_xlpm.x_1-(_xlpm.g_1-_xlpm.qq)/(_xlpm.g_1*(5/(3*_xlpm.x_1)-4/(3*(_xlpm.bb+2*_xlpm.x_1)))),_xlpm.g_2,_xlpm.kk*_xlpm.bb*_xlpm.x_2*(_xlpm.bb*_xlpm.x_2/(_xlpm.bb+2*_xlpm.x_2))^(2/3),_xlpm.x_3,_xlpm.x_2-(_xlpm.g_2-_xlpm.qq)/(_xlpm.g_2*(5/(3*_xlpm.x_2)-4/(3*(_xlpm.bb+2*_xlpm.x_2)))),_xlpm.g_3,_xlpm.kk*_xlpm.bb*_xlpm.x_3*(_xlpm.bb*_xlpm.x_3/(_xlpm.bb+2*_xlpm.x_3))^(2/3),_xlpm.x_4,_xlpm.x_3-(_xlpm.g_3-_xlpm.qq)/(_xlpm.g_3*(5/(3*_xlpm.x_3)-4/(3*(_xlpm.bb+2*_xlpm.x_3)))),_xlpm.g_4,_xlpm.kk*_xlpm.bb*_xlpm.x_4*(_xlpm.bb*_xlpm.x_4/(_xlpm.bb+2*_xlpm.x_4))^(2/3),_xlpm.x_5,_xlpm.x_4-(_xlpm.g_4-_xlpm.qq)/(_xlpm.g_4*(5/(3*_xlpm.x_4)-4/(3*(_xlpm.bb+2*_xlpm.x_4)))),_xlpm.g_5,_xlpm.kk*_xlpm.bb*_xlpm.x_5*(_xlpm.bb*_xlpm.x_5/(_xlpm.bb+2*_xlpm.x_5))^(2/3),_xlpm.x_6,_xlpm.x_5-(_xlpm.g_5-_xlpm.qq)/(_xlpm.g_5*(5/(3*_xlpm.x_5)-4/(3*(_xlpm.bb+2*_xlpm.x_5)))),_xlpm.g_6,_xlpm.kk*_xlpm.bb*_xlpm.x_6*(_xlpm.bb*_xlpm.x_6/(_xlpm.bb+2*_xlpm.x_6))^(2/3),_xlpm.x_7,_xlpm.x_6-(_xlpm.g_6-_xlpm.qq)/(_xlpm.g_6*(5/(3*_xlpm.x_6)-4/(3*(_xlpm.bb+2*_xlpm.x_6)))),_xlpm.g_7,_xlpm.kk*_xlpm.bb*_xlpm.x_7*(_xlpm.bb*_xlpm.x_7/(_xlpm.bb+2*_xlpm.x_7))^(2/3),_xlpm.x_8,_xlpm.x_7-(_xlpm.g_7-_xlpm.qq)/(_xlpm.g_7*(5/(3*_xlpm.x_7)-4/(3*(_xlpm.bb+2*_xlpm.x_7)))),_xlpm.g_8,_xlpm.kk*_xlpm.bb*_xlpm.x_8*(_xlpm.bb*_xlpm.x_8/(_xlpm.bb+2*_xlpm.x_8))^(2/3),_xlpm.x_9,_xlpm.x_8-(_xlpm.g_8-_xlpm.qq)/(_xlpm.g_8*(5/(3*_xlpm.x_8)-4/(3*(_xlpm.bb+2*_xlpm.x_8)))),_xlpm.g_9,_xlpm.kk*_xlpm.bb*_xlpm.x_9*(_xlpm.bb*_xlpm.x_9/(_xlpm.bb+2*_xlpm.x_9))^(2/3),_xlpm.x_10,_xlpm.x_9-(_xlpm.g_9-_xlpm.qq)/(_xlpm.g_9*(5/(3*_xlpm.x_9)-4/(3*(_xlpm.bb+2*_xlpm.x_9)))),MIN(_xlpm.hh,_xlpm.x_10))),"")</f>
        <v>2.415043737140623</v>
      </c>
      <c r="AI28" s="368">
        <f ca="1">IFERROR(
  IF(
    IF(OR(ISNUMBER(SEARCH("BSTC",AM28)),ISNUMBER(SEARCH("BDTC",AM28)),ISNUMBER(SEARCH("BTTC",AM28))),"CIRCULAR",IF(OR(ISNUMBER(SEARCH("BSCC",AM28)),ISNUMBER(SEARCH("BDCC",AM28)),ISNUMBER(SEARCH("BTCC",AM28))),"CELULAR",""))="CIRCULAR",
    (3/2)*(((AZ28^2/8)*((2*ACOS(1-2*BB28/AZ28))-SIN(2*ACOS(1-2*BB28/AZ28))))/(AZ28*SIN((2*ACOS(1-2*BB28/AZ28))/2))),
    (3/2)*BB28
  ),
  ""
)</f>
        <v>2.22007280705304</v>
      </c>
      <c r="AJ28" s="368">
        <f ca="1">IFERROR(AT28/AZ28,"")</f>
        <v>0.59999959999999997</v>
      </c>
      <c r="AK28" s="369" t="s">
        <v>371</v>
      </c>
      <c r="AL28" s="370" t="str">
        <f ca="1">IFERROR(INDIRECT("'"&amp;BN28&amp;"'!J27"),"")</f>
        <v>BTTC d= 1,50m</v>
      </c>
      <c r="AM28" s="373" t="str">
        <f ca="1">IFERROR(INDIRECT("'"&amp;BN28&amp;"'!J32"),"")</f>
        <v>BSCC 2,50 x 2,50m</v>
      </c>
      <c r="AN28" s="371" t="s">
        <v>25</v>
      </c>
      <c r="AO28" s="371" t="s">
        <v>25</v>
      </c>
      <c r="AP28" s="371" t="s">
        <v>373</v>
      </c>
      <c r="AQ28" s="117">
        <f t="shared" ca="1" si="33"/>
        <v>19.780876644988354</v>
      </c>
      <c r="AR28" s="31">
        <f t="shared" ca="1" si="34"/>
        <v>0.88201844767048598</v>
      </c>
      <c r="AS28" s="93">
        <v>1.4999999999999999E-2</v>
      </c>
      <c r="AT28" s="33">
        <f ca="1">IFERROR(IF(IF(OR(ISNUMBER(SEARCH("BSTC",AL28)),ISNUMBER(SEARCH("BDTC",AL28)),ISNUMBER(SEARCH("BTTC",AL28))),"CIRCULAR",IF(OR(ISNUMBER(SEARCH("BSCC",AL28)),ISNUMBER(SEARCH("BDCC",AL28)),ISNUMBER(SEARCH("BTCC",AL28))),"CELULAR",""))="CIRCULAR",_xlfn.LET(_xlpm.qq,(BS28/(IFERROR(IF(OR(ISNUMBER(FIND("BDTC",AL28)),ISNUMBER(FIND("BDCC",AL28))),2,IF(OR(ISNUMBER(FIND("BTTC",AL28)),ISNUMBER(FIND("BTCC",AL28))),3,IF(OR(ISNUMBER(FIND("BSTC",AL28)),ISNUMBER(FIND("BSCC",AL28))),1,""))),"")))*1,_xlpm.dd,(AY28)*1,_xlpm.ss,(X28)*1,_xlpm.nn,(0.015)*1,_xlpm.rr,_xlpm.dd/2,_xlpm.ww,_xlpm.dd-0.000002,_xlpm.zz,(_xlpm.qq*_xlpm.nn/SQRT(_xlpm.ss))^3*_xlpm.rr^2/(_xlpm.dd^2/8)^5,_xlpm.h_1,0.000001+_xlpm.ww/2,_xlpm.u_1,2*ACOS(1-_xlpm.h_1/_xlpm.rr),_xlpm.h_2,_xlpm.h_1+IF((_xlpm.u_1-SIN(_xlpm.u_1))^5&lt;_xlpm.zz*_xlpm.u_1^2,_xlpm.ww,-_xlpm.ww)/4,_xlpm.u_2,2*ACOS(1-_xlpm.h_2/_xlpm.rr),_xlpm.h_3,_xlpm.h_2+IF((_xlpm.u_2-SIN(_xlpm.u_2))^5&lt;_xlpm.zz*_xlpm.u_2^2,_xlpm.ww,-_xlpm.ww)/8,_xlpm.u_3,2*ACOS(1-_xlpm.h_3/_xlpm.rr),_xlpm.h_4,_xlpm.h_3+IF((_xlpm.u_3-SIN(_xlpm.u_3))^5&lt;_xlpm.zz*_xlpm.u_3^2,_xlpm.ww,-_xlpm.ww)/16,_xlpm.u_4,2*ACOS(1-_xlpm.h_4/_xlpm.rr),_xlpm.h_5,_xlpm.h_4+IF((_xlpm.u_4-SIN(_xlpm.u_4))^5&lt;_xlpm.zz*_xlpm.u_4^2,_xlpm.ww,-_xlpm.ww)/32,_xlpm.u_5,2*ACOS(1-_xlpm.h_5/_xlpm.rr),_xlpm.h_6,_xlpm.h_5+IF((_xlpm.u_5-SIN(_xlpm.u_5))^5&lt;_xlpm.zz*_xlpm.u_5^2,_xlpm.ww,-_xlpm.ww)/64,_xlpm.u_6,2*ACOS(1-_xlpm.h_6/_xlpm.rr),_xlpm.h_7,_xlpm.h_6+IF((_xlpm.u_6-SIN(_xlpm.u_6))^5&lt;_xlpm.zz*_xlpm.u_6^2,_xlpm.ww,-_xlpm.ww)/128,_xlpm.u_7,2*ACOS(1-_xlpm.h_7/_xlpm.rr),_xlpm.h_8,_xlpm.h_7+IF((_xlpm.u_7-SIN(_xlpm.u_7))^5&lt;_xlpm.zz*_xlpm.u_7^2,_xlpm.ww,-_xlpm.ww)/256,_xlpm.u_8,2*ACOS(1-_xlpm.h_8/_xlpm.rr),_xlpm.h_9,_xlpm.h_8+IF((_xlpm.u_8-SIN(_xlpm.u_8))^5&lt;_xlpm.zz*_xlpm.u_8^2,_xlpm.ww,-_xlpm.ww)/512,_xlpm.u_9,2*ACOS(1-_xlpm.h_9/_xlpm.rr),_xlpm.h_10,_xlpm.h_9+IF((_xlpm.u_9-SIN(_xlpm.u_9))^5&lt;_xlpm.zz*_xlpm.u_9^2,_xlpm.ww,-_xlpm.ww)/1024,_xlpm.u_10,2*ACOS(1-_xlpm.h_10/_xlpm.rr),_xlpm.h_11,_xlpm.h_10+IF((_xlpm.u_10-SIN(_xlpm.u_10))^5&lt;_xlpm.zz*_xlpm.u_10^2,_xlpm.ww,-_xlpm.ww)/2048,_xlpm.u_11,2*ACOS(1-_xlpm.h_11/_xlpm.rr),_xlpm.h_12,_xlpm.h_11+IF((_xlpm.u_11-SIN(_xlpm.u_11))^5&lt;_xlpm.zz*_xlpm.u_11^2,_xlpm.ww,-_xlpm.ww)/4096,_xlpm.u_12,2*ACOS(1-_xlpm.h_12/_xlpm.rr),_xlpm.h_13,_xlpm.h_12+IF((_xlpm.u_12-SIN(_xlpm.u_12))^5&lt;_xlpm.zz*_xlpm.u_12^2,_xlpm.ww,-_xlpm.ww)/8192,_xlpm.u_13,2*ACOS(1-_xlpm.h_13/_xlpm.rr),_xlpm.h_14,_xlpm.h_13+IF((_xlpm.u_13-SIN(_xlpm.u_13))^5&lt;_xlpm.zz*_xlpm.u_13^2,_xlpm.ww,-_xlpm.ww)/16384,_xlpm.u_14,2*ACOS(1-_xlpm.h_14/_xlpm.rr),_xlpm.h_15,_xlpm.h_14+IF((_xlpm.u_14-SIN(_xlpm.u_14))^5&lt;_xlpm.zz*_xlpm.u_14^2,_xlpm.ww,-_xlpm.ww)/32768,_xlpm.u_15,2*ACOS(1-_xlpm.h_15/_xlpm.rr),_xlpm.h_16,_xlpm.h_15+IF((_xlpm.u_15-SIN(_xlpm.u_15))^5&lt;_xlpm.zz*_xlpm.u_15^2,_xlpm.ww,-_xlpm.ww)/65536,_xlpm.u_16,2*ACOS(1-_xlpm.h_16/_xlpm.rr),_xlpm.h_17,_xlpm.h_16+IF((_xlpm.u_16-SIN(_xlpm.u_16))^5&lt;_xlpm.zz*_xlpm.u_16^2,_xlpm.ww,-_xlpm.ww)/131072,_xlpm.u_17,2*ACOS(1-_xlpm.h_17/_xlpm.rr),_xlpm.h_18,_xlpm.h_17+IF((_xlpm.u_17-SIN(_xlpm.u_17))^5&lt;_xlpm.zz*_xlpm.u_17^2,_xlpm.ww,-_xlpm.ww)/262144,_xlpm.u_18,2*ACOS(1-_xlpm.h_18/_xlpm.rr),_xlpm.h_19,_xlpm.h_18+IF((_xlpm.u_18-SIN(_xlpm.u_18))^5&lt;_xlpm.zz*_xlpm.u_18^2,_xlpm.ww,-_xlpm.ww)/524288,_xlpm.u_19,2*ACOS(1-_xlpm.h_19/_xlpm.rr),_xlpm.h_20,_xlpm.h_19+IF((_xlpm.u_19-SIN(_xlpm.u_19))^5&lt;_xlpm.zz*_xlpm.u_19^2,_xlpm.ww,-_xlpm.ww)/1048576,_xlpm.u_20,2*ACOS(1-_xlpm.h_20/_xlpm.rr),_xlpm.h_21,_xlpm.h_20+IF((_xlpm.u_20-SIN(_xlpm.u_20))^5&lt;_xlpm.zz*_xlpm.u_20^2,_xlpm.ww,-_xlpm.ww)/2097152,_xlpm.u_21,2*ACOS(1-_xlpm.h_21/_xlpm.rr),_xlpm.h_22,_xlpm.h_21+IF((_xlpm.u_21-SIN(_xlpm.u_21))^5&lt;_xlpm.zz*_xlpm.u_21^2,_xlpm.ww,-_xlpm.ww)/4194304,_xlpm.u_22,2*ACOS(1-_xlpm.h_22/_xlpm.rr),_xlpm.h_23,_xlpm.h_22+IF((_xlpm.u_22-SIN(_xlpm.u_22))^5&lt;_xlpm.zz*_xlpm.u_22^2,_xlpm.ww,-_xlpm.ww)/8388608,_xlpm.u_23,2*ACOS(1-_xlpm.h_23/_xlpm.rr),_xlpm.h_24,_xlpm.h_23+IF((_xlpm.u_23-SIN(_xlpm.u_23))^5&lt;_xlpm.zz*_xlpm.u_23^2,_xlpm.ww,-_xlpm.ww)/16777216,_xlpm.u_24,2*ACOS(1-_xlpm.h_24/_xlpm.rr),_xlpm.h_25,_xlpm.h_24+IF((_xlpm.u_24-SIN(_xlpm.u_24))^5&lt;_xlpm.zz*_xlpm.u_24^2,_xlpm.ww,-_xlpm.ww)/33554432,_xlpm.u_25,2*ACOS(1-_xlpm.h_25/_xlpm.rr),_xlpm.h_26,_xlpm.h_25+IF((_xlpm.u_25-SIN(_xlpm.u_25))^5&lt;_xlpm.zz*_xlpm.u_25^2,_xlpm.ww,-_xlpm.ww)/67108864,IF(OR(_xlpm.qq&lt;=0,_xlpm.dd&lt;=0,_xlpm.ss&lt;=0,_xlpm.nn&lt;=0),#VALUE!,IF(_xlpm.h_26&gt;0.000001+_xlpm.ww*(1-1.5/2^26),0.000001+_xlpm.ww,_xlpm.h_26))),_xlfn.LET(_xlpm.ob,AL28,_xlpm.ss,(X28)*1,_xlpm.nn,(0.015)*1,_xlpm.qq,(BS28)*1/IF(OR(ISNUMBER(SEARCH("BSTC",_xlpm.ob)),ISNUMBER(SEARCH("BSCC",_xlpm.ob))),1,IF(OR(ISNUMBER(SEARCH("BDTC",_xlpm.ob)),ISNUMBER(SEARCH("BDCC",_xlpm.ob))),2,IF(OR(ISNUMBER(SEARCH("BTTC",_xlpm.ob)),ISNUMBER(SEARCH("BTCC",_xlpm.ob))),3,#VALUE!))),_xlpm.bb,_xlfn.NUMBERVALUE(SUBSTITUTE(TRIM(MID(_xlpm.ob,SEARCH("cc",_xlpm.ob)+3,SEARCH("x",_xlpm.ob)-SEARCH("cc",_xlpm.ob)-3)),".",","),",","."),_xlpm.hh,_xlfn.NUMBERVALUE(SUBSTITUTE(TRIM(MID(_xlpm.ob,SEARCH("x",_xlpm.ob)+1,SEARCH("m",_xlpm.ob,SEARCH("x",_xlpm.ob))-SEARCH("x",_xlpm.ob)-1)),".",","),",","."),_xlpm.kk,SQRT(_xlpm.ss)/_xlpm.nn,_xlpm.x_0,_xlpm.hh,_xlpm.g_0,_xlpm.kk*_xlpm.bb*_xlpm.x_0*(_xlpm.bb*_xlpm.x_0/(_xlpm.bb+2*_xlpm.x_0))^(2/3),_xlpm.x_1,_xlpm.x_0-(_xlpm.g_0-_xlpm.qq)/(_xlpm.g_0*(5/(3*_xlpm.x_0)-4/(3*(_xlpm.bb+2*_xlpm.x_0)))),_xlpm.g_1,_xlpm.kk*_xlpm.bb*_xlpm.x_1*(_xlpm.bb*_xlpm.x_1/(_xlpm.bb+2*_xlpm.x_1))^(2/3),_xlpm.x_2,_xlpm.x_1-(_xlpm.g_1-_xlpm.qq)/(_xlpm.g_1*(5/(3*_xlpm.x_1)-4/(3*(_xlpm.bb+2*_xlpm.x_1)))),_xlpm.g_2,_xlpm.kk*_xlpm.bb*_xlpm.x_2*(_xlpm.bb*_xlpm.x_2/(_xlpm.bb+2*_xlpm.x_2))^(2/3),_xlpm.x_3,_xlpm.x_2-(_xlpm.g_2-_xlpm.qq)/(_xlpm.g_2*(5/(3*_xlpm.x_2)-4/(3*(_xlpm.bb+2*_xlpm.x_2)))),_xlpm.g_3,_xlpm.kk*_xlpm.bb*_xlpm.x_3*(_xlpm.bb*_xlpm.x_3/(_xlpm.bb+2*_xlpm.x_3))^(2/3),_xlpm.x_4,_xlpm.x_3-(_xlpm.g_3-_xlpm.qq)/(_xlpm.g_3*(5/(3*_xlpm.x_3)-4/(3*(_xlpm.bb+2*_xlpm.x_3)))),_xlpm.g_4,_xlpm.kk*_xlpm.bb*_xlpm.x_4*(_xlpm.bb*_xlpm.x_4/(_xlpm.bb+2*_xlpm.x_4))^(2/3),_xlpm.x_5,_xlpm.x_4-(_xlpm.g_4-_xlpm.qq)/(_xlpm.g_4*(5/(3*_xlpm.x_4)-4/(3*(_xlpm.bb+2*_xlpm.x_4)))),_xlpm.g_5,_xlpm.kk*_xlpm.bb*_xlpm.x_5*(_xlpm.bb*_xlpm.x_5/(_xlpm.bb+2*_xlpm.x_5))^(2/3),_xlpm.x_6,_xlpm.x_5-(_xlpm.g_5-_xlpm.qq)/(_xlpm.g_5*(5/(3*_xlpm.x_5)-4/(3*(_xlpm.bb+2*_xlpm.x_5)))),_xlpm.g_6,_xlpm.kk*_xlpm.bb*_xlpm.x_6*(_xlpm.bb*_xlpm.x_6/(_xlpm.bb+2*_xlpm.x_6))^(2/3),_xlpm.x_7,_xlpm.x_6-(_xlpm.g_6-_xlpm.qq)/(_xlpm.g_6*(5/(3*_xlpm.x_6)-4/(3*(_xlpm.bb+2*_xlpm.x_6)))),_xlpm.g_7,_xlpm.kk*_xlpm.bb*_xlpm.x_7*(_xlpm.bb*_xlpm.x_7/(_xlpm.bb+2*_xlpm.x_7))^(2/3),_xlpm.x_8,_xlpm.x_7-(_xlpm.g_7-_xlpm.qq)/(_xlpm.g_7*(5/(3*_xlpm.x_7)-4/(3*(_xlpm.bb+2*_xlpm.x_7)))),_xlpm.g_8,_xlpm.kk*_xlpm.bb*_xlpm.x_8*(_xlpm.bb*_xlpm.x_8/(_xlpm.bb+2*_xlpm.x_8))^(2/3),_xlpm.x_9,_xlpm.x_8-(_xlpm.g_8-_xlpm.qq)/(_xlpm.g_8*(5/(3*_xlpm.x_8)-4/(3*(_xlpm.bb+2*_xlpm.x_8)))),_xlpm.g_9,_xlpm.kk*_xlpm.bb*_xlpm.x_9*(_xlpm.bb*_xlpm.x_9/(_xlpm.bb+2*_xlpm.x_9))^(2/3),_xlpm.x_10,_xlpm.x_9-(_xlpm.g_9-_xlpm.qq)/(_xlpm.g_9*(5/(3*_xlpm.x_9)-4/(3*(_xlpm.bb+2*_xlpm.x_9)))),MIN(_xlpm.hh,_xlpm.x_10))),"")</f>
        <v>1.4999989999999999</v>
      </c>
      <c r="AU28" s="33">
        <f t="shared" si="35"/>
        <v>1.1481725423063369</v>
      </c>
      <c r="AW28" s="33" t="str">
        <f t="shared" ca="1" si="36"/>
        <v>BSCC</v>
      </c>
      <c r="AY28" s="33">
        <f t="shared" ca="1" si="37"/>
        <v>1.5</v>
      </c>
      <c r="AZ28" s="33">
        <f t="shared" ca="1" si="38"/>
        <v>2.5</v>
      </c>
      <c r="BA28" s="33" t="str">
        <f ca="1">IFERROR(INDEX(Tabela_DEB!$A$2:$A$12,MATCH(LEFT(AM28,FIND(" ",AM28)-1)&amp;" "&amp;TEXT(VALUE(MID(AM28,FIND("=",AM28)+1,FIND("m",AM28)-FIND("=",AM28)-1))*100,"0"),Tabela_DEB!$E$2:$E$12,0)),"")</f>
        <v/>
      </c>
      <c r="BB28" s="33">
        <f ca="1">IFERROR(IF(IF(OR(ISNUMBER(SEARCH("BSTC",AM28)),ISNUMBER(SEARCH("BDTC",AM28)),ISNUMBER(SEARCH("BTTC",AM28))),"CIRCULAR",IF(OR(ISNUMBER(SEARCH("BSCC",AM28)),ISNUMBER(SEARCH("BDCC",AM28)),ISNUMBER(SEARCH("BTCC",AM28))),"CELULAR",""))="CIRCULAR",_xlfn.LET(_xlpm.qq,(BQ28/BC28)*1,_xlpm.dd,(AZ28)*1,_xlpm.ww,_xlpm.dd-0.0002,_xlpm.f_0,_xlpm.qq^2*_xlpm.dd*SIN(ACOS(1-2*0.0001/_xlpm.dd))-9.81*(_xlpm.dd^2/8*(2*ACOS(1-2*0.0001/_xlpm.dd)-SIN(2*ACOS(1-2*0.0001/_xlpm.dd))))^3,_xlpm.y_1,0.0001+_xlpm.ww/2,_xlpm.f_1,_xlpm.qq^2*_xlpm.dd*SIN(ACOS(1-2*_xlpm.y_1/_xlpm.dd))-9.81*(_xlpm.dd^2/8*(2*ACOS(1-2*_xlpm.y_1/_xlpm.dd)-SIN(2*ACOS(1-2*_xlpm.y_1/_xlpm.dd))))^3,_xlpm.y_2,_xlpm.y_1+IF(ABS(_xlpm.f_1)&lt;0.000001,0,IF(_xlpm.f_0*_xlpm.f_1&lt;0,-_xlpm.ww,_xlpm.ww))/4,_xlpm.f_2,_xlpm.qq^2*_xlpm.dd*SIN(ACOS(1-2*_xlpm.y_2/_xlpm.dd))-9.81*(_xlpm.dd^2/8*(2*ACOS(1-2*_xlpm.y_2/_xlpm.dd)-SIN(2*ACOS(1-2*_xlpm.y_2/_xlpm.dd))))^3,_xlpm.y_3,_xlpm.y_2+IF(ABS(_xlpm.f_2)&lt;0.000001,0,IF(_xlpm.f_0*_xlpm.f_2&lt;0,-_xlpm.ww,_xlpm.ww))/8,_xlpm.f_3,_xlpm.qq^2*_xlpm.dd*SIN(ACOS(1-2*_xlpm.y_3/_xlpm.dd))-9.81*(_xlpm.dd^2/8*(2*ACOS(1-2*_xlpm.y_3/_xlpm.dd)-SIN(2*ACOS(1-2*_xlpm.y_3/_xlpm.dd))))^3,_xlpm.y_4,_xlpm.y_3+IF(ABS(_xlpm.f_3)&lt;0.000001,0,IF(_xlpm.f_0*_xlpm.f_3&lt;0,-_xlpm.ww,_xlpm.ww))/16,_xlpm.f_4,_xlpm.qq^2*_xlpm.dd*SIN(ACOS(1-2*_xlpm.y_4/_xlpm.dd))-9.81*(_xlpm.dd^2/8*(2*ACOS(1-2*_xlpm.y_4/_xlpm.dd)-SIN(2*ACOS(1-2*_xlpm.y_4/_xlpm.dd))))^3,_xlpm.y_5,_xlpm.y_4+IF(ABS(_xlpm.f_4)&lt;0.000001,0,IF(_xlpm.f_0*_xlpm.f_4&lt;0,-_xlpm.ww,_xlpm.ww))/32,_xlpm.f_5,_xlpm.qq^2*_xlpm.dd*SIN(ACOS(1-2*_xlpm.y_5/_xlpm.dd))-9.81*(_xlpm.dd^2/8*(2*ACOS(1-2*_xlpm.y_5/_xlpm.dd)-SIN(2*ACOS(1-2*_xlpm.y_5/_xlpm.dd))))^3,_xlpm.y_6,_xlpm.y_5+IF(ABS(_xlpm.f_5)&lt;0.000001,0,IF(_xlpm.f_0*_xlpm.f_5&lt;0,-_xlpm.ww,_xlpm.ww))/64,_xlpm.f_6,_xlpm.qq^2*_xlpm.dd*SIN(ACOS(1-2*_xlpm.y_6/_xlpm.dd))-9.81*(_xlpm.dd^2/8*(2*ACOS(1-2*_xlpm.y_6/_xlpm.dd)-SIN(2*ACOS(1-2*_xlpm.y_6/_xlpm.dd))))^3,_xlpm.y_7,_xlpm.y_6+IF(ABS(_xlpm.f_6)&lt;0.000001,0,IF(_xlpm.f_0*_xlpm.f_6&lt;0,-_xlpm.ww,_xlpm.ww))/128,_xlpm.f_7,_xlpm.qq^2*_xlpm.dd*SIN(ACOS(1-2*_xlpm.y_7/_xlpm.dd))-9.81*(_xlpm.dd^2/8*(2*ACOS(1-2*_xlpm.y_7/_xlpm.dd)-SIN(2*ACOS(1-2*_xlpm.y_7/_xlpm.dd))))^3,_xlpm.y_8,_xlpm.y_7+IF(ABS(_xlpm.f_7)&lt;0.000001,0,IF(_xlpm.f_0*_xlpm.f_7&lt;0,-_xlpm.ww,_xlpm.ww))/256,_xlpm.f_8,_xlpm.qq^2*_xlpm.dd*SIN(ACOS(1-2*_xlpm.y_8/_xlpm.dd))-9.81*(_xlpm.dd^2/8*(2*ACOS(1-2*_xlpm.y_8/_xlpm.dd)-SIN(2*ACOS(1-2*_xlpm.y_8/_xlpm.dd))))^3,_xlpm.y_9,_xlpm.y_8+IF(ABS(_xlpm.f_8)&lt;0.000001,0,IF(_xlpm.f_0*_xlpm.f_8&lt;0,-_xlpm.ww,_xlpm.ww))/512,_xlpm.f_9,_xlpm.qq^2*_xlpm.dd*SIN(ACOS(1-2*_xlpm.y_9/_xlpm.dd))-9.81*(_xlpm.dd^2/8*(2*ACOS(1-2*_xlpm.y_9/_xlpm.dd)-SIN(2*ACOS(1-2*_xlpm.y_9/_xlpm.dd))))^3,_xlpm.y_10,_xlpm.y_9+IF(ABS(_xlpm.f_9)&lt;0.000001,0,IF(_xlpm.f_0*_xlpm.f_9&lt;0,-_xlpm.ww,_xlpm.ww))/1024,_xlpm.f_10,_xlpm.qq^2*_xlpm.dd*SIN(ACOS(1-2*_xlpm.y_10/_xlpm.dd))-9.81*(_xlpm.dd^2/8*(2*ACOS(1-2*_xlpm.y_10/_xlpm.dd)-SIN(2*ACOS(1-2*_xlpm.y_10/_xlpm.dd))))^3,_xlpm.y_11,_xlpm.y_10+IF(ABS(_xlpm.f_10)&lt;0.000001,0,IF(_xlpm.f_0*_xlpm.f_10&lt;0,-_xlpm.ww,_xlpm.ww))/2048,_xlpm.f_11,_xlpm.qq^2*_xlpm.dd*SIN(ACOS(1-2*_xlpm.y_11/_xlpm.dd))-9.81*(_xlpm.dd^2/8*(2*ACOS(1-2*_xlpm.y_11/_xlpm.dd)-SIN(2*ACOS(1-2*_xlpm.y_11/_xlpm.dd))))^3,_xlpm.y_12,_xlpm.y_11+IF(ABS(_xlpm.f_11)&lt;0.000001,0,IF(_xlpm.f_0*_xlpm.f_11&lt;0,-_xlpm.ww,_xlpm.ww))/4096,_xlpm.f_12,_xlpm.qq^2*_xlpm.dd*SIN(ACOS(1-2*_xlpm.y_12/_xlpm.dd))-9.81*(_xlpm.dd^2/8*(2*ACOS(1-2*_xlpm.y_12/_xlpm.dd)-SIN(2*ACOS(1-2*_xlpm.y_12/_xlpm.dd))))^3,_xlpm.y_13,_xlpm.y_12+IF(ABS(_xlpm.f_12)&lt;0.000001,0,IF(_xlpm.f_0*_xlpm.f_12&lt;0,-_xlpm.ww,_xlpm.ww))/8192,_xlpm.f_13,_xlpm.qq^2*_xlpm.dd*SIN(ACOS(1-2*_xlpm.y_13/_xlpm.dd))-9.81*(_xlpm.dd^2/8*(2*ACOS(1-2*_xlpm.y_13/_xlpm.dd)-SIN(2*ACOS(1-2*_xlpm.y_13/_xlpm.dd))))^3,_xlpm.y_14,_xlpm.y_13+IF(ABS(_xlpm.f_13)&lt;0.000001,0,IF(_xlpm.f_0*_xlpm.f_13&lt;0,-_xlpm.ww,_xlpm.ww))/16384,_xlpm.f_14,_xlpm.qq^2*_xlpm.dd*SIN(ACOS(1-2*_xlpm.y_14/_xlpm.dd))-9.81*(_xlpm.dd^2/8*(2*ACOS(1-2*_xlpm.y_14/_xlpm.dd)-SIN(2*ACOS(1-2*_xlpm.y_14/_xlpm.dd))))^3,_xlpm.y_15,_xlpm.y_14+IF(ABS(_xlpm.f_14)&lt;0.000001,0,IF(_xlpm.f_0*_xlpm.f_14&lt;0,-_xlpm.ww,_xlpm.ww))/32768,_xlpm.f_15,_xlpm.qq^2*_xlpm.dd*SIN(ACOS(1-2*_xlpm.y_15/_xlpm.dd))-9.81*(_xlpm.dd^2/8*(2*ACOS(1-2*_xlpm.y_15/_xlpm.dd)-SIN(2*ACOS(1-2*_xlpm.y_15/_xlpm.dd))))^3,_xlpm.y_16,_xlpm.y_15+IF(ABS(_xlpm.f_15)&lt;0.000001,0,IF(_xlpm.f_0*_xlpm.f_15&lt;0,-_xlpm.ww,_xlpm.ww))/65536,_xlpm.f_16,_xlpm.qq^2*_xlpm.dd*SIN(ACOS(1-2*_xlpm.y_16/_xlpm.dd))-9.81*(_xlpm.dd^2/8*(2*ACOS(1-2*_xlpm.y_16/_xlpm.dd)-SIN(2*ACOS(1-2*_xlpm.y_16/_xlpm.dd))))^3,_xlpm.y_17,_xlpm.y_16+IF(ABS(_xlpm.f_16)&lt;0.000001,0,IF(_xlpm.f_0*_xlpm.f_16&lt;0,-_xlpm.ww,_xlpm.ww))/131072,_xlpm.f_17,_xlpm.qq^2*_xlpm.dd*SIN(ACOS(1-2*_xlpm.y_17/_xlpm.dd))-9.81*(_xlpm.dd^2/8*(2*ACOS(1-2*_xlpm.y_17/_xlpm.dd)-SIN(2*ACOS(1-2*_xlpm.y_17/_xlpm.dd))))^3,_xlpm.y_18,_xlpm.y_17+IF(ABS(_xlpm.f_17)&lt;0.000001,0,IF(_xlpm.f_0*_xlpm.f_17&lt;0,-_xlpm.ww,_xlpm.ww))/262144,_xlpm.f_18,_xlpm.qq^2*_xlpm.dd*SIN(ACOS(1-2*_xlpm.y_18/_xlpm.dd))-9.81*(_xlpm.dd^2/8*(2*ACOS(1-2*_xlpm.y_18/_xlpm.dd)-SIN(2*ACOS(1-2*_xlpm.y_18/_xlpm.dd))))^3,_xlpm.y_19,_xlpm.y_18+IF(ABS(_xlpm.f_18)&lt;0.000001,0,IF(_xlpm.f_0*_xlpm.f_18&lt;0,-_xlpm.ww,_xlpm.ww))/524288,_xlpm.f_19,_xlpm.qq^2*_xlpm.dd*SIN(ACOS(1-2*_xlpm.y_19/_xlpm.dd))-9.81*(_xlpm.dd^2/8*(2*ACOS(1-2*_xlpm.y_19/_xlpm.dd)-SIN(2*ACOS(1-2*_xlpm.y_19/_xlpm.dd))))^3,_xlpm.y_20,_xlpm.y_19+IF(ABS(_xlpm.f_19)&lt;0.000001,0,IF(_xlpm.f_0*_xlpm.f_19&lt;0,-_xlpm.ww,_xlpm.ww))/1048576,_xlpm.f_20,_xlpm.qq^2*_xlpm.dd*SIN(ACOS(1-2*_xlpm.y_20/_xlpm.dd))-9.81*(_xlpm.dd^2/8*(2*ACOS(1-2*_xlpm.y_20/_xlpm.dd)-SIN(2*ACOS(1-2*_xlpm.y_20/_xlpm.dd))))^3,_xlpm.y_21,_xlpm.y_20+IF(ABS(_xlpm.f_20)&lt;0.000001,0,IF(_xlpm.f_0*_xlpm.f_20&lt;0,-_xlpm.ww,_xlpm.ww))/2097152,_xlpm.f_21,_xlpm.qq^2*_xlpm.dd*SIN(ACOS(1-2*_xlpm.y_21/_xlpm.dd))-9.81*(_xlpm.dd^2/8*(2*ACOS(1-2*_xlpm.y_21/_xlpm.dd)-SIN(2*ACOS(1-2*_xlpm.y_21/_xlpm.dd))))^3,_xlpm.y_22,_xlpm.y_21+IF(ABS(_xlpm.f_21)&lt;0.000001,0,IF(_xlpm.f_0*_xlpm.f_21&lt;0,-_xlpm.ww,_xlpm.ww))/4194304,_xlpm.f_22,_xlpm.qq^2*_xlpm.dd*SIN(ACOS(1-2*_xlpm.y_22/_xlpm.dd))-9.81*(_xlpm.dd^2/8*(2*ACOS(1-2*_xlpm.y_22/_xlpm.dd)-SIN(2*ACOS(1-2*_xlpm.y_22/_xlpm.dd))))^3,_xlpm.y_23,_xlpm.y_22+IF(ABS(_xlpm.f_22)&lt;0.000001,0,IF(_xlpm.f_0*_xlpm.f_22&lt;0,-_xlpm.ww,_xlpm.ww))/8388608,_xlpm.f_23,_xlpm.qq^2*_xlpm.dd*SIN(ACOS(1-2*_xlpm.y_23/_xlpm.dd))-9.81*(_xlpm.dd^2/8*(2*ACOS(1-2*_xlpm.y_23/_xlpm.dd)-SIN(2*ACOS(1-2*_xlpm.y_23/_xlpm.dd))))^3,_xlpm.y_24,_xlpm.y_23+IF(ABS(_xlpm.f_23)&lt;0.000001,0,IF(_xlpm.f_0*_xlpm.f_23&lt;0,-_xlpm.ww,_xlpm.ww))/16777216,_xlpm.f_24,_xlpm.qq^2*_xlpm.dd*SIN(ACOS(1-2*_xlpm.y_24/_xlpm.dd))-9.81*(_xlpm.dd^2/8*(2*ACOS(1-2*_xlpm.y_24/_xlpm.dd)-SIN(2*ACOS(1-2*_xlpm.y_24/_xlpm.dd))))^3,_xlpm.y_25,_xlpm.y_24+IF(ABS(_xlpm.f_24)&lt;0.000001,0,IF(_xlpm.f_0*_xlpm.f_24&lt;0,-_xlpm.ww,_xlpm.ww))/33554432,_xlpm.f_25,_xlpm.qq^2*_xlpm.dd*SIN(ACOS(1-2*_xlpm.y_25/_xlpm.dd))-9.81*(_xlpm.dd^2/8*(2*ACOS(1-2*_xlpm.y_25/_xlpm.dd)-SIN(2*ACOS(1-2*_xlpm.y_25/_xlpm.dd))))^3,_xlpm.y_26,_xlpm.y_25+IF(ABS(_xlpm.f_25)&lt;0.000001,0,IF(_xlpm.f_0*_xlpm.f_25&lt;0,-_xlpm.ww,_xlpm.ww))/67108864,_xlpm.y_26),((BQ28/BC28/_xlfn.NUMBERVALUE(SUBSTITUTE(TRIM(MID(AM28,SEARCH("cc",AM28)+3,SEARCH("x",AM28)-SEARCH("cc",AM28)-3)),".",","),",","."))^2/9.80665)^(1/3)),"")</f>
        <v>1.4800485380353601</v>
      </c>
      <c r="BC28" s="117">
        <f t="shared" ca="1" si="47"/>
        <v>1</v>
      </c>
      <c r="BE28" s="174">
        <f>'Cadastro das Obras'!U15</f>
        <v>0</v>
      </c>
      <c r="BF28" s="174">
        <f>'Cadastro das Obras'!V15</f>
        <v>0</v>
      </c>
      <c r="BH28" s="33">
        <f>'Cadastro das Obras'!T15</f>
        <v>0</v>
      </c>
      <c r="BJ28" s="117">
        <f>'Cadastro das Obras'!W15</f>
        <v>0</v>
      </c>
      <c r="BN28" s="34" t="s">
        <v>355</v>
      </c>
      <c r="BP28" s="33">
        <f t="shared" ca="1" si="48"/>
        <v>25</v>
      </c>
      <c r="BQ28" s="33">
        <f ca="1">CHOOSE(MATCH(BP28,{15,25,50,100},0),S28,T28,U28,V28)</f>
        <v>14.096596992087473</v>
      </c>
      <c r="BR28" s="33">
        <f ca="1">IFERROR(IF(ISNUMBER(FIND("50 anos",INDIRECT("'"&amp;#REF!&amp;"'!"&amp;IF(ISNUMBER(FIND("HUT",#REF!)),"U40","Q14")))),50,25),25)</f>
        <v>25</v>
      </c>
      <c r="BS28" s="33">
        <f ca="1">CHOOSE(MATCH(BR28,{15,25,50,100},0),S28,T28,U28,V28)</f>
        <v>14.096596992087473</v>
      </c>
      <c r="BU28" s="33">
        <f t="shared" ca="1" si="49"/>
        <v>0.57717376615611449</v>
      </c>
      <c r="BV28" s="33" t="str">
        <f t="shared" ca="1" si="39"/>
        <v>SUBCRÍTICO</v>
      </c>
      <c r="BW28" s="33" t="str">
        <f t="shared" ca="1" si="50"/>
        <v>SUFICIENTE</v>
      </c>
      <c r="BY28" s="33">
        <f t="shared" ca="1" si="51"/>
        <v>1.5341821794956083</v>
      </c>
      <c r="BZ28" s="33" t="str">
        <f t="shared" ca="1" si="52"/>
        <v>Celular</v>
      </c>
      <c r="CA28" s="115">
        <f t="shared" ca="1" si="53"/>
        <v>14.096596992087473</v>
      </c>
      <c r="CB28" s="353" t="str">
        <f ca="1">IF($AW28="","",IF($BZ28="Tubular",IF($CO28=0,0.01,IF($CO28&gt;=93,1,INDEX('Tab18'!$A$5:$A$97,$CO28)+($CN28-INDEX('Tab18'!$E$5:$E$97,$CO28))*(INDEX('Tab18'!$A$5:$A$97,$CO28+1)-INDEX('Tab18'!$A$5:$A$97,$CO28))/(INDEX('Tab18'!$E$5:$E$97,$CO28+1)-INDEX('Tab18'!$E$5:$E$97,$CO28)))),"-"))</f>
        <v>-</v>
      </c>
      <c r="CC28" s="33">
        <f t="shared" ca="1" si="54"/>
        <v>1.1136838094256334</v>
      </c>
      <c r="CD28" s="33">
        <f t="shared" ref="CD28:CM28" ca="1" si="64">IF($AW28="","",IF($BZ28="Celular",$CN28^0.6*($AZ28+2*CC28)^0.4/$AZ28,"-"))</f>
        <v>1.4369235181997153</v>
      </c>
      <c r="CE28" s="33">
        <f t="shared" ca="1" si="64"/>
        <v>1.5125161572977388</v>
      </c>
      <c r="CF28" s="33">
        <f t="shared" ca="1" si="64"/>
        <v>1.5293955827356187</v>
      </c>
      <c r="CG28" s="33">
        <f t="shared" ca="1" si="64"/>
        <v>1.5331266959799097</v>
      </c>
      <c r="CH28" s="33">
        <f t="shared" ca="1" si="64"/>
        <v>1.5339496039969804</v>
      </c>
      <c r="CI28" s="33">
        <f t="shared" ca="1" si="64"/>
        <v>1.5341310096766165</v>
      </c>
      <c r="CJ28" s="33">
        <f t="shared" ca="1" si="64"/>
        <v>1.5341709952622657</v>
      </c>
      <c r="CK28" s="33">
        <f t="shared" ca="1" si="64"/>
        <v>1.5341798087069223</v>
      </c>
      <c r="CL28" s="33">
        <f t="shared" ca="1" si="64"/>
        <v>1.5341817513169156</v>
      </c>
      <c r="CM28" s="33">
        <f t="shared" ca="1" si="64"/>
        <v>1.5341821794956083</v>
      </c>
      <c r="CN28" s="352">
        <f t="shared" ca="1" si="56"/>
        <v>2.9914139780753963</v>
      </c>
      <c r="CO28" s="174" t="str">
        <f ca="1">IF($AW28="","",IF($BZ28="Tubular",IFERROR(MATCH($CN28,'Tab18'!$E$5:$E$97,1),0),"-"))</f>
        <v>-</v>
      </c>
      <c r="CP28" s="33">
        <f ca="1">IF($AW28="","",IF($BZ28="Tubular",IF($CB28&gt;=1,'Tab18'!$D$104,INDEX('Tab18'!$D$5:$D$104,MATCH($CB28,'Tab18'!$A$5:$A$104,1))+($CB28-INDEX('Tab18'!$A$5:$A$104,MATCH($CB28,'Tab18'!$A$5:$A$104,1)))*(INDEX('Tab18'!$D$5:$D$104,MATCH($CB28,'Tab18'!$A$5:$A$104,1)+1)-INDEX('Tab18'!$D$5:$D$104,MATCH($CB28,'Tab18'!$A$5:$A$104,1)))/(INDEX('Tab18'!$A$5:$A$104,MATCH($CB28,'Tab18'!$A$5:$A$104,1)+1)-INDEX('Tab18'!$A$5:$A$104,MATCH($CB28,'Tab18'!$A$5:$A$104,1)))),($AZ28*$BY28/($AZ28+2*$BY28))^(2/3)))</f>
        <v>0.77993701435370855</v>
      </c>
    </row>
    <row r="29" spans="2:94" s="33" customFormat="1" ht="81.75" hidden="1" customHeight="1">
      <c r="B29" s="362" t="str" cm="1">
        <f t="array" aca="1" ref="B29" ca="1">IFERROR(INDIRECT("'"&amp;BN29&amp;"'!F10"),"")</f>
        <v>BC11</v>
      </c>
      <c r="C29" s="362" t="s">
        <v>359</v>
      </c>
      <c r="D29" s="363" t="str">
        <f ca="1">IFERROR(INDIRECT("'"&amp;BN29&amp;"'!E3"),"")</f>
        <v>893</v>
      </c>
      <c r="E29" s="363" t="str">
        <f ca="1">IFERROR(INDIRECT("'"&amp;BN29&amp;"'!F3"),"")</f>
        <v>+</v>
      </c>
      <c r="F29" s="363">
        <f ca="1">IFERROR(INDIRECT("'"&amp;BN29&amp;"'!G3"),"")</f>
        <v>18.600000000000001</v>
      </c>
      <c r="G29" s="364"/>
      <c r="H29" s="365">
        <f ca="1">IFERROR(INDIRECT("'"&amp;BN29&amp;"'!E6"),"")</f>
        <v>1.4311120339943537</v>
      </c>
      <c r="I29" s="365">
        <f ca="1">IFERROR(INDIRECT("'"&amp;BN29&amp;"'!E7"),"")</f>
        <v>1.3600747739946264</v>
      </c>
      <c r="J29" s="365">
        <f t="shared" ca="1" si="30"/>
        <v>59</v>
      </c>
      <c r="K29" s="365">
        <f ca="1">IFERROR(INDIRECT("'"&amp;BN29&amp;"'!E9"),"")</f>
        <v>2.8553088313230597</v>
      </c>
      <c r="L29" s="365">
        <f ca="1">IFERROR(INDIRECT("'"&amp;BN29&amp;"'!O9"),"")</f>
        <v>0.49919349504872629</v>
      </c>
      <c r="M29" s="365">
        <f ca="1">IFERROR(INDIRECT("'"&amp;BN29&amp;"'!O8"),"")</f>
        <v>0.20788000000000001</v>
      </c>
      <c r="N29" s="366" t="str">
        <f ca="1">IF(H29&lt;=5,"RAC",IF(H29&lt;=10,"RAC MOD","HUT"))</f>
        <v>RAC</v>
      </c>
      <c r="O29" s="365">
        <f ca="1">IFERROR(INDIRECT("'"&amp;BN29&amp;"'!n14"),"")</f>
        <v>2.1710887257057263</v>
      </c>
      <c r="P29" s="365">
        <f ca="1">IFERROR(INDIRECT("'"&amp;BN29&amp;"'!n15"),"")</f>
        <v>2.3954076815514527</v>
      </c>
      <c r="Q29" s="365">
        <f ca="1">IFERROR(INDIRECT("'"&amp;BN29&amp;"'!N16"),"")</f>
        <v>2.6879976207776215</v>
      </c>
      <c r="R29" s="365">
        <f ca="1">IFERROR(INDIRECT("'"&amp;BN29&amp;"'!N17"),"")</f>
        <v>2.9389553772876638</v>
      </c>
      <c r="S29" s="365">
        <f ca="1">IFERROR(INDIRECT("'"&amp;BN29&amp;"'!M21"),"")</f>
        <v>10.77357799813583</v>
      </c>
      <c r="T29" s="365">
        <f ca="1">IFERROR(INDIRECT("'"&amp;BN29&amp;"'!M22"),"")</f>
        <v>11.886714342427217</v>
      </c>
      <c r="U29" s="365">
        <f ca="1">IFERROR(INDIRECT("'"&amp;BN29&amp;"'!M23"),"")</f>
        <v>13.338631297455528</v>
      </c>
      <c r="V29" s="365">
        <f ca="1">IFERROR(INDIRECT("'"&amp;BN29&amp;"'!M24"),"")</f>
        <v>14.583957171053468</v>
      </c>
      <c r="W29" s="365">
        <f t="shared" ca="1" si="42"/>
        <v>1.7999999999999998</v>
      </c>
      <c r="X29" s="367">
        <f>'Cadastro das Obras'!Q13</f>
        <v>9.9899124662361349E-3</v>
      </c>
      <c r="Y29" s="368">
        <f t="shared" ca="1" si="31"/>
        <v>3.504824478520999</v>
      </c>
      <c r="Z29" s="365">
        <f ca="1">_xlfn.LET(_xlpm.aa,(Y29)*1,_xlpm.dd,(AY29)*1,_xlpm.ww,2*PI()-0.000002,_xlpm.t_1,0.000001+_xlpm.ww/2,_xlpm.t_2,_xlpm.t_1+IF(_xlpm.dd^2/8*(_xlpm.t_1-SIN(_xlpm.t_1))&lt;_xlpm.aa,_xlpm.ww,-_xlpm.ww)/4,_xlpm.t_3,_xlpm.t_2+IF(_xlpm.dd^2/8*(_xlpm.t_2-SIN(_xlpm.t_2))&lt;_xlpm.aa,_xlpm.ww,-_xlpm.ww)/8,_xlpm.t_4,_xlpm.t_3+IF(_xlpm.dd^2/8*(_xlpm.t_3-SIN(_xlpm.t_3))&lt;_xlpm.aa,_xlpm.ww,-_xlpm.ww)/16,_xlpm.t_5,_xlpm.t_4+IF(_xlpm.dd^2/8*(_xlpm.t_4-SIN(_xlpm.t_4))&lt;_xlpm.aa,_xlpm.ww,-_xlpm.ww)/32,_xlpm.t_6,_xlpm.t_5+IF(_xlpm.dd^2/8*(_xlpm.t_5-SIN(_xlpm.t_5))&lt;_xlpm.aa,_xlpm.ww,-_xlpm.ww)/64,_xlpm.t_7,_xlpm.t_6+IF(_xlpm.dd^2/8*(_xlpm.t_6-SIN(_xlpm.t_6))&lt;_xlpm.aa,_xlpm.ww,-_xlpm.ww)/128,_xlpm.t_8,_xlpm.t_7+IF(_xlpm.dd^2/8*(_xlpm.t_7-SIN(_xlpm.t_7))&lt;_xlpm.aa,_xlpm.ww,-_xlpm.ww)/256,_xlpm.t_9,_xlpm.t_8+IF(_xlpm.dd^2/8*(_xlpm.t_8-SIN(_xlpm.t_8))&lt;_xlpm.aa,_xlpm.ww,-_xlpm.ww)/512,_xlpm.t_10,_xlpm.t_9+IF(_xlpm.dd^2/8*(_xlpm.t_9-SIN(_xlpm.t_9))&lt;_xlpm.aa,_xlpm.ww,-_xlpm.ww)/1024,_xlpm.t_11,_xlpm.t_10+IF(_xlpm.dd^2/8*(_xlpm.t_10-SIN(_xlpm.t_10))&lt;_xlpm.aa,_xlpm.ww,-_xlpm.ww)/2048,_xlpm.t_12,_xlpm.t_11+IF(_xlpm.dd^2/8*(_xlpm.t_11-SIN(_xlpm.t_11))&lt;_xlpm.aa,_xlpm.ww,-_xlpm.ww)/4096,_xlpm.t_13,_xlpm.t_12+IF(_xlpm.dd^2/8*(_xlpm.t_12-SIN(_xlpm.t_12))&lt;_xlpm.aa,_xlpm.ww,-_xlpm.ww)/8192,_xlpm.t_14,_xlpm.t_13+IF(_xlpm.dd^2/8*(_xlpm.t_13-SIN(_xlpm.t_13))&lt;_xlpm.aa,_xlpm.ww,-_xlpm.ww)/16384,_xlpm.t_15,_xlpm.t_14+IF(_xlpm.dd^2/8*(_xlpm.t_14-SIN(_xlpm.t_14))&lt;_xlpm.aa,_xlpm.ww,-_xlpm.ww)/32768,_xlpm.t_16,_xlpm.t_15+IF(_xlpm.dd^2/8*(_xlpm.t_15-SIN(_xlpm.t_15))&lt;_xlpm.aa,_xlpm.ww,-_xlpm.ww)/65536,_xlpm.t_17,_xlpm.t_16+IF(_xlpm.dd^2/8*(_xlpm.t_16-SIN(_xlpm.t_16))&lt;_xlpm.aa,_xlpm.ww,-_xlpm.ww)/131072,_xlpm.t_18,_xlpm.t_17+IF(_xlpm.dd^2/8*(_xlpm.t_17-SIN(_xlpm.t_17))&lt;_xlpm.aa,_xlpm.ww,-_xlpm.ww)/262144,_xlpm.t_19,_xlpm.t_18+IF(_xlpm.dd^2/8*(_xlpm.t_18-SIN(_xlpm.t_18))&lt;_xlpm.aa,_xlpm.ww,-_xlpm.ww)/524288,_xlpm.t_20,_xlpm.t_19+IF(_xlpm.dd^2/8*(_xlpm.t_19-SIN(_xlpm.t_19))&lt;_xlpm.aa,_xlpm.ww,-_xlpm.ww)/1048576,_xlpm.t_21,_xlpm.t_20+IF(_xlpm.dd^2/8*(_xlpm.t_20-SIN(_xlpm.t_20))&lt;_xlpm.aa,_xlpm.ww,-_xlpm.ww)/2097152,_xlpm.t_22,_xlpm.t_21+IF(_xlpm.dd^2/8*(_xlpm.t_21-SIN(_xlpm.t_21))&lt;_xlpm.aa,_xlpm.ww,-_xlpm.ww)/4194304,_xlpm.t_23,_xlpm.t_22+IF(_xlpm.dd^2/8*(_xlpm.t_22-SIN(_xlpm.t_22))&lt;_xlpm.aa,_xlpm.ww,-_xlpm.ww)/8388608,_xlpm.t_24,_xlpm.t_23+IF(_xlpm.dd^2/8*(_xlpm.t_23-SIN(_xlpm.t_23))&lt;_xlpm.aa,_xlpm.ww,-_xlpm.ww)/16777216,_xlpm.t_25,_xlpm.t_24+IF(_xlpm.dd^2/8*(_xlpm.t_24-SIN(_xlpm.t_24))&lt;_xlpm.aa,_xlpm.ww,-_xlpm.ww)/33554432,_xlpm.t_26,_xlpm.t_25+IF(_xlpm.dd^2/8*(_xlpm.t_25-SIN(_xlpm.t_25))&lt;_xlpm.aa,_xlpm.ww,-_xlpm.ww)/67108864,IF(OR(_xlpm.aa&lt;=0,_xlpm.dd&lt;=0),#VALUE!,_xlpm.dd/2*IF(_xlpm.t_26&gt;0.000001+_xlpm.ww*(1-1.5/2^26),0.000001+_xlpm.ww,_xlpm.t_26)))</f>
        <v>4.7123882303846898</v>
      </c>
      <c r="AA29" s="365">
        <v>0.55500000000000005</v>
      </c>
      <c r="AB29" s="365">
        <v>1.9079999999999999</v>
      </c>
      <c r="AC29" s="365">
        <f t="shared" ca="1" si="32"/>
        <v>0.6869031232024625</v>
      </c>
      <c r="AD29" s="365">
        <f>IFERROR(AA29/AB29,"")</f>
        <v>0.29088050314465413</v>
      </c>
      <c r="AE29" s="368">
        <f ca="1">IFERROR(IF(IF(OR(ISNUMBER(SEARCH("BSTC",AM29)),ISNUMBER(SEARCH("BDTC",AM29)),ISNUMBER(SEARCH("BTTC",AM29))),"CIRCULAR",IF(OR(ISNUMBER(SEARCH("BSCC",AM29)),ISNUMBER(SEARCH("BDCC",AM29)),ISNUMBER(SEARCH("BTCC",AM29))),"CELULAR",""))="CIRCULAR",AG29/SQRT(9.80665*(AA29/(AZ29*SIN((2*ACOS(1-2*AH29/AZ29))/2)))),AG29/SQRT(9.80665*AH29)),"")</f>
        <v>1.8212455484586434</v>
      </c>
      <c r="AF29" s="365" t="str">
        <f ca="1">IF(AE29&lt;1,"Subcrítico",IF(AE29=1,"Crítico","Supercrítico"))</f>
        <v>Supercrítico</v>
      </c>
      <c r="AG29" s="368">
        <f t="shared" ca="1" si="45"/>
        <v>3.602227593347425</v>
      </c>
      <c r="AH29" s="368">
        <f ca="1">IFERROR(IF(IF(OR(ISNUMBER(SEARCH("BSTC",AM29)),ISNUMBER(SEARCH("BDTC",AM29)),ISNUMBER(SEARCH("BTTC",AM29))),"CIRCULAR",IF(OR(ISNUMBER(SEARCH("BSCC",AM29)),ISNUMBER(SEARCH("BDCC",AM29)),ISNUMBER(SEARCH("BTCC",AM29))),"CELULAR",""))="CIRCULAR",_xlfn.LET(_xlpm.qq,(15/3)*1,_xlpm.dd,(AZ29)*1,_xlpm.ss,(X29)*1,_xlpm.nn,(0.015)*1,_xlpm.rr,_xlpm.dd/2,_xlpm.ww,_xlpm.dd-0.000002,_xlpm.zz,(_xlpm.qq*_xlpm.nn/SQRT(_xlpm.ss))^3*_xlpm.rr^2/(_xlpm.dd^2/8)^5,_xlpm.h_1,0.000001+_xlpm.ww/2,_xlpm.u_1,2*ACOS(1-_xlpm.h_1/_xlpm.rr),_xlpm.h_2,_xlpm.h_1+IF((_xlpm.u_1-SIN(_xlpm.u_1))^5&lt;_xlpm.zz*_xlpm.u_1^2,_xlpm.ww,-_xlpm.ww)/4,_xlpm.u_2,2*ACOS(1-_xlpm.h_2/_xlpm.rr),_xlpm.h_3,_xlpm.h_2+IF((_xlpm.u_2-SIN(_xlpm.u_2))^5&lt;_xlpm.zz*_xlpm.u_2^2,_xlpm.ww,-_xlpm.ww)/8,_xlpm.u_3,2*ACOS(1-_xlpm.h_3/_xlpm.rr),_xlpm.h_4,_xlpm.h_3+IF((_xlpm.u_3-SIN(_xlpm.u_3))^5&lt;_xlpm.zz*_xlpm.u_3^2,_xlpm.ww,-_xlpm.ww)/16,_xlpm.u_4,2*ACOS(1-_xlpm.h_4/_xlpm.rr),_xlpm.h_5,_xlpm.h_4+IF((_xlpm.u_4-SIN(_xlpm.u_4))^5&lt;_xlpm.zz*_xlpm.u_4^2,_xlpm.ww,-_xlpm.ww)/32,_xlpm.u_5,2*ACOS(1-_xlpm.h_5/_xlpm.rr),_xlpm.h_6,_xlpm.h_5+IF((_xlpm.u_5-SIN(_xlpm.u_5))^5&lt;_xlpm.zz*_xlpm.u_5^2,_xlpm.ww,-_xlpm.ww)/64,_xlpm.u_6,2*ACOS(1-_xlpm.h_6/_xlpm.rr),_xlpm.h_7,_xlpm.h_6+IF((_xlpm.u_6-SIN(_xlpm.u_6))^5&lt;_xlpm.zz*_xlpm.u_6^2,_xlpm.ww,-_xlpm.ww)/128,_xlpm.u_7,2*ACOS(1-_xlpm.h_7/_xlpm.rr),_xlpm.h_8,_xlpm.h_7+IF((_xlpm.u_7-SIN(_xlpm.u_7))^5&lt;_xlpm.zz*_xlpm.u_7^2,_xlpm.ww,-_xlpm.ww)/256,_xlpm.u_8,2*ACOS(1-_xlpm.h_8/_xlpm.rr),_xlpm.h_9,_xlpm.h_8+IF((_xlpm.u_8-SIN(_xlpm.u_8))^5&lt;_xlpm.zz*_xlpm.u_8^2,_xlpm.ww,-_xlpm.ww)/512,_xlpm.u_9,2*ACOS(1-_xlpm.h_9/_xlpm.rr),_xlpm.h_10,_xlpm.h_9+IF((_xlpm.u_9-SIN(_xlpm.u_9))^5&lt;_xlpm.zz*_xlpm.u_9^2,_xlpm.ww,-_xlpm.ww)/1024,_xlpm.u_10,2*ACOS(1-_xlpm.h_10/_xlpm.rr),_xlpm.h_11,_xlpm.h_10+IF((_xlpm.u_10-SIN(_xlpm.u_10))^5&lt;_xlpm.zz*_xlpm.u_10^2,_xlpm.ww,-_xlpm.ww)/2048,_xlpm.u_11,2*ACOS(1-_xlpm.h_11/_xlpm.rr),_xlpm.h_12,_xlpm.h_11+IF((_xlpm.u_11-SIN(_xlpm.u_11))^5&lt;_xlpm.zz*_xlpm.u_11^2,_xlpm.ww,-_xlpm.ww)/4096,_xlpm.u_12,2*ACOS(1-_xlpm.h_12/_xlpm.rr),_xlpm.h_13,_xlpm.h_12+IF((_xlpm.u_12-SIN(_xlpm.u_12))^5&lt;_xlpm.zz*_xlpm.u_12^2,_xlpm.ww,-_xlpm.ww)/8192,_xlpm.u_13,2*ACOS(1-_xlpm.h_13/_xlpm.rr),_xlpm.h_14,_xlpm.h_13+IF((_xlpm.u_13-SIN(_xlpm.u_13))^5&lt;_xlpm.zz*_xlpm.u_13^2,_xlpm.ww,-_xlpm.ww)/16384,_xlpm.u_14,2*ACOS(1-_xlpm.h_14/_xlpm.rr),_xlpm.h_15,_xlpm.h_14+IF((_xlpm.u_14-SIN(_xlpm.u_14))^5&lt;_xlpm.zz*_xlpm.u_14^2,_xlpm.ww,-_xlpm.ww)/32768,_xlpm.u_15,2*ACOS(1-_xlpm.h_15/_xlpm.rr),_xlpm.h_16,_xlpm.h_15+IF((_xlpm.u_15-SIN(_xlpm.u_15))^5&lt;_xlpm.zz*_xlpm.u_15^2,_xlpm.ww,-_xlpm.ww)/65536,_xlpm.u_16,2*ACOS(1-_xlpm.h_16/_xlpm.rr),_xlpm.h_17,_xlpm.h_16+IF((_xlpm.u_16-SIN(_xlpm.u_16))^5&lt;_xlpm.zz*_xlpm.u_16^2,_xlpm.ww,-_xlpm.ww)/131072,_xlpm.u_17,2*ACOS(1-_xlpm.h_17/_xlpm.rr),_xlpm.h_18,_xlpm.h_17+IF((_xlpm.u_17-SIN(_xlpm.u_17))^5&lt;_xlpm.zz*_xlpm.u_17^2,_xlpm.ww,-_xlpm.ww)/262144,_xlpm.u_18,2*ACOS(1-_xlpm.h_18/_xlpm.rr),_xlpm.h_19,_xlpm.h_18+IF((_xlpm.u_18-SIN(_xlpm.u_18))^5&lt;_xlpm.zz*_xlpm.u_18^2,_xlpm.ww,-_xlpm.ww)/524288,_xlpm.u_19,2*ACOS(1-_xlpm.h_19/_xlpm.rr),_xlpm.h_20,_xlpm.h_19+IF((_xlpm.u_19-SIN(_xlpm.u_19))^5&lt;_xlpm.zz*_xlpm.u_19^2,_xlpm.ww,-_xlpm.ww)/1048576,_xlpm.u_20,2*ACOS(1-_xlpm.h_20/_xlpm.rr),_xlpm.h_21,_xlpm.h_20+IF((_xlpm.u_20-SIN(_xlpm.u_20))^5&lt;_xlpm.zz*_xlpm.u_20^2,_xlpm.ww,-_xlpm.ww)/2097152,_xlpm.u_21,2*ACOS(1-_xlpm.h_21/_xlpm.rr),_xlpm.h_22,_xlpm.h_21+IF((_xlpm.u_21-SIN(_xlpm.u_21))^5&lt;_xlpm.zz*_xlpm.u_21^2,_xlpm.ww,-_xlpm.ww)/4194304,_xlpm.u_22,2*ACOS(1-_xlpm.h_22/_xlpm.rr),_xlpm.h_23,_xlpm.h_22+IF((_xlpm.u_22-SIN(_xlpm.u_22))^5&lt;_xlpm.zz*_xlpm.u_22^2,_xlpm.ww,-_xlpm.ww)/8388608,_xlpm.u_23,2*ACOS(1-_xlpm.h_23/_xlpm.rr),_xlpm.h_24,_xlpm.h_23+IF((_xlpm.u_23-SIN(_xlpm.u_23))^5&lt;_xlpm.zz*_xlpm.u_23^2,_xlpm.ww,-_xlpm.ww)/16777216,_xlpm.u_24,2*ACOS(1-_xlpm.h_24/_xlpm.rr),_xlpm.h_25,_xlpm.h_24+IF((_xlpm.u_24-SIN(_xlpm.u_24))^5&lt;_xlpm.zz*_xlpm.u_24^2,_xlpm.ww,-_xlpm.ww)/33554432,_xlpm.u_25,2*ACOS(1-_xlpm.h_25/_xlpm.rr),_xlpm.h_26,_xlpm.h_25+IF((_xlpm.u_25-SIN(_xlpm.u_25))^5&lt;_xlpm.zz*_xlpm.u_25^2,_xlpm.ww,-_xlpm.ww)/67108864,IF(OR(_xlpm.qq&lt;=0,_xlpm.dd&lt;=0,_xlpm.ss&lt;=0,_xlpm.nn&lt;=0),#VALUE!,IF(_xlpm.h_26&gt;0.000001+_xlpm.ww*(1-1.5/2^26),0.000001+_xlpm.ww,_xlpm.h_26))),_xlfn.LET(_xlpm.ob,AM29,_xlpm.ss,(X29)*1,_xlpm.nn,(0.015)*1,_xlpm.qq,(BP29)*1/IF(OR(ISNUMBER(SEARCH("BSTC",_xlpm.ob)),ISNUMBER(SEARCH("BSCC",_xlpm.ob))),1,IF(OR(ISNUMBER(SEARCH("BDTC",_xlpm.ob)),ISNUMBER(SEARCH("BDCC",_xlpm.ob))),2,IF(OR(ISNUMBER(SEARCH("BTTC",_xlpm.ob)),ISNUMBER(SEARCH("BTCC",_xlpm.ob))),3,#VALUE!))),_xlpm.bb,_xlfn.NUMBERVALUE(SUBSTITUTE(TRIM(MID(_xlpm.ob,SEARCH("cc",_xlpm.ob)+3,SEARCH("x",_xlpm.ob)-SEARCH("cc",_xlpm.ob)-3)),".",","),",","."),_xlpm.hh,_xlfn.NUMBERVALUE(SUBSTITUTE(TRIM(MID(_xlpm.ob,SEARCH("x",_xlpm.ob)+1,SEARCH("m",_xlpm.ob,SEARCH("x",_xlpm.ob))-SEARCH("x",_xlpm.ob)-1)),".",","),",","."),_xlpm.kk,SQRT(_xlpm.ss)/_xlpm.nn,_xlpm.x_0,_xlpm.hh,_xlpm.g_0,_xlpm.kk*_xlpm.bb*_xlpm.x_0*(_xlpm.bb*_xlpm.x_0/(_xlpm.bb+2*_xlpm.x_0))^(2/3),_xlpm.x_1,_xlpm.x_0-(_xlpm.g_0-_xlpm.qq)/(_xlpm.g_0*(5/(3*_xlpm.x_0)-4/(3*(_xlpm.bb+2*_xlpm.x_0)))),_xlpm.g_1,_xlpm.kk*_xlpm.bb*_xlpm.x_1*(_xlpm.bb*_xlpm.x_1/(_xlpm.bb+2*_xlpm.x_1))^(2/3),_xlpm.x_2,_xlpm.x_1-(_xlpm.g_1-_xlpm.qq)/(_xlpm.g_1*(5/(3*_xlpm.x_1)-4/(3*(_xlpm.bb+2*_xlpm.x_1)))),_xlpm.g_2,_xlpm.kk*_xlpm.bb*_xlpm.x_2*(_xlpm.bb*_xlpm.x_2/(_xlpm.bb+2*_xlpm.x_2))^(2/3),_xlpm.x_3,_xlpm.x_2-(_xlpm.g_2-_xlpm.qq)/(_xlpm.g_2*(5/(3*_xlpm.x_2)-4/(3*(_xlpm.bb+2*_xlpm.x_2)))),_xlpm.g_3,_xlpm.kk*_xlpm.bb*_xlpm.x_3*(_xlpm.bb*_xlpm.x_3/(_xlpm.bb+2*_xlpm.x_3))^(2/3),_xlpm.x_4,_xlpm.x_3-(_xlpm.g_3-_xlpm.qq)/(_xlpm.g_3*(5/(3*_xlpm.x_3)-4/(3*(_xlpm.bb+2*_xlpm.x_3)))),_xlpm.g_4,_xlpm.kk*_xlpm.bb*_xlpm.x_4*(_xlpm.bb*_xlpm.x_4/(_xlpm.bb+2*_xlpm.x_4))^(2/3),_xlpm.x_5,_xlpm.x_4-(_xlpm.g_4-_xlpm.qq)/(_xlpm.g_4*(5/(3*_xlpm.x_4)-4/(3*(_xlpm.bb+2*_xlpm.x_4)))),_xlpm.g_5,_xlpm.kk*_xlpm.bb*_xlpm.x_5*(_xlpm.bb*_xlpm.x_5/(_xlpm.bb+2*_xlpm.x_5))^(2/3),_xlpm.x_6,_xlpm.x_5-(_xlpm.g_5-_xlpm.qq)/(_xlpm.g_5*(5/(3*_xlpm.x_5)-4/(3*(_xlpm.bb+2*_xlpm.x_5)))),_xlpm.g_6,_xlpm.kk*_xlpm.bb*_xlpm.x_6*(_xlpm.bb*_xlpm.x_6/(_xlpm.bb+2*_xlpm.x_6))^(2/3),_xlpm.x_7,_xlpm.x_6-(_xlpm.g_6-_xlpm.qq)/(_xlpm.g_6*(5/(3*_xlpm.x_6)-4/(3*(_xlpm.bb+2*_xlpm.x_6)))),_xlpm.g_7,_xlpm.kk*_xlpm.bb*_xlpm.x_7*(_xlpm.bb*_xlpm.x_7/(_xlpm.bb+2*_xlpm.x_7))^(2/3),_xlpm.x_8,_xlpm.x_7-(_xlpm.g_7-_xlpm.qq)/(_xlpm.g_7*(5/(3*_xlpm.x_7)-4/(3*(_xlpm.bb+2*_xlpm.x_7)))),_xlpm.g_8,_xlpm.kk*_xlpm.bb*_xlpm.x_8*(_xlpm.bb*_xlpm.x_8/(_xlpm.bb+2*_xlpm.x_8))^(2/3),_xlpm.x_9,_xlpm.x_8-(_xlpm.g_8-_xlpm.qq)/(_xlpm.g_8*(5/(3*_xlpm.x_8)-4/(3*(_xlpm.bb+2*_xlpm.x_8)))),_xlpm.g_9,_xlpm.kk*_xlpm.bb*_xlpm.x_9*(_xlpm.bb*_xlpm.x_9/(_xlpm.bb+2*_xlpm.x_9))^(2/3),_xlpm.x_10,_xlpm.x_9-(_xlpm.g_9-_xlpm.qq)/(_xlpm.g_9*(5/(3*_xlpm.x_9)-4/(3*(_xlpm.bb+2*_xlpm.x_9)))),MIN(_xlpm.hh,_xlpm.x_10))),"")</f>
        <v>1.0303546848036937</v>
      </c>
      <c r="AI29" s="368">
        <f ca="1">IFERROR(
  IF(
    IF(OR(ISNUMBER(SEARCH("BSTC",AM29)),ISNUMBER(SEARCH("BDTC",AM29)),ISNUMBER(SEARCH("BTTC",AM29))),"CIRCULAR",IF(OR(ISNUMBER(SEARCH("BSCC",AM29)),ISNUMBER(SEARCH("BDCC",AM29)),ISNUMBER(SEARCH("BTCC",AM29))),"CELULAR",""))="CIRCULAR",
    (3/2)*(((AZ29^2/8)*((2*ACOS(1-2*BB29/AZ29))-SIN(2*ACOS(1-2*BB29/AZ29))))/(AZ29*SIN((2*ACOS(1-2*BB29/AZ29))/2))),
    (3/2)*BB29
  ),
  ""
)</f>
        <v>1.2985472070159318</v>
      </c>
      <c r="AJ29" s="368">
        <f ca="1">IFERROR(AT29/AZ29,"")</f>
        <v>0.79435552152214417</v>
      </c>
      <c r="AK29" s="369" t="s">
        <v>372</v>
      </c>
      <c r="AL29" s="370" t="str">
        <f ca="1">IFERROR(INDIRECT("'"&amp;BN29&amp;"'!J27"),"")</f>
        <v>BDTC d= 1,50m</v>
      </c>
      <c r="AM29" s="373" t="str">
        <f ca="1">IFERROR(INDIRECT("'"&amp;BN29&amp;"'!J32"),"")</f>
        <v>BTTC d= 1,50m</v>
      </c>
      <c r="AN29" s="371" t="s">
        <v>25</v>
      </c>
      <c r="AO29" s="371">
        <f>(AD29^(2/3))*(X29^(1/2))/AS29</f>
        <v>2.9252702262405865</v>
      </c>
      <c r="AP29" s="371" t="s">
        <v>373</v>
      </c>
      <c r="AQ29" s="117">
        <f t="shared" ca="1" si="33"/>
        <v>12.673353742942318</v>
      </c>
      <c r="AR29" s="31">
        <f t="shared" ca="1" si="34"/>
        <v>0.74374697227246223</v>
      </c>
      <c r="AS29" s="93">
        <v>1.4999999999999999E-2</v>
      </c>
      <c r="AT29" s="33">
        <f ca="1">IFERROR(IF(IF(OR(ISNUMBER(SEARCH("BSTC",AL29)),ISNUMBER(SEARCH("BDTC",AL29)),ISNUMBER(SEARCH("BTTC",AL29))),"CIRCULAR",IF(OR(ISNUMBER(SEARCH("BSCC",AL29)),ISNUMBER(SEARCH("BDCC",AL29)),ISNUMBER(SEARCH("BTCC",AL29))),"CELULAR",""))="CIRCULAR",_xlfn.LET(_xlpm.qq,(BS29/(IFERROR(IF(OR(ISNUMBER(FIND("BDTC",AL29)),ISNUMBER(FIND("BDCC",AL29))),2,IF(OR(ISNUMBER(FIND("BTTC",AL29)),ISNUMBER(FIND("BTCC",AL29))),3,IF(OR(ISNUMBER(FIND("BSTC",AL29)),ISNUMBER(FIND("BSCC",AL29))),1,""))),"")))*1,_xlpm.dd,(AY29)*1,_xlpm.ss,(X29)*1,_xlpm.nn,(0.015)*1,_xlpm.rr,_xlpm.dd/2,_xlpm.ww,_xlpm.dd-0.000002,_xlpm.zz,(_xlpm.qq*_xlpm.nn/SQRT(_xlpm.ss))^3*_xlpm.rr^2/(_xlpm.dd^2/8)^5,_xlpm.h_1,0.000001+_xlpm.ww/2,_xlpm.u_1,2*ACOS(1-_xlpm.h_1/_xlpm.rr),_xlpm.h_2,_xlpm.h_1+IF((_xlpm.u_1-SIN(_xlpm.u_1))^5&lt;_xlpm.zz*_xlpm.u_1^2,_xlpm.ww,-_xlpm.ww)/4,_xlpm.u_2,2*ACOS(1-_xlpm.h_2/_xlpm.rr),_xlpm.h_3,_xlpm.h_2+IF((_xlpm.u_2-SIN(_xlpm.u_2))^5&lt;_xlpm.zz*_xlpm.u_2^2,_xlpm.ww,-_xlpm.ww)/8,_xlpm.u_3,2*ACOS(1-_xlpm.h_3/_xlpm.rr),_xlpm.h_4,_xlpm.h_3+IF((_xlpm.u_3-SIN(_xlpm.u_3))^5&lt;_xlpm.zz*_xlpm.u_3^2,_xlpm.ww,-_xlpm.ww)/16,_xlpm.u_4,2*ACOS(1-_xlpm.h_4/_xlpm.rr),_xlpm.h_5,_xlpm.h_4+IF((_xlpm.u_4-SIN(_xlpm.u_4))^5&lt;_xlpm.zz*_xlpm.u_4^2,_xlpm.ww,-_xlpm.ww)/32,_xlpm.u_5,2*ACOS(1-_xlpm.h_5/_xlpm.rr),_xlpm.h_6,_xlpm.h_5+IF((_xlpm.u_5-SIN(_xlpm.u_5))^5&lt;_xlpm.zz*_xlpm.u_5^2,_xlpm.ww,-_xlpm.ww)/64,_xlpm.u_6,2*ACOS(1-_xlpm.h_6/_xlpm.rr),_xlpm.h_7,_xlpm.h_6+IF((_xlpm.u_6-SIN(_xlpm.u_6))^5&lt;_xlpm.zz*_xlpm.u_6^2,_xlpm.ww,-_xlpm.ww)/128,_xlpm.u_7,2*ACOS(1-_xlpm.h_7/_xlpm.rr),_xlpm.h_8,_xlpm.h_7+IF((_xlpm.u_7-SIN(_xlpm.u_7))^5&lt;_xlpm.zz*_xlpm.u_7^2,_xlpm.ww,-_xlpm.ww)/256,_xlpm.u_8,2*ACOS(1-_xlpm.h_8/_xlpm.rr),_xlpm.h_9,_xlpm.h_8+IF((_xlpm.u_8-SIN(_xlpm.u_8))^5&lt;_xlpm.zz*_xlpm.u_8^2,_xlpm.ww,-_xlpm.ww)/512,_xlpm.u_9,2*ACOS(1-_xlpm.h_9/_xlpm.rr),_xlpm.h_10,_xlpm.h_9+IF((_xlpm.u_9-SIN(_xlpm.u_9))^5&lt;_xlpm.zz*_xlpm.u_9^2,_xlpm.ww,-_xlpm.ww)/1024,_xlpm.u_10,2*ACOS(1-_xlpm.h_10/_xlpm.rr),_xlpm.h_11,_xlpm.h_10+IF((_xlpm.u_10-SIN(_xlpm.u_10))^5&lt;_xlpm.zz*_xlpm.u_10^2,_xlpm.ww,-_xlpm.ww)/2048,_xlpm.u_11,2*ACOS(1-_xlpm.h_11/_xlpm.rr),_xlpm.h_12,_xlpm.h_11+IF((_xlpm.u_11-SIN(_xlpm.u_11))^5&lt;_xlpm.zz*_xlpm.u_11^2,_xlpm.ww,-_xlpm.ww)/4096,_xlpm.u_12,2*ACOS(1-_xlpm.h_12/_xlpm.rr),_xlpm.h_13,_xlpm.h_12+IF((_xlpm.u_12-SIN(_xlpm.u_12))^5&lt;_xlpm.zz*_xlpm.u_12^2,_xlpm.ww,-_xlpm.ww)/8192,_xlpm.u_13,2*ACOS(1-_xlpm.h_13/_xlpm.rr),_xlpm.h_14,_xlpm.h_13+IF((_xlpm.u_13-SIN(_xlpm.u_13))^5&lt;_xlpm.zz*_xlpm.u_13^2,_xlpm.ww,-_xlpm.ww)/16384,_xlpm.u_14,2*ACOS(1-_xlpm.h_14/_xlpm.rr),_xlpm.h_15,_xlpm.h_14+IF((_xlpm.u_14-SIN(_xlpm.u_14))^5&lt;_xlpm.zz*_xlpm.u_14^2,_xlpm.ww,-_xlpm.ww)/32768,_xlpm.u_15,2*ACOS(1-_xlpm.h_15/_xlpm.rr),_xlpm.h_16,_xlpm.h_15+IF((_xlpm.u_15-SIN(_xlpm.u_15))^5&lt;_xlpm.zz*_xlpm.u_15^2,_xlpm.ww,-_xlpm.ww)/65536,_xlpm.u_16,2*ACOS(1-_xlpm.h_16/_xlpm.rr),_xlpm.h_17,_xlpm.h_16+IF((_xlpm.u_16-SIN(_xlpm.u_16))^5&lt;_xlpm.zz*_xlpm.u_16^2,_xlpm.ww,-_xlpm.ww)/131072,_xlpm.u_17,2*ACOS(1-_xlpm.h_17/_xlpm.rr),_xlpm.h_18,_xlpm.h_17+IF((_xlpm.u_17-SIN(_xlpm.u_17))^5&lt;_xlpm.zz*_xlpm.u_17^2,_xlpm.ww,-_xlpm.ww)/262144,_xlpm.u_18,2*ACOS(1-_xlpm.h_18/_xlpm.rr),_xlpm.h_19,_xlpm.h_18+IF((_xlpm.u_18-SIN(_xlpm.u_18))^5&lt;_xlpm.zz*_xlpm.u_18^2,_xlpm.ww,-_xlpm.ww)/524288,_xlpm.u_19,2*ACOS(1-_xlpm.h_19/_xlpm.rr),_xlpm.h_20,_xlpm.h_19+IF((_xlpm.u_19-SIN(_xlpm.u_19))^5&lt;_xlpm.zz*_xlpm.u_19^2,_xlpm.ww,-_xlpm.ww)/1048576,_xlpm.u_20,2*ACOS(1-_xlpm.h_20/_xlpm.rr),_xlpm.h_21,_xlpm.h_20+IF((_xlpm.u_20-SIN(_xlpm.u_20))^5&lt;_xlpm.zz*_xlpm.u_20^2,_xlpm.ww,-_xlpm.ww)/2097152,_xlpm.u_21,2*ACOS(1-_xlpm.h_21/_xlpm.rr),_xlpm.h_22,_xlpm.h_21+IF((_xlpm.u_21-SIN(_xlpm.u_21))^5&lt;_xlpm.zz*_xlpm.u_21^2,_xlpm.ww,-_xlpm.ww)/4194304,_xlpm.u_22,2*ACOS(1-_xlpm.h_22/_xlpm.rr),_xlpm.h_23,_xlpm.h_22+IF((_xlpm.u_22-SIN(_xlpm.u_22))^5&lt;_xlpm.zz*_xlpm.u_22^2,_xlpm.ww,-_xlpm.ww)/8388608,_xlpm.u_23,2*ACOS(1-_xlpm.h_23/_xlpm.rr),_xlpm.h_24,_xlpm.h_23+IF((_xlpm.u_23-SIN(_xlpm.u_23))^5&lt;_xlpm.zz*_xlpm.u_23^2,_xlpm.ww,-_xlpm.ww)/16777216,_xlpm.u_24,2*ACOS(1-_xlpm.h_24/_xlpm.rr),_xlpm.h_25,_xlpm.h_24+IF((_xlpm.u_24-SIN(_xlpm.u_24))^5&lt;_xlpm.zz*_xlpm.u_24^2,_xlpm.ww,-_xlpm.ww)/33554432,_xlpm.u_25,2*ACOS(1-_xlpm.h_25/_xlpm.rr),_xlpm.h_26,_xlpm.h_25+IF((_xlpm.u_25-SIN(_xlpm.u_25))^5&lt;_xlpm.zz*_xlpm.u_25^2,_xlpm.ww,-_xlpm.ww)/67108864,IF(OR(_xlpm.qq&lt;=0,_xlpm.dd&lt;=0,_xlpm.ss&lt;=0,_xlpm.nn&lt;=0),#VALUE!,IF(_xlpm.h_26&gt;0.000001+_xlpm.ww*(1-1.5/2^26),0.000001+_xlpm.ww,_xlpm.h_26))),_xlfn.LET(_xlpm.ob,AL29,_xlpm.ss,(X29)*1,_xlpm.nn,(0.015)*1,_xlpm.qq,(BS29)*1/IF(OR(ISNUMBER(SEARCH("BSTC",_xlpm.ob)),ISNUMBER(SEARCH("BSCC",_xlpm.ob))),1,IF(OR(ISNUMBER(SEARCH("BDTC",_xlpm.ob)),ISNUMBER(SEARCH("BDCC",_xlpm.ob))),2,IF(OR(ISNUMBER(SEARCH("BTTC",_xlpm.ob)),ISNUMBER(SEARCH("BTCC",_xlpm.ob))),3,#VALUE!))),_xlpm.bb,_xlfn.NUMBERVALUE(SUBSTITUTE(TRIM(MID(_xlpm.ob,SEARCH("cc",_xlpm.ob)+3,SEARCH("x",_xlpm.ob)-SEARCH("cc",_xlpm.ob)-3)),".",","),",","."),_xlpm.hh,_xlfn.NUMBERVALUE(SUBSTITUTE(TRIM(MID(_xlpm.ob,SEARCH("x",_xlpm.ob)+1,SEARCH("m",_xlpm.ob,SEARCH("x",_xlpm.ob))-SEARCH("x",_xlpm.ob)-1)),".",","),",","."),_xlpm.kk,SQRT(_xlpm.ss)/_xlpm.nn,_xlpm.x_0,_xlpm.hh,_xlpm.g_0,_xlpm.kk*_xlpm.bb*_xlpm.x_0*(_xlpm.bb*_xlpm.x_0/(_xlpm.bb+2*_xlpm.x_0))^(2/3),_xlpm.x_1,_xlpm.x_0-(_xlpm.g_0-_xlpm.qq)/(_xlpm.g_0*(5/(3*_xlpm.x_0)-4/(3*(_xlpm.bb+2*_xlpm.x_0)))),_xlpm.g_1,_xlpm.kk*_xlpm.bb*_xlpm.x_1*(_xlpm.bb*_xlpm.x_1/(_xlpm.bb+2*_xlpm.x_1))^(2/3),_xlpm.x_2,_xlpm.x_1-(_xlpm.g_1-_xlpm.qq)/(_xlpm.g_1*(5/(3*_xlpm.x_1)-4/(3*(_xlpm.bb+2*_xlpm.x_1)))),_xlpm.g_2,_xlpm.kk*_xlpm.bb*_xlpm.x_2*(_xlpm.bb*_xlpm.x_2/(_xlpm.bb+2*_xlpm.x_2))^(2/3),_xlpm.x_3,_xlpm.x_2-(_xlpm.g_2-_xlpm.qq)/(_xlpm.g_2*(5/(3*_xlpm.x_2)-4/(3*(_xlpm.bb+2*_xlpm.x_2)))),_xlpm.g_3,_xlpm.kk*_xlpm.bb*_xlpm.x_3*(_xlpm.bb*_xlpm.x_3/(_xlpm.bb+2*_xlpm.x_3))^(2/3),_xlpm.x_4,_xlpm.x_3-(_xlpm.g_3-_xlpm.qq)/(_xlpm.g_3*(5/(3*_xlpm.x_3)-4/(3*(_xlpm.bb+2*_xlpm.x_3)))),_xlpm.g_4,_xlpm.kk*_xlpm.bb*_xlpm.x_4*(_xlpm.bb*_xlpm.x_4/(_xlpm.bb+2*_xlpm.x_4))^(2/3),_xlpm.x_5,_xlpm.x_4-(_xlpm.g_4-_xlpm.qq)/(_xlpm.g_4*(5/(3*_xlpm.x_4)-4/(3*(_xlpm.bb+2*_xlpm.x_4)))),_xlpm.g_5,_xlpm.kk*_xlpm.bb*_xlpm.x_5*(_xlpm.bb*_xlpm.x_5/(_xlpm.bb+2*_xlpm.x_5))^(2/3),_xlpm.x_6,_xlpm.x_5-(_xlpm.g_5-_xlpm.qq)/(_xlpm.g_5*(5/(3*_xlpm.x_5)-4/(3*(_xlpm.bb+2*_xlpm.x_5)))),_xlpm.g_6,_xlpm.kk*_xlpm.bb*_xlpm.x_6*(_xlpm.bb*_xlpm.x_6/(_xlpm.bb+2*_xlpm.x_6))^(2/3),_xlpm.x_7,_xlpm.x_6-(_xlpm.g_6-_xlpm.qq)/(_xlpm.g_6*(5/(3*_xlpm.x_6)-4/(3*(_xlpm.bb+2*_xlpm.x_6)))),_xlpm.g_7,_xlpm.kk*_xlpm.bb*_xlpm.x_7*(_xlpm.bb*_xlpm.x_7/(_xlpm.bb+2*_xlpm.x_7))^(2/3),_xlpm.x_8,_xlpm.x_7-(_xlpm.g_7-_xlpm.qq)/(_xlpm.g_7*(5/(3*_xlpm.x_7)-4/(3*(_xlpm.bb+2*_xlpm.x_7)))),_xlpm.g_8,_xlpm.kk*_xlpm.bb*_xlpm.x_8*(_xlpm.bb*_xlpm.x_8/(_xlpm.bb+2*_xlpm.x_8))^(2/3),_xlpm.x_9,_xlpm.x_8-(_xlpm.g_8-_xlpm.qq)/(_xlpm.g_8*(5/(3*_xlpm.x_8)-4/(3*(_xlpm.bb+2*_xlpm.x_8)))),_xlpm.g_9,_xlpm.kk*_xlpm.bb*_xlpm.x_9*(_xlpm.bb*_xlpm.x_9/(_xlpm.bb+2*_xlpm.x_9))^(2/3),_xlpm.x_10,_xlpm.x_9-(_xlpm.g_9-_xlpm.qq)/(_xlpm.g_9*(5/(3*_xlpm.x_9)-4/(3*(_xlpm.bb+2*_xlpm.x_9)))),MIN(_xlpm.hh,_xlpm.x_10))),"")</f>
        <v>1.1915332822832163</v>
      </c>
      <c r="AU29" s="33">
        <f t="shared" si="35"/>
        <v>1.6235249755635259</v>
      </c>
      <c r="AW29" s="33" t="str">
        <f t="shared" ca="1" si="36"/>
        <v>BTTC</v>
      </c>
      <c r="AY29" s="33">
        <f t="shared" ca="1" si="37"/>
        <v>1.5</v>
      </c>
      <c r="AZ29" s="33">
        <f t="shared" ca="1" si="38"/>
        <v>1.5</v>
      </c>
      <c r="BA29" s="33" t="str">
        <f ca="1">IFERROR(INDEX(Tabela_DEB!$A$2:$A$12,MATCH(LEFT(AM29,FIND(" ",AM29)-1)&amp;" "&amp;TEXT(VALUE(MID(AM29,FIND("=",AM29)+1,FIND("m",AM29)-FIND("=",AM29)-1))*100,"0"),Tabela_DEB!$E$2:$E$12,0)),"")</f>
        <v>DEB 450-956</v>
      </c>
      <c r="BB29" s="33">
        <f ca="1">IFERROR(IF(IF(OR(ISNUMBER(SEARCH("BSTC",AM29)),ISNUMBER(SEARCH("BDTC",AM29)),ISNUMBER(SEARCH("BTTC",AM29))),"CIRCULAR",IF(OR(ISNUMBER(SEARCH("BSCC",AM29)),ISNUMBER(SEARCH("BDCC",AM29)),ISNUMBER(SEARCH("BTCC",AM29))),"CELULAR",""))="CIRCULAR",_xlfn.LET(_xlpm.qq,(BQ29/BC29)*1,_xlpm.dd,(AZ29)*1,_xlpm.ww,_xlpm.dd-0.0002,_xlpm.f_0,_xlpm.qq^2*_xlpm.dd*SIN(ACOS(1-2*0.0001/_xlpm.dd))-9.81*(_xlpm.dd^2/8*(2*ACOS(1-2*0.0001/_xlpm.dd)-SIN(2*ACOS(1-2*0.0001/_xlpm.dd))))^3,_xlpm.y_1,0.0001+_xlpm.ww/2,_xlpm.f_1,_xlpm.qq^2*_xlpm.dd*SIN(ACOS(1-2*_xlpm.y_1/_xlpm.dd))-9.81*(_xlpm.dd^2/8*(2*ACOS(1-2*_xlpm.y_1/_xlpm.dd)-SIN(2*ACOS(1-2*_xlpm.y_1/_xlpm.dd))))^3,_xlpm.y_2,_xlpm.y_1+IF(ABS(_xlpm.f_1)&lt;0.000001,0,IF(_xlpm.f_0*_xlpm.f_1&lt;0,-_xlpm.ww,_xlpm.ww))/4,_xlpm.f_2,_xlpm.qq^2*_xlpm.dd*SIN(ACOS(1-2*_xlpm.y_2/_xlpm.dd))-9.81*(_xlpm.dd^2/8*(2*ACOS(1-2*_xlpm.y_2/_xlpm.dd)-SIN(2*ACOS(1-2*_xlpm.y_2/_xlpm.dd))))^3,_xlpm.y_3,_xlpm.y_2+IF(ABS(_xlpm.f_2)&lt;0.000001,0,IF(_xlpm.f_0*_xlpm.f_2&lt;0,-_xlpm.ww,_xlpm.ww))/8,_xlpm.f_3,_xlpm.qq^2*_xlpm.dd*SIN(ACOS(1-2*_xlpm.y_3/_xlpm.dd))-9.81*(_xlpm.dd^2/8*(2*ACOS(1-2*_xlpm.y_3/_xlpm.dd)-SIN(2*ACOS(1-2*_xlpm.y_3/_xlpm.dd))))^3,_xlpm.y_4,_xlpm.y_3+IF(ABS(_xlpm.f_3)&lt;0.000001,0,IF(_xlpm.f_0*_xlpm.f_3&lt;0,-_xlpm.ww,_xlpm.ww))/16,_xlpm.f_4,_xlpm.qq^2*_xlpm.dd*SIN(ACOS(1-2*_xlpm.y_4/_xlpm.dd))-9.81*(_xlpm.dd^2/8*(2*ACOS(1-2*_xlpm.y_4/_xlpm.dd)-SIN(2*ACOS(1-2*_xlpm.y_4/_xlpm.dd))))^3,_xlpm.y_5,_xlpm.y_4+IF(ABS(_xlpm.f_4)&lt;0.000001,0,IF(_xlpm.f_0*_xlpm.f_4&lt;0,-_xlpm.ww,_xlpm.ww))/32,_xlpm.f_5,_xlpm.qq^2*_xlpm.dd*SIN(ACOS(1-2*_xlpm.y_5/_xlpm.dd))-9.81*(_xlpm.dd^2/8*(2*ACOS(1-2*_xlpm.y_5/_xlpm.dd)-SIN(2*ACOS(1-2*_xlpm.y_5/_xlpm.dd))))^3,_xlpm.y_6,_xlpm.y_5+IF(ABS(_xlpm.f_5)&lt;0.000001,0,IF(_xlpm.f_0*_xlpm.f_5&lt;0,-_xlpm.ww,_xlpm.ww))/64,_xlpm.f_6,_xlpm.qq^2*_xlpm.dd*SIN(ACOS(1-2*_xlpm.y_6/_xlpm.dd))-9.81*(_xlpm.dd^2/8*(2*ACOS(1-2*_xlpm.y_6/_xlpm.dd)-SIN(2*ACOS(1-2*_xlpm.y_6/_xlpm.dd))))^3,_xlpm.y_7,_xlpm.y_6+IF(ABS(_xlpm.f_6)&lt;0.000001,0,IF(_xlpm.f_0*_xlpm.f_6&lt;0,-_xlpm.ww,_xlpm.ww))/128,_xlpm.f_7,_xlpm.qq^2*_xlpm.dd*SIN(ACOS(1-2*_xlpm.y_7/_xlpm.dd))-9.81*(_xlpm.dd^2/8*(2*ACOS(1-2*_xlpm.y_7/_xlpm.dd)-SIN(2*ACOS(1-2*_xlpm.y_7/_xlpm.dd))))^3,_xlpm.y_8,_xlpm.y_7+IF(ABS(_xlpm.f_7)&lt;0.000001,0,IF(_xlpm.f_0*_xlpm.f_7&lt;0,-_xlpm.ww,_xlpm.ww))/256,_xlpm.f_8,_xlpm.qq^2*_xlpm.dd*SIN(ACOS(1-2*_xlpm.y_8/_xlpm.dd))-9.81*(_xlpm.dd^2/8*(2*ACOS(1-2*_xlpm.y_8/_xlpm.dd)-SIN(2*ACOS(1-2*_xlpm.y_8/_xlpm.dd))))^3,_xlpm.y_9,_xlpm.y_8+IF(ABS(_xlpm.f_8)&lt;0.000001,0,IF(_xlpm.f_0*_xlpm.f_8&lt;0,-_xlpm.ww,_xlpm.ww))/512,_xlpm.f_9,_xlpm.qq^2*_xlpm.dd*SIN(ACOS(1-2*_xlpm.y_9/_xlpm.dd))-9.81*(_xlpm.dd^2/8*(2*ACOS(1-2*_xlpm.y_9/_xlpm.dd)-SIN(2*ACOS(1-2*_xlpm.y_9/_xlpm.dd))))^3,_xlpm.y_10,_xlpm.y_9+IF(ABS(_xlpm.f_9)&lt;0.000001,0,IF(_xlpm.f_0*_xlpm.f_9&lt;0,-_xlpm.ww,_xlpm.ww))/1024,_xlpm.f_10,_xlpm.qq^2*_xlpm.dd*SIN(ACOS(1-2*_xlpm.y_10/_xlpm.dd))-9.81*(_xlpm.dd^2/8*(2*ACOS(1-2*_xlpm.y_10/_xlpm.dd)-SIN(2*ACOS(1-2*_xlpm.y_10/_xlpm.dd))))^3,_xlpm.y_11,_xlpm.y_10+IF(ABS(_xlpm.f_10)&lt;0.000001,0,IF(_xlpm.f_0*_xlpm.f_10&lt;0,-_xlpm.ww,_xlpm.ww))/2048,_xlpm.f_11,_xlpm.qq^2*_xlpm.dd*SIN(ACOS(1-2*_xlpm.y_11/_xlpm.dd))-9.81*(_xlpm.dd^2/8*(2*ACOS(1-2*_xlpm.y_11/_xlpm.dd)-SIN(2*ACOS(1-2*_xlpm.y_11/_xlpm.dd))))^3,_xlpm.y_12,_xlpm.y_11+IF(ABS(_xlpm.f_11)&lt;0.000001,0,IF(_xlpm.f_0*_xlpm.f_11&lt;0,-_xlpm.ww,_xlpm.ww))/4096,_xlpm.f_12,_xlpm.qq^2*_xlpm.dd*SIN(ACOS(1-2*_xlpm.y_12/_xlpm.dd))-9.81*(_xlpm.dd^2/8*(2*ACOS(1-2*_xlpm.y_12/_xlpm.dd)-SIN(2*ACOS(1-2*_xlpm.y_12/_xlpm.dd))))^3,_xlpm.y_13,_xlpm.y_12+IF(ABS(_xlpm.f_12)&lt;0.000001,0,IF(_xlpm.f_0*_xlpm.f_12&lt;0,-_xlpm.ww,_xlpm.ww))/8192,_xlpm.f_13,_xlpm.qq^2*_xlpm.dd*SIN(ACOS(1-2*_xlpm.y_13/_xlpm.dd))-9.81*(_xlpm.dd^2/8*(2*ACOS(1-2*_xlpm.y_13/_xlpm.dd)-SIN(2*ACOS(1-2*_xlpm.y_13/_xlpm.dd))))^3,_xlpm.y_14,_xlpm.y_13+IF(ABS(_xlpm.f_13)&lt;0.000001,0,IF(_xlpm.f_0*_xlpm.f_13&lt;0,-_xlpm.ww,_xlpm.ww))/16384,_xlpm.f_14,_xlpm.qq^2*_xlpm.dd*SIN(ACOS(1-2*_xlpm.y_14/_xlpm.dd))-9.81*(_xlpm.dd^2/8*(2*ACOS(1-2*_xlpm.y_14/_xlpm.dd)-SIN(2*ACOS(1-2*_xlpm.y_14/_xlpm.dd))))^3,_xlpm.y_15,_xlpm.y_14+IF(ABS(_xlpm.f_14)&lt;0.000001,0,IF(_xlpm.f_0*_xlpm.f_14&lt;0,-_xlpm.ww,_xlpm.ww))/32768,_xlpm.f_15,_xlpm.qq^2*_xlpm.dd*SIN(ACOS(1-2*_xlpm.y_15/_xlpm.dd))-9.81*(_xlpm.dd^2/8*(2*ACOS(1-2*_xlpm.y_15/_xlpm.dd)-SIN(2*ACOS(1-2*_xlpm.y_15/_xlpm.dd))))^3,_xlpm.y_16,_xlpm.y_15+IF(ABS(_xlpm.f_15)&lt;0.000001,0,IF(_xlpm.f_0*_xlpm.f_15&lt;0,-_xlpm.ww,_xlpm.ww))/65536,_xlpm.f_16,_xlpm.qq^2*_xlpm.dd*SIN(ACOS(1-2*_xlpm.y_16/_xlpm.dd))-9.81*(_xlpm.dd^2/8*(2*ACOS(1-2*_xlpm.y_16/_xlpm.dd)-SIN(2*ACOS(1-2*_xlpm.y_16/_xlpm.dd))))^3,_xlpm.y_17,_xlpm.y_16+IF(ABS(_xlpm.f_16)&lt;0.000001,0,IF(_xlpm.f_0*_xlpm.f_16&lt;0,-_xlpm.ww,_xlpm.ww))/131072,_xlpm.f_17,_xlpm.qq^2*_xlpm.dd*SIN(ACOS(1-2*_xlpm.y_17/_xlpm.dd))-9.81*(_xlpm.dd^2/8*(2*ACOS(1-2*_xlpm.y_17/_xlpm.dd)-SIN(2*ACOS(1-2*_xlpm.y_17/_xlpm.dd))))^3,_xlpm.y_18,_xlpm.y_17+IF(ABS(_xlpm.f_17)&lt;0.000001,0,IF(_xlpm.f_0*_xlpm.f_17&lt;0,-_xlpm.ww,_xlpm.ww))/262144,_xlpm.f_18,_xlpm.qq^2*_xlpm.dd*SIN(ACOS(1-2*_xlpm.y_18/_xlpm.dd))-9.81*(_xlpm.dd^2/8*(2*ACOS(1-2*_xlpm.y_18/_xlpm.dd)-SIN(2*ACOS(1-2*_xlpm.y_18/_xlpm.dd))))^3,_xlpm.y_19,_xlpm.y_18+IF(ABS(_xlpm.f_18)&lt;0.000001,0,IF(_xlpm.f_0*_xlpm.f_18&lt;0,-_xlpm.ww,_xlpm.ww))/524288,_xlpm.f_19,_xlpm.qq^2*_xlpm.dd*SIN(ACOS(1-2*_xlpm.y_19/_xlpm.dd))-9.81*(_xlpm.dd^2/8*(2*ACOS(1-2*_xlpm.y_19/_xlpm.dd)-SIN(2*ACOS(1-2*_xlpm.y_19/_xlpm.dd))))^3,_xlpm.y_20,_xlpm.y_19+IF(ABS(_xlpm.f_19)&lt;0.000001,0,IF(_xlpm.f_0*_xlpm.f_19&lt;0,-_xlpm.ww,_xlpm.ww))/1048576,_xlpm.f_20,_xlpm.qq^2*_xlpm.dd*SIN(ACOS(1-2*_xlpm.y_20/_xlpm.dd))-9.81*(_xlpm.dd^2/8*(2*ACOS(1-2*_xlpm.y_20/_xlpm.dd)-SIN(2*ACOS(1-2*_xlpm.y_20/_xlpm.dd))))^3,_xlpm.y_21,_xlpm.y_20+IF(ABS(_xlpm.f_20)&lt;0.000001,0,IF(_xlpm.f_0*_xlpm.f_20&lt;0,-_xlpm.ww,_xlpm.ww))/2097152,_xlpm.f_21,_xlpm.qq^2*_xlpm.dd*SIN(ACOS(1-2*_xlpm.y_21/_xlpm.dd))-9.81*(_xlpm.dd^2/8*(2*ACOS(1-2*_xlpm.y_21/_xlpm.dd)-SIN(2*ACOS(1-2*_xlpm.y_21/_xlpm.dd))))^3,_xlpm.y_22,_xlpm.y_21+IF(ABS(_xlpm.f_21)&lt;0.000001,0,IF(_xlpm.f_0*_xlpm.f_21&lt;0,-_xlpm.ww,_xlpm.ww))/4194304,_xlpm.f_22,_xlpm.qq^2*_xlpm.dd*SIN(ACOS(1-2*_xlpm.y_22/_xlpm.dd))-9.81*(_xlpm.dd^2/8*(2*ACOS(1-2*_xlpm.y_22/_xlpm.dd)-SIN(2*ACOS(1-2*_xlpm.y_22/_xlpm.dd))))^3,_xlpm.y_23,_xlpm.y_22+IF(ABS(_xlpm.f_22)&lt;0.000001,0,IF(_xlpm.f_0*_xlpm.f_22&lt;0,-_xlpm.ww,_xlpm.ww))/8388608,_xlpm.f_23,_xlpm.qq^2*_xlpm.dd*SIN(ACOS(1-2*_xlpm.y_23/_xlpm.dd))-9.81*(_xlpm.dd^2/8*(2*ACOS(1-2*_xlpm.y_23/_xlpm.dd)-SIN(2*ACOS(1-2*_xlpm.y_23/_xlpm.dd))))^3,_xlpm.y_24,_xlpm.y_23+IF(ABS(_xlpm.f_23)&lt;0.000001,0,IF(_xlpm.f_0*_xlpm.f_23&lt;0,-_xlpm.ww,_xlpm.ww))/16777216,_xlpm.f_24,_xlpm.qq^2*_xlpm.dd*SIN(ACOS(1-2*_xlpm.y_24/_xlpm.dd))-9.81*(_xlpm.dd^2/8*(2*ACOS(1-2*_xlpm.y_24/_xlpm.dd)-SIN(2*ACOS(1-2*_xlpm.y_24/_xlpm.dd))))^3,_xlpm.y_25,_xlpm.y_24+IF(ABS(_xlpm.f_24)&lt;0.000001,0,IF(_xlpm.f_0*_xlpm.f_24&lt;0,-_xlpm.ww,_xlpm.ww))/33554432,_xlpm.f_25,_xlpm.qq^2*_xlpm.dd*SIN(ACOS(1-2*_xlpm.y_25/_xlpm.dd))-9.81*(_xlpm.dd^2/8*(2*ACOS(1-2*_xlpm.y_25/_xlpm.dd)-SIN(2*ACOS(1-2*_xlpm.y_25/_xlpm.dd))))^3,_xlpm.y_26,_xlpm.y_25+IF(ABS(_xlpm.f_25)&lt;0.000001,0,IF(_xlpm.f_0*_xlpm.f_25&lt;0,-_xlpm.ww,_xlpm.ww))/67108864,_xlpm.y_26),((BQ29/BC29/_xlfn.NUMBERVALUE(SUBSTITUTE(TRIM(MID(AM29,SEARCH("cc",AM29)+3,SEARCH("x",AM29)-SEARCH("cc",AM29)-3)),".",","),",","."))^2/9.80665)^(1/3)),"")</f>
        <v>0.98647184377312658</v>
      </c>
      <c r="BC29" s="117">
        <f t="shared" ca="1" si="47"/>
        <v>3</v>
      </c>
      <c r="BE29" s="174">
        <f>'Cadastro das Obras'!U16</f>
        <v>0</v>
      </c>
      <c r="BF29" s="174">
        <f>'Cadastro das Obras'!V16</f>
        <v>0</v>
      </c>
      <c r="BH29" s="33">
        <f>'Cadastro das Obras'!T16</f>
        <v>0</v>
      </c>
      <c r="BJ29" s="117">
        <f>'Cadastro das Obras'!W16</f>
        <v>0</v>
      </c>
      <c r="BN29" s="34" t="s">
        <v>356</v>
      </c>
      <c r="BP29" s="33">
        <f t="shared" ca="1" si="48"/>
        <v>15</v>
      </c>
      <c r="BQ29" s="33">
        <f ca="1">CHOOSE(MATCH(BP29,{15,25,50,100},0),S29,T29,U29,V29)</f>
        <v>10.77357799813583</v>
      </c>
      <c r="BR29" s="33">
        <f ca="1">IFERROR(IF(ISNUMBER(FIND("50 anos",INDIRECT("'"&amp;#REF!&amp;"'!"&amp;IF(ISNUMBER(FIND("HUT",#REF!)),"U40","Q14")))),50,25),25)</f>
        <v>25</v>
      </c>
      <c r="BS29" s="33">
        <f ca="1">CHOOSE(MATCH(BR29,{15,25,50,100},0),S29,T29,U29,V29)</f>
        <v>11.886714342427217</v>
      </c>
      <c r="BU29" s="33">
        <f t="shared" ca="1" si="49"/>
        <v>0.6455759634401248</v>
      </c>
      <c r="BV29" s="33" t="str">
        <f t="shared" ca="1" si="39"/>
        <v>RÁPIDO</v>
      </c>
      <c r="BW29" s="33" t="str">
        <f t="shared" ca="1" si="50"/>
        <v>SUFICIENTE</v>
      </c>
      <c r="BY29" s="33">
        <f t="shared" ca="1" si="51"/>
        <v>0.82582893819284786</v>
      </c>
      <c r="BZ29" s="33" t="str">
        <f t="shared" ca="1" si="52"/>
        <v>Tubular</v>
      </c>
      <c r="CA29" s="115">
        <f t="shared" ca="1" si="53"/>
        <v>3.5911926660452766</v>
      </c>
      <c r="CB29" s="353">
        <f ca="1">IF($AW29="","",IF($BZ29="Tubular",IF($CO29=0,0.01,IF($CO29&gt;=93,1,INDEX('Tab18'!$A$5:$A$97,$CO29)+($CN29-INDEX('Tab18'!$E$5:$E$97,$CO29))*(INDEX('Tab18'!$A$5:$A$97,$CO29+1)-INDEX('Tab18'!$A$5:$A$97,$CO29))/(INDEX('Tab18'!$E$5:$E$97,$CO29+1)-INDEX('Tab18'!$E$5:$E$97,$CO29)))),"-"))</f>
        <v>0.55055262546189854</v>
      </c>
      <c r="CC29" s="33" t="str">
        <f t="shared" ca="1" si="54"/>
        <v>-</v>
      </c>
      <c r="CD29" s="33" t="str">
        <f t="shared" ref="CD29:CM29" ca="1" si="65">IF($AW29="","",IF($BZ29="Celular",$CN29^0.6*($AZ29+2*CC29)^0.4/$AZ29,"-"))</f>
        <v>-</v>
      </c>
      <c r="CE29" s="33" t="str">
        <f t="shared" ca="1" si="65"/>
        <v>-</v>
      </c>
      <c r="CF29" s="33" t="str">
        <f t="shared" ca="1" si="65"/>
        <v>-</v>
      </c>
      <c r="CG29" s="33" t="str">
        <f t="shared" ca="1" si="65"/>
        <v>-</v>
      </c>
      <c r="CH29" s="33" t="str">
        <f t="shared" ca="1" si="65"/>
        <v>-</v>
      </c>
      <c r="CI29" s="33" t="str">
        <f t="shared" ca="1" si="65"/>
        <v>-</v>
      </c>
      <c r="CJ29" s="33" t="str">
        <f t="shared" ca="1" si="65"/>
        <v>-</v>
      </c>
      <c r="CK29" s="33" t="str">
        <f t="shared" ca="1" si="65"/>
        <v>-</v>
      </c>
      <c r="CL29" s="33" t="str">
        <f t="shared" ca="1" si="65"/>
        <v>-</v>
      </c>
      <c r="CM29" s="33" t="str">
        <f t="shared" ca="1" si="65"/>
        <v>-</v>
      </c>
      <c r="CN29" s="352">
        <f t="shared" ca="1" si="56"/>
        <v>0.18279841774942518</v>
      </c>
      <c r="CO29" s="174">
        <f ca="1">IF($AW29="","",IF($BZ29="Tubular",IFERROR(MATCH($CN29,'Tab18'!$E$5:$E$97,1),0),"-"))</f>
        <v>55</v>
      </c>
      <c r="CP29" s="33">
        <f ca="1">IF($AW29="","",IF($BZ29="Tubular",IF($CB29&gt;=1,'Tab18'!$D$104,INDEX('Tab18'!$D$5:$D$104,MATCH($CB29,'Tab18'!$A$5:$A$104,1))+($CB29-INDEX('Tab18'!$A$5:$A$104,MATCH($CB29,'Tab18'!$A$5:$A$104,1)))*(INDEX('Tab18'!$D$5:$D$104,MATCH($CB29,'Tab18'!$A$5:$A$104,1)+1)-INDEX('Tab18'!$D$5:$D$104,MATCH($CB29,'Tab18'!$A$5:$A$104,1)))/(INDEX('Tab18'!$A$5:$A$104,MATCH($CB29,'Tab18'!$A$5:$A$104,1)+1)-INDEX('Tab18'!$A$5:$A$104,MATCH($CB29,'Tab18'!$A$5:$A$104,1)))),($AZ29*$BY29/($AZ29+2*$BY29))^(2/3)))</f>
        <v>0.41256026138395058</v>
      </c>
    </row>
    <row r="30" spans="2:94" s="33" customFormat="1" ht="81.75" hidden="1" customHeight="1">
      <c r="B30" s="362" t="str" cm="1">
        <f t="array" aca="1" ref="B30" ca="1">IFERROR(INDIRECT("'"&amp;BN30&amp;"'!F10"),"")</f>
        <v>BC12</v>
      </c>
      <c r="C30" s="362" t="s">
        <v>360</v>
      </c>
      <c r="D30" s="363" t="str">
        <f ca="1">IFERROR(INDIRECT("'"&amp;BN30&amp;"'!E3"),"")</f>
        <v>1069</v>
      </c>
      <c r="E30" s="363" t="str">
        <f ca="1">IFERROR(INDIRECT("'"&amp;BN30&amp;"'!F3"),"")</f>
        <v>+</v>
      </c>
      <c r="F30" s="363">
        <f ca="1">IFERROR(INDIRECT("'"&amp;BN30&amp;"'!G3"),"")</f>
        <v>0</v>
      </c>
      <c r="G30" s="364"/>
      <c r="H30" s="365">
        <f ca="1">IFERROR(INDIRECT("'"&amp;BN30&amp;"'!E6"),"")</f>
        <v>0.86126269799999999</v>
      </c>
      <c r="I30" s="365">
        <f ca="1">IFERROR(INDIRECT("'"&amp;BN30&amp;"'!E7"),"")</f>
        <v>1.5714890000000001</v>
      </c>
      <c r="J30" s="365">
        <f t="shared" ca="1" si="30"/>
        <v>21</v>
      </c>
      <c r="K30" s="365">
        <f ca="1">IFERROR(INDIRECT("'"&amp;BN30&amp;"'!E9"),"")</f>
        <v>0.84315882640720285</v>
      </c>
      <c r="L30" s="365">
        <f ca="1">IFERROR(INDIRECT("'"&amp;BN30&amp;"'!O9"),"")</f>
        <v>0.89235288527753187</v>
      </c>
      <c r="M30" s="365">
        <f ca="1">IFERROR(INDIRECT("'"&amp;BN30&amp;"'!O8"),"")</f>
        <v>0.24030500000000002</v>
      </c>
      <c r="N30" s="366" t="str">
        <f t="shared" ca="1" si="41"/>
        <v>RAC</v>
      </c>
      <c r="O30" s="365">
        <f ca="1">IFERROR(INDIRECT("'"&amp;BN30&amp;"'!n14"),"")</f>
        <v>1.5011113361314388</v>
      </c>
      <c r="P30" s="365">
        <f ca="1">IFERROR(INDIRECT("'"&amp;BN30&amp;"'!n15"),"")</f>
        <v>1.6551109480519535</v>
      </c>
      <c r="Q30" s="365">
        <f ca="1">IFERROR(INDIRECT("'"&amp;BN30&amp;"'!N16"),"")</f>
        <v>1.8556104458159206</v>
      </c>
      <c r="R30" s="365">
        <f ca="1">IFERROR(INDIRECT("'"&amp;BN30&amp;"'!N17"),"")</f>
        <v>2.0474241901000254</v>
      </c>
      <c r="S30" s="365">
        <f ca="1">IFERROR(INDIRECT("'"&amp;BN30&amp;"'!M21"),"")</f>
        <v>5.1821191724493278</v>
      </c>
      <c r="T30" s="365">
        <f ca="1">IFERROR(INDIRECT("'"&amp;BN30&amp;"'!M22"),"")</f>
        <v>5.7137548494802664</v>
      </c>
      <c r="U30" s="365">
        <f ca="1">IFERROR(INDIRECT("'"&amp;BN30&amp;"'!M23"),"")</f>
        <v>6.4059168939737718</v>
      </c>
      <c r="V30" s="365">
        <f ca="1">IFERROR(INDIRECT("'"&amp;BN30&amp;"'!M24"),"")</f>
        <v>7.0680940808809236</v>
      </c>
      <c r="W30" s="365">
        <f t="shared" ca="1" si="42"/>
        <v>1.2</v>
      </c>
      <c r="X30" s="367">
        <f>'Cadastro das Obras'!Q14</f>
        <v>1.0000000000002274E-2</v>
      </c>
      <c r="Y30" s="368">
        <f t="shared" ca="1" si="31"/>
        <v>2.0633441918318054</v>
      </c>
      <c r="Z30" s="365">
        <f ca="1">_xlfn.LET(_xlpm.aa,(Y30)*1,_xlpm.dd,(AY30)*1,_xlpm.ww,2*PI()-0.000002,_xlpm.t_1,0.000001+_xlpm.ww/2,_xlpm.t_2,_xlpm.t_1+IF(_xlpm.dd^2/8*(_xlpm.t_1-SIN(_xlpm.t_1))&lt;_xlpm.aa,_xlpm.ww,-_xlpm.ww)/4,_xlpm.t_3,_xlpm.t_2+IF(_xlpm.dd^2/8*(_xlpm.t_2-SIN(_xlpm.t_2))&lt;_xlpm.aa,_xlpm.ww,-_xlpm.ww)/8,_xlpm.t_4,_xlpm.t_3+IF(_xlpm.dd^2/8*(_xlpm.t_3-SIN(_xlpm.t_3))&lt;_xlpm.aa,_xlpm.ww,-_xlpm.ww)/16,_xlpm.t_5,_xlpm.t_4+IF(_xlpm.dd^2/8*(_xlpm.t_4-SIN(_xlpm.t_4))&lt;_xlpm.aa,_xlpm.ww,-_xlpm.ww)/32,_xlpm.t_6,_xlpm.t_5+IF(_xlpm.dd^2/8*(_xlpm.t_5-SIN(_xlpm.t_5))&lt;_xlpm.aa,_xlpm.ww,-_xlpm.ww)/64,_xlpm.t_7,_xlpm.t_6+IF(_xlpm.dd^2/8*(_xlpm.t_6-SIN(_xlpm.t_6))&lt;_xlpm.aa,_xlpm.ww,-_xlpm.ww)/128,_xlpm.t_8,_xlpm.t_7+IF(_xlpm.dd^2/8*(_xlpm.t_7-SIN(_xlpm.t_7))&lt;_xlpm.aa,_xlpm.ww,-_xlpm.ww)/256,_xlpm.t_9,_xlpm.t_8+IF(_xlpm.dd^2/8*(_xlpm.t_8-SIN(_xlpm.t_8))&lt;_xlpm.aa,_xlpm.ww,-_xlpm.ww)/512,_xlpm.t_10,_xlpm.t_9+IF(_xlpm.dd^2/8*(_xlpm.t_9-SIN(_xlpm.t_9))&lt;_xlpm.aa,_xlpm.ww,-_xlpm.ww)/1024,_xlpm.t_11,_xlpm.t_10+IF(_xlpm.dd^2/8*(_xlpm.t_10-SIN(_xlpm.t_10))&lt;_xlpm.aa,_xlpm.ww,-_xlpm.ww)/2048,_xlpm.t_12,_xlpm.t_11+IF(_xlpm.dd^2/8*(_xlpm.t_11-SIN(_xlpm.t_11))&lt;_xlpm.aa,_xlpm.ww,-_xlpm.ww)/4096,_xlpm.t_13,_xlpm.t_12+IF(_xlpm.dd^2/8*(_xlpm.t_12-SIN(_xlpm.t_12))&lt;_xlpm.aa,_xlpm.ww,-_xlpm.ww)/8192,_xlpm.t_14,_xlpm.t_13+IF(_xlpm.dd^2/8*(_xlpm.t_13-SIN(_xlpm.t_13))&lt;_xlpm.aa,_xlpm.ww,-_xlpm.ww)/16384,_xlpm.t_15,_xlpm.t_14+IF(_xlpm.dd^2/8*(_xlpm.t_14-SIN(_xlpm.t_14))&lt;_xlpm.aa,_xlpm.ww,-_xlpm.ww)/32768,_xlpm.t_16,_xlpm.t_15+IF(_xlpm.dd^2/8*(_xlpm.t_15-SIN(_xlpm.t_15))&lt;_xlpm.aa,_xlpm.ww,-_xlpm.ww)/65536,_xlpm.t_17,_xlpm.t_16+IF(_xlpm.dd^2/8*(_xlpm.t_16-SIN(_xlpm.t_16))&lt;_xlpm.aa,_xlpm.ww,-_xlpm.ww)/131072,_xlpm.t_18,_xlpm.t_17+IF(_xlpm.dd^2/8*(_xlpm.t_17-SIN(_xlpm.t_17))&lt;_xlpm.aa,_xlpm.ww,-_xlpm.ww)/262144,_xlpm.t_19,_xlpm.t_18+IF(_xlpm.dd^2/8*(_xlpm.t_18-SIN(_xlpm.t_18))&lt;_xlpm.aa,_xlpm.ww,-_xlpm.ww)/524288,_xlpm.t_20,_xlpm.t_19+IF(_xlpm.dd^2/8*(_xlpm.t_19-SIN(_xlpm.t_19))&lt;_xlpm.aa,_xlpm.ww,-_xlpm.ww)/1048576,_xlpm.t_21,_xlpm.t_20+IF(_xlpm.dd^2/8*(_xlpm.t_20-SIN(_xlpm.t_20))&lt;_xlpm.aa,_xlpm.ww,-_xlpm.ww)/2097152,_xlpm.t_22,_xlpm.t_21+IF(_xlpm.dd^2/8*(_xlpm.t_21-SIN(_xlpm.t_21))&lt;_xlpm.aa,_xlpm.ww,-_xlpm.ww)/4194304,_xlpm.t_23,_xlpm.t_22+IF(_xlpm.dd^2/8*(_xlpm.t_22-SIN(_xlpm.t_22))&lt;_xlpm.aa,_xlpm.ww,-_xlpm.ww)/8388608,_xlpm.t_24,_xlpm.t_23+IF(_xlpm.dd^2/8*(_xlpm.t_23-SIN(_xlpm.t_23))&lt;_xlpm.aa,_xlpm.ww,-_xlpm.ww)/16777216,_xlpm.t_25,_xlpm.t_24+IF(_xlpm.dd^2/8*(_xlpm.t_24-SIN(_xlpm.t_24))&lt;_xlpm.aa,_xlpm.ww,-_xlpm.ww)/33554432,_xlpm.t_26,_xlpm.t_25+IF(_xlpm.dd^2/8*(_xlpm.t_25-SIN(_xlpm.t_25))&lt;_xlpm.aa,_xlpm.ww,-_xlpm.ww)/67108864,IF(OR(_xlpm.aa&lt;=0,_xlpm.dd&lt;=0),#VALUE!,_xlpm.dd/2*IF(_xlpm.t_26&gt;0.000001+_xlpm.ww*(1-1.5/2^26),0.000001+_xlpm.ww,_xlpm.t_26)))</f>
        <v>3.141592153589793</v>
      </c>
      <c r="AA30" s="365">
        <v>0.32200000000000001</v>
      </c>
      <c r="AB30" s="365">
        <v>1.4279999999999999</v>
      </c>
      <c r="AC30" s="365">
        <f t="shared" ca="1" si="32"/>
        <v>1.1999989999999998</v>
      </c>
      <c r="AD30" s="365">
        <f t="shared" si="43"/>
        <v>0.22549019607843138</v>
      </c>
      <c r="AE30" s="368">
        <f ca="1">IFERROR(IF(IF(OR(ISNUMBER(SEARCH("BSTC",AM30)),ISNUMBER(SEARCH("BDTC",AM30)),ISNUMBER(SEARCH("BTTC",AM30))),"CIRCULAR",IF(OR(ISNUMBER(SEARCH("BSCC",AM30)),ISNUMBER(SEARCH("BDCC",AM30)),ISNUMBER(SEARCH("BTCC",AM30))),"CELULAR",""))="CIRCULAR",AG30/SQRT(9.80665*(AA30/(AZ30*SIN((2*ACOS(1-2*AH30/AZ30))/2)))),AG30/SQRT(9.80665*AH30)),"")</f>
        <v>7.9135063784709872E-2</v>
      </c>
      <c r="AF30" s="365" t="str">
        <f t="shared" ca="1" si="44"/>
        <v>Subcrítico</v>
      </c>
      <c r="AG30" s="368">
        <f t="shared" ca="1" si="45"/>
        <v>3.0043256903266959</v>
      </c>
      <c r="AH30" s="368">
        <f ca="1">IFERROR(IF(IF(OR(ISNUMBER(SEARCH("BSTC",AM30)),ISNUMBER(SEARCH("BDTC",AM30)),ISNUMBER(SEARCH("BTTC",AM30))),"CIRCULAR",IF(OR(ISNUMBER(SEARCH("BSCC",AM30)),ISNUMBER(SEARCH("BDCC",AM30)),ISNUMBER(SEARCH("BTCC",AM30))),"CELULAR",""))="CIRCULAR",_xlfn.LET(_xlpm.qq,(15/3)*1,_xlpm.dd,(AZ30)*1,_xlpm.ss,(X30)*1,_xlpm.nn,(0.015)*1,_xlpm.rr,_xlpm.dd/2,_xlpm.ww,_xlpm.dd-0.000002,_xlpm.zz,(_xlpm.qq*_xlpm.nn/SQRT(_xlpm.ss))^3*_xlpm.rr^2/(_xlpm.dd^2/8)^5,_xlpm.h_1,0.000001+_xlpm.ww/2,_xlpm.u_1,2*ACOS(1-_xlpm.h_1/_xlpm.rr),_xlpm.h_2,_xlpm.h_1+IF((_xlpm.u_1-SIN(_xlpm.u_1))^5&lt;_xlpm.zz*_xlpm.u_1^2,_xlpm.ww,-_xlpm.ww)/4,_xlpm.u_2,2*ACOS(1-_xlpm.h_2/_xlpm.rr),_xlpm.h_3,_xlpm.h_2+IF((_xlpm.u_2-SIN(_xlpm.u_2))^5&lt;_xlpm.zz*_xlpm.u_2^2,_xlpm.ww,-_xlpm.ww)/8,_xlpm.u_3,2*ACOS(1-_xlpm.h_3/_xlpm.rr),_xlpm.h_4,_xlpm.h_3+IF((_xlpm.u_3-SIN(_xlpm.u_3))^5&lt;_xlpm.zz*_xlpm.u_3^2,_xlpm.ww,-_xlpm.ww)/16,_xlpm.u_4,2*ACOS(1-_xlpm.h_4/_xlpm.rr),_xlpm.h_5,_xlpm.h_4+IF((_xlpm.u_4-SIN(_xlpm.u_4))^5&lt;_xlpm.zz*_xlpm.u_4^2,_xlpm.ww,-_xlpm.ww)/32,_xlpm.u_5,2*ACOS(1-_xlpm.h_5/_xlpm.rr),_xlpm.h_6,_xlpm.h_5+IF((_xlpm.u_5-SIN(_xlpm.u_5))^5&lt;_xlpm.zz*_xlpm.u_5^2,_xlpm.ww,-_xlpm.ww)/64,_xlpm.u_6,2*ACOS(1-_xlpm.h_6/_xlpm.rr),_xlpm.h_7,_xlpm.h_6+IF((_xlpm.u_6-SIN(_xlpm.u_6))^5&lt;_xlpm.zz*_xlpm.u_6^2,_xlpm.ww,-_xlpm.ww)/128,_xlpm.u_7,2*ACOS(1-_xlpm.h_7/_xlpm.rr),_xlpm.h_8,_xlpm.h_7+IF((_xlpm.u_7-SIN(_xlpm.u_7))^5&lt;_xlpm.zz*_xlpm.u_7^2,_xlpm.ww,-_xlpm.ww)/256,_xlpm.u_8,2*ACOS(1-_xlpm.h_8/_xlpm.rr),_xlpm.h_9,_xlpm.h_8+IF((_xlpm.u_8-SIN(_xlpm.u_8))^5&lt;_xlpm.zz*_xlpm.u_8^2,_xlpm.ww,-_xlpm.ww)/512,_xlpm.u_9,2*ACOS(1-_xlpm.h_9/_xlpm.rr),_xlpm.h_10,_xlpm.h_9+IF((_xlpm.u_9-SIN(_xlpm.u_9))^5&lt;_xlpm.zz*_xlpm.u_9^2,_xlpm.ww,-_xlpm.ww)/1024,_xlpm.u_10,2*ACOS(1-_xlpm.h_10/_xlpm.rr),_xlpm.h_11,_xlpm.h_10+IF((_xlpm.u_10-SIN(_xlpm.u_10))^5&lt;_xlpm.zz*_xlpm.u_10^2,_xlpm.ww,-_xlpm.ww)/2048,_xlpm.u_11,2*ACOS(1-_xlpm.h_11/_xlpm.rr),_xlpm.h_12,_xlpm.h_11+IF((_xlpm.u_11-SIN(_xlpm.u_11))^5&lt;_xlpm.zz*_xlpm.u_11^2,_xlpm.ww,-_xlpm.ww)/4096,_xlpm.u_12,2*ACOS(1-_xlpm.h_12/_xlpm.rr),_xlpm.h_13,_xlpm.h_12+IF((_xlpm.u_12-SIN(_xlpm.u_12))^5&lt;_xlpm.zz*_xlpm.u_12^2,_xlpm.ww,-_xlpm.ww)/8192,_xlpm.u_13,2*ACOS(1-_xlpm.h_13/_xlpm.rr),_xlpm.h_14,_xlpm.h_13+IF((_xlpm.u_13-SIN(_xlpm.u_13))^5&lt;_xlpm.zz*_xlpm.u_13^2,_xlpm.ww,-_xlpm.ww)/16384,_xlpm.u_14,2*ACOS(1-_xlpm.h_14/_xlpm.rr),_xlpm.h_15,_xlpm.h_14+IF((_xlpm.u_14-SIN(_xlpm.u_14))^5&lt;_xlpm.zz*_xlpm.u_14^2,_xlpm.ww,-_xlpm.ww)/32768,_xlpm.u_15,2*ACOS(1-_xlpm.h_15/_xlpm.rr),_xlpm.h_16,_xlpm.h_15+IF((_xlpm.u_15-SIN(_xlpm.u_15))^5&lt;_xlpm.zz*_xlpm.u_15^2,_xlpm.ww,-_xlpm.ww)/65536,_xlpm.u_16,2*ACOS(1-_xlpm.h_16/_xlpm.rr),_xlpm.h_17,_xlpm.h_16+IF((_xlpm.u_16-SIN(_xlpm.u_16))^5&lt;_xlpm.zz*_xlpm.u_16^2,_xlpm.ww,-_xlpm.ww)/131072,_xlpm.u_17,2*ACOS(1-_xlpm.h_17/_xlpm.rr),_xlpm.h_18,_xlpm.h_17+IF((_xlpm.u_17-SIN(_xlpm.u_17))^5&lt;_xlpm.zz*_xlpm.u_17^2,_xlpm.ww,-_xlpm.ww)/262144,_xlpm.u_18,2*ACOS(1-_xlpm.h_18/_xlpm.rr),_xlpm.h_19,_xlpm.h_18+IF((_xlpm.u_18-SIN(_xlpm.u_18))^5&lt;_xlpm.zz*_xlpm.u_18^2,_xlpm.ww,-_xlpm.ww)/524288,_xlpm.u_19,2*ACOS(1-_xlpm.h_19/_xlpm.rr),_xlpm.h_20,_xlpm.h_19+IF((_xlpm.u_19-SIN(_xlpm.u_19))^5&lt;_xlpm.zz*_xlpm.u_19^2,_xlpm.ww,-_xlpm.ww)/1048576,_xlpm.u_20,2*ACOS(1-_xlpm.h_20/_xlpm.rr),_xlpm.h_21,_xlpm.h_20+IF((_xlpm.u_20-SIN(_xlpm.u_20))^5&lt;_xlpm.zz*_xlpm.u_20^2,_xlpm.ww,-_xlpm.ww)/2097152,_xlpm.u_21,2*ACOS(1-_xlpm.h_21/_xlpm.rr),_xlpm.h_22,_xlpm.h_21+IF((_xlpm.u_21-SIN(_xlpm.u_21))^5&lt;_xlpm.zz*_xlpm.u_21^2,_xlpm.ww,-_xlpm.ww)/4194304,_xlpm.u_22,2*ACOS(1-_xlpm.h_22/_xlpm.rr),_xlpm.h_23,_xlpm.h_22+IF((_xlpm.u_22-SIN(_xlpm.u_22))^5&lt;_xlpm.zz*_xlpm.u_22^2,_xlpm.ww,-_xlpm.ww)/8388608,_xlpm.u_23,2*ACOS(1-_xlpm.h_23/_xlpm.rr),_xlpm.h_24,_xlpm.h_23+IF((_xlpm.u_23-SIN(_xlpm.u_23))^5&lt;_xlpm.zz*_xlpm.u_23^2,_xlpm.ww,-_xlpm.ww)/16777216,_xlpm.u_24,2*ACOS(1-_xlpm.h_24/_xlpm.rr),_xlpm.h_25,_xlpm.h_24+IF((_xlpm.u_24-SIN(_xlpm.u_24))^5&lt;_xlpm.zz*_xlpm.u_24^2,_xlpm.ww,-_xlpm.ww)/33554432,_xlpm.u_25,2*ACOS(1-_xlpm.h_25/_xlpm.rr),_xlpm.h_26,_xlpm.h_25+IF((_xlpm.u_25-SIN(_xlpm.u_25))^5&lt;_xlpm.zz*_xlpm.u_25^2,_xlpm.ww,-_xlpm.ww)/67108864,IF(OR(_xlpm.qq&lt;=0,_xlpm.dd&lt;=0,_xlpm.ss&lt;=0,_xlpm.nn&lt;=0),#VALUE!,IF(_xlpm.h_26&gt;0.000001+_xlpm.ww*(1-1.5/2^26),0.000001+_xlpm.ww,_xlpm.h_26))),_xlfn.LET(_xlpm.ob,AM30,_xlpm.ss,(X30)*1,_xlpm.nn,(0.015)*1,_xlpm.qq,(BP30)*1/IF(OR(ISNUMBER(SEARCH("BSTC",_xlpm.ob)),ISNUMBER(SEARCH("BSCC",_xlpm.ob))),1,IF(OR(ISNUMBER(SEARCH("BDTC",_xlpm.ob)),ISNUMBER(SEARCH("BDCC",_xlpm.ob))),2,IF(OR(ISNUMBER(SEARCH("BTTC",_xlpm.ob)),ISNUMBER(SEARCH("BTCC",_xlpm.ob))),3,#VALUE!))),_xlpm.bb,_xlfn.NUMBERVALUE(SUBSTITUTE(TRIM(MID(_xlpm.ob,SEARCH("cc",_xlpm.ob)+3,SEARCH("x",_xlpm.ob)-SEARCH("cc",_xlpm.ob)-3)),".",","),",","."),_xlpm.hh,_xlfn.NUMBERVALUE(SUBSTITUTE(TRIM(MID(_xlpm.ob,SEARCH("x",_xlpm.ob)+1,SEARCH("m",_xlpm.ob,SEARCH("x",_xlpm.ob))-SEARCH("x",_xlpm.ob)-1)),".",","),",","."),_xlpm.kk,SQRT(_xlpm.ss)/_xlpm.nn,_xlpm.x_0,_xlpm.hh,_xlpm.g_0,_xlpm.kk*_xlpm.bb*_xlpm.x_0*(_xlpm.bb*_xlpm.x_0/(_xlpm.bb+2*_xlpm.x_0))^(2/3),_xlpm.x_1,_xlpm.x_0-(_xlpm.g_0-_xlpm.qq)/(_xlpm.g_0*(5/(3*_xlpm.x_0)-4/(3*(_xlpm.bb+2*_xlpm.x_0)))),_xlpm.g_1,_xlpm.kk*_xlpm.bb*_xlpm.x_1*(_xlpm.bb*_xlpm.x_1/(_xlpm.bb+2*_xlpm.x_1))^(2/3),_xlpm.x_2,_xlpm.x_1-(_xlpm.g_1-_xlpm.qq)/(_xlpm.g_1*(5/(3*_xlpm.x_1)-4/(3*(_xlpm.bb+2*_xlpm.x_1)))),_xlpm.g_2,_xlpm.kk*_xlpm.bb*_xlpm.x_2*(_xlpm.bb*_xlpm.x_2/(_xlpm.bb+2*_xlpm.x_2))^(2/3),_xlpm.x_3,_xlpm.x_2-(_xlpm.g_2-_xlpm.qq)/(_xlpm.g_2*(5/(3*_xlpm.x_2)-4/(3*(_xlpm.bb+2*_xlpm.x_2)))),_xlpm.g_3,_xlpm.kk*_xlpm.bb*_xlpm.x_3*(_xlpm.bb*_xlpm.x_3/(_xlpm.bb+2*_xlpm.x_3))^(2/3),_xlpm.x_4,_xlpm.x_3-(_xlpm.g_3-_xlpm.qq)/(_xlpm.g_3*(5/(3*_xlpm.x_3)-4/(3*(_xlpm.bb+2*_xlpm.x_3)))),_xlpm.g_4,_xlpm.kk*_xlpm.bb*_xlpm.x_4*(_xlpm.bb*_xlpm.x_4/(_xlpm.bb+2*_xlpm.x_4))^(2/3),_xlpm.x_5,_xlpm.x_4-(_xlpm.g_4-_xlpm.qq)/(_xlpm.g_4*(5/(3*_xlpm.x_4)-4/(3*(_xlpm.bb+2*_xlpm.x_4)))),_xlpm.g_5,_xlpm.kk*_xlpm.bb*_xlpm.x_5*(_xlpm.bb*_xlpm.x_5/(_xlpm.bb+2*_xlpm.x_5))^(2/3),_xlpm.x_6,_xlpm.x_5-(_xlpm.g_5-_xlpm.qq)/(_xlpm.g_5*(5/(3*_xlpm.x_5)-4/(3*(_xlpm.bb+2*_xlpm.x_5)))),_xlpm.g_6,_xlpm.kk*_xlpm.bb*_xlpm.x_6*(_xlpm.bb*_xlpm.x_6/(_xlpm.bb+2*_xlpm.x_6))^(2/3),_xlpm.x_7,_xlpm.x_6-(_xlpm.g_6-_xlpm.qq)/(_xlpm.g_6*(5/(3*_xlpm.x_6)-4/(3*(_xlpm.bb+2*_xlpm.x_6)))),_xlpm.g_7,_xlpm.kk*_xlpm.bb*_xlpm.x_7*(_xlpm.bb*_xlpm.x_7/(_xlpm.bb+2*_xlpm.x_7))^(2/3),_xlpm.x_8,_xlpm.x_7-(_xlpm.g_7-_xlpm.qq)/(_xlpm.g_7*(5/(3*_xlpm.x_7)-4/(3*(_xlpm.bb+2*_xlpm.x_7)))),_xlpm.g_8,_xlpm.kk*_xlpm.bb*_xlpm.x_8*(_xlpm.bb*_xlpm.x_8/(_xlpm.bb+2*_xlpm.x_8))^(2/3),_xlpm.x_9,_xlpm.x_8-(_xlpm.g_8-_xlpm.qq)/(_xlpm.g_8*(5/(3*_xlpm.x_8)-4/(3*(_xlpm.bb+2*_xlpm.x_8)))),_xlpm.g_9,_xlpm.kk*_xlpm.bb*_xlpm.x_9*(_xlpm.bb*_xlpm.x_9/(_xlpm.bb+2*_xlpm.x_9))^(2/3),_xlpm.x_10,_xlpm.x_9-(_xlpm.g_9-_xlpm.qq)/(_xlpm.g_9*(5/(3*_xlpm.x_9)-4/(3*(_xlpm.bb+2*_xlpm.x_9)))),MIN(_xlpm.hh,_xlpm.x_10))),"")</f>
        <v>1.1999989999999998</v>
      </c>
      <c r="AI30" s="368">
        <f ca="1">IFERROR(
  IF(
    IF(OR(ISNUMBER(SEARCH("BSTC",AM30)),ISNUMBER(SEARCH("BDTC",AM30)),ISNUMBER(SEARCH("BTTC",AM30))),"CIRCULAR",IF(OR(ISNUMBER(SEARCH("BSCC",AM30)),ISNUMBER(SEARCH("BDCC",AM30)),ISNUMBER(SEARCH("BTCC",AM30))),"CELULAR",""))="CIRCULAR",
    (3/2)*(((AZ30^2/8)*((2*ACOS(1-2*BB30/AZ30))-SIN(2*ACOS(1-2*BB30/AZ30))))/(AZ30*SIN((2*ACOS(1-2*BB30/AZ30))/2))),
    (3/2)*BB30
  ),
  ""
)</f>
        <v>0.90576935379661083</v>
      </c>
      <c r="AJ30" s="368">
        <f t="shared" ca="1" si="46"/>
        <v>0.62779159590455402</v>
      </c>
      <c r="AK30" s="369" t="s">
        <v>25</v>
      </c>
      <c r="AL30" s="370" t="str">
        <f ca="1">IFERROR(INDIRECT("'"&amp;BN30&amp;"'!J27"),"")</f>
        <v>BTTC d= 1,00m</v>
      </c>
      <c r="AM30" s="373" t="str">
        <f ca="1">IFERROR(INDIRECT("'"&amp;BN30&amp;"'!J32"),"")</f>
        <v>BTTC d= 1,20m</v>
      </c>
      <c r="AN30" s="371" t="s">
        <v>25</v>
      </c>
      <c r="AO30" s="371" t="s">
        <v>25</v>
      </c>
      <c r="AP30" s="371" t="s">
        <v>102</v>
      </c>
      <c r="AQ30" s="117">
        <f t="shared" ca="1" si="33"/>
        <v>7.2546510008628253</v>
      </c>
      <c r="AR30" s="31">
        <f t="shared" ca="1" si="34"/>
        <v>0.65678295939022213</v>
      </c>
      <c r="AS30" s="93">
        <v>1.4999999999999999E-2</v>
      </c>
      <c r="AT30" s="33">
        <f ca="1">IFERROR(IF(IF(OR(ISNUMBER(SEARCH("BSTC",AL30)),ISNUMBER(SEARCH("BDTC",AL30)),ISNUMBER(SEARCH("BTTC",AL30))),"CIRCULAR",IF(OR(ISNUMBER(SEARCH("BSCC",AL30)),ISNUMBER(SEARCH("BDCC",AL30)),ISNUMBER(SEARCH("BTCC",AL30))),"CELULAR",""))="CIRCULAR",_xlfn.LET(_xlpm.qq,(BS30/(IFERROR(IF(OR(ISNUMBER(FIND("BDTC",AL30)),ISNUMBER(FIND("BDCC",AL30))),2,IF(OR(ISNUMBER(FIND("BTTC",AL30)),ISNUMBER(FIND("BTCC",AL30))),3,IF(OR(ISNUMBER(FIND("BSTC",AL30)),ISNUMBER(FIND("BSCC",AL30))),1,""))),"")))*1,_xlpm.dd,(AY30)*1,_xlpm.ss,(X30)*1,_xlpm.nn,(0.015)*1,_xlpm.rr,_xlpm.dd/2,_xlpm.ww,_xlpm.dd-0.000002,_xlpm.zz,(_xlpm.qq*_xlpm.nn/SQRT(_xlpm.ss))^3*_xlpm.rr^2/(_xlpm.dd^2/8)^5,_xlpm.h_1,0.000001+_xlpm.ww/2,_xlpm.u_1,2*ACOS(1-_xlpm.h_1/_xlpm.rr),_xlpm.h_2,_xlpm.h_1+IF((_xlpm.u_1-SIN(_xlpm.u_1))^5&lt;_xlpm.zz*_xlpm.u_1^2,_xlpm.ww,-_xlpm.ww)/4,_xlpm.u_2,2*ACOS(1-_xlpm.h_2/_xlpm.rr),_xlpm.h_3,_xlpm.h_2+IF((_xlpm.u_2-SIN(_xlpm.u_2))^5&lt;_xlpm.zz*_xlpm.u_2^2,_xlpm.ww,-_xlpm.ww)/8,_xlpm.u_3,2*ACOS(1-_xlpm.h_3/_xlpm.rr),_xlpm.h_4,_xlpm.h_3+IF((_xlpm.u_3-SIN(_xlpm.u_3))^5&lt;_xlpm.zz*_xlpm.u_3^2,_xlpm.ww,-_xlpm.ww)/16,_xlpm.u_4,2*ACOS(1-_xlpm.h_4/_xlpm.rr),_xlpm.h_5,_xlpm.h_4+IF((_xlpm.u_4-SIN(_xlpm.u_4))^5&lt;_xlpm.zz*_xlpm.u_4^2,_xlpm.ww,-_xlpm.ww)/32,_xlpm.u_5,2*ACOS(1-_xlpm.h_5/_xlpm.rr),_xlpm.h_6,_xlpm.h_5+IF((_xlpm.u_5-SIN(_xlpm.u_5))^5&lt;_xlpm.zz*_xlpm.u_5^2,_xlpm.ww,-_xlpm.ww)/64,_xlpm.u_6,2*ACOS(1-_xlpm.h_6/_xlpm.rr),_xlpm.h_7,_xlpm.h_6+IF((_xlpm.u_6-SIN(_xlpm.u_6))^5&lt;_xlpm.zz*_xlpm.u_6^2,_xlpm.ww,-_xlpm.ww)/128,_xlpm.u_7,2*ACOS(1-_xlpm.h_7/_xlpm.rr),_xlpm.h_8,_xlpm.h_7+IF((_xlpm.u_7-SIN(_xlpm.u_7))^5&lt;_xlpm.zz*_xlpm.u_7^2,_xlpm.ww,-_xlpm.ww)/256,_xlpm.u_8,2*ACOS(1-_xlpm.h_8/_xlpm.rr),_xlpm.h_9,_xlpm.h_8+IF((_xlpm.u_8-SIN(_xlpm.u_8))^5&lt;_xlpm.zz*_xlpm.u_8^2,_xlpm.ww,-_xlpm.ww)/512,_xlpm.u_9,2*ACOS(1-_xlpm.h_9/_xlpm.rr),_xlpm.h_10,_xlpm.h_9+IF((_xlpm.u_9-SIN(_xlpm.u_9))^5&lt;_xlpm.zz*_xlpm.u_9^2,_xlpm.ww,-_xlpm.ww)/1024,_xlpm.u_10,2*ACOS(1-_xlpm.h_10/_xlpm.rr),_xlpm.h_11,_xlpm.h_10+IF((_xlpm.u_10-SIN(_xlpm.u_10))^5&lt;_xlpm.zz*_xlpm.u_10^2,_xlpm.ww,-_xlpm.ww)/2048,_xlpm.u_11,2*ACOS(1-_xlpm.h_11/_xlpm.rr),_xlpm.h_12,_xlpm.h_11+IF((_xlpm.u_11-SIN(_xlpm.u_11))^5&lt;_xlpm.zz*_xlpm.u_11^2,_xlpm.ww,-_xlpm.ww)/4096,_xlpm.u_12,2*ACOS(1-_xlpm.h_12/_xlpm.rr),_xlpm.h_13,_xlpm.h_12+IF((_xlpm.u_12-SIN(_xlpm.u_12))^5&lt;_xlpm.zz*_xlpm.u_12^2,_xlpm.ww,-_xlpm.ww)/8192,_xlpm.u_13,2*ACOS(1-_xlpm.h_13/_xlpm.rr),_xlpm.h_14,_xlpm.h_13+IF((_xlpm.u_13-SIN(_xlpm.u_13))^5&lt;_xlpm.zz*_xlpm.u_13^2,_xlpm.ww,-_xlpm.ww)/16384,_xlpm.u_14,2*ACOS(1-_xlpm.h_14/_xlpm.rr),_xlpm.h_15,_xlpm.h_14+IF((_xlpm.u_14-SIN(_xlpm.u_14))^5&lt;_xlpm.zz*_xlpm.u_14^2,_xlpm.ww,-_xlpm.ww)/32768,_xlpm.u_15,2*ACOS(1-_xlpm.h_15/_xlpm.rr),_xlpm.h_16,_xlpm.h_15+IF((_xlpm.u_15-SIN(_xlpm.u_15))^5&lt;_xlpm.zz*_xlpm.u_15^2,_xlpm.ww,-_xlpm.ww)/65536,_xlpm.u_16,2*ACOS(1-_xlpm.h_16/_xlpm.rr),_xlpm.h_17,_xlpm.h_16+IF((_xlpm.u_16-SIN(_xlpm.u_16))^5&lt;_xlpm.zz*_xlpm.u_16^2,_xlpm.ww,-_xlpm.ww)/131072,_xlpm.u_17,2*ACOS(1-_xlpm.h_17/_xlpm.rr),_xlpm.h_18,_xlpm.h_17+IF((_xlpm.u_17-SIN(_xlpm.u_17))^5&lt;_xlpm.zz*_xlpm.u_17^2,_xlpm.ww,-_xlpm.ww)/262144,_xlpm.u_18,2*ACOS(1-_xlpm.h_18/_xlpm.rr),_xlpm.h_19,_xlpm.h_18+IF((_xlpm.u_18-SIN(_xlpm.u_18))^5&lt;_xlpm.zz*_xlpm.u_18^2,_xlpm.ww,-_xlpm.ww)/524288,_xlpm.u_19,2*ACOS(1-_xlpm.h_19/_xlpm.rr),_xlpm.h_20,_xlpm.h_19+IF((_xlpm.u_19-SIN(_xlpm.u_19))^5&lt;_xlpm.zz*_xlpm.u_19^2,_xlpm.ww,-_xlpm.ww)/1048576,_xlpm.u_20,2*ACOS(1-_xlpm.h_20/_xlpm.rr),_xlpm.h_21,_xlpm.h_20+IF((_xlpm.u_20-SIN(_xlpm.u_20))^5&lt;_xlpm.zz*_xlpm.u_20^2,_xlpm.ww,-_xlpm.ww)/2097152,_xlpm.u_21,2*ACOS(1-_xlpm.h_21/_xlpm.rr),_xlpm.h_22,_xlpm.h_21+IF((_xlpm.u_21-SIN(_xlpm.u_21))^5&lt;_xlpm.zz*_xlpm.u_21^2,_xlpm.ww,-_xlpm.ww)/4194304,_xlpm.u_22,2*ACOS(1-_xlpm.h_22/_xlpm.rr),_xlpm.h_23,_xlpm.h_22+IF((_xlpm.u_22-SIN(_xlpm.u_22))^5&lt;_xlpm.zz*_xlpm.u_22^2,_xlpm.ww,-_xlpm.ww)/8388608,_xlpm.u_23,2*ACOS(1-_xlpm.h_23/_xlpm.rr),_xlpm.h_24,_xlpm.h_23+IF((_xlpm.u_23-SIN(_xlpm.u_23))^5&lt;_xlpm.zz*_xlpm.u_23^2,_xlpm.ww,-_xlpm.ww)/16777216,_xlpm.u_24,2*ACOS(1-_xlpm.h_24/_xlpm.rr),_xlpm.h_25,_xlpm.h_24+IF((_xlpm.u_24-SIN(_xlpm.u_24))^5&lt;_xlpm.zz*_xlpm.u_24^2,_xlpm.ww,-_xlpm.ww)/33554432,_xlpm.u_25,2*ACOS(1-_xlpm.h_25/_xlpm.rr),_xlpm.h_26,_xlpm.h_25+IF((_xlpm.u_25-SIN(_xlpm.u_25))^5&lt;_xlpm.zz*_xlpm.u_25^2,_xlpm.ww,-_xlpm.ww)/67108864,IF(OR(_xlpm.qq&lt;=0,_xlpm.dd&lt;=0,_xlpm.ss&lt;=0,_xlpm.nn&lt;=0),#VALUE!,IF(_xlpm.h_26&gt;0.000001+_xlpm.ww*(1-1.5/2^26),0.000001+_xlpm.ww,_xlpm.h_26))),_xlfn.LET(_xlpm.ob,AL30,_xlpm.ss,(X30)*1,_xlpm.nn,(0.015)*1,_xlpm.qq,(BS30)*1/IF(OR(ISNUMBER(SEARCH("BSTC",_xlpm.ob)),ISNUMBER(SEARCH("BSCC",_xlpm.ob))),1,IF(OR(ISNUMBER(SEARCH("BDTC",_xlpm.ob)),ISNUMBER(SEARCH("BDCC",_xlpm.ob))),2,IF(OR(ISNUMBER(SEARCH("BTTC",_xlpm.ob)),ISNUMBER(SEARCH("BTCC",_xlpm.ob))),3,#VALUE!))),_xlpm.bb,_xlfn.NUMBERVALUE(SUBSTITUTE(TRIM(MID(_xlpm.ob,SEARCH("cc",_xlpm.ob)+3,SEARCH("x",_xlpm.ob)-SEARCH("cc",_xlpm.ob)-3)),".",","),",","."),_xlpm.hh,_xlfn.NUMBERVALUE(SUBSTITUTE(TRIM(MID(_xlpm.ob,SEARCH("x",_xlpm.ob)+1,SEARCH("m",_xlpm.ob,SEARCH("x",_xlpm.ob))-SEARCH("x",_xlpm.ob)-1)),".",","),",","."),_xlpm.kk,SQRT(_xlpm.ss)/_xlpm.nn,_xlpm.x_0,_xlpm.hh,_xlpm.g_0,_xlpm.kk*_xlpm.bb*_xlpm.x_0*(_xlpm.bb*_xlpm.x_0/(_xlpm.bb+2*_xlpm.x_0))^(2/3),_xlpm.x_1,_xlpm.x_0-(_xlpm.g_0-_xlpm.qq)/(_xlpm.g_0*(5/(3*_xlpm.x_0)-4/(3*(_xlpm.bb+2*_xlpm.x_0)))),_xlpm.g_1,_xlpm.kk*_xlpm.bb*_xlpm.x_1*(_xlpm.bb*_xlpm.x_1/(_xlpm.bb+2*_xlpm.x_1))^(2/3),_xlpm.x_2,_xlpm.x_1-(_xlpm.g_1-_xlpm.qq)/(_xlpm.g_1*(5/(3*_xlpm.x_1)-4/(3*(_xlpm.bb+2*_xlpm.x_1)))),_xlpm.g_2,_xlpm.kk*_xlpm.bb*_xlpm.x_2*(_xlpm.bb*_xlpm.x_2/(_xlpm.bb+2*_xlpm.x_2))^(2/3),_xlpm.x_3,_xlpm.x_2-(_xlpm.g_2-_xlpm.qq)/(_xlpm.g_2*(5/(3*_xlpm.x_2)-4/(3*(_xlpm.bb+2*_xlpm.x_2)))),_xlpm.g_3,_xlpm.kk*_xlpm.bb*_xlpm.x_3*(_xlpm.bb*_xlpm.x_3/(_xlpm.bb+2*_xlpm.x_3))^(2/3),_xlpm.x_4,_xlpm.x_3-(_xlpm.g_3-_xlpm.qq)/(_xlpm.g_3*(5/(3*_xlpm.x_3)-4/(3*(_xlpm.bb+2*_xlpm.x_3)))),_xlpm.g_4,_xlpm.kk*_xlpm.bb*_xlpm.x_4*(_xlpm.bb*_xlpm.x_4/(_xlpm.bb+2*_xlpm.x_4))^(2/3),_xlpm.x_5,_xlpm.x_4-(_xlpm.g_4-_xlpm.qq)/(_xlpm.g_4*(5/(3*_xlpm.x_4)-4/(3*(_xlpm.bb+2*_xlpm.x_4)))),_xlpm.g_5,_xlpm.kk*_xlpm.bb*_xlpm.x_5*(_xlpm.bb*_xlpm.x_5/(_xlpm.bb+2*_xlpm.x_5))^(2/3),_xlpm.x_6,_xlpm.x_5-(_xlpm.g_5-_xlpm.qq)/(_xlpm.g_5*(5/(3*_xlpm.x_5)-4/(3*(_xlpm.bb+2*_xlpm.x_5)))),_xlpm.g_6,_xlpm.kk*_xlpm.bb*_xlpm.x_6*(_xlpm.bb*_xlpm.x_6/(_xlpm.bb+2*_xlpm.x_6))^(2/3),_xlpm.x_7,_xlpm.x_6-(_xlpm.g_6-_xlpm.qq)/(_xlpm.g_6*(5/(3*_xlpm.x_6)-4/(3*(_xlpm.bb+2*_xlpm.x_6)))),_xlpm.g_7,_xlpm.kk*_xlpm.bb*_xlpm.x_7*(_xlpm.bb*_xlpm.x_7/(_xlpm.bb+2*_xlpm.x_7))^(2/3),_xlpm.x_8,_xlpm.x_7-(_xlpm.g_7-_xlpm.qq)/(_xlpm.g_7*(5/(3*_xlpm.x_7)-4/(3*(_xlpm.bb+2*_xlpm.x_7)))),_xlpm.g_8,_xlpm.kk*_xlpm.bb*_xlpm.x_8*(_xlpm.bb*_xlpm.x_8/(_xlpm.bb+2*_xlpm.x_8))^(2/3),_xlpm.x_9,_xlpm.x_8-(_xlpm.g_8-_xlpm.qq)/(_xlpm.g_8*(5/(3*_xlpm.x_8)-4/(3*(_xlpm.bb+2*_xlpm.x_8)))),_xlpm.g_9,_xlpm.kk*_xlpm.bb*_xlpm.x_9*(_xlpm.bb*_xlpm.x_9/(_xlpm.bb+2*_xlpm.x_9))^(2/3),_xlpm.x_10,_xlpm.x_9-(_xlpm.g_9-_xlpm.qq)/(_xlpm.g_9*(5/(3*_xlpm.x_9)-4/(3*(_xlpm.bb+2*_xlpm.x_9)))),MIN(_xlpm.hh,_xlpm.x_10))),"")</f>
        <v>0.75334991508546478</v>
      </c>
      <c r="AU30" s="33">
        <f t="shared" si="35"/>
        <v>0.7952732759013782</v>
      </c>
      <c r="AW30" s="33" t="str">
        <f t="shared" ca="1" si="36"/>
        <v>BTTC</v>
      </c>
      <c r="AY30" s="33">
        <f t="shared" ca="1" si="37"/>
        <v>1</v>
      </c>
      <c r="AZ30" s="33">
        <f t="shared" ca="1" si="38"/>
        <v>1.2</v>
      </c>
      <c r="BA30" s="33" t="str">
        <f ca="1">IFERROR(INDEX(Tabela_DEB!$A$2:$A$12,MATCH(LEFT(AM30,FIND(" ",AM30)-1)&amp;" "&amp;TEXT(VALUE(MID(AM30,FIND("=",AM30)+1,FIND("m",AM30)-FIND("=",AM30)-1))*100,"0"),Tabela_DEB!$E$2:$E$12,0)),"")</f>
        <v>DEB 360-754</v>
      </c>
      <c r="BB30" s="33">
        <f ca="1">IFERROR(IF(IF(OR(ISNUMBER(SEARCH("BSTC",AM30)),ISNUMBER(SEARCH("BDTC",AM30)),ISNUMBER(SEARCH("BTTC",AM30))),"CIRCULAR",IF(OR(ISNUMBER(SEARCH("BSCC",AM30)),ISNUMBER(SEARCH("BDCC",AM30)),ISNUMBER(SEARCH("BTCC",AM30))),"CELULAR",""))="CIRCULAR",_xlfn.LET(_xlpm.qq,(BQ30/BC30)*1,_xlpm.dd,(AZ30)*1,_xlpm.ww,_xlpm.dd-0.0002,_xlpm.f_0,_xlpm.qq^2*_xlpm.dd*SIN(ACOS(1-2*0.0001/_xlpm.dd))-9.81*(_xlpm.dd^2/8*(2*ACOS(1-2*0.0001/_xlpm.dd)-SIN(2*ACOS(1-2*0.0001/_xlpm.dd))))^3,_xlpm.y_1,0.0001+_xlpm.ww/2,_xlpm.f_1,_xlpm.qq^2*_xlpm.dd*SIN(ACOS(1-2*_xlpm.y_1/_xlpm.dd))-9.81*(_xlpm.dd^2/8*(2*ACOS(1-2*_xlpm.y_1/_xlpm.dd)-SIN(2*ACOS(1-2*_xlpm.y_1/_xlpm.dd))))^3,_xlpm.y_2,_xlpm.y_1+IF(ABS(_xlpm.f_1)&lt;0.000001,0,IF(_xlpm.f_0*_xlpm.f_1&lt;0,-_xlpm.ww,_xlpm.ww))/4,_xlpm.f_2,_xlpm.qq^2*_xlpm.dd*SIN(ACOS(1-2*_xlpm.y_2/_xlpm.dd))-9.81*(_xlpm.dd^2/8*(2*ACOS(1-2*_xlpm.y_2/_xlpm.dd)-SIN(2*ACOS(1-2*_xlpm.y_2/_xlpm.dd))))^3,_xlpm.y_3,_xlpm.y_2+IF(ABS(_xlpm.f_2)&lt;0.000001,0,IF(_xlpm.f_0*_xlpm.f_2&lt;0,-_xlpm.ww,_xlpm.ww))/8,_xlpm.f_3,_xlpm.qq^2*_xlpm.dd*SIN(ACOS(1-2*_xlpm.y_3/_xlpm.dd))-9.81*(_xlpm.dd^2/8*(2*ACOS(1-2*_xlpm.y_3/_xlpm.dd)-SIN(2*ACOS(1-2*_xlpm.y_3/_xlpm.dd))))^3,_xlpm.y_4,_xlpm.y_3+IF(ABS(_xlpm.f_3)&lt;0.000001,0,IF(_xlpm.f_0*_xlpm.f_3&lt;0,-_xlpm.ww,_xlpm.ww))/16,_xlpm.f_4,_xlpm.qq^2*_xlpm.dd*SIN(ACOS(1-2*_xlpm.y_4/_xlpm.dd))-9.81*(_xlpm.dd^2/8*(2*ACOS(1-2*_xlpm.y_4/_xlpm.dd)-SIN(2*ACOS(1-2*_xlpm.y_4/_xlpm.dd))))^3,_xlpm.y_5,_xlpm.y_4+IF(ABS(_xlpm.f_4)&lt;0.000001,0,IF(_xlpm.f_0*_xlpm.f_4&lt;0,-_xlpm.ww,_xlpm.ww))/32,_xlpm.f_5,_xlpm.qq^2*_xlpm.dd*SIN(ACOS(1-2*_xlpm.y_5/_xlpm.dd))-9.81*(_xlpm.dd^2/8*(2*ACOS(1-2*_xlpm.y_5/_xlpm.dd)-SIN(2*ACOS(1-2*_xlpm.y_5/_xlpm.dd))))^3,_xlpm.y_6,_xlpm.y_5+IF(ABS(_xlpm.f_5)&lt;0.000001,0,IF(_xlpm.f_0*_xlpm.f_5&lt;0,-_xlpm.ww,_xlpm.ww))/64,_xlpm.f_6,_xlpm.qq^2*_xlpm.dd*SIN(ACOS(1-2*_xlpm.y_6/_xlpm.dd))-9.81*(_xlpm.dd^2/8*(2*ACOS(1-2*_xlpm.y_6/_xlpm.dd)-SIN(2*ACOS(1-2*_xlpm.y_6/_xlpm.dd))))^3,_xlpm.y_7,_xlpm.y_6+IF(ABS(_xlpm.f_6)&lt;0.000001,0,IF(_xlpm.f_0*_xlpm.f_6&lt;0,-_xlpm.ww,_xlpm.ww))/128,_xlpm.f_7,_xlpm.qq^2*_xlpm.dd*SIN(ACOS(1-2*_xlpm.y_7/_xlpm.dd))-9.81*(_xlpm.dd^2/8*(2*ACOS(1-2*_xlpm.y_7/_xlpm.dd)-SIN(2*ACOS(1-2*_xlpm.y_7/_xlpm.dd))))^3,_xlpm.y_8,_xlpm.y_7+IF(ABS(_xlpm.f_7)&lt;0.000001,0,IF(_xlpm.f_0*_xlpm.f_7&lt;0,-_xlpm.ww,_xlpm.ww))/256,_xlpm.f_8,_xlpm.qq^2*_xlpm.dd*SIN(ACOS(1-2*_xlpm.y_8/_xlpm.dd))-9.81*(_xlpm.dd^2/8*(2*ACOS(1-2*_xlpm.y_8/_xlpm.dd)-SIN(2*ACOS(1-2*_xlpm.y_8/_xlpm.dd))))^3,_xlpm.y_9,_xlpm.y_8+IF(ABS(_xlpm.f_8)&lt;0.000001,0,IF(_xlpm.f_0*_xlpm.f_8&lt;0,-_xlpm.ww,_xlpm.ww))/512,_xlpm.f_9,_xlpm.qq^2*_xlpm.dd*SIN(ACOS(1-2*_xlpm.y_9/_xlpm.dd))-9.81*(_xlpm.dd^2/8*(2*ACOS(1-2*_xlpm.y_9/_xlpm.dd)-SIN(2*ACOS(1-2*_xlpm.y_9/_xlpm.dd))))^3,_xlpm.y_10,_xlpm.y_9+IF(ABS(_xlpm.f_9)&lt;0.000001,0,IF(_xlpm.f_0*_xlpm.f_9&lt;0,-_xlpm.ww,_xlpm.ww))/1024,_xlpm.f_10,_xlpm.qq^2*_xlpm.dd*SIN(ACOS(1-2*_xlpm.y_10/_xlpm.dd))-9.81*(_xlpm.dd^2/8*(2*ACOS(1-2*_xlpm.y_10/_xlpm.dd)-SIN(2*ACOS(1-2*_xlpm.y_10/_xlpm.dd))))^3,_xlpm.y_11,_xlpm.y_10+IF(ABS(_xlpm.f_10)&lt;0.000001,0,IF(_xlpm.f_0*_xlpm.f_10&lt;0,-_xlpm.ww,_xlpm.ww))/2048,_xlpm.f_11,_xlpm.qq^2*_xlpm.dd*SIN(ACOS(1-2*_xlpm.y_11/_xlpm.dd))-9.81*(_xlpm.dd^2/8*(2*ACOS(1-2*_xlpm.y_11/_xlpm.dd)-SIN(2*ACOS(1-2*_xlpm.y_11/_xlpm.dd))))^3,_xlpm.y_12,_xlpm.y_11+IF(ABS(_xlpm.f_11)&lt;0.000001,0,IF(_xlpm.f_0*_xlpm.f_11&lt;0,-_xlpm.ww,_xlpm.ww))/4096,_xlpm.f_12,_xlpm.qq^2*_xlpm.dd*SIN(ACOS(1-2*_xlpm.y_12/_xlpm.dd))-9.81*(_xlpm.dd^2/8*(2*ACOS(1-2*_xlpm.y_12/_xlpm.dd)-SIN(2*ACOS(1-2*_xlpm.y_12/_xlpm.dd))))^3,_xlpm.y_13,_xlpm.y_12+IF(ABS(_xlpm.f_12)&lt;0.000001,0,IF(_xlpm.f_0*_xlpm.f_12&lt;0,-_xlpm.ww,_xlpm.ww))/8192,_xlpm.f_13,_xlpm.qq^2*_xlpm.dd*SIN(ACOS(1-2*_xlpm.y_13/_xlpm.dd))-9.81*(_xlpm.dd^2/8*(2*ACOS(1-2*_xlpm.y_13/_xlpm.dd)-SIN(2*ACOS(1-2*_xlpm.y_13/_xlpm.dd))))^3,_xlpm.y_14,_xlpm.y_13+IF(ABS(_xlpm.f_13)&lt;0.000001,0,IF(_xlpm.f_0*_xlpm.f_13&lt;0,-_xlpm.ww,_xlpm.ww))/16384,_xlpm.f_14,_xlpm.qq^2*_xlpm.dd*SIN(ACOS(1-2*_xlpm.y_14/_xlpm.dd))-9.81*(_xlpm.dd^2/8*(2*ACOS(1-2*_xlpm.y_14/_xlpm.dd)-SIN(2*ACOS(1-2*_xlpm.y_14/_xlpm.dd))))^3,_xlpm.y_15,_xlpm.y_14+IF(ABS(_xlpm.f_14)&lt;0.000001,0,IF(_xlpm.f_0*_xlpm.f_14&lt;0,-_xlpm.ww,_xlpm.ww))/32768,_xlpm.f_15,_xlpm.qq^2*_xlpm.dd*SIN(ACOS(1-2*_xlpm.y_15/_xlpm.dd))-9.81*(_xlpm.dd^2/8*(2*ACOS(1-2*_xlpm.y_15/_xlpm.dd)-SIN(2*ACOS(1-2*_xlpm.y_15/_xlpm.dd))))^3,_xlpm.y_16,_xlpm.y_15+IF(ABS(_xlpm.f_15)&lt;0.000001,0,IF(_xlpm.f_0*_xlpm.f_15&lt;0,-_xlpm.ww,_xlpm.ww))/65536,_xlpm.f_16,_xlpm.qq^2*_xlpm.dd*SIN(ACOS(1-2*_xlpm.y_16/_xlpm.dd))-9.81*(_xlpm.dd^2/8*(2*ACOS(1-2*_xlpm.y_16/_xlpm.dd)-SIN(2*ACOS(1-2*_xlpm.y_16/_xlpm.dd))))^3,_xlpm.y_17,_xlpm.y_16+IF(ABS(_xlpm.f_16)&lt;0.000001,0,IF(_xlpm.f_0*_xlpm.f_16&lt;0,-_xlpm.ww,_xlpm.ww))/131072,_xlpm.f_17,_xlpm.qq^2*_xlpm.dd*SIN(ACOS(1-2*_xlpm.y_17/_xlpm.dd))-9.81*(_xlpm.dd^2/8*(2*ACOS(1-2*_xlpm.y_17/_xlpm.dd)-SIN(2*ACOS(1-2*_xlpm.y_17/_xlpm.dd))))^3,_xlpm.y_18,_xlpm.y_17+IF(ABS(_xlpm.f_17)&lt;0.000001,0,IF(_xlpm.f_0*_xlpm.f_17&lt;0,-_xlpm.ww,_xlpm.ww))/262144,_xlpm.f_18,_xlpm.qq^2*_xlpm.dd*SIN(ACOS(1-2*_xlpm.y_18/_xlpm.dd))-9.81*(_xlpm.dd^2/8*(2*ACOS(1-2*_xlpm.y_18/_xlpm.dd)-SIN(2*ACOS(1-2*_xlpm.y_18/_xlpm.dd))))^3,_xlpm.y_19,_xlpm.y_18+IF(ABS(_xlpm.f_18)&lt;0.000001,0,IF(_xlpm.f_0*_xlpm.f_18&lt;0,-_xlpm.ww,_xlpm.ww))/524288,_xlpm.f_19,_xlpm.qq^2*_xlpm.dd*SIN(ACOS(1-2*_xlpm.y_19/_xlpm.dd))-9.81*(_xlpm.dd^2/8*(2*ACOS(1-2*_xlpm.y_19/_xlpm.dd)-SIN(2*ACOS(1-2*_xlpm.y_19/_xlpm.dd))))^3,_xlpm.y_20,_xlpm.y_19+IF(ABS(_xlpm.f_19)&lt;0.000001,0,IF(_xlpm.f_0*_xlpm.f_19&lt;0,-_xlpm.ww,_xlpm.ww))/1048576,_xlpm.f_20,_xlpm.qq^2*_xlpm.dd*SIN(ACOS(1-2*_xlpm.y_20/_xlpm.dd))-9.81*(_xlpm.dd^2/8*(2*ACOS(1-2*_xlpm.y_20/_xlpm.dd)-SIN(2*ACOS(1-2*_xlpm.y_20/_xlpm.dd))))^3,_xlpm.y_21,_xlpm.y_20+IF(ABS(_xlpm.f_20)&lt;0.000001,0,IF(_xlpm.f_0*_xlpm.f_20&lt;0,-_xlpm.ww,_xlpm.ww))/2097152,_xlpm.f_21,_xlpm.qq^2*_xlpm.dd*SIN(ACOS(1-2*_xlpm.y_21/_xlpm.dd))-9.81*(_xlpm.dd^2/8*(2*ACOS(1-2*_xlpm.y_21/_xlpm.dd)-SIN(2*ACOS(1-2*_xlpm.y_21/_xlpm.dd))))^3,_xlpm.y_22,_xlpm.y_21+IF(ABS(_xlpm.f_21)&lt;0.000001,0,IF(_xlpm.f_0*_xlpm.f_21&lt;0,-_xlpm.ww,_xlpm.ww))/4194304,_xlpm.f_22,_xlpm.qq^2*_xlpm.dd*SIN(ACOS(1-2*_xlpm.y_22/_xlpm.dd))-9.81*(_xlpm.dd^2/8*(2*ACOS(1-2*_xlpm.y_22/_xlpm.dd)-SIN(2*ACOS(1-2*_xlpm.y_22/_xlpm.dd))))^3,_xlpm.y_23,_xlpm.y_22+IF(ABS(_xlpm.f_22)&lt;0.000001,0,IF(_xlpm.f_0*_xlpm.f_22&lt;0,-_xlpm.ww,_xlpm.ww))/8388608,_xlpm.f_23,_xlpm.qq^2*_xlpm.dd*SIN(ACOS(1-2*_xlpm.y_23/_xlpm.dd))-9.81*(_xlpm.dd^2/8*(2*ACOS(1-2*_xlpm.y_23/_xlpm.dd)-SIN(2*ACOS(1-2*_xlpm.y_23/_xlpm.dd))))^3,_xlpm.y_24,_xlpm.y_23+IF(ABS(_xlpm.f_23)&lt;0.000001,0,IF(_xlpm.f_0*_xlpm.f_23&lt;0,-_xlpm.ww,_xlpm.ww))/16777216,_xlpm.f_24,_xlpm.qq^2*_xlpm.dd*SIN(ACOS(1-2*_xlpm.y_24/_xlpm.dd))-9.81*(_xlpm.dd^2/8*(2*ACOS(1-2*_xlpm.y_24/_xlpm.dd)-SIN(2*ACOS(1-2*_xlpm.y_24/_xlpm.dd))))^3,_xlpm.y_25,_xlpm.y_24+IF(ABS(_xlpm.f_24)&lt;0.000001,0,IF(_xlpm.f_0*_xlpm.f_24&lt;0,-_xlpm.ww,_xlpm.ww))/33554432,_xlpm.f_25,_xlpm.qq^2*_xlpm.dd*SIN(ACOS(1-2*_xlpm.y_25/_xlpm.dd))-9.81*(_xlpm.dd^2/8*(2*ACOS(1-2*_xlpm.y_25/_xlpm.dd)-SIN(2*ACOS(1-2*_xlpm.y_25/_xlpm.dd))))^3,_xlpm.y_26,_xlpm.y_25+IF(ABS(_xlpm.f_25)&lt;0.000001,0,IF(_xlpm.f_0*_xlpm.f_25&lt;0,-_xlpm.ww,_xlpm.ww))/67108864,_xlpm.y_26),((BQ30/BC30/_xlfn.NUMBERVALUE(SUBSTITUTE(TRIM(MID(AM30,SEARCH("cc",AM30)+3,SEARCH("x",AM30)-SEARCH("cc",AM30)-3)),".",","),",","."))^2/9.80665)^(1/3)),"")</f>
        <v>0.7210219825267794</v>
      </c>
      <c r="BC30" s="117">
        <f t="shared" ca="1" si="47"/>
        <v>3</v>
      </c>
      <c r="BE30" s="174">
        <f>'Cadastro das Obras'!U14</f>
        <v>20</v>
      </c>
      <c r="BF30" s="174">
        <f ca="1">'Cadastro das Obras'!V14</f>
        <v>60</v>
      </c>
      <c r="BH30" s="33" t="str">
        <f>'Cadastro das Obras'!T14</f>
        <v>0º</v>
      </c>
      <c r="BJ30" s="117">
        <f>'Cadastro das Obras'!W14</f>
        <v>1.8</v>
      </c>
      <c r="BN30" s="34" t="s">
        <v>357</v>
      </c>
      <c r="BP30" s="33">
        <f t="shared" ca="1" si="48"/>
        <v>15</v>
      </c>
      <c r="BQ30" s="33">
        <f ca="1">CHOOSE(MATCH(BP30,{15,25,50,100},0),S30,T30,U30,V30)</f>
        <v>5.1821191724493278</v>
      </c>
      <c r="BR30" s="33">
        <f ca="1">IFERROR(IF(ISNUMBER(FIND("50 anos",INDIRECT("'"&amp;#REF!&amp;"'!"&amp;IF(ISNUMBER(FIND("HUT",#REF!)),"U40","Q14")))),50,25),25)</f>
        <v>25</v>
      </c>
      <c r="BS30" s="33">
        <f ca="1">CHOOSE(MATCH(BR30,{15,25,50,100},0),S30,T30,U30,V30)</f>
        <v>5.7137548494802664</v>
      </c>
      <c r="BU30" s="33">
        <f t="shared" ca="1" si="49"/>
        <v>0.69542562534307995</v>
      </c>
      <c r="BV30" s="33" t="str">
        <f t="shared" ca="1" si="39"/>
        <v>RÁPIDO</v>
      </c>
      <c r="BW30" s="33" t="str">
        <f t="shared" ca="1" si="50"/>
        <v>SUFICIENTE</v>
      </c>
      <c r="BY30" s="33">
        <f t="shared" ca="1" si="51"/>
        <v>0.60801725269445461</v>
      </c>
      <c r="BZ30" s="33" t="str">
        <f t="shared" ca="1" si="52"/>
        <v>Tubular</v>
      </c>
      <c r="CA30" s="115">
        <f t="shared" ca="1" si="53"/>
        <v>1.7273730574831092</v>
      </c>
      <c r="CB30" s="353">
        <f ca="1">IF($AW30="","",IF($BZ30="Tubular",IF($CO30=0,0.01,IF($CO30&gt;=93,1,INDEX('Tab18'!$A$5:$A$97,$CO30)+($CN30-INDEX('Tab18'!$E$5:$E$97,$CO30))*(INDEX('Tab18'!$A$5:$A$97,$CO30+1)-INDEX('Tab18'!$A$5:$A$97,$CO30))/(INDEX('Tab18'!$E$5:$E$97,$CO30+1)-INDEX('Tab18'!$E$5:$E$97,$CO30)))),"-"))</f>
        <v>0.50668104391204549</v>
      </c>
      <c r="CC30" s="33" t="str">
        <f t="shared" ca="1" si="54"/>
        <v>-</v>
      </c>
      <c r="CD30" s="33" t="str">
        <f t="shared" ref="CD30:CM30" ca="1" si="66">IF($AW30="","",IF($BZ30="Celular",$CN30^0.6*($AZ30+2*CC30)^0.4/$AZ30,"-"))</f>
        <v>-</v>
      </c>
      <c r="CE30" s="33" t="str">
        <f t="shared" ca="1" si="66"/>
        <v>-</v>
      </c>
      <c r="CF30" s="33" t="str">
        <f t="shared" ca="1" si="66"/>
        <v>-</v>
      </c>
      <c r="CG30" s="33" t="str">
        <f t="shared" ca="1" si="66"/>
        <v>-</v>
      </c>
      <c r="CH30" s="33" t="str">
        <f t="shared" ca="1" si="66"/>
        <v>-</v>
      </c>
      <c r="CI30" s="33" t="str">
        <f t="shared" ca="1" si="66"/>
        <v>-</v>
      </c>
      <c r="CJ30" s="33" t="str">
        <f t="shared" ca="1" si="66"/>
        <v>-</v>
      </c>
      <c r="CK30" s="33" t="str">
        <f t="shared" ca="1" si="66"/>
        <v>-</v>
      </c>
      <c r="CL30" s="33" t="str">
        <f t="shared" ca="1" si="66"/>
        <v>-</v>
      </c>
      <c r="CM30" s="33" t="str">
        <f t="shared" ca="1" si="66"/>
        <v>-</v>
      </c>
      <c r="CN30" s="352">
        <f t="shared" ca="1" si="56"/>
        <v>0.15934095327338407</v>
      </c>
      <c r="CO30" s="174">
        <f ca="1">IF($AW30="","",IF($BZ30="Tubular",IFERROR(MATCH($CN30,'Tab18'!$E$5:$E$97,1),0),"-"))</f>
        <v>50</v>
      </c>
      <c r="CP30" s="33">
        <f ca="1">IF($AW30="","",IF($BZ30="Tubular",IF($CB30&gt;=1,'Tab18'!$D$104,INDEX('Tab18'!$D$5:$D$104,MATCH($CB30,'Tab18'!$A$5:$A$104,1))+($CB30-INDEX('Tab18'!$A$5:$A$104,MATCH($CB30,'Tab18'!$A$5:$A$104,1)))*(INDEX('Tab18'!$D$5:$D$104,MATCH($CB30,'Tab18'!$A$5:$A$104,1)+1)-INDEX('Tab18'!$D$5:$D$104,MATCH($CB30,'Tab18'!$A$5:$A$104,1)))/(INDEX('Tab18'!$A$5:$A$104,MATCH($CB30,'Tab18'!$A$5:$A$104,1)+1)-INDEX('Tab18'!$A$5:$A$104,MATCH($CB30,'Tab18'!$A$5:$A$104,1)))),($AZ30*$BY30/($AZ30+2*$BY30))^(2/3)))</f>
        <v>0.39907155493009544</v>
      </c>
    </row>
    <row r="31" spans="2:94" s="105" customFormat="1">
      <c r="AU31" s="115"/>
      <c r="BW31" s="33"/>
    </row>
    <row r="32" spans="2:94" s="33" customFormat="1" ht="30" customHeight="1">
      <c r="B32" s="91" t="s">
        <v>100</v>
      </c>
      <c r="C32" s="16"/>
      <c r="AM32" s="117"/>
    </row>
    <row r="33" spans="2:75" s="33" customFormat="1" ht="30" customHeight="1">
      <c r="B33" s="91" t="s">
        <v>108</v>
      </c>
      <c r="C33" s="16"/>
    </row>
    <row r="34" spans="2:75" s="33" customFormat="1" ht="45" customHeight="1">
      <c r="B34" s="424" t="s">
        <v>119</v>
      </c>
      <c r="C34" s="424"/>
      <c r="D34" s="424"/>
      <c r="E34" s="424"/>
      <c r="F34" s="424"/>
      <c r="G34" s="424"/>
      <c r="H34" s="424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</row>
    <row r="35" spans="2:75" s="105" customFormat="1" ht="42" customHeight="1">
      <c r="B35" s="424"/>
      <c r="C35" s="424"/>
      <c r="D35" s="424"/>
      <c r="E35" s="424"/>
      <c r="F35" s="424"/>
      <c r="G35" s="424"/>
      <c r="H35" s="424"/>
      <c r="I35" s="424"/>
      <c r="J35" s="424"/>
      <c r="K35" s="424"/>
      <c r="L35" s="424"/>
      <c r="M35" s="424"/>
      <c r="N35" s="42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BW35" s="33"/>
    </row>
    <row r="36" spans="2:75" ht="19.5" customHeight="1"/>
    <row r="37" spans="2:75" ht="20.100000000000001" customHeight="1">
      <c r="BW37" s="33"/>
    </row>
    <row r="38" spans="2:75" ht="20.100000000000001" customHeight="1"/>
    <row r="39" spans="2:75" ht="20.100000000000001" customHeight="1">
      <c r="BW39" s="33"/>
    </row>
    <row r="40" spans="2:75" ht="20.100000000000001" customHeight="1">
      <c r="BW40" s="33"/>
    </row>
    <row r="41" spans="2:75" ht="20.100000000000001" customHeight="1">
      <c r="BW41" s="33"/>
    </row>
    <row r="42" spans="2:75" ht="20.100000000000001" customHeight="1">
      <c r="BW42" s="33"/>
    </row>
    <row r="43" spans="2:75" ht="20.100000000000001" customHeight="1">
      <c r="BW43" s="33"/>
    </row>
    <row r="44" spans="2:75" ht="20.100000000000001" customHeight="1">
      <c r="BW44" s="33"/>
    </row>
    <row r="45" spans="2:75" ht="20.100000000000001" customHeight="1"/>
    <row r="46" spans="2:75" ht="20.100000000000001" customHeight="1"/>
    <row r="47" spans="2:75" ht="20.100000000000001" customHeight="1"/>
    <row r="48" spans="2:75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19.5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19.5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19.5" customHeight="1"/>
    <row r="79" ht="20.100000000000001" customHeight="1"/>
    <row r="80" ht="20.100000000000001" customHeight="1"/>
    <row r="81" ht="20.100000000000001" customHeight="1"/>
  </sheetData>
  <mergeCells count="17">
    <mergeCell ref="B35:AO35"/>
    <mergeCell ref="D18:F18"/>
    <mergeCell ref="B34:AP34"/>
    <mergeCell ref="B16:AP17"/>
    <mergeCell ref="B3:AP4"/>
    <mergeCell ref="D5:F5"/>
    <mergeCell ref="W5:X5"/>
    <mergeCell ref="W6:X6"/>
    <mergeCell ref="W7:X7"/>
    <mergeCell ref="W8:X8"/>
    <mergeCell ref="W15:X15"/>
    <mergeCell ref="W9:X9"/>
    <mergeCell ref="W10:X10"/>
    <mergeCell ref="W11:X11"/>
    <mergeCell ref="W12:X12"/>
    <mergeCell ref="W13:X13"/>
    <mergeCell ref="W14:X14"/>
  </mergeCells>
  <phoneticPr fontId="1" type="noConversion"/>
  <conditionalFormatting sqref="AG19:AG30">
    <cfRule type="cellIs" dxfId="3" priority="1" operator="greaterThan">
      <formula>4.5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9" fitToWidth="0" fitToHeight="0" orientation="landscape" r:id="rId1"/>
  <headerFooter>
    <oddHeader>&amp;L&amp;G</oddHeader>
    <oddFooter>&amp;C  Telefone: (62) 98409-7452 / (62) 98142-4445       E-mail: &amp;K0000FFqaeng.consultoria@gmail.com&amp;K01+000
Rua 1137, Nº 246, Edifício Personalité Business, Sala 307, Setor Marista, CEP 74180-160, Goiânia-GO.</oddFooter>
  </headerFooter>
  <rowBreaks count="1" manualBreakCount="1">
    <brk id="15" min="1" max="34" man="1"/>
  </rowBreaks>
  <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93C4-D649-4BD4-9EFB-5A0F83C6800F}">
  <sheetPr codeName="Planilha30">
    <tabColor rgb="FFFFFF00"/>
  </sheetPr>
  <dimension ref="B1:AL26"/>
  <sheetViews>
    <sheetView showGridLines="0" tabSelected="1" view="pageBreakPreview" zoomScale="60" zoomScaleNormal="50" workbookViewId="0">
      <selection activeCell="B3" sqref="B3"/>
    </sheetView>
  </sheetViews>
  <sheetFormatPr defaultRowHeight="15"/>
  <cols>
    <col min="2" max="2" width="13.140625" customWidth="1"/>
    <col min="3" max="3" width="17.28515625" customWidth="1"/>
    <col min="4" max="4" width="8.28515625" customWidth="1"/>
    <col min="5" max="5" width="3.85546875" customWidth="1"/>
    <col min="6" max="6" width="7.42578125" customWidth="1"/>
    <col min="7" max="7" width="16" customWidth="1"/>
    <col min="8" max="8" width="37.28515625" customWidth="1"/>
    <col min="9" max="9" width="24.28515625" customWidth="1"/>
    <col min="10" max="10" width="21.7109375" customWidth="1"/>
    <col min="11" max="11" width="15.28515625" customWidth="1"/>
    <col min="12" max="12" width="21.7109375" customWidth="1"/>
    <col min="13" max="13" width="13.7109375" bestFit="1" customWidth="1"/>
    <col min="14" max="14" width="14" hidden="1" customWidth="1"/>
    <col min="15" max="15" width="14.7109375" customWidth="1"/>
    <col min="16" max="16" width="12.140625" customWidth="1"/>
    <col min="17" max="17" width="13.140625" customWidth="1"/>
    <col min="18" max="20" width="12" customWidth="1"/>
    <col min="21" max="22" width="13.28515625" customWidth="1"/>
    <col min="23" max="23" width="16.7109375" customWidth="1"/>
    <col min="24" max="24" width="12.42578125" customWidth="1"/>
    <col min="25" max="25" width="17.140625" hidden="1" customWidth="1"/>
    <col min="26" max="26" width="20.28515625" customWidth="1"/>
    <col min="27" max="27" width="17.42578125" hidden="1" customWidth="1"/>
    <col min="28" max="28" width="35.42578125" customWidth="1"/>
    <col min="29" max="29" width="29" customWidth="1"/>
    <col min="32" max="32" width="0" hidden="1" customWidth="1"/>
  </cols>
  <sheetData>
    <row r="1" spans="2:38" s="15" customFormat="1" ht="16.5" customHeight="1">
      <c r="B1" s="418" t="s">
        <v>103</v>
      </c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19"/>
      <c r="P1" s="419"/>
      <c r="Q1" s="419"/>
      <c r="R1" s="419"/>
      <c r="S1" s="419"/>
      <c r="T1" s="419"/>
      <c r="U1" s="419"/>
      <c r="V1" s="419"/>
      <c r="W1" s="419"/>
      <c r="X1" s="419"/>
      <c r="Y1" s="419"/>
      <c r="Z1" s="419"/>
      <c r="AA1" s="419"/>
      <c r="AB1" s="419"/>
      <c r="AC1" s="420"/>
      <c r="AF1" s="27"/>
    </row>
    <row r="2" spans="2:38" s="15" customFormat="1" ht="70.5" customHeight="1">
      <c r="B2" s="29" t="s">
        <v>16</v>
      </c>
      <c r="C2" s="29" t="s">
        <v>78</v>
      </c>
      <c r="D2" s="421" t="s">
        <v>29</v>
      </c>
      <c r="E2" s="422"/>
      <c r="F2" s="423"/>
      <c r="G2" s="29" t="s">
        <v>17</v>
      </c>
      <c r="H2" s="29" t="s">
        <v>30</v>
      </c>
      <c r="I2" s="29" t="s">
        <v>74</v>
      </c>
      <c r="J2" s="29" t="s">
        <v>104</v>
      </c>
      <c r="K2" s="29" t="s">
        <v>127</v>
      </c>
      <c r="L2" s="29" t="s">
        <v>128</v>
      </c>
      <c r="M2" s="29" t="s">
        <v>105</v>
      </c>
      <c r="N2" s="29" t="s">
        <v>114</v>
      </c>
      <c r="O2" s="29" t="s">
        <v>113</v>
      </c>
      <c r="P2" s="29" t="s">
        <v>35</v>
      </c>
      <c r="Q2" s="29" t="s">
        <v>107</v>
      </c>
      <c r="R2" s="29" t="s">
        <v>34</v>
      </c>
      <c r="S2" s="29" t="s">
        <v>31</v>
      </c>
      <c r="T2" s="29" t="s">
        <v>110</v>
      </c>
      <c r="U2" s="29" t="s">
        <v>124</v>
      </c>
      <c r="V2" s="29" t="s">
        <v>125</v>
      </c>
      <c r="W2" s="29" t="s">
        <v>97</v>
      </c>
      <c r="X2" s="29" t="s">
        <v>32</v>
      </c>
      <c r="Y2" s="29" t="s">
        <v>109</v>
      </c>
      <c r="Z2" s="29" t="s">
        <v>111</v>
      </c>
      <c r="AA2" s="29" t="s">
        <v>112</v>
      </c>
      <c r="AB2" s="29" t="s">
        <v>84</v>
      </c>
      <c r="AC2" s="29" t="s">
        <v>36</v>
      </c>
      <c r="AD2" s="176"/>
      <c r="AE2" s="176"/>
      <c r="AF2" s="27"/>
    </row>
    <row r="3" spans="2:38" s="348" customFormat="1" ht="71.25" customHeight="1">
      <c r="B3" s="374" t="str">
        <f ca="1">'Apresentação  - Est. Hid.'!B19</f>
        <v>BC01</v>
      </c>
      <c r="C3" s="374" t="str">
        <f>'Apresentação  - Est. Hid.'!C19</f>
        <v>B01_Proj.</v>
      </c>
      <c r="D3" s="375" t="str">
        <f ca="1">'Apresentação  - Est. Hid.'!D19</f>
        <v>33</v>
      </c>
      <c r="E3" s="376" t="s">
        <v>1</v>
      </c>
      <c r="F3" s="377">
        <f ca="1">'Apresentação  - Est. Hid.'!F19</f>
        <v>0.46</v>
      </c>
      <c r="G3" s="378" t="s">
        <v>343</v>
      </c>
      <c r="H3" s="378" t="s">
        <v>363</v>
      </c>
      <c r="I3" s="379" t="str">
        <f ca="1">'Apresentação  - Est. Hid.'!AM19</f>
        <v>BTTC d= 1,20m</v>
      </c>
      <c r="J3" s="379" t="s">
        <v>96</v>
      </c>
      <c r="K3" s="380">
        <f ca="1">'Apresentação  - Est. Hid.'!AR19</f>
        <v>0.6467922750192886</v>
      </c>
      <c r="L3" s="380">
        <f ca="1">'Apresentação  - Est. Hid.'!AD19</f>
        <v>0.300174446521636</v>
      </c>
      <c r="M3" s="380">
        <f ca="1">'Apresentação  - Est. Hid.'!AZ19</f>
        <v>1.2</v>
      </c>
      <c r="N3" s="380"/>
      <c r="O3" s="380">
        <f ca="1">'Apresentação  - Est. Hid.'!AG19</f>
        <v>3.193138660728807</v>
      </c>
      <c r="P3" s="381" t="s">
        <v>33</v>
      </c>
      <c r="Q3" s="382">
        <f t="shared" ref="Q3:Q14" si="0">(R3-S3)/U3</f>
        <v>1.0000000000001733E-2</v>
      </c>
      <c r="R3" s="383">
        <v>625.07000000000005</v>
      </c>
      <c r="S3" s="383">
        <v>624.86</v>
      </c>
      <c r="T3" s="384" t="s">
        <v>126</v>
      </c>
      <c r="U3" s="374">
        <v>21</v>
      </c>
      <c r="V3" s="374">
        <f ca="1">IF(AND('Apresentação  - Est. Hid.'!BC19&gt;=1,'Apresentação  - Est. Hid.'!BC19&lt;=3),'Cadastro das Obras'!U3*'Apresentação  - Est. Hid.'!BC19,"")</f>
        <v>63</v>
      </c>
      <c r="W3" s="380">
        <v>2.0699999999999998</v>
      </c>
      <c r="X3" s="385">
        <v>2</v>
      </c>
      <c r="Y3" s="385" t="s">
        <v>25</v>
      </c>
      <c r="Z3" s="385" t="str">
        <f ca="1">'Apresentação  - Est. Hid.'!BA19</f>
        <v>DEB 360-754</v>
      </c>
      <c r="AA3" s="385" t="s">
        <v>25</v>
      </c>
      <c r="AB3" s="386" t="str">
        <f>'Apresentação  - Est. Hid.'!AO19</f>
        <v>-</v>
      </c>
      <c r="AC3" s="386" t="str">
        <f>'Apresentação  - Est. Hid.'!AP19</f>
        <v>Executar</v>
      </c>
      <c r="AE3" s="349"/>
      <c r="AF3" s="350"/>
    </row>
    <row r="4" spans="2:38" s="348" customFormat="1" ht="71.25" customHeight="1">
      <c r="B4" s="374" t="str">
        <f ca="1">'Apresentação  - Est. Hid.'!B20</f>
        <v>BC02</v>
      </c>
      <c r="C4" s="374" t="str">
        <f>'Apresentação  - Est. Hid.'!C20</f>
        <v>B02_Proj.</v>
      </c>
      <c r="D4" s="375" t="str">
        <f ca="1">'Apresentação  - Est. Hid.'!D20</f>
        <v>49</v>
      </c>
      <c r="E4" s="376" t="s">
        <v>1</v>
      </c>
      <c r="F4" s="377">
        <f ca="1">'Apresentação  - Est. Hid.'!F20</f>
        <v>18.59</v>
      </c>
      <c r="G4" s="378" t="s">
        <v>173</v>
      </c>
      <c r="H4" s="378" t="s">
        <v>363</v>
      </c>
      <c r="I4" s="379" t="str">
        <f ca="1">'Apresentação  - Est. Hid.'!AM20</f>
        <v>BTTC d= 1,20m</v>
      </c>
      <c r="J4" s="379" t="s">
        <v>96</v>
      </c>
      <c r="K4" s="380">
        <f ca="1">'Apresentação  - Est. Hid.'!AR20</f>
        <v>0.63974378496520479</v>
      </c>
      <c r="L4" s="380">
        <f>'Apresentação  - Est. Hid.'!AD20</f>
        <v>0.40750773993808048</v>
      </c>
      <c r="M4" s="380">
        <f ca="1">'Apresentação  - Est. Hid.'!AZ20</f>
        <v>1.2</v>
      </c>
      <c r="N4" s="380"/>
      <c r="O4" s="380">
        <f ca="1">'Apresentação  - Est. Hid.'!AG20</f>
        <v>2.5238098201784132</v>
      </c>
      <c r="P4" s="381" t="s">
        <v>33</v>
      </c>
      <c r="Q4" s="382">
        <f t="shared" si="0"/>
        <v>6.431514420663388E-3</v>
      </c>
      <c r="R4" s="383">
        <v>628.54200000000003</v>
      </c>
      <c r="S4" s="383">
        <v>628.41399999999999</v>
      </c>
      <c r="T4" s="384" t="s">
        <v>380</v>
      </c>
      <c r="U4" s="374">
        <v>19.902000000000001</v>
      </c>
      <c r="V4" s="374">
        <f ca="1">IF(AND('Apresentação  - Est. Hid.'!BC20&gt;=1,'Apresentação  - Est. Hid.'!BC20&lt;=3),'Cadastro das Obras'!U4*'Apresentação  - Est. Hid.'!BC20,"")</f>
        <v>59.706000000000003</v>
      </c>
      <c r="W4" s="380">
        <v>2.04</v>
      </c>
      <c r="X4" s="385">
        <v>2</v>
      </c>
      <c r="Y4" s="385" t="s">
        <v>25</v>
      </c>
      <c r="Z4" s="385" t="str">
        <f ca="1">'Apresentação  - Est. Hid.'!BA20</f>
        <v>DEB 360-754</v>
      </c>
      <c r="AA4" s="385" t="s">
        <v>25</v>
      </c>
      <c r="AB4" s="417"/>
      <c r="AC4" s="386" t="str">
        <f>'Apresentação  - Est. Hid.'!AP20</f>
        <v>Executar</v>
      </c>
      <c r="AE4" s="349"/>
      <c r="AF4" s="350"/>
    </row>
    <row r="5" spans="2:38" s="348" customFormat="1" ht="71.25" customHeight="1">
      <c r="B5" s="374" t="str">
        <f ca="1">'Apresentação  - Est. Hid.'!B21</f>
        <v>BC03</v>
      </c>
      <c r="C5" s="374" t="str">
        <f>'Apresentação  - Est. Hid.'!C21</f>
        <v>B03_Proj.</v>
      </c>
      <c r="D5" s="375" t="str">
        <f ca="1">'Apresentação  - Est. Hid.'!D21</f>
        <v>148</v>
      </c>
      <c r="E5" s="376" t="s">
        <v>1</v>
      </c>
      <c r="F5" s="377">
        <f ca="1">'Apresentação  - Est. Hid.'!F21</f>
        <v>7.27</v>
      </c>
      <c r="G5" s="378" t="s">
        <v>343</v>
      </c>
      <c r="H5" s="378" t="s">
        <v>363</v>
      </c>
      <c r="I5" s="379" t="str">
        <f ca="1">'Apresentação  - Est. Hid.'!AM21</f>
        <v>BDCC 3,00 x 3,00m</v>
      </c>
      <c r="J5" s="379" t="s">
        <v>96</v>
      </c>
      <c r="K5" s="380">
        <f ca="1">'Apresentação  - Est. Hid.'!AR21</f>
        <v>0.76281727368216057</v>
      </c>
      <c r="L5" s="380">
        <f>'Apresentação  - Est. Hid.'!AD21</f>
        <v>0.33944113605130555</v>
      </c>
      <c r="M5" s="380">
        <f ca="1">'Apresentação  - Est. Hid.'!AZ21</f>
        <v>3</v>
      </c>
      <c r="N5" s="380"/>
      <c r="O5" s="380">
        <f ca="1">'Apresentação  - Est. Hid.'!AG21</f>
        <v>4.418969853003512</v>
      </c>
      <c r="P5" s="381" t="s">
        <v>33</v>
      </c>
      <c r="Q5" s="382">
        <f t="shared" si="0"/>
        <v>7.1152358855392445E-3</v>
      </c>
      <c r="R5" s="383">
        <v>634.97400000000005</v>
      </c>
      <c r="S5" s="383">
        <v>634.83600000000001</v>
      </c>
      <c r="T5" s="384" t="s">
        <v>381</v>
      </c>
      <c r="U5" s="374">
        <v>19.395</v>
      </c>
      <c r="V5" s="374">
        <v>38</v>
      </c>
      <c r="W5" s="380">
        <v>1.67</v>
      </c>
      <c r="X5" s="385">
        <v>2</v>
      </c>
      <c r="Y5" s="385" t="s">
        <v>25</v>
      </c>
      <c r="Z5" s="385" t="str">
        <f ca="1">'Apresentação  - Est. Hid.'!BA21</f>
        <v/>
      </c>
      <c r="AA5" s="385" t="s">
        <v>25</v>
      </c>
      <c r="AB5" s="386" t="str">
        <f>'Apresentação  - Est. Hid.'!AO21</f>
        <v>-</v>
      </c>
      <c r="AC5" s="386" t="str">
        <f>'Apresentação  - Est. Hid.'!AP21</f>
        <v>Substituir obra existente</v>
      </c>
      <c r="AE5" s="349"/>
      <c r="AF5" s="351">
        <f>AVERAGE(R5:S5)</f>
        <v>634.90499999999997</v>
      </c>
    </row>
    <row r="6" spans="2:38" s="348" customFormat="1" ht="71.25" hidden="1" customHeight="1">
      <c r="B6" s="374" t="str">
        <f ca="1">'Apresentação  - Est. Hid.'!B22</f>
        <v>BC04</v>
      </c>
      <c r="C6" s="374" t="str">
        <f>'Apresentação  - Est. Hid.'!C22</f>
        <v>B04_Proj.</v>
      </c>
      <c r="D6" s="375" t="str">
        <f ca="1">'Apresentação  - Est. Hid.'!D22</f>
        <v>214</v>
      </c>
      <c r="E6" s="376" t="s">
        <v>1</v>
      </c>
      <c r="F6" s="377">
        <f ca="1">'Apresentação  - Est. Hid.'!F22</f>
        <v>13.34</v>
      </c>
      <c r="G6" s="378" t="s">
        <v>343</v>
      </c>
      <c r="H6" s="378" t="s">
        <v>363</v>
      </c>
      <c r="I6" s="379" t="str">
        <f ca="1">'Apresentação  - Est. Hid.'!AM22</f>
        <v>BDCC 2,50 x 2,50m</v>
      </c>
      <c r="J6" s="379" t="s">
        <v>96</v>
      </c>
      <c r="K6" s="380">
        <f ca="1">'Apresentação  - Est. Hid.'!AR22</f>
        <v>0.90884568242225094</v>
      </c>
      <c r="L6" s="380">
        <f>'Apresentação  - Est. Hid.'!AD22</f>
        <v>0.2734599884858952</v>
      </c>
      <c r="M6" s="380">
        <f ca="1">'Apresentação  - Est. Hid.'!AZ22</f>
        <v>2.5</v>
      </c>
      <c r="N6" s="380"/>
      <c r="O6" s="380">
        <f ca="1">'Apresentação  - Est. Hid.'!AG22</f>
        <v>3.6655905841958174</v>
      </c>
      <c r="P6" s="381" t="s">
        <v>33</v>
      </c>
      <c r="Q6" s="382">
        <f t="shared" si="0"/>
        <v>4.9890102222347769E-3</v>
      </c>
      <c r="R6" s="383">
        <v>625.29999999999995</v>
      </c>
      <c r="S6" s="383">
        <v>625.15700000000004</v>
      </c>
      <c r="T6" s="384" t="s">
        <v>126</v>
      </c>
      <c r="U6" s="374">
        <v>28.663</v>
      </c>
      <c r="V6" s="374">
        <f ca="1">IF(AND('Apresentação  - Est. Hid.'!BC22&gt;=1,'Apresentação  - Est. Hid.'!BC22&lt;=3),'Cadastro das Obras'!U6*'Apresentação  - Est. Hid.'!BC22,"")</f>
        <v>57.326000000000001</v>
      </c>
      <c r="W6" s="380">
        <v>2.9</v>
      </c>
      <c r="X6" s="385">
        <v>2</v>
      </c>
      <c r="Y6" s="385" t="s">
        <v>25</v>
      </c>
      <c r="Z6" s="385" t="str">
        <f ca="1">'Apresentação  - Est. Hid.'!BA22</f>
        <v/>
      </c>
      <c r="AA6" s="385" t="s">
        <v>25</v>
      </c>
      <c r="AB6" s="386" t="str">
        <f>'Apresentação  - Est. Hid.'!AO22</f>
        <v>-</v>
      </c>
      <c r="AC6" s="386" t="str">
        <f>'Apresentação  - Est. Hid.'!AP22</f>
        <v>Substituir obra existente</v>
      </c>
      <c r="AE6" s="349"/>
      <c r="AF6" s="351">
        <f>AVERAGE(R6:S6)</f>
        <v>625.22849999999994</v>
      </c>
    </row>
    <row r="7" spans="2:38" s="348" customFormat="1" ht="71.25" hidden="1" customHeight="1">
      <c r="B7" s="374" t="str">
        <f ca="1">'Apresentação  - Est. Hid.'!B23</f>
        <v>BC05</v>
      </c>
      <c r="C7" s="374" t="str">
        <f>'Apresentação  - Est. Hid.'!C23</f>
        <v>B05_Proj.</v>
      </c>
      <c r="D7" s="375" t="str">
        <f ca="1">'Apresentação  - Est. Hid.'!D23</f>
        <v>314</v>
      </c>
      <c r="E7" s="376" t="s">
        <v>1</v>
      </c>
      <c r="F7" s="377">
        <f ca="1">'Apresentação  - Est. Hid.'!F23</f>
        <v>11.93</v>
      </c>
      <c r="G7" s="378" t="s">
        <v>343</v>
      </c>
      <c r="H7" s="378" t="s">
        <v>363</v>
      </c>
      <c r="I7" s="379" t="str">
        <f ca="1">'Apresentação  - Est. Hid.'!AM23</f>
        <v>BDCC 2,50 x 2,50m</v>
      </c>
      <c r="J7" s="379" t="s">
        <v>96</v>
      </c>
      <c r="K7" s="380">
        <f ca="1">'Apresentação  - Est. Hid.'!AR23</f>
        <v>0.90882911499244001</v>
      </c>
      <c r="L7" s="380">
        <f>'Apresentação  - Est. Hid.'!AD23</f>
        <v>0.36085380587998389</v>
      </c>
      <c r="M7" s="380">
        <f ca="1">'Apresentação  - Est. Hid.'!AZ23</f>
        <v>2.5</v>
      </c>
      <c r="N7" s="380"/>
      <c r="O7" s="380">
        <f ca="1">'Apresentação  - Est. Hid.'!AG23</f>
        <v>3.7850785507540516</v>
      </c>
      <c r="P7" s="381" t="s">
        <v>33</v>
      </c>
      <c r="Q7" s="382">
        <f t="shared" si="0"/>
        <v>5.1111111111102519E-3</v>
      </c>
      <c r="R7" s="383">
        <v>623.952</v>
      </c>
      <c r="S7" s="383">
        <v>623.86</v>
      </c>
      <c r="T7" s="384" t="s">
        <v>381</v>
      </c>
      <c r="U7" s="374">
        <v>18</v>
      </c>
      <c r="V7" s="374">
        <f ca="1">IF(AND('Apresentação  - Est. Hid.'!BC23&gt;=1,'Apresentação  - Est. Hid.'!BC23&lt;=3),'Cadastro das Obras'!U7*'Apresentação  - Est. Hid.'!BC23,"")</f>
        <v>36</v>
      </c>
      <c r="W7" s="380">
        <v>0.7</v>
      </c>
      <c r="X7" s="385">
        <v>2</v>
      </c>
      <c r="Y7" s="385" t="s">
        <v>25</v>
      </c>
      <c r="Z7" s="385" t="str">
        <f ca="1">'Apresentação  - Est. Hid.'!BA23</f>
        <v/>
      </c>
      <c r="AA7" s="385" t="s">
        <v>25</v>
      </c>
      <c r="AB7" s="386" t="str">
        <f>'Apresentação  - Est. Hid.'!AO23</f>
        <v>-</v>
      </c>
      <c r="AC7" s="386" t="str">
        <f>'Apresentação  - Est. Hid.'!AP23</f>
        <v>Substituir obra existente</v>
      </c>
      <c r="AE7" s="349"/>
      <c r="AF7" s="350"/>
    </row>
    <row r="8" spans="2:38" s="348" customFormat="1" ht="71.25" hidden="1" customHeight="1">
      <c r="B8" s="374" t="str">
        <f ca="1">'Apresentação  - Est. Hid.'!B24</f>
        <v>BC06</v>
      </c>
      <c r="C8" s="374" t="str">
        <f>'Apresentação  - Est. Hid.'!C24</f>
        <v>B06_Proj.</v>
      </c>
      <c r="D8" s="375" t="str">
        <f ca="1">'Apresentação  - Est. Hid.'!D24</f>
        <v>397</v>
      </c>
      <c r="E8" s="376" t="s">
        <v>1</v>
      </c>
      <c r="F8" s="377">
        <f ca="1">'Apresentação  - Est. Hid.'!F24</f>
        <v>4.42</v>
      </c>
      <c r="G8" s="378" t="s">
        <v>343</v>
      </c>
      <c r="H8" s="378" t="s">
        <v>363</v>
      </c>
      <c r="I8" s="379" t="str">
        <f ca="1">'Apresentação  - Est. Hid.'!AM24</f>
        <v>BTCC 3,00 x 3,00m</v>
      </c>
      <c r="J8" s="379" t="s">
        <v>96</v>
      </c>
      <c r="K8" s="380">
        <f ca="1">'Apresentação  - Est. Hid.'!AR24</f>
        <v>1.2564642576720706</v>
      </c>
      <c r="L8" s="380">
        <f>'Apresentação  - Est. Hid.'!AD24</f>
        <v>0.17931609674728941</v>
      </c>
      <c r="M8" s="380">
        <f ca="1">'Apresentação  - Est. Hid.'!AZ24</f>
        <v>3</v>
      </c>
      <c r="N8" s="380"/>
      <c r="O8" s="380">
        <f ca="1">'Apresentação  - Est. Hid.'!AG24</f>
        <v>3.7403513149732115</v>
      </c>
      <c r="P8" s="381" t="s">
        <v>33</v>
      </c>
      <c r="Q8" s="387">
        <f t="shared" si="0"/>
        <v>5.0000000000017687E-3</v>
      </c>
      <c r="R8" s="383">
        <v>631.97</v>
      </c>
      <c r="S8" s="383">
        <v>631.88</v>
      </c>
      <c r="T8" s="384" t="s">
        <v>126</v>
      </c>
      <c r="U8" s="374">
        <v>18</v>
      </c>
      <c r="V8" s="374">
        <f ca="1">IF(AND('Apresentação  - Est. Hid.'!BC24&gt;=1,'Apresentação  - Est. Hid.'!BC24&lt;=3),'Cadastro das Obras'!U8*'Apresentação  - Est. Hid.'!BC24,"")</f>
        <v>54</v>
      </c>
      <c r="W8" s="380">
        <v>1.05</v>
      </c>
      <c r="X8" s="385">
        <v>2</v>
      </c>
      <c r="Y8" s="385" t="s">
        <v>25</v>
      </c>
      <c r="Z8" s="385" t="str">
        <f ca="1">'Apresentação  - Est. Hid.'!BA24</f>
        <v/>
      </c>
      <c r="AA8" s="385" t="s">
        <v>25</v>
      </c>
      <c r="AB8" s="386" t="str">
        <f>'Apresentação  - Est. Hid.'!AO24</f>
        <v>-</v>
      </c>
      <c r="AC8" s="386" t="str">
        <f>'Apresentação  - Est. Hid.'!AP24</f>
        <v>Substituir obra existente</v>
      </c>
      <c r="AE8" s="349"/>
      <c r="AF8" s="350"/>
    </row>
    <row r="9" spans="2:38" s="348" customFormat="1" ht="71.25" hidden="1" customHeight="1">
      <c r="B9" s="374" t="str">
        <f ca="1">'Apresentação  - Est. Hid.'!B25</f>
        <v>BC07</v>
      </c>
      <c r="C9" s="374" t="str">
        <f>'Apresentação  - Est. Hid.'!C25</f>
        <v>B07_Proj.</v>
      </c>
      <c r="D9" s="375" t="str">
        <f ca="1">'Apresentação  - Est. Hid.'!D25</f>
        <v>496</v>
      </c>
      <c r="E9" s="376" t="s">
        <v>1</v>
      </c>
      <c r="F9" s="377">
        <f ca="1">'Apresentação  - Est. Hid.'!F25</f>
        <v>14.93</v>
      </c>
      <c r="G9" s="378" t="s">
        <v>343</v>
      </c>
      <c r="H9" s="378" t="s">
        <v>363</v>
      </c>
      <c r="I9" s="379" t="str">
        <f ca="1">'Apresentação  - Est. Hid.'!AM25</f>
        <v>BDCC 3,00 x 3,00m</v>
      </c>
      <c r="J9" s="379" t="s">
        <v>96</v>
      </c>
      <c r="K9" s="380">
        <f ca="1">'Apresentação  - Est. Hid.'!AR25</f>
        <v>0.81333702591253787</v>
      </c>
      <c r="L9" s="380">
        <f>'Apresentação  - Est. Hid.'!AD25</f>
        <v>0.23850766155896069</v>
      </c>
      <c r="M9" s="380">
        <f ca="1">'Apresentação  - Est. Hid.'!AZ25</f>
        <v>3</v>
      </c>
      <c r="N9" s="380"/>
      <c r="O9" s="380">
        <f ca="1">'Apresentação  - Est. Hid.'!AG25</f>
        <v>3.8626218082355401</v>
      </c>
      <c r="P9" s="381" t="s">
        <v>33</v>
      </c>
      <c r="Q9" s="382">
        <f t="shared" si="0"/>
        <v>5.0216763005783965E-3</v>
      </c>
      <c r="R9" s="383">
        <v>615.37</v>
      </c>
      <c r="S9" s="383">
        <v>615.23099999999999</v>
      </c>
      <c r="T9" s="384" t="s">
        <v>382</v>
      </c>
      <c r="U9" s="374">
        <v>27.68</v>
      </c>
      <c r="V9" s="374">
        <f ca="1">IF(AND('Apresentação  - Est. Hid.'!BC25&gt;=1,'Apresentação  - Est. Hid.'!BC25&lt;=3),'Cadastro das Obras'!U9*'Apresentação  - Est. Hid.'!BC25,"")</f>
        <v>55.36</v>
      </c>
      <c r="W9" s="380">
        <v>1.37</v>
      </c>
      <c r="X9" s="385">
        <v>2</v>
      </c>
      <c r="Y9" s="385" t="s">
        <v>25</v>
      </c>
      <c r="Z9" s="385" t="str">
        <f ca="1">'Apresentação  - Est. Hid.'!BA25</f>
        <v/>
      </c>
      <c r="AA9" s="385" t="s">
        <v>25</v>
      </c>
      <c r="AB9" s="386" t="str">
        <f>'Apresentação  - Est. Hid.'!AO25</f>
        <v>-</v>
      </c>
      <c r="AC9" s="386" t="str">
        <f>'Apresentação  - Est. Hid.'!AP25</f>
        <v>Substituir obra existente</v>
      </c>
      <c r="AE9" s="349"/>
      <c r="AF9" s="350"/>
    </row>
    <row r="10" spans="2:38" s="348" customFormat="1" ht="71.25" hidden="1" customHeight="1">
      <c r="B10" s="374" t="str">
        <f ca="1">'Apresentação  - Est. Hid.'!B26</f>
        <v>BC08</v>
      </c>
      <c r="C10" s="374" t="str">
        <f>'Apresentação  - Est. Hid.'!C26</f>
        <v>B08_Proj.</v>
      </c>
      <c r="D10" s="375" t="str">
        <f ca="1">'Apresentação  - Est. Hid.'!D26</f>
        <v>542</v>
      </c>
      <c r="E10" s="376" t="s">
        <v>1</v>
      </c>
      <c r="F10" s="377">
        <f ca="1">'Apresentação  - Est. Hid.'!F26</f>
        <v>6.47</v>
      </c>
      <c r="G10" s="378" t="s">
        <v>343</v>
      </c>
      <c r="H10" s="378" t="s">
        <v>363</v>
      </c>
      <c r="I10" s="379" t="str">
        <f ca="1">'Apresentação  - Est. Hid.'!AM26</f>
        <v>BSCC 3,00 x 3,00m</v>
      </c>
      <c r="J10" s="379" t="s">
        <v>96</v>
      </c>
      <c r="K10" s="380">
        <f ca="1">'Apresentação  - Est. Hid.'!AR26</f>
        <v>1.1414734993638733</v>
      </c>
      <c r="L10" s="380">
        <f>'Apresentação  - Est. Hid.'!AD26</f>
        <v>0.29088050314465413</v>
      </c>
      <c r="M10" s="380">
        <f ca="1">'Apresentação  - Est. Hid.'!AZ26</f>
        <v>3</v>
      </c>
      <c r="N10" s="380"/>
      <c r="O10" s="380">
        <f ca="1">'Apresentação  - Est. Hid.'!AG26</f>
        <v>3.9293892191208037</v>
      </c>
      <c r="P10" s="381" t="s">
        <v>33</v>
      </c>
      <c r="Q10" s="382">
        <f t="shared" si="0"/>
        <v>4.9939589206614444E-3</v>
      </c>
      <c r="R10" s="383">
        <v>617.35599999999999</v>
      </c>
      <c r="S10" s="383">
        <v>617.16999999999996</v>
      </c>
      <c r="T10" s="384" t="s">
        <v>126</v>
      </c>
      <c r="U10" s="374">
        <v>37.244999999999997</v>
      </c>
      <c r="V10" s="374">
        <f ca="1">IF(AND('Apresentação  - Est. Hid.'!BC26&gt;=1,'Apresentação  - Est. Hid.'!BC26&lt;=3),'Cadastro das Obras'!U10*'Apresentação  - Est. Hid.'!BC26,"")</f>
        <v>37.244999999999997</v>
      </c>
      <c r="W10" s="380">
        <v>4.51</v>
      </c>
      <c r="X10" s="385">
        <v>2</v>
      </c>
      <c r="Y10" s="385" t="s">
        <v>25</v>
      </c>
      <c r="Z10" s="385" t="str">
        <f ca="1">'Apresentação  - Est. Hid.'!BA26</f>
        <v/>
      </c>
      <c r="AA10" s="385" t="s">
        <v>25</v>
      </c>
      <c r="AB10" s="386" t="str">
        <f>'Apresentação  - Est. Hid.'!AO26</f>
        <v>-</v>
      </c>
      <c r="AC10" s="386" t="str">
        <f>'Apresentação  - Est. Hid.'!AP26</f>
        <v>Substituir obra existente</v>
      </c>
      <c r="AE10" s="349"/>
      <c r="AF10" s="350"/>
    </row>
    <row r="11" spans="2:38" s="348" customFormat="1" ht="71.25" hidden="1" customHeight="1">
      <c r="B11" s="374" t="str">
        <f ca="1">'Apresentação  - Est. Hid.'!B27</f>
        <v>BC09</v>
      </c>
      <c r="C11" s="374" t="str">
        <f>'Apresentação  - Est. Hid.'!C27</f>
        <v>B09_Proj.</v>
      </c>
      <c r="D11" s="375" t="str">
        <f ca="1">'Apresentação  - Est. Hid.'!D27</f>
        <v>754</v>
      </c>
      <c r="E11" s="376" t="s">
        <v>1</v>
      </c>
      <c r="F11" s="377">
        <f ca="1">'Apresentação  - Est. Hid.'!F27</f>
        <v>8.1999999999999993</v>
      </c>
      <c r="G11" s="378" t="s">
        <v>343</v>
      </c>
      <c r="H11" s="378" t="s">
        <v>363</v>
      </c>
      <c r="I11" s="379" t="str">
        <f ca="1">'Apresentação  - Est. Hid.'!AM27</f>
        <v>BDCC 3,00 x 3,00m</v>
      </c>
      <c r="J11" s="379" t="s">
        <v>96</v>
      </c>
      <c r="K11" s="380">
        <f ca="1">'Apresentação  - Est. Hid.'!AR27</f>
        <v>1.0961472807279908</v>
      </c>
      <c r="L11" s="380">
        <f>'Apresentação  - Est. Hid.'!AD27</f>
        <v>0.29088050314465413</v>
      </c>
      <c r="M11" s="380">
        <f ca="1">'Apresentação  - Est. Hid.'!AZ27</f>
        <v>3</v>
      </c>
      <c r="N11" s="380"/>
      <c r="O11" s="380">
        <f ca="1">'Apresentação  - Est. Hid.'!AG27</f>
        <v>3.6758419104366786</v>
      </c>
      <c r="P11" s="381" t="s">
        <v>33</v>
      </c>
      <c r="Q11" s="387">
        <f t="shared" si="0"/>
        <v>5.0094355807156687E-3</v>
      </c>
      <c r="R11" s="383">
        <v>601.91</v>
      </c>
      <c r="S11" s="383">
        <v>601.76400000000001</v>
      </c>
      <c r="T11" s="384" t="s">
        <v>126</v>
      </c>
      <c r="U11" s="374">
        <v>29.145</v>
      </c>
      <c r="V11" s="374">
        <f ca="1">IF(AND('Apresentação  - Est. Hid.'!BC27&gt;=1,'Apresentação  - Est. Hid.'!BC27&lt;=3),'Cadastro das Obras'!U11*'Apresentação  - Est. Hid.'!BC27,"")</f>
        <v>58.29</v>
      </c>
      <c r="W11" s="380">
        <v>2.37</v>
      </c>
      <c r="X11" s="385">
        <v>2</v>
      </c>
      <c r="Y11" s="385"/>
      <c r="Z11" s="385"/>
      <c r="AA11" s="385"/>
      <c r="AB11" s="386" t="str">
        <f>'Apresentação  - Est. Hid.'!AO27</f>
        <v>-</v>
      </c>
      <c r="AC11" s="386" t="str">
        <f>'Apresentação  - Est. Hid.'!AP27</f>
        <v>Substituir obra existente</v>
      </c>
      <c r="AE11" s="349"/>
      <c r="AF11" s="350"/>
    </row>
    <row r="12" spans="2:38" s="348" customFormat="1" ht="71.25" hidden="1" customHeight="1">
      <c r="B12" s="374" t="str">
        <f ca="1">'Apresentação  - Est. Hid.'!B28</f>
        <v>BC10</v>
      </c>
      <c r="C12" s="374" t="str">
        <f>'Apresentação  - Est. Hid.'!C28</f>
        <v>B10_Proj.</v>
      </c>
      <c r="D12" s="375" t="str">
        <f ca="1">'Apresentação  - Est. Hid.'!D28</f>
        <v>847</v>
      </c>
      <c r="E12" s="376" t="s">
        <v>1</v>
      </c>
      <c r="F12" s="377">
        <f ca="1">'Apresentação  - Est. Hid.'!F28</f>
        <v>15.87</v>
      </c>
      <c r="G12" s="378" t="s">
        <v>343</v>
      </c>
      <c r="H12" s="378" t="s">
        <v>363</v>
      </c>
      <c r="I12" s="379" t="str">
        <f ca="1">'Apresentação  - Est. Hid.'!AM28</f>
        <v>BSCC 2,50 x 2,50m</v>
      </c>
      <c r="J12" s="379" t="s">
        <v>96</v>
      </c>
      <c r="K12" s="380">
        <f ca="1">'Apresentação  - Est. Hid.'!AR28</f>
        <v>0.88201844767048598</v>
      </c>
      <c r="L12" s="380">
        <f>'Apresentação  - Est. Hid.'!AD28</f>
        <v>0.29088050314465413</v>
      </c>
      <c r="M12" s="380">
        <f ca="1">'Apresentação  - Est. Hid.'!AZ28</f>
        <v>2.5</v>
      </c>
      <c r="N12" s="380"/>
      <c r="O12" s="380">
        <f ca="1">'Apresentação  - Est. Hid.'!AG28</f>
        <v>3.6753381013582556</v>
      </c>
      <c r="P12" s="381" t="s">
        <v>33</v>
      </c>
      <c r="Q12" s="382">
        <f t="shared" si="0"/>
        <v>4.996409765438907E-3</v>
      </c>
      <c r="R12" s="383">
        <v>621.84</v>
      </c>
      <c r="S12" s="383">
        <v>621.673</v>
      </c>
      <c r="T12" s="384" t="s">
        <v>126</v>
      </c>
      <c r="U12" s="374">
        <v>33.423999999999999</v>
      </c>
      <c r="V12" s="374">
        <f ca="1">IF(AND('Apresentação  - Est. Hid.'!BC28&gt;=1,'Apresentação  - Est. Hid.'!BC28&lt;=3),'Cadastro das Obras'!U12*'Apresentação  - Est. Hid.'!BC28,"")</f>
        <v>33.423999999999999</v>
      </c>
      <c r="W12" s="380">
        <v>4.16</v>
      </c>
      <c r="X12" s="385">
        <v>2</v>
      </c>
      <c r="Y12" s="385"/>
      <c r="Z12" s="385"/>
      <c r="AA12" s="385"/>
      <c r="AB12" s="386" t="str">
        <f>'Apresentação  - Est. Hid.'!AO28</f>
        <v>-</v>
      </c>
      <c r="AC12" s="386" t="str">
        <f>'Apresentação  - Est. Hid.'!AP28</f>
        <v>Substituir obra existente</v>
      </c>
      <c r="AE12" s="349"/>
      <c r="AF12" s="350"/>
    </row>
    <row r="13" spans="2:38" s="348" customFormat="1" ht="71.25" hidden="1" customHeight="1">
      <c r="B13" s="374" t="str">
        <f ca="1">'Apresentação  - Est. Hid.'!B29</f>
        <v>BC11</v>
      </c>
      <c r="C13" s="374" t="str">
        <f>'Apresentação  - Est. Hid.'!C29</f>
        <v>B11_Proj.</v>
      </c>
      <c r="D13" s="375" t="str">
        <f ca="1">'Apresentação  - Est. Hid.'!D29</f>
        <v>893</v>
      </c>
      <c r="E13" s="376" t="s">
        <v>1</v>
      </c>
      <c r="F13" s="377">
        <f ca="1">'Apresentação  - Est. Hid.'!F29</f>
        <v>18.600000000000001</v>
      </c>
      <c r="G13" s="378" t="s">
        <v>343</v>
      </c>
      <c r="H13" s="378" t="s">
        <v>363</v>
      </c>
      <c r="I13" s="379" t="str">
        <f ca="1">'Apresentação  - Est. Hid.'!AM29</f>
        <v>BTTC d= 1,50m</v>
      </c>
      <c r="J13" s="379" t="s">
        <v>96</v>
      </c>
      <c r="K13" s="380">
        <f ca="1">'Apresentação  - Est. Hid.'!AR29</f>
        <v>0.74374697227246223</v>
      </c>
      <c r="L13" s="380">
        <f>'Apresentação  - Est. Hid.'!AD29</f>
        <v>0.29088050314465413</v>
      </c>
      <c r="M13" s="380">
        <f ca="1">'Apresentação  - Est. Hid.'!AZ29</f>
        <v>1.5</v>
      </c>
      <c r="N13" s="380"/>
      <c r="O13" s="380">
        <f ca="1">'Apresentação  - Est. Hid.'!AG29</f>
        <v>3.602227593347425</v>
      </c>
      <c r="P13" s="381" t="s">
        <v>33</v>
      </c>
      <c r="Q13" s="382">
        <f t="shared" si="0"/>
        <v>9.9899124662361349E-3</v>
      </c>
      <c r="R13" s="383">
        <v>622.04999999999995</v>
      </c>
      <c r="S13" s="383">
        <v>621.74300000000005</v>
      </c>
      <c r="T13" s="384" t="s">
        <v>126</v>
      </c>
      <c r="U13" s="374">
        <v>30.731000000000002</v>
      </c>
      <c r="V13" s="374">
        <f ca="1">IF(AND('Apresentação  - Est. Hid.'!BC29&gt;=1,'Apresentação  - Est. Hid.'!BC29&lt;=3),'Cadastro das Obras'!U13*'Apresentação  - Est. Hid.'!BC29,"")</f>
        <v>92.193000000000012</v>
      </c>
      <c r="W13" s="380">
        <v>3.6</v>
      </c>
      <c r="X13" s="385">
        <v>2</v>
      </c>
      <c r="Y13" s="385"/>
      <c r="Z13" s="385"/>
      <c r="AA13" s="385"/>
      <c r="AB13" s="386">
        <f>'Apresentação  - Est. Hid.'!AO29</f>
        <v>2.9252702262405865</v>
      </c>
      <c r="AC13" s="386" t="str">
        <f>'Apresentação  - Est. Hid.'!AP29</f>
        <v>Substituir obra existente</v>
      </c>
      <c r="AE13" s="349"/>
      <c r="AF13" s="350"/>
    </row>
    <row r="14" spans="2:38" s="348" customFormat="1" ht="71.25" hidden="1" customHeight="1">
      <c r="B14" s="374" t="str">
        <f ca="1">'Apresentação  - Est. Hid.'!B30</f>
        <v>BC12</v>
      </c>
      <c r="C14" s="374" t="str">
        <f>'Apresentação  - Est. Hid.'!C30</f>
        <v>B12_Proj.</v>
      </c>
      <c r="D14" s="375" t="str">
        <f ca="1">'Apresentação  - Est. Hid.'!D30</f>
        <v>1069</v>
      </c>
      <c r="E14" s="376" t="s">
        <v>1</v>
      </c>
      <c r="F14" s="377">
        <f ca="1">'Apresentação  - Est. Hid.'!F30</f>
        <v>0</v>
      </c>
      <c r="G14" s="378" t="s">
        <v>173</v>
      </c>
      <c r="H14" s="378" t="s">
        <v>363</v>
      </c>
      <c r="I14" s="379" t="str">
        <f ca="1">'Apresentação  - Est. Hid.'!AM30</f>
        <v>BTTC d= 1,20m</v>
      </c>
      <c r="J14" s="379" t="s">
        <v>96</v>
      </c>
      <c r="K14" s="380">
        <f ca="1">'Apresentação  - Est. Hid.'!AR30</f>
        <v>0.65678295939022213</v>
      </c>
      <c r="L14" s="380">
        <f>'Apresentação  - Est. Hid.'!AD30</f>
        <v>0.22549019607843138</v>
      </c>
      <c r="M14" s="380">
        <f ca="1">'Apresentação  - Est. Hid.'!AZ30</f>
        <v>1.2</v>
      </c>
      <c r="N14" s="380"/>
      <c r="O14" s="380">
        <f ca="1">'Apresentação  - Est. Hid.'!AG30</f>
        <v>3.0043256903266959</v>
      </c>
      <c r="P14" s="381" t="s">
        <v>33</v>
      </c>
      <c r="Q14" s="382">
        <f t="shared" si="0"/>
        <v>1.0000000000002274E-2</v>
      </c>
      <c r="R14" s="383">
        <v>607.14700000000005</v>
      </c>
      <c r="S14" s="383">
        <v>606.947</v>
      </c>
      <c r="T14" s="384" t="s">
        <v>126</v>
      </c>
      <c r="U14" s="374">
        <v>20</v>
      </c>
      <c r="V14" s="374">
        <f ca="1">IF(AND('Apresentação  - Est. Hid.'!BC30&gt;=1,'Apresentação  - Est. Hid.'!BC30&lt;=3),'Cadastro das Obras'!U14*'Apresentação  - Est. Hid.'!BC30,"")</f>
        <v>60</v>
      </c>
      <c r="W14" s="380">
        <v>1.8</v>
      </c>
      <c r="X14" s="385">
        <v>2</v>
      </c>
      <c r="Y14" s="385" t="s">
        <v>25</v>
      </c>
      <c r="Z14" s="385" t="str">
        <f ca="1">'Apresentação  - Est. Hid.'!BA30</f>
        <v>DEB 360-754</v>
      </c>
      <c r="AA14" s="385" t="s">
        <v>25</v>
      </c>
      <c r="AB14" s="386" t="str">
        <f>'Apresentação  - Est. Hid.'!AO30</f>
        <v>-</v>
      </c>
      <c r="AC14" s="386" t="str">
        <f>'Apresentação  - Est. Hid.'!AP30</f>
        <v>Executar</v>
      </c>
      <c r="AE14" s="349"/>
    </row>
    <row r="15" spans="2:38" s="15" customFormat="1" ht="33.75" customHeight="1">
      <c r="B15" s="91" t="s">
        <v>100</v>
      </c>
      <c r="C15" s="28"/>
      <c r="D15" s="17"/>
      <c r="E15" s="18"/>
      <c r="F15" s="18"/>
      <c r="G15" s="19"/>
      <c r="H15" s="19"/>
      <c r="I15" s="18"/>
      <c r="J15" s="20"/>
      <c r="K15" s="20"/>
      <c r="L15" s="20"/>
      <c r="M15" s="18"/>
      <c r="N15" s="18"/>
      <c r="O15" s="18"/>
      <c r="P15" s="21"/>
      <c r="Q15" s="22"/>
      <c r="R15" s="18"/>
      <c r="S15" s="18"/>
      <c r="T15" s="23"/>
      <c r="U15" s="24"/>
      <c r="V15" s="24"/>
      <c r="W15" s="24"/>
      <c r="X15" s="24"/>
      <c r="Y15" s="24"/>
      <c r="Z15" s="24"/>
      <c r="AA15" s="24"/>
      <c r="AB15" s="25"/>
      <c r="AC15" s="26"/>
      <c r="AF15" s="27"/>
    </row>
    <row r="16" spans="2:38" s="15" customFormat="1" ht="33.75" customHeight="1">
      <c r="B16" s="91" t="s">
        <v>108</v>
      </c>
      <c r="C16" s="16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</row>
    <row r="17" spans="2:38" s="15" customFormat="1" ht="33.75" customHeight="1">
      <c r="B17" s="35" t="s">
        <v>121</v>
      </c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</row>
    <row r="18" spans="2:38" s="15" customFormat="1" ht="34.5" customHeight="1">
      <c r="B18" s="424" t="s">
        <v>122</v>
      </c>
      <c r="C18" s="424"/>
      <c r="D18" s="424"/>
      <c r="E18" s="424"/>
      <c r="F18" s="424"/>
      <c r="G18" s="424"/>
      <c r="H18" s="424"/>
      <c r="I18" s="424"/>
      <c r="J18" s="424"/>
      <c r="K18" s="424"/>
      <c r="L18" s="424"/>
      <c r="M18" s="424"/>
      <c r="N18" s="424"/>
      <c r="O18" s="424"/>
      <c r="P18" s="424"/>
      <c r="Q18" s="424"/>
      <c r="R18" s="424"/>
      <c r="S18" s="424"/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</row>
    <row r="19" spans="2:38" s="15" customFormat="1" ht="34.5" customHeight="1">
      <c r="B19" s="28"/>
      <c r="C19" s="28"/>
      <c r="D19" s="17"/>
      <c r="E19" s="18"/>
      <c r="F19" s="18"/>
      <c r="G19" s="19"/>
      <c r="H19" s="19"/>
      <c r="I19" s="18"/>
      <c r="J19" s="20"/>
      <c r="K19" s="20"/>
      <c r="L19" s="20"/>
      <c r="M19" s="18"/>
      <c r="N19" s="18"/>
      <c r="O19" s="18"/>
      <c r="P19" s="21"/>
      <c r="Q19" s="22"/>
      <c r="R19" s="18"/>
      <c r="S19" s="18"/>
      <c r="T19" s="23"/>
      <c r="U19" s="24"/>
      <c r="V19" s="24"/>
      <c r="W19" s="24"/>
      <c r="X19" s="24"/>
      <c r="Y19" s="24"/>
      <c r="Z19" s="24"/>
      <c r="AA19" s="24"/>
      <c r="AB19" s="25"/>
      <c r="AC19" s="26"/>
      <c r="AF19" s="27"/>
    </row>
    <row r="20" spans="2:38" s="15" customFormat="1" ht="34.5" customHeight="1">
      <c r="B20" s="28"/>
      <c r="C20" s="28"/>
      <c r="D20" s="17"/>
      <c r="E20" s="18"/>
      <c r="F20" s="18"/>
      <c r="G20" s="19"/>
      <c r="H20" s="19"/>
      <c r="I20" s="18"/>
      <c r="J20" s="20"/>
      <c r="K20" s="20"/>
      <c r="L20" s="20"/>
      <c r="M20" s="18"/>
      <c r="N20" s="18"/>
      <c r="O20" s="18"/>
      <c r="P20" s="21"/>
      <c r="Q20" s="22"/>
      <c r="R20" s="18"/>
      <c r="S20" s="18"/>
      <c r="T20" s="23"/>
      <c r="U20" s="24"/>
      <c r="V20" s="24"/>
      <c r="W20" s="24"/>
      <c r="X20" s="24"/>
      <c r="Y20" s="24"/>
      <c r="Z20" s="24"/>
      <c r="AA20" s="24"/>
      <c r="AB20" s="25"/>
      <c r="AC20" s="26"/>
      <c r="AF20" s="27"/>
    </row>
    <row r="21" spans="2:38" s="15" customFormat="1" ht="34.5" customHeight="1">
      <c r="B21" s="28"/>
      <c r="C21" s="28"/>
      <c r="D21" s="17"/>
      <c r="E21" s="18"/>
      <c r="F21" s="18"/>
      <c r="G21" s="19"/>
      <c r="H21" s="19"/>
      <c r="I21" s="18"/>
      <c r="J21" s="20"/>
      <c r="K21" s="20"/>
      <c r="L21" s="20"/>
      <c r="M21" s="18"/>
      <c r="N21" s="18"/>
      <c r="O21" s="18"/>
      <c r="P21" s="21"/>
      <c r="Q21" s="22"/>
      <c r="R21" s="18"/>
      <c r="S21" s="18"/>
      <c r="T21" s="23"/>
      <c r="U21" s="24"/>
      <c r="V21" s="24"/>
      <c r="W21" s="24"/>
      <c r="X21" s="24"/>
      <c r="Y21" s="24"/>
      <c r="Z21" s="24"/>
      <c r="AA21" s="24"/>
      <c r="AB21" s="25"/>
      <c r="AC21" s="26"/>
      <c r="AF21" s="27"/>
    </row>
    <row r="22" spans="2:38" s="15" customFormat="1" ht="34.5" customHeight="1">
      <c r="B22" s="28"/>
      <c r="C22" s="28"/>
      <c r="D22" s="17"/>
      <c r="E22" s="18"/>
      <c r="F22" s="18"/>
      <c r="G22" s="19"/>
      <c r="H22" s="19"/>
      <c r="I22" s="18"/>
      <c r="J22" s="20"/>
      <c r="K22" s="20"/>
      <c r="L22" s="20"/>
      <c r="M22" s="18"/>
      <c r="N22" s="18"/>
      <c r="O22" s="18"/>
      <c r="P22" s="21"/>
      <c r="Q22" s="22"/>
      <c r="R22" s="18"/>
      <c r="S22" s="18"/>
      <c r="T22" s="23"/>
      <c r="U22" s="24"/>
      <c r="V22" s="24"/>
      <c r="W22" s="24"/>
      <c r="X22" s="24"/>
      <c r="Y22" s="24"/>
      <c r="Z22" s="24"/>
      <c r="AA22" s="24"/>
      <c r="AB22" s="25"/>
      <c r="AC22" s="26"/>
      <c r="AF22" s="27"/>
    </row>
    <row r="23" spans="2:38" s="15" customFormat="1" ht="34.5" customHeight="1">
      <c r="B23" s="28"/>
      <c r="C23" s="28"/>
      <c r="D23" s="17"/>
      <c r="E23" s="18"/>
      <c r="F23" s="18"/>
      <c r="G23" s="19"/>
      <c r="H23" s="19"/>
      <c r="I23" s="18"/>
      <c r="J23" s="20"/>
      <c r="K23" s="20"/>
      <c r="L23" s="20"/>
      <c r="M23" s="18"/>
      <c r="N23" s="18"/>
      <c r="O23" s="18"/>
      <c r="P23" s="21"/>
      <c r="Q23" s="22"/>
      <c r="R23" s="18"/>
      <c r="S23" s="18"/>
      <c r="T23" s="23"/>
      <c r="U23" s="24"/>
      <c r="V23" s="24"/>
      <c r="W23" s="24"/>
      <c r="X23" s="24"/>
      <c r="Y23" s="24"/>
      <c r="Z23" s="24"/>
      <c r="AA23" s="24"/>
      <c r="AB23" s="25"/>
      <c r="AC23" s="26"/>
      <c r="AF23" s="27"/>
    </row>
    <row r="24" spans="2:38" s="15" customFormat="1" ht="34.5" customHeight="1">
      <c r="B24" s="28"/>
      <c r="C24" s="28"/>
      <c r="D24" s="17"/>
      <c r="E24" s="18"/>
      <c r="F24" s="18"/>
      <c r="G24" s="19"/>
      <c r="H24" s="19"/>
      <c r="I24" s="18"/>
      <c r="J24" s="20"/>
      <c r="K24" s="20"/>
      <c r="L24" s="20"/>
      <c r="M24" s="18"/>
      <c r="N24" s="18"/>
      <c r="O24" s="18"/>
      <c r="P24" s="21"/>
      <c r="Q24" s="22"/>
      <c r="R24" s="18"/>
      <c r="S24" s="18"/>
      <c r="T24" s="23"/>
      <c r="U24" s="24"/>
      <c r="V24" s="24"/>
      <c r="W24" s="24"/>
      <c r="X24" s="24"/>
      <c r="Y24" s="24"/>
      <c r="Z24" s="24"/>
      <c r="AA24" s="24"/>
      <c r="AB24" s="25"/>
      <c r="AC24" s="26"/>
      <c r="AF24" s="27"/>
    </row>
    <row r="25" spans="2:38" s="15" customFormat="1" ht="34.5" customHeight="1">
      <c r="B25" s="28"/>
      <c r="C25" s="28"/>
      <c r="D25" s="17"/>
      <c r="E25" s="18"/>
      <c r="F25" s="18"/>
      <c r="G25" s="19"/>
      <c r="H25" s="19"/>
      <c r="I25" s="18"/>
      <c r="J25" s="20"/>
      <c r="K25" s="20"/>
      <c r="L25" s="20"/>
      <c r="M25" s="18"/>
      <c r="N25" s="18"/>
      <c r="O25" s="18"/>
      <c r="P25" s="21"/>
      <c r="Q25" s="22"/>
      <c r="R25" s="18"/>
      <c r="S25" s="18"/>
      <c r="T25" s="23"/>
      <c r="U25" s="24"/>
      <c r="V25" s="24"/>
      <c r="W25" s="24"/>
      <c r="X25" s="24"/>
      <c r="Y25" s="24"/>
      <c r="Z25" s="24"/>
      <c r="AA25" s="24"/>
      <c r="AB25" s="25"/>
      <c r="AC25" s="26"/>
      <c r="AF25" s="27"/>
    </row>
    <row r="26" spans="2:38" ht="26.25" customHeight="1"/>
  </sheetData>
  <mergeCells count="3">
    <mergeCell ref="B1:AC1"/>
    <mergeCell ref="D2:F2"/>
    <mergeCell ref="B18:AH18"/>
  </mergeCells>
  <phoneticPr fontId="1" type="noConversion"/>
  <printOptions horizontalCentered="1" verticalCentered="1"/>
  <pageMargins left="9.8425196850393706E-2" right="9.8425196850393706E-2" top="0" bottom="0" header="0" footer="0"/>
  <pageSetup paperSize="9" scale="30" orientation="landscape" horizontalDpi="1200" verticalDpi="12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B06E3-D609-4EF9-A7C4-6CDF48D7A42B}">
  <sheetPr codeName="Planilha29"/>
  <dimension ref="A1:M37"/>
  <sheetViews>
    <sheetView showGridLines="0" workbookViewId="0">
      <selection activeCell="F18" sqref="F18"/>
    </sheetView>
  </sheetViews>
  <sheetFormatPr defaultRowHeight="14.25"/>
  <cols>
    <col min="1" max="3" width="17.7109375" style="111" customWidth="1"/>
    <col min="4" max="4" width="25.42578125" style="111" customWidth="1"/>
    <col min="5" max="13" width="20" style="111" customWidth="1"/>
    <col min="14" max="16384" width="9.140625" style="111"/>
  </cols>
  <sheetData>
    <row r="1" spans="1:13" ht="15">
      <c r="A1" s="109" t="s">
        <v>142</v>
      </c>
      <c r="B1" s="109" t="s">
        <v>143</v>
      </c>
      <c r="C1" s="109" t="s">
        <v>144</v>
      </c>
      <c r="D1" s="109" t="s">
        <v>145</v>
      </c>
      <c r="E1" s="110" t="s">
        <v>146</v>
      </c>
      <c r="F1" s="110" t="s">
        <v>147</v>
      </c>
      <c r="G1" s="110" t="s">
        <v>148</v>
      </c>
      <c r="H1" s="110" t="s">
        <v>149</v>
      </c>
      <c r="I1" s="109" t="s">
        <v>150</v>
      </c>
      <c r="J1" s="109" t="s">
        <v>151</v>
      </c>
      <c r="K1" s="109" t="s">
        <v>152</v>
      </c>
      <c r="L1" s="109" t="s">
        <v>153</v>
      </c>
      <c r="M1" s="110" t="s">
        <v>154</v>
      </c>
    </row>
    <row r="2" spans="1:13" ht="15">
      <c r="A2" t="s">
        <v>155</v>
      </c>
      <c r="B2">
        <v>15</v>
      </c>
      <c r="C2" t="s">
        <v>233</v>
      </c>
      <c r="D2" t="s">
        <v>157</v>
      </c>
      <c r="E2">
        <v>0.6</v>
      </c>
      <c r="F2">
        <v>1.53</v>
      </c>
      <c r="G2">
        <v>2.56</v>
      </c>
      <c r="H2">
        <v>0.74</v>
      </c>
      <c r="I2" t="s">
        <v>158</v>
      </c>
      <c r="J2"/>
      <c r="K2" t="str">
        <f>IF(AND($A2=[5]Consulta!$B$6,$B2=[5]Consulta!$B$7,$F2&gt;=[5]Consulta!$B$4*(1+[5]Consulta!$B$5)),"Sim","Nao")</f>
        <v>Nao</v>
      </c>
      <c r="L2">
        <f t="shared" ref="L2:L37" si="0">IF($K2="Sim",$F2,1E+99)</f>
        <v>9.9999999999999997E+98</v>
      </c>
      <c r="M2" t="str">
        <f>IF($K2="Sim",$F2-[5]Consulta!$B$4*(1+[5]Consulta!$B$5),"")</f>
        <v/>
      </c>
    </row>
    <row r="3" spans="1:13" ht="15">
      <c r="A3" t="s">
        <v>155</v>
      </c>
      <c r="B3">
        <v>15</v>
      </c>
      <c r="C3" t="s">
        <v>233</v>
      </c>
      <c r="D3" t="s">
        <v>159</v>
      </c>
      <c r="E3">
        <v>0.87</v>
      </c>
      <c r="F3">
        <v>2.42</v>
      </c>
      <c r="G3">
        <v>2.8</v>
      </c>
      <c r="H3">
        <v>0.7</v>
      </c>
      <c r="I3" t="s">
        <v>158</v>
      </c>
      <c r="J3"/>
      <c r="K3" t="str">
        <f>IF(AND($A3=[5]Consulta!$B$6,$B3=[5]Consulta!$B$7,$F3&gt;=[5]Consulta!$B$4*(1+[5]Consulta!$B$5)),"Sim","Nao")</f>
        <v>Nao</v>
      </c>
      <c r="L3">
        <f t="shared" si="0"/>
        <v>9.9999999999999997E+98</v>
      </c>
      <c r="M3" t="str">
        <f>IF($K3="Sim",$F3-[5]Consulta!$B$4*(1+[5]Consulta!$B$5),"")</f>
        <v/>
      </c>
    </row>
    <row r="4" spans="1:13" ht="15">
      <c r="A4" t="s">
        <v>155</v>
      </c>
      <c r="B4">
        <v>15</v>
      </c>
      <c r="C4" t="s">
        <v>233</v>
      </c>
      <c r="D4" t="s">
        <v>160</v>
      </c>
      <c r="E4">
        <v>1.35</v>
      </c>
      <c r="F4">
        <v>4.22</v>
      </c>
      <c r="G4">
        <v>3.14</v>
      </c>
      <c r="H4">
        <v>0.65</v>
      </c>
      <c r="I4" t="s">
        <v>158</v>
      </c>
      <c r="J4"/>
      <c r="K4" t="str">
        <f>IF(AND($A4=[5]Consulta!$B$6,$B4=[5]Consulta!$B$7,$F4&gt;=[5]Consulta!$B$4*(1+[5]Consulta!$B$5)),"Sim","Nao")</f>
        <v>Sim</v>
      </c>
      <c r="L4">
        <f t="shared" si="0"/>
        <v>4.22</v>
      </c>
      <c r="M4">
        <f>IF($K4="Sim",$F4-[5]Consulta!$B$4*(1+[5]Consulta!$B$5),"")</f>
        <v>1.7199999999999998</v>
      </c>
    </row>
    <row r="5" spans="1:13" ht="15">
      <c r="A5" t="s">
        <v>155</v>
      </c>
      <c r="B5">
        <v>15</v>
      </c>
      <c r="C5" t="s">
        <v>234</v>
      </c>
      <c r="D5" t="s">
        <v>157</v>
      </c>
      <c r="E5">
        <v>1.2</v>
      </c>
      <c r="F5">
        <v>3.07</v>
      </c>
      <c r="G5">
        <v>2.56</v>
      </c>
      <c r="H5">
        <v>0.74</v>
      </c>
      <c r="I5" t="s">
        <v>158</v>
      </c>
      <c r="J5"/>
      <c r="K5" t="str">
        <f>IF(AND($A5=[5]Consulta!$B$6,$B5=[5]Consulta!$B$7,$F5&gt;=[5]Consulta!$B$4*(1+[5]Consulta!$B$5)),"Sim","Nao")</f>
        <v>Sim</v>
      </c>
      <c r="L5">
        <f t="shared" si="0"/>
        <v>3.07</v>
      </c>
      <c r="M5">
        <f>IF($K5="Sim",$F5-[5]Consulta!$B$4*(1+[5]Consulta!$B$5),"")</f>
        <v>0.56999999999999984</v>
      </c>
    </row>
    <row r="6" spans="1:13" ht="15">
      <c r="A6" t="s">
        <v>155</v>
      </c>
      <c r="B6">
        <v>15</v>
      </c>
      <c r="C6" t="s">
        <v>234</v>
      </c>
      <c r="D6" t="s">
        <v>159</v>
      </c>
      <c r="E6">
        <v>1.73</v>
      </c>
      <c r="F6">
        <v>4.84</v>
      </c>
      <c r="G6">
        <v>2.8</v>
      </c>
      <c r="H6">
        <v>0.7</v>
      </c>
      <c r="I6" t="s">
        <v>158</v>
      </c>
      <c r="J6"/>
      <c r="K6" t="str">
        <f>IF(AND($A6=[5]Consulta!$B$6,$B6=[5]Consulta!$B$7,$F6&gt;=[5]Consulta!$B$4*(1+[5]Consulta!$B$5)),"Sim","Nao")</f>
        <v>Sim</v>
      </c>
      <c r="L6">
        <f t="shared" si="0"/>
        <v>4.84</v>
      </c>
      <c r="M6">
        <f>IF($K6="Sim",$F6-[5]Consulta!$B$4*(1+[5]Consulta!$B$5),"")</f>
        <v>2.34</v>
      </c>
    </row>
    <row r="7" spans="1:13" ht="15">
      <c r="A7" t="s">
        <v>155</v>
      </c>
      <c r="B7">
        <v>15</v>
      </c>
      <c r="C7" t="s">
        <v>234</v>
      </c>
      <c r="D7" t="s">
        <v>160</v>
      </c>
      <c r="E7">
        <v>2.71</v>
      </c>
      <c r="F7">
        <v>8.4499999999999993</v>
      </c>
      <c r="G7">
        <v>3.14</v>
      </c>
      <c r="H7">
        <v>0.65</v>
      </c>
      <c r="I7" t="s">
        <v>158</v>
      </c>
      <c r="J7"/>
      <c r="K7" t="str">
        <f>IF(AND($A7=[5]Consulta!$B$6,$B7=[5]Consulta!$B$7,$F7&gt;=[5]Consulta!$B$4*(1+[5]Consulta!$B$5)),"Sim","Nao")</f>
        <v>Sim</v>
      </c>
      <c r="L7">
        <f t="shared" si="0"/>
        <v>8.4499999999999993</v>
      </c>
      <c r="M7">
        <f>IF($K7="Sim",$F7-[5]Consulta!$B$4*(1+[5]Consulta!$B$5),"")</f>
        <v>5.9499999999999993</v>
      </c>
    </row>
    <row r="8" spans="1:13" ht="15">
      <c r="A8" t="s">
        <v>155</v>
      </c>
      <c r="B8">
        <v>15</v>
      </c>
      <c r="C8" t="s">
        <v>235</v>
      </c>
      <c r="D8" t="s">
        <v>157</v>
      </c>
      <c r="E8">
        <v>1.81</v>
      </c>
      <c r="F8">
        <v>4.5999999999999996</v>
      </c>
      <c r="G8">
        <v>2.56</v>
      </c>
      <c r="H8">
        <v>0.74</v>
      </c>
      <c r="I8" t="s">
        <v>158</v>
      </c>
      <c r="J8"/>
      <c r="K8" t="str">
        <f>IF(AND($A8=[5]Consulta!$B$6,$B8=[5]Consulta!$B$7,$F8&gt;=[5]Consulta!$B$4*(1+[5]Consulta!$B$5)),"Sim","Nao")</f>
        <v>Sim</v>
      </c>
      <c r="L8">
        <f t="shared" si="0"/>
        <v>4.5999999999999996</v>
      </c>
      <c r="M8">
        <f>IF($K8="Sim",$F8-[5]Consulta!$B$4*(1+[5]Consulta!$B$5),"")</f>
        <v>2.0999999999999996</v>
      </c>
    </row>
    <row r="9" spans="1:13" ht="15">
      <c r="A9" t="s">
        <v>155</v>
      </c>
      <c r="B9">
        <v>15</v>
      </c>
      <c r="C9" t="s">
        <v>235</v>
      </c>
      <c r="D9" t="s">
        <v>159</v>
      </c>
      <c r="E9">
        <v>2.6</v>
      </c>
      <c r="F9">
        <v>7.26</v>
      </c>
      <c r="G9">
        <v>2.8</v>
      </c>
      <c r="H9">
        <v>0.7</v>
      </c>
      <c r="I9" t="s">
        <v>158</v>
      </c>
      <c r="J9"/>
      <c r="K9" t="str">
        <f>IF(AND($A9=[5]Consulta!$B$6,$B9=[5]Consulta!$B$7,$F9&gt;=[5]Consulta!$B$4*(1+[5]Consulta!$B$5)),"Sim","Nao")</f>
        <v>Sim</v>
      </c>
      <c r="L9">
        <f t="shared" si="0"/>
        <v>7.26</v>
      </c>
      <c r="M9">
        <f>IF($K9="Sim",$F9-[5]Consulta!$B$4*(1+[5]Consulta!$B$5),"")</f>
        <v>4.76</v>
      </c>
    </row>
    <row r="10" spans="1:13" ht="15">
      <c r="A10" t="s">
        <v>155</v>
      </c>
      <c r="B10">
        <v>15</v>
      </c>
      <c r="C10" t="s">
        <v>235</v>
      </c>
      <c r="D10" t="s">
        <v>160</v>
      </c>
      <c r="E10">
        <v>4.0599999999999996</v>
      </c>
      <c r="F10">
        <v>12.67</v>
      </c>
      <c r="G10">
        <v>3.14</v>
      </c>
      <c r="H10">
        <v>0.65</v>
      </c>
      <c r="I10" t="s">
        <v>158</v>
      </c>
      <c r="J10"/>
      <c r="K10" t="str">
        <f>IF(AND($A10=[5]Consulta!$B$6,$B10=[5]Consulta!$B$7,$F10&gt;=[5]Consulta!$B$4*(1+[5]Consulta!$B$5)),"Sim","Nao")</f>
        <v>Sim</v>
      </c>
      <c r="L10">
        <f t="shared" si="0"/>
        <v>12.67</v>
      </c>
      <c r="M10">
        <f>IF($K10="Sim",$F10-[5]Consulta!$B$4*(1+[5]Consulta!$B$5),"")</f>
        <v>10.17</v>
      </c>
    </row>
    <row r="11" spans="1:13" ht="15">
      <c r="A11" t="s">
        <v>155</v>
      </c>
      <c r="B11">
        <v>25</v>
      </c>
      <c r="C11" t="s">
        <v>163</v>
      </c>
      <c r="D11" t="s">
        <v>169</v>
      </c>
      <c r="E11">
        <v>2.67</v>
      </c>
      <c r="F11">
        <v>9.64</v>
      </c>
      <c r="G11">
        <v>3.62</v>
      </c>
      <c r="H11">
        <v>0.62</v>
      </c>
      <c r="I11" t="s">
        <v>164</v>
      </c>
      <c r="J11"/>
      <c r="K11" t="str">
        <f>IF(AND($A11=[5]Consulta!$B$6,$B11=[5]Consulta!$B$7,$F11&gt;=[5]Consulta!$B$4*(1+[5]Consulta!$B$5)),"Sim","Nao")</f>
        <v>Nao</v>
      </c>
      <c r="L11">
        <f t="shared" si="0"/>
        <v>9.9999999999999997E+98</v>
      </c>
      <c r="M11" t="str">
        <f>IF($K11="Sim",$F11-[5]Consulta!$B$4*(1+[5]Consulta!$B$5),"")</f>
        <v/>
      </c>
    </row>
    <row r="12" spans="1:13" ht="15">
      <c r="A12" t="s">
        <v>155</v>
      </c>
      <c r="B12">
        <v>25</v>
      </c>
      <c r="C12" t="s">
        <v>163</v>
      </c>
      <c r="D12" t="s">
        <v>171</v>
      </c>
      <c r="E12">
        <v>4.17</v>
      </c>
      <c r="F12">
        <v>16.850000000000001</v>
      </c>
      <c r="G12">
        <v>4.05</v>
      </c>
      <c r="H12">
        <v>0.57999999999999996</v>
      </c>
      <c r="I12" t="s">
        <v>164</v>
      </c>
      <c r="J12"/>
      <c r="K12" t="str">
        <f>IF(AND($A12=[5]Consulta!$B$6,$B12=[5]Consulta!$B$7,$F12&gt;=[5]Consulta!$B$4*(1+[5]Consulta!$B$5)),"Sim","Nao")</f>
        <v>Nao</v>
      </c>
      <c r="L12">
        <f t="shared" si="0"/>
        <v>9.9999999999999997E+98</v>
      </c>
      <c r="M12" t="str">
        <f>IF($K12="Sim",$F12-[5]Consulta!$B$4*(1+[5]Consulta!$B$5),"")</f>
        <v/>
      </c>
    </row>
    <row r="13" spans="1:13" ht="15">
      <c r="A13" t="s">
        <v>155</v>
      </c>
      <c r="B13">
        <v>25</v>
      </c>
      <c r="C13" t="s">
        <v>163</v>
      </c>
      <c r="D13" t="s">
        <v>172</v>
      </c>
      <c r="E13">
        <v>6</v>
      </c>
      <c r="F13">
        <v>26.58</v>
      </c>
      <c r="G13">
        <v>4.43</v>
      </c>
      <c r="H13">
        <v>0.54</v>
      </c>
      <c r="I13" t="s">
        <v>164</v>
      </c>
      <c r="J13"/>
      <c r="K13" t="str">
        <f>IF(AND($A13=[5]Consulta!$B$6,$B13=[5]Consulta!$B$7,$F13&gt;=[5]Consulta!$B$4*(1+[5]Consulta!$B$5)),"Sim","Nao")</f>
        <v>Nao</v>
      </c>
      <c r="L13">
        <f t="shared" si="0"/>
        <v>9.9999999999999997E+98</v>
      </c>
      <c r="M13" t="str">
        <f>IF($K13="Sim",$F13-[5]Consulta!$B$4*(1+[5]Consulta!$B$5),"")</f>
        <v/>
      </c>
    </row>
    <row r="14" spans="1:13" ht="15">
      <c r="A14" t="s">
        <v>155</v>
      </c>
      <c r="B14">
        <v>25</v>
      </c>
      <c r="C14" t="s">
        <v>165</v>
      </c>
      <c r="D14" t="s">
        <v>169</v>
      </c>
      <c r="E14">
        <v>5.33</v>
      </c>
      <c r="F14">
        <v>19.29</v>
      </c>
      <c r="G14">
        <v>3.62</v>
      </c>
      <c r="H14">
        <v>0.62</v>
      </c>
      <c r="I14" t="s">
        <v>164</v>
      </c>
      <c r="J14"/>
      <c r="K14" t="str">
        <f>IF(AND($A14=[5]Consulta!$B$6,$B14=[5]Consulta!$B$7,$F14&gt;=[5]Consulta!$B$4*(1+[5]Consulta!$B$5)),"Sim","Nao")</f>
        <v>Nao</v>
      </c>
      <c r="L14">
        <f t="shared" si="0"/>
        <v>9.9999999999999997E+98</v>
      </c>
      <c r="M14" t="str">
        <f>IF($K14="Sim",$F14-[5]Consulta!$B$4*(1+[5]Consulta!$B$5),"")</f>
        <v/>
      </c>
    </row>
    <row r="15" spans="1:13" ht="15">
      <c r="A15" t="s">
        <v>155</v>
      </c>
      <c r="B15">
        <v>25</v>
      </c>
      <c r="C15" t="s">
        <v>165</v>
      </c>
      <c r="D15" t="s">
        <v>171</v>
      </c>
      <c r="E15">
        <v>8.33</v>
      </c>
      <c r="F15">
        <v>33.700000000000003</v>
      </c>
      <c r="G15">
        <v>4.05</v>
      </c>
      <c r="H15">
        <v>0.57999999999999996</v>
      </c>
      <c r="I15" t="s">
        <v>164</v>
      </c>
      <c r="J15"/>
      <c r="K15" t="str">
        <f>IF(AND($A15=[5]Consulta!$B$6,$B15=[5]Consulta!$B$7,$F15&gt;=[5]Consulta!$B$4*(1+[5]Consulta!$B$5)),"Sim","Nao")</f>
        <v>Nao</v>
      </c>
      <c r="L15">
        <f t="shared" si="0"/>
        <v>9.9999999999999997E+98</v>
      </c>
      <c r="M15" t="str">
        <f>IF($K15="Sim",$F15-[5]Consulta!$B$4*(1+[5]Consulta!$B$5),"")</f>
        <v/>
      </c>
    </row>
    <row r="16" spans="1:13" ht="15">
      <c r="A16" t="s">
        <v>155</v>
      </c>
      <c r="B16">
        <v>25</v>
      </c>
      <c r="C16" t="s">
        <v>165</v>
      </c>
      <c r="D16" t="s">
        <v>172</v>
      </c>
      <c r="E16">
        <v>12</v>
      </c>
      <c r="F16">
        <v>53.16</v>
      </c>
      <c r="G16">
        <v>4.43</v>
      </c>
      <c r="H16">
        <v>0.54</v>
      </c>
      <c r="I16" t="s">
        <v>164</v>
      </c>
      <c r="J16"/>
      <c r="K16" t="str">
        <f>IF(AND($A16=[5]Consulta!$B$6,$B16=[5]Consulta!$B$7,$F16&gt;=[5]Consulta!$B$4*(1+[5]Consulta!$B$5)),"Sim","Nao")</f>
        <v>Nao</v>
      </c>
      <c r="L16">
        <f t="shared" si="0"/>
        <v>9.9999999999999997E+98</v>
      </c>
      <c r="M16" t="str">
        <f>IF($K16="Sim",$F16-[5]Consulta!$B$4*(1+[5]Consulta!$B$5),"")</f>
        <v/>
      </c>
    </row>
    <row r="17" spans="1:13" ht="15">
      <c r="A17" t="s">
        <v>155</v>
      </c>
      <c r="B17">
        <v>25</v>
      </c>
      <c r="C17" t="s">
        <v>166</v>
      </c>
      <c r="D17" t="s">
        <v>169</v>
      </c>
      <c r="E17">
        <v>8</v>
      </c>
      <c r="F17">
        <v>28.93</v>
      </c>
      <c r="G17">
        <v>3.62</v>
      </c>
      <c r="H17">
        <v>0.62</v>
      </c>
      <c r="I17" t="s">
        <v>164</v>
      </c>
      <c r="J17"/>
      <c r="K17" t="str">
        <f>IF(AND($A17=[5]Consulta!$B$6,$B17=[5]Consulta!$B$7,$F17&gt;=[5]Consulta!$B$4*(1+[5]Consulta!$B$5)),"Sim","Nao")</f>
        <v>Nao</v>
      </c>
      <c r="L17">
        <f t="shared" si="0"/>
        <v>9.9999999999999997E+98</v>
      </c>
      <c r="M17" t="str">
        <f>IF($K17="Sim",$F17-[5]Consulta!$B$4*(1+[5]Consulta!$B$5),"")</f>
        <v/>
      </c>
    </row>
    <row r="18" spans="1:13" ht="15">
      <c r="A18" t="s">
        <v>155</v>
      </c>
      <c r="B18">
        <v>25</v>
      </c>
      <c r="C18" t="s">
        <v>166</v>
      </c>
      <c r="D18" t="s">
        <v>171</v>
      </c>
      <c r="E18">
        <v>12.5</v>
      </c>
      <c r="F18">
        <v>50.55</v>
      </c>
      <c r="G18">
        <v>4.05</v>
      </c>
      <c r="H18">
        <v>0.57999999999999996</v>
      </c>
      <c r="I18" t="s">
        <v>164</v>
      </c>
      <c r="J18"/>
      <c r="K18" t="str">
        <f>IF(AND($A18=[5]Consulta!$B$6,$B18=[5]Consulta!$B$7,$F18&gt;=[5]Consulta!$B$4*(1+[5]Consulta!$B$5)),"Sim","Nao")</f>
        <v>Nao</v>
      </c>
      <c r="L18">
        <f t="shared" si="0"/>
        <v>9.9999999999999997E+98</v>
      </c>
      <c r="M18" t="str">
        <f>IF($K18="Sim",$F18-[5]Consulta!$B$4*(1+[5]Consulta!$B$5),"")</f>
        <v/>
      </c>
    </row>
    <row r="19" spans="1:13" ht="15">
      <c r="A19" t="s">
        <v>155</v>
      </c>
      <c r="B19">
        <v>25</v>
      </c>
      <c r="C19" t="s">
        <v>166</v>
      </c>
      <c r="D19" t="s">
        <v>172</v>
      </c>
      <c r="E19">
        <v>18</v>
      </c>
      <c r="F19">
        <v>79.73</v>
      </c>
      <c r="G19">
        <v>4.43</v>
      </c>
      <c r="H19">
        <v>0.54</v>
      </c>
      <c r="I19" t="s">
        <v>164</v>
      </c>
      <c r="J19"/>
      <c r="K19" t="str">
        <f>IF(AND($A19=[5]Consulta!$B$6,$B19=[5]Consulta!$B$7,$F19&gt;=[5]Consulta!$B$4*(1+[5]Consulta!$B$5)),"Sim","Nao")</f>
        <v>Nao</v>
      </c>
      <c r="L19">
        <f t="shared" si="0"/>
        <v>9.9999999999999997E+98</v>
      </c>
      <c r="M19" t="str">
        <f>IF($K19="Sim",$F19-[5]Consulta!$B$4*(1+[5]Consulta!$B$5),"")</f>
        <v/>
      </c>
    </row>
    <row r="20" spans="1:13" ht="15">
      <c r="A20" t="s">
        <v>167</v>
      </c>
      <c r="B20">
        <v>25</v>
      </c>
      <c r="C20" t="s">
        <v>233</v>
      </c>
      <c r="D20" t="s">
        <v>157</v>
      </c>
      <c r="E20"/>
      <c r="F20">
        <v>2.4</v>
      </c>
      <c r="G20">
        <v>3.06</v>
      </c>
      <c r="H20"/>
      <c r="I20" t="s">
        <v>168</v>
      </c>
      <c r="J20"/>
      <c r="K20" t="str">
        <f>IF(AND($A20=[5]Consulta!$B$6,$B20=[5]Consulta!$B$7,$F20&gt;=[5]Consulta!$B$4*(1+[5]Consulta!$B$5)),"Sim","Nao")</f>
        <v>Nao</v>
      </c>
      <c r="L20">
        <f t="shared" si="0"/>
        <v>9.9999999999999997E+98</v>
      </c>
      <c r="M20" t="str">
        <f>IF($K20="Sim",$F20-[5]Consulta!$B$4*(1+[5]Consulta!$B$5),"")</f>
        <v/>
      </c>
    </row>
    <row r="21" spans="1:13" ht="15">
      <c r="A21" t="s">
        <v>167</v>
      </c>
      <c r="B21">
        <v>25</v>
      </c>
      <c r="C21" t="s">
        <v>233</v>
      </c>
      <c r="D21" t="s">
        <v>159</v>
      </c>
      <c r="E21"/>
      <c r="F21">
        <v>3.79</v>
      </c>
      <c r="G21">
        <v>3.35</v>
      </c>
      <c r="H21"/>
      <c r="I21" t="s">
        <v>168</v>
      </c>
      <c r="J21"/>
      <c r="K21" t="str">
        <f>IF(AND($A21=[5]Consulta!$B$6,$B21=[5]Consulta!$B$7,$F21&gt;=[5]Consulta!$B$4*(1+[5]Consulta!$B$5)),"Sim","Nao")</f>
        <v>Nao</v>
      </c>
      <c r="L21">
        <f t="shared" si="0"/>
        <v>9.9999999999999997E+98</v>
      </c>
      <c r="M21" t="str">
        <f>IF($K21="Sim",$F21-[5]Consulta!$B$4*(1+[5]Consulta!$B$5),"")</f>
        <v/>
      </c>
    </row>
    <row r="22" spans="1:13" ht="15">
      <c r="A22" t="s">
        <v>167</v>
      </c>
      <c r="B22">
        <v>25</v>
      </c>
      <c r="C22" t="s">
        <v>233</v>
      </c>
      <c r="D22" t="s">
        <v>160</v>
      </c>
      <c r="E22"/>
      <c r="F22">
        <v>6.62</v>
      </c>
      <c r="G22">
        <v>3.74</v>
      </c>
      <c r="H22"/>
      <c r="I22" t="s">
        <v>168</v>
      </c>
      <c r="J22"/>
      <c r="K22" t="str">
        <f>IF(AND($A22=[5]Consulta!$B$6,$B22=[5]Consulta!$B$7,$F22&gt;=[5]Consulta!$B$4*(1+[5]Consulta!$B$5)),"Sim","Nao")</f>
        <v>Nao</v>
      </c>
      <c r="L22">
        <f t="shared" si="0"/>
        <v>9.9999999999999997E+98</v>
      </c>
      <c r="M22" t="str">
        <f>IF($K22="Sim",$F22-[5]Consulta!$B$4*(1+[5]Consulta!$B$5),"")</f>
        <v/>
      </c>
    </row>
    <row r="23" spans="1:13" ht="15">
      <c r="A23" t="s">
        <v>167</v>
      </c>
      <c r="B23">
        <v>25</v>
      </c>
      <c r="C23" t="s">
        <v>234</v>
      </c>
      <c r="D23" t="s">
        <v>157</v>
      </c>
      <c r="E23"/>
      <c r="F23">
        <v>4.8</v>
      </c>
      <c r="G23">
        <v>3.06</v>
      </c>
      <c r="H23"/>
      <c r="I23" t="s">
        <v>168</v>
      </c>
      <c r="J23"/>
      <c r="K23" t="str">
        <f>IF(AND($A23=[5]Consulta!$B$6,$B23=[5]Consulta!$B$7,$F23&gt;=[5]Consulta!$B$4*(1+[5]Consulta!$B$5)),"Sim","Nao")</f>
        <v>Nao</v>
      </c>
      <c r="L23">
        <f t="shared" si="0"/>
        <v>9.9999999999999997E+98</v>
      </c>
      <c r="M23" t="str">
        <f>IF($K23="Sim",$F23-[5]Consulta!$B$4*(1+[5]Consulta!$B$5),"")</f>
        <v/>
      </c>
    </row>
    <row r="24" spans="1:13" ht="15">
      <c r="A24" t="s">
        <v>167</v>
      </c>
      <c r="B24">
        <v>25</v>
      </c>
      <c r="C24" t="s">
        <v>234</v>
      </c>
      <c r="D24" t="s">
        <v>159</v>
      </c>
      <c r="E24"/>
      <c r="F24">
        <v>7.58</v>
      </c>
      <c r="G24">
        <v>3.85</v>
      </c>
      <c r="H24"/>
      <c r="I24" t="s">
        <v>168</v>
      </c>
      <c r="J24"/>
      <c r="K24" t="str">
        <f>IF(AND($A24=[5]Consulta!$B$6,$B24=[5]Consulta!$B$7,$F24&gt;=[5]Consulta!$B$4*(1+[5]Consulta!$B$5)),"Sim","Nao")</f>
        <v>Nao</v>
      </c>
      <c r="L24">
        <f t="shared" si="0"/>
        <v>9.9999999999999997E+98</v>
      </c>
      <c r="M24" t="str">
        <f>IF($K24="Sim",$F24-[5]Consulta!$B$4*(1+[5]Consulta!$B$5),"")</f>
        <v/>
      </c>
    </row>
    <row r="25" spans="1:13" ht="15">
      <c r="A25" t="s">
        <v>167</v>
      </c>
      <c r="B25">
        <v>25</v>
      </c>
      <c r="C25" t="s">
        <v>234</v>
      </c>
      <c r="D25" t="s">
        <v>160</v>
      </c>
      <c r="E25"/>
      <c r="F25">
        <v>13.23</v>
      </c>
      <c r="G25">
        <v>3.74</v>
      </c>
      <c r="H25"/>
      <c r="I25" t="s">
        <v>168</v>
      </c>
      <c r="J25"/>
      <c r="K25" t="str">
        <f>IF(AND($A25=[5]Consulta!$B$6,$B25=[5]Consulta!$B$7,$F25&gt;=[5]Consulta!$B$4*(1+[5]Consulta!$B$5)),"Sim","Nao")</f>
        <v>Nao</v>
      </c>
      <c r="L25">
        <f t="shared" si="0"/>
        <v>9.9999999999999997E+98</v>
      </c>
      <c r="M25" t="str">
        <f>IF($K25="Sim",$F25-[5]Consulta!$B$4*(1+[5]Consulta!$B$5),"")</f>
        <v/>
      </c>
    </row>
    <row r="26" spans="1:13" ht="15">
      <c r="A26" t="s">
        <v>167</v>
      </c>
      <c r="B26">
        <v>25</v>
      </c>
      <c r="C26" t="s">
        <v>235</v>
      </c>
      <c r="D26" t="s">
        <v>157</v>
      </c>
      <c r="E26"/>
      <c r="F26">
        <v>7.2</v>
      </c>
      <c r="G26">
        <v>3.06</v>
      </c>
      <c r="H26"/>
      <c r="I26" t="s">
        <v>168</v>
      </c>
      <c r="J26"/>
      <c r="K26" t="str">
        <f>IF(AND($A26=[5]Consulta!$B$6,$B26=[5]Consulta!$B$7,$F26&gt;=[5]Consulta!$B$4*(1+[5]Consulta!$B$5)),"Sim","Nao")</f>
        <v>Nao</v>
      </c>
      <c r="L26">
        <f t="shared" si="0"/>
        <v>9.9999999999999997E+98</v>
      </c>
      <c r="M26" t="str">
        <f>IF($K26="Sim",$F26-[5]Consulta!$B$4*(1+[5]Consulta!$B$5),"")</f>
        <v/>
      </c>
    </row>
    <row r="27" spans="1:13" ht="15">
      <c r="A27" t="s">
        <v>167</v>
      </c>
      <c r="B27">
        <v>25</v>
      </c>
      <c r="C27" t="s">
        <v>235</v>
      </c>
      <c r="D27" t="s">
        <v>159</v>
      </c>
      <c r="E27"/>
      <c r="F27">
        <v>11.36</v>
      </c>
      <c r="G27">
        <v>3.35</v>
      </c>
      <c r="H27"/>
      <c r="I27" t="s">
        <v>168</v>
      </c>
      <c r="J27"/>
      <c r="K27" t="str">
        <f>IF(AND($A27=[5]Consulta!$B$6,$B27=[5]Consulta!$B$7,$F27&gt;=[5]Consulta!$B$4*(1+[5]Consulta!$B$5)),"Sim","Nao")</f>
        <v>Nao</v>
      </c>
      <c r="L27">
        <f t="shared" si="0"/>
        <v>9.9999999999999997E+98</v>
      </c>
      <c r="M27" t="str">
        <f>IF($K27="Sim",$F27-[5]Consulta!$B$4*(1+[5]Consulta!$B$5),"")</f>
        <v/>
      </c>
    </row>
    <row r="28" spans="1:13" ht="15">
      <c r="A28" t="s">
        <v>167</v>
      </c>
      <c r="B28">
        <v>25</v>
      </c>
      <c r="C28" t="s">
        <v>235</v>
      </c>
      <c r="D28" t="s">
        <v>160</v>
      </c>
      <c r="E28"/>
      <c r="F28">
        <v>19.850000000000001</v>
      </c>
      <c r="G28">
        <v>3.74</v>
      </c>
      <c r="H28"/>
      <c r="I28" t="s">
        <v>168</v>
      </c>
      <c r="J28"/>
      <c r="K28" t="str">
        <f>IF(AND($A28=[5]Consulta!$B$6,$B28=[5]Consulta!$B$7,$F28&gt;=[5]Consulta!$B$4*(1+[5]Consulta!$B$5)),"Sim","Nao")</f>
        <v>Nao</v>
      </c>
      <c r="L28">
        <f t="shared" si="0"/>
        <v>9.9999999999999997E+98</v>
      </c>
      <c r="M28" t="str">
        <f>IF($K28="Sim",$F28-[5]Consulta!$B$4*(1+[5]Consulta!$B$5),"")</f>
        <v/>
      </c>
    </row>
    <row r="29" spans="1:13" ht="15">
      <c r="A29" t="s">
        <v>167</v>
      </c>
      <c r="B29">
        <v>50</v>
      </c>
      <c r="C29" t="s">
        <v>163</v>
      </c>
      <c r="D29" t="s">
        <v>169</v>
      </c>
      <c r="E29"/>
      <c r="F29">
        <v>17.3</v>
      </c>
      <c r="G29">
        <v>4.32</v>
      </c>
      <c r="H29"/>
      <c r="I29" t="s">
        <v>170</v>
      </c>
      <c r="J29"/>
      <c r="K29" t="str">
        <f>IF(AND($A29=[5]Consulta!$B$6,$B29=[5]Consulta!$B$7,$F29&gt;=[5]Consulta!$B$4*(1+[5]Consulta!$B$5)),"Sim","Nao")</f>
        <v>Nao</v>
      </c>
      <c r="L29">
        <f t="shared" si="0"/>
        <v>9.9999999999999997E+98</v>
      </c>
      <c r="M29" t="str">
        <f>IF($K29="Sim",$F29-[5]Consulta!$B$4*(1+[5]Consulta!$B$5),"")</f>
        <v/>
      </c>
    </row>
    <row r="30" spans="1:13" ht="15">
      <c r="A30" t="s">
        <v>167</v>
      </c>
      <c r="B30">
        <v>50</v>
      </c>
      <c r="C30" t="s">
        <v>163</v>
      </c>
      <c r="D30" t="s">
        <v>171</v>
      </c>
      <c r="E30"/>
      <c r="F30">
        <v>30.21</v>
      </c>
      <c r="G30">
        <v>4.83</v>
      </c>
      <c r="H30"/>
      <c r="I30" t="s">
        <v>170</v>
      </c>
      <c r="J30"/>
      <c r="K30" t="str">
        <f>IF(AND($A30=[5]Consulta!$B$6,$B30=[5]Consulta!$B$7,$F30&gt;=[5]Consulta!$B$4*(1+[5]Consulta!$B$5)),"Sim","Nao")</f>
        <v>Nao</v>
      </c>
      <c r="L30">
        <f t="shared" si="0"/>
        <v>9.9999999999999997E+98</v>
      </c>
      <c r="M30" t="str">
        <f>IF($K30="Sim",$F30-[5]Consulta!$B$4*(1+[5]Consulta!$B$5),"")</f>
        <v/>
      </c>
    </row>
    <row r="31" spans="1:13" ht="15">
      <c r="A31" t="s">
        <v>167</v>
      </c>
      <c r="B31">
        <v>50</v>
      </c>
      <c r="C31" t="s">
        <v>163</v>
      </c>
      <c r="D31" t="s">
        <v>172</v>
      </c>
      <c r="E31"/>
      <c r="F31">
        <v>47.66</v>
      </c>
      <c r="G31">
        <v>5.3</v>
      </c>
      <c r="H31"/>
      <c r="I31" t="s">
        <v>170</v>
      </c>
      <c r="J31"/>
      <c r="K31" t="str">
        <f>IF(AND($A31=[5]Consulta!$B$6,$B31=[5]Consulta!$B$7,$F31&gt;=[5]Consulta!$B$4*(1+[5]Consulta!$B$5)),"Sim","Nao")</f>
        <v>Nao</v>
      </c>
      <c r="L31">
        <f t="shared" si="0"/>
        <v>9.9999999999999997E+98</v>
      </c>
      <c r="M31" t="str">
        <f>IF($K31="Sim",$F31-[5]Consulta!$B$4*(1+[5]Consulta!$B$5),"")</f>
        <v/>
      </c>
    </row>
    <row r="32" spans="1:13" ht="15">
      <c r="A32" t="s">
        <v>167</v>
      </c>
      <c r="B32">
        <v>50</v>
      </c>
      <c r="C32" t="s">
        <v>165</v>
      </c>
      <c r="D32" t="s">
        <v>169</v>
      </c>
      <c r="E32"/>
      <c r="F32">
        <v>34.590000000000003</v>
      </c>
      <c r="G32">
        <v>4.32</v>
      </c>
      <c r="H32"/>
      <c r="I32" t="s">
        <v>170</v>
      </c>
      <c r="J32"/>
      <c r="K32" t="str">
        <f>IF(AND($A32=[5]Consulta!$B$6,$B32=[5]Consulta!$B$7,$F32&gt;=[5]Consulta!$B$4*(1+[5]Consulta!$B$5)),"Sim","Nao")</f>
        <v>Nao</v>
      </c>
      <c r="L32">
        <f t="shared" si="0"/>
        <v>9.9999999999999997E+98</v>
      </c>
      <c r="M32" t="str">
        <f>IF($K32="Sim",$F32-[5]Consulta!$B$4*(1+[5]Consulta!$B$5),"")</f>
        <v/>
      </c>
    </row>
    <row r="33" spans="1:13" ht="15">
      <c r="A33" t="s">
        <v>167</v>
      </c>
      <c r="B33">
        <v>50</v>
      </c>
      <c r="C33" t="s">
        <v>165</v>
      </c>
      <c r="D33" t="s">
        <v>171</v>
      </c>
      <c r="E33"/>
      <c r="F33">
        <v>60.43</v>
      </c>
      <c r="G33">
        <v>4.83</v>
      </c>
      <c r="H33"/>
      <c r="I33" t="s">
        <v>170</v>
      </c>
      <c r="J33"/>
      <c r="K33" t="str">
        <f>IF(AND($A33=[5]Consulta!$B$6,$B33=[5]Consulta!$B$7,$F33&gt;=[5]Consulta!$B$4*(1+[5]Consulta!$B$5)),"Sim","Nao")</f>
        <v>Nao</v>
      </c>
      <c r="L33">
        <f t="shared" si="0"/>
        <v>9.9999999999999997E+98</v>
      </c>
      <c r="M33" t="str">
        <f>IF($K33="Sim",$F33-[5]Consulta!$B$4*(1+[5]Consulta!$B$5),"")</f>
        <v/>
      </c>
    </row>
    <row r="34" spans="1:13" ht="15">
      <c r="A34" t="s">
        <v>167</v>
      </c>
      <c r="B34">
        <v>50</v>
      </c>
      <c r="C34" t="s">
        <v>165</v>
      </c>
      <c r="D34" t="s">
        <v>172</v>
      </c>
      <c r="E34"/>
      <c r="F34">
        <v>95.32</v>
      </c>
      <c r="G34">
        <v>5.3</v>
      </c>
      <c r="H34"/>
      <c r="I34" t="s">
        <v>170</v>
      </c>
      <c r="J34"/>
      <c r="K34" t="str">
        <f>IF(AND($A34=[5]Consulta!$B$6,$B34=[5]Consulta!$B$7,$F34&gt;=[5]Consulta!$B$4*(1+[5]Consulta!$B$5)),"Sim","Nao")</f>
        <v>Nao</v>
      </c>
      <c r="L34">
        <f t="shared" si="0"/>
        <v>9.9999999999999997E+98</v>
      </c>
      <c r="M34" t="str">
        <f>IF($K34="Sim",$F34-[5]Consulta!$B$4*(1+[5]Consulta!$B$5),"")</f>
        <v/>
      </c>
    </row>
    <row r="35" spans="1:13" ht="15">
      <c r="A35" t="s">
        <v>167</v>
      </c>
      <c r="B35">
        <v>50</v>
      </c>
      <c r="C35" t="s">
        <v>166</v>
      </c>
      <c r="D35" t="s">
        <v>169</v>
      </c>
      <c r="E35"/>
      <c r="F35">
        <v>51.89</v>
      </c>
      <c r="G35">
        <v>4.32</v>
      </c>
      <c r="H35"/>
      <c r="I35" t="s">
        <v>170</v>
      </c>
      <c r="J35"/>
      <c r="K35" t="str">
        <f>IF(AND($A35=[5]Consulta!$B$6,$B35=[5]Consulta!$B$7,$F35&gt;=[5]Consulta!$B$4*(1+[5]Consulta!$B$5)),"Sim","Nao")</f>
        <v>Nao</v>
      </c>
      <c r="L35">
        <f t="shared" si="0"/>
        <v>9.9999999999999997E+98</v>
      </c>
      <c r="M35" t="str">
        <f>IF($K35="Sim",$F35-[5]Consulta!$B$4*(1+[5]Consulta!$B$5),"")</f>
        <v/>
      </c>
    </row>
    <row r="36" spans="1:13" ht="15">
      <c r="A36" t="s">
        <v>167</v>
      </c>
      <c r="B36">
        <v>50</v>
      </c>
      <c r="C36" t="s">
        <v>166</v>
      </c>
      <c r="D36" t="s">
        <v>171</v>
      </c>
      <c r="E36"/>
      <c r="F36">
        <v>90.64</v>
      </c>
      <c r="G36">
        <v>4.83</v>
      </c>
      <c r="H36"/>
      <c r="I36" t="s">
        <v>170</v>
      </c>
      <c r="J36"/>
      <c r="K36" t="str">
        <f>IF(AND($A36=[5]Consulta!$B$6,$B36=[5]Consulta!$B$7,$F36&gt;=[5]Consulta!$B$4*(1+[5]Consulta!$B$5)),"Sim","Nao")</f>
        <v>Nao</v>
      </c>
      <c r="L36">
        <f t="shared" si="0"/>
        <v>9.9999999999999997E+98</v>
      </c>
      <c r="M36" t="str">
        <f>IF($K36="Sim",$F36-[5]Consulta!$B$4*(1+[5]Consulta!$B$5),"")</f>
        <v/>
      </c>
    </row>
    <row r="37" spans="1:13" ht="15">
      <c r="A37" t="s">
        <v>167</v>
      </c>
      <c r="B37">
        <v>50</v>
      </c>
      <c r="C37" t="s">
        <v>166</v>
      </c>
      <c r="D37" t="s">
        <v>172</v>
      </c>
      <c r="E37"/>
      <c r="F37">
        <v>142.97999999999999</v>
      </c>
      <c r="G37">
        <v>5.3</v>
      </c>
      <c r="H37"/>
      <c r="I37" t="s">
        <v>170</v>
      </c>
      <c r="J37"/>
      <c r="K37" t="str">
        <f>IF(AND($A37=[5]Consulta!$B$6,$B37=[5]Consulta!$B$7,$F37&gt;=[5]Consulta!$B$4*(1+[5]Consulta!$B$5)),"Sim","Nao")</f>
        <v>Nao</v>
      </c>
      <c r="L37">
        <f t="shared" si="0"/>
        <v>9.9999999999999997E+98</v>
      </c>
      <c r="M37" t="str">
        <f>IF($K37="Sim",$F37-[5]Consulta!$B$4*(1+[5]Consulta!$B$5),"")</f>
        <v/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681C-73E8-4602-9D4E-A7EDB8441450}">
  <sheetPr codeName="Planilha31"/>
  <dimension ref="A1:E12"/>
  <sheetViews>
    <sheetView workbookViewId="0">
      <selection activeCell="F18" sqref="F18"/>
    </sheetView>
  </sheetViews>
  <sheetFormatPr defaultRowHeight="14.25"/>
  <cols>
    <col min="1" max="1" width="13.42578125" style="111" customWidth="1"/>
    <col min="2" max="2" width="16" style="111" customWidth="1"/>
    <col min="3" max="3" width="7.140625" style="111" customWidth="1"/>
    <col min="4" max="4" width="14.7109375" style="111" customWidth="1"/>
    <col min="5" max="5" width="10.85546875" style="111" bestFit="1" customWidth="1"/>
    <col min="6" max="16384" width="9.140625" style="111"/>
  </cols>
  <sheetData>
    <row r="1" spans="1:5" ht="15">
      <c r="A1" s="109" t="s">
        <v>174</v>
      </c>
      <c r="B1" s="109" t="s">
        <v>175</v>
      </c>
      <c r="C1" s="109" t="s">
        <v>144</v>
      </c>
      <c r="D1" s="109" t="s">
        <v>176</v>
      </c>
      <c r="E1" s="109" t="s">
        <v>177</v>
      </c>
    </row>
    <row r="2" spans="1:5">
      <c r="A2" s="111" t="s">
        <v>178</v>
      </c>
      <c r="B2" s="111" t="s">
        <v>179</v>
      </c>
      <c r="C2" s="111" t="s">
        <v>156</v>
      </c>
      <c r="D2" s="113">
        <v>0.6</v>
      </c>
      <c r="E2" s="111" t="s">
        <v>179</v>
      </c>
    </row>
    <row r="3" spans="1:5">
      <c r="A3" s="111" t="s">
        <v>180</v>
      </c>
      <c r="B3" s="111" t="s">
        <v>181</v>
      </c>
      <c r="C3" s="111" t="s">
        <v>156</v>
      </c>
      <c r="D3" s="113">
        <v>0.8</v>
      </c>
      <c r="E3" s="111" t="s">
        <v>181</v>
      </c>
    </row>
    <row r="4" spans="1:5">
      <c r="A4" s="111" t="s">
        <v>132</v>
      </c>
      <c r="B4" s="111" t="s">
        <v>182</v>
      </c>
      <c r="C4" s="111" t="s">
        <v>156</v>
      </c>
      <c r="D4" s="113">
        <v>1</v>
      </c>
      <c r="E4" s="111" t="s">
        <v>182</v>
      </c>
    </row>
    <row r="5" spans="1:5">
      <c r="A5" s="111" t="s">
        <v>130</v>
      </c>
      <c r="B5" s="111" t="s">
        <v>183</v>
      </c>
      <c r="C5" s="111" t="s">
        <v>156</v>
      </c>
      <c r="D5" s="113">
        <v>1.2</v>
      </c>
      <c r="E5" s="111" t="s">
        <v>183</v>
      </c>
    </row>
    <row r="6" spans="1:5">
      <c r="A6" s="111" t="s">
        <v>134</v>
      </c>
      <c r="B6" s="111" t="s">
        <v>184</v>
      </c>
      <c r="C6" s="111" t="s">
        <v>156</v>
      </c>
      <c r="D6" s="113">
        <v>1.5</v>
      </c>
      <c r="E6" s="111" t="s">
        <v>184</v>
      </c>
    </row>
    <row r="7" spans="1:5">
      <c r="A7" s="111" t="s">
        <v>185</v>
      </c>
      <c r="B7" s="111" t="s">
        <v>186</v>
      </c>
      <c r="C7" s="111" t="s">
        <v>161</v>
      </c>
      <c r="D7" s="113">
        <v>1</v>
      </c>
      <c r="E7" s="111" t="s">
        <v>186</v>
      </c>
    </row>
    <row r="8" spans="1:5">
      <c r="A8" s="111" t="s">
        <v>131</v>
      </c>
      <c r="B8" s="111" t="s">
        <v>187</v>
      </c>
      <c r="C8" s="111" t="s">
        <v>161</v>
      </c>
      <c r="D8" s="113">
        <v>1.2</v>
      </c>
      <c r="E8" s="111" t="s">
        <v>187</v>
      </c>
    </row>
    <row r="9" spans="1:5">
      <c r="A9" s="111" t="s">
        <v>129</v>
      </c>
      <c r="B9" s="111" t="s">
        <v>188</v>
      </c>
      <c r="C9" s="111" t="s">
        <v>161</v>
      </c>
      <c r="D9" s="113">
        <v>1.5</v>
      </c>
      <c r="E9" s="111" t="s">
        <v>188</v>
      </c>
    </row>
    <row r="10" spans="1:5">
      <c r="A10" s="111" t="s">
        <v>189</v>
      </c>
      <c r="B10" s="111" t="s">
        <v>190</v>
      </c>
      <c r="C10" s="111" t="s">
        <v>162</v>
      </c>
      <c r="D10" s="113">
        <v>1</v>
      </c>
      <c r="E10" s="111" t="s">
        <v>190</v>
      </c>
    </row>
    <row r="11" spans="1:5">
      <c r="A11" s="111" t="s">
        <v>191</v>
      </c>
      <c r="B11" s="111" t="s">
        <v>192</v>
      </c>
      <c r="C11" s="111" t="s">
        <v>162</v>
      </c>
      <c r="D11" s="113">
        <v>1.2</v>
      </c>
      <c r="E11" s="111" t="s">
        <v>192</v>
      </c>
    </row>
    <row r="12" spans="1:5">
      <c r="A12" s="111" t="s">
        <v>133</v>
      </c>
      <c r="B12" s="111" t="s">
        <v>193</v>
      </c>
      <c r="C12" s="111" t="s">
        <v>162</v>
      </c>
      <c r="D12" s="113">
        <v>1.5</v>
      </c>
      <c r="E12" s="111" t="s">
        <v>193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8BABB-AD3A-40EA-85B2-4BE2F8D97AB7}">
  <sheetPr codeName="Planilha2"/>
  <dimension ref="A1:E13"/>
  <sheetViews>
    <sheetView workbookViewId="0">
      <selection activeCell="F18" sqref="F18"/>
    </sheetView>
  </sheetViews>
  <sheetFormatPr defaultRowHeight="15"/>
  <cols>
    <col min="1" max="1" width="9.140625" style="3"/>
    <col min="2" max="2" width="12" style="3" bestFit="1" customWidth="1"/>
    <col min="3" max="3" width="11" style="3" bestFit="1" customWidth="1"/>
    <col min="4" max="4" width="13.7109375" style="3" customWidth="1"/>
    <col min="5" max="5" width="15.140625" style="3" customWidth="1"/>
    <col min="6" max="16384" width="9.140625" style="3"/>
  </cols>
  <sheetData>
    <row r="1" spans="1:5" ht="30">
      <c r="A1" s="3" t="s">
        <v>202</v>
      </c>
      <c r="B1" s="3" t="s">
        <v>203</v>
      </c>
      <c r="C1" s="3" t="s">
        <v>18</v>
      </c>
      <c r="D1" s="143" t="s">
        <v>221</v>
      </c>
      <c r="E1" s="3" t="s">
        <v>26</v>
      </c>
    </row>
    <row r="2" spans="1:5">
      <c r="A2" s="3" t="s">
        <v>258</v>
      </c>
      <c r="B2" s="180">
        <v>1094353.1583670317</v>
      </c>
      <c r="C2" s="144">
        <f>B2/1000000</f>
        <v>1.0943531583670316</v>
      </c>
      <c r="D2" s="107">
        <v>2353.4563499190099</v>
      </c>
      <c r="E2" s="3" t="str">
        <f>IF(C2&lt;=5,"RAC",IF(C2&lt;=10,"RAC MOD","HUT"))</f>
        <v>RAC</v>
      </c>
    </row>
    <row r="3" spans="1:5">
      <c r="A3" s="3" t="s">
        <v>77</v>
      </c>
      <c r="B3" s="180">
        <v>507501.18631230399</v>
      </c>
      <c r="C3" s="144">
        <f t="shared" ref="C3:C13" si="0">B3/1000000</f>
        <v>0.50750118631230401</v>
      </c>
      <c r="D3" s="107">
        <v>1571.8308652639507</v>
      </c>
      <c r="E3" s="3" t="str">
        <f>IF(C3&lt;=5,"RAC",IF(C3&lt;=10,"RAC MOD","HUT"))</f>
        <v>RAC</v>
      </c>
    </row>
    <row r="4" spans="1:5">
      <c r="A4" s="3" t="s">
        <v>85</v>
      </c>
      <c r="B4" s="180">
        <v>5522122.3872321043</v>
      </c>
      <c r="C4" s="144">
        <f t="shared" si="0"/>
        <v>5.5221223872321046</v>
      </c>
      <c r="D4" s="107">
        <v>4480.061213554116</v>
      </c>
      <c r="E4" s="3" t="str">
        <f>IF(C4&lt;=5,"RAC",IF(C4&lt;=10,"RAC MOD","HUT"))</f>
        <v>RAC MOD</v>
      </c>
    </row>
    <row r="5" spans="1:5">
      <c r="A5" s="3" t="s">
        <v>259</v>
      </c>
      <c r="B5" s="180">
        <v>5037113.1177551979</v>
      </c>
      <c r="C5" s="144">
        <f t="shared" si="0"/>
        <v>5.0371131177551982</v>
      </c>
      <c r="D5" s="107">
        <v>4473.8851953335461</v>
      </c>
      <c r="E5" s="3" t="str">
        <f>IF(C5&lt;=5,"RAC",IF(C5&lt;=10,"RAC MOD","HUT"))</f>
        <v>RAC MOD</v>
      </c>
    </row>
    <row r="6" spans="1:5">
      <c r="A6" s="3" t="s">
        <v>120</v>
      </c>
      <c r="B6" s="180">
        <v>6055607.27740476</v>
      </c>
      <c r="C6" s="144">
        <f t="shared" si="0"/>
        <v>6.0556072774047598</v>
      </c>
      <c r="D6" s="107">
        <v>4733.4514530757851</v>
      </c>
      <c r="E6" s="3" t="str">
        <f>IF(C6&lt;=5,"RAC",IF(C6&lt;=10,"RAC MOD","HUT"))</f>
        <v>RAC MOD</v>
      </c>
    </row>
    <row r="7" spans="1:5">
      <c r="A7" s="3" t="s">
        <v>260</v>
      </c>
      <c r="B7">
        <v>17228540.401840884</v>
      </c>
      <c r="C7" s="144">
        <f t="shared" si="0"/>
        <v>17.228540401840885</v>
      </c>
      <c r="D7" s="180">
        <v>9217.249068243289</v>
      </c>
      <c r="E7" s="3" t="str">
        <f t="shared" ref="E7:E13" si="1">IF(C7&lt;=5,"RAC",IF(C7&lt;=10,"RAC MOD","HUT"))</f>
        <v>HUT</v>
      </c>
    </row>
    <row r="8" spans="1:5">
      <c r="A8" s="3" t="s">
        <v>261</v>
      </c>
      <c r="B8">
        <v>7630308.7891945392</v>
      </c>
      <c r="C8" s="144">
        <f t="shared" si="0"/>
        <v>7.6303087891945394</v>
      </c>
      <c r="D8" s="180">
        <v>5037.0615192364539</v>
      </c>
      <c r="E8" s="3" t="str">
        <f t="shared" si="1"/>
        <v>RAC MOD</v>
      </c>
    </row>
    <row r="9" spans="1:5">
      <c r="A9" s="3" t="s">
        <v>262</v>
      </c>
      <c r="B9">
        <v>6330401.7846148657</v>
      </c>
      <c r="C9" s="144">
        <f t="shared" si="0"/>
        <v>6.3304017846148657</v>
      </c>
      <c r="D9" s="180">
        <v>4553.8123586517586</v>
      </c>
      <c r="E9" s="3" t="str">
        <f t="shared" si="1"/>
        <v>RAC MOD</v>
      </c>
    </row>
    <row r="10" spans="1:5">
      <c r="A10" s="3" t="s">
        <v>263</v>
      </c>
      <c r="B10">
        <v>16939486.870219991</v>
      </c>
      <c r="C10" s="144">
        <f t="shared" si="0"/>
        <v>16.939486870219991</v>
      </c>
      <c r="D10" s="180">
        <v>5832.5459362975052</v>
      </c>
      <c r="E10" s="3" t="str">
        <f t="shared" si="1"/>
        <v>HUT</v>
      </c>
    </row>
    <row r="11" spans="1:5">
      <c r="A11" s="3" t="s">
        <v>264</v>
      </c>
      <c r="B11" s="3">
        <v>3184913.1852715481</v>
      </c>
      <c r="C11" s="144">
        <f t="shared" si="0"/>
        <v>3.1849131852715482</v>
      </c>
      <c r="D11" s="107">
        <v>3791.7068081139046</v>
      </c>
      <c r="E11" s="3" t="str">
        <f t="shared" si="1"/>
        <v>RAC</v>
      </c>
    </row>
    <row r="12" spans="1:5">
      <c r="A12" s="3" t="s">
        <v>254</v>
      </c>
      <c r="B12" s="3">
        <v>1431112.0339943536</v>
      </c>
      <c r="C12" s="144">
        <f t="shared" si="0"/>
        <v>1.4311120339943537</v>
      </c>
      <c r="D12" s="107">
        <v>1360.0747739946264</v>
      </c>
      <c r="E12" s="3" t="str">
        <f t="shared" si="1"/>
        <v>RAC</v>
      </c>
    </row>
    <row r="13" spans="1:5">
      <c r="A13" s="3" t="s">
        <v>255</v>
      </c>
      <c r="B13" s="3">
        <v>861262.69799999997</v>
      </c>
      <c r="C13" s="144">
        <f t="shared" si="0"/>
        <v>0.86126269799999999</v>
      </c>
      <c r="D13" s="107">
        <v>1571.489</v>
      </c>
      <c r="E13" s="3" t="str">
        <f t="shared" si="1"/>
        <v>RAC</v>
      </c>
    </row>
  </sheetData>
  <phoneticPr fontId="1" type="noConversion"/>
  <conditionalFormatting sqref="B2:B6">
    <cfRule type="expression" dxfId="0" priority="1">
      <formula>AND($T$2="OK",ROW()=CELL("LIN"))</formula>
    </cfRule>
  </conditionalFormatting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C56E-EF94-443F-BAD8-B8E4E9A46175}">
  <sheetPr codeName="Planilha1">
    <tabColor rgb="FF92D050"/>
  </sheetPr>
  <dimension ref="B1:K19"/>
  <sheetViews>
    <sheetView workbookViewId="0">
      <selection activeCell="F18" sqref="F18"/>
    </sheetView>
  </sheetViews>
  <sheetFormatPr defaultRowHeight="15"/>
  <cols>
    <col min="2" max="2" width="22.28515625" bestFit="1" customWidth="1"/>
  </cols>
  <sheetData>
    <row r="1" spans="2:11" ht="15.75" thickBot="1"/>
    <row r="2" spans="2:11">
      <c r="B2" s="567" t="s">
        <v>204</v>
      </c>
      <c r="C2" s="569" t="s">
        <v>205</v>
      </c>
      <c r="D2" s="560" t="s">
        <v>206</v>
      </c>
      <c r="E2" s="560"/>
      <c r="F2" s="560" t="s">
        <v>207</v>
      </c>
      <c r="G2" s="560"/>
      <c r="H2" s="560" t="s">
        <v>208</v>
      </c>
      <c r="I2" s="561"/>
    </row>
    <row r="3" spans="2:11" ht="15.75" thickBot="1">
      <c r="B3" s="568"/>
      <c r="C3" s="570"/>
      <c r="D3" s="130" t="s">
        <v>44</v>
      </c>
      <c r="E3" s="130" t="s">
        <v>99</v>
      </c>
      <c r="F3" s="130" t="s">
        <v>44</v>
      </c>
      <c r="G3" s="130" t="s">
        <v>99</v>
      </c>
      <c r="H3" s="130" t="s">
        <v>44</v>
      </c>
      <c r="I3" s="131" t="s">
        <v>99</v>
      </c>
      <c r="K3" s="137" t="s">
        <v>209</v>
      </c>
    </row>
    <row r="4" spans="2:11">
      <c r="B4" s="562" t="s">
        <v>219</v>
      </c>
      <c r="C4" s="128" t="s">
        <v>209</v>
      </c>
      <c r="D4" s="128">
        <v>0.1</v>
      </c>
      <c r="E4" s="128">
        <v>50</v>
      </c>
      <c r="F4" s="128">
        <v>0.2</v>
      </c>
      <c r="G4" s="128">
        <v>55</v>
      </c>
      <c r="H4" s="128">
        <v>0.3</v>
      </c>
      <c r="I4" s="129">
        <v>65</v>
      </c>
      <c r="K4" s="137" t="s">
        <v>210</v>
      </c>
    </row>
    <row r="5" spans="2:11">
      <c r="B5" s="563"/>
      <c r="C5" s="132" t="s">
        <v>210</v>
      </c>
      <c r="D5" s="132">
        <v>0.2</v>
      </c>
      <c r="E5" s="132">
        <v>55</v>
      </c>
      <c r="F5" s="132">
        <v>0.3</v>
      </c>
      <c r="G5" s="132">
        <v>60</v>
      </c>
      <c r="H5" s="132">
        <v>0.4</v>
      </c>
      <c r="I5" s="133">
        <v>70</v>
      </c>
      <c r="K5" s="137" t="s">
        <v>44</v>
      </c>
    </row>
    <row r="6" spans="2:11">
      <c r="B6" s="563"/>
      <c r="C6" s="132" t="s">
        <v>44</v>
      </c>
      <c r="D6" s="132">
        <v>0.4</v>
      </c>
      <c r="E6" s="132">
        <v>60</v>
      </c>
      <c r="F6" s="132">
        <v>0.6</v>
      </c>
      <c r="G6" s="132">
        <v>65</v>
      </c>
      <c r="H6" s="132">
        <v>0.6</v>
      </c>
      <c r="I6" s="133">
        <v>75</v>
      </c>
      <c r="K6" s="137" t="s">
        <v>196</v>
      </c>
    </row>
    <row r="7" spans="2:11" ht="15.75" thickBot="1">
      <c r="B7" s="564"/>
      <c r="C7" s="134" t="s">
        <v>196</v>
      </c>
      <c r="D7" s="134" t="s">
        <v>211</v>
      </c>
      <c r="E7" s="134">
        <v>70</v>
      </c>
      <c r="F7" s="134" t="s">
        <v>212</v>
      </c>
      <c r="G7" s="134">
        <v>75</v>
      </c>
      <c r="H7" s="134" t="s">
        <v>213</v>
      </c>
      <c r="I7" s="135">
        <v>80</v>
      </c>
    </row>
    <row r="8" spans="2:11">
      <c r="B8" s="562" t="s">
        <v>71</v>
      </c>
      <c r="C8" s="128" t="s">
        <v>209</v>
      </c>
      <c r="D8" s="128">
        <v>0.2</v>
      </c>
      <c r="E8" s="128">
        <v>45</v>
      </c>
      <c r="F8" s="128">
        <v>0.3</v>
      </c>
      <c r="G8" s="128">
        <v>50</v>
      </c>
      <c r="H8" s="128">
        <v>0.4</v>
      </c>
      <c r="I8" s="129">
        <v>60</v>
      </c>
    </row>
    <row r="9" spans="2:11">
      <c r="B9" s="565"/>
      <c r="C9" s="132" t="s">
        <v>210</v>
      </c>
      <c r="D9" s="132">
        <v>0.25</v>
      </c>
      <c r="E9" s="132">
        <v>50</v>
      </c>
      <c r="F9" s="132">
        <v>0.35</v>
      </c>
      <c r="G9" s="132">
        <v>55</v>
      </c>
      <c r="H9" s="132">
        <v>0.45</v>
      </c>
      <c r="I9" s="133">
        <v>65</v>
      </c>
    </row>
    <row r="10" spans="2:11">
      <c r="B10" s="565"/>
      <c r="C10" s="132" t="s">
        <v>44</v>
      </c>
      <c r="D10" s="132">
        <v>0.3</v>
      </c>
      <c r="E10" s="132">
        <v>60</v>
      </c>
      <c r="F10" s="132">
        <v>0.4</v>
      </c>
      <c r="G10" s="132">
        <v>60</v>
      </c>
      <c r="H10" s="132">
        <v>0.5</v>
      </c>
      <c r="I10" s="133">
        <v>70</v>
      </c>
    </row>
    <row r="11" spans="2:11" ht="15.75" thickBot="1">
      <c r="B11" s="566"/>
      <c r="C11" s="134" t="s">
        <v>196</v>
      </c>
      <c r="D11" s="134">
        <v>0.4</v>
      </c>
      <c r="E11" s="134">
        <v>65</v>
      </c>
      <c r="F11" s="134">
        <v>0.5</v>
      </c>
      <c r="G11" s="134">
        <v>70</v>
      </c>
      <c r="H11" s="134">
        <v>0.6</v>
      </c>
      <c r="I11" s="135">
        <v>75</v>
      </c>
    </row>
    <row r="12" spans="2:11">
      <c r="B12" s="562" t="s">
        <v>70</v>
      </c>
      <c r="C12" s="128" t="s">
        <v>209</v>
      </c>
      <c r="D12" s="128">
        <v>0.1</v>
      </c>
      <c r="E12" s="128">
        <v>35</v>
      </c>
      <c r="F12" s="128">
        <v>0.3</v>
      </c>
      <c r="G12" s="128">
        <v>45</v>
      </c>
      <c r="H12" s="128">
        <v>0.4</v>
      </c>
      <c r="I12" s="129">
        <v>50</v>
      </c>
    </row>
    <row r="13" spans="2:11">
      <c r="B13" s="565"/>
      <c r="C13" s="132" t="s">
        <v>210</v>
      </c>
      <c r="D13" s="132">
        <v>0.2</v>
      </c>
      <c r="E13" s="132">
        <v>40</v>
      </c>
      <c r="F13" s="132">
        <v>0.35</v>
      </c>
      <c r="G13" s="132">
        <v>50</v>
      </c>
      <c r="H13" s="132">
        <v>0.45</v>
      </c>
      <c r="I13" s="133">
        <v>55</v>
      </c>
    </row>
    <row r="14" spans="2:11">
      <c r="B14" s="565"/>
      <c r="C14" s="132" t="s">
        <v>44</v>
      </c>
      <c r="D14" s="132">
        <v>0.3</v>
      </c>
      <c r="E14" s="132">
        <v>50</v>
      </c>
      <c r="F14" s="132">
        <v>0.4</v>
      </c>
      <c r="G14" s="132">
        <v>60</v>
      </c>
      <c r="H14" s="132">
        <v>0.5</v>
      </c>
      <c r="I14" s="133">
        <v>60</v>
      </c>
    </row>
    <row r="15" spans="2:11" ht="15.75" thickBot="1">
      <c r="B15" s="566"/>
      <c r="C15" s="134" t="s">
        <v>196</v>
      </c>
      <c r="D15" s="134">
        <v>0.4</v>
      </c>
      <c r="E15" s="134">
        <v>60</v>
      </c>
      <c r="F15" s="134">
        <v>0.5</v>
      </c>
      <c r="G15" s="134">
        <v>65</v>
      </c>
      <c r="H15" s="134">
        <v>0.6</v>
      </c>
      <c r="I15" s="135">
        <v>70</v>
      </c>
    </row>
    <row r="16" spans="2:11">
      <c r="B16" s="567" t="s">
        <v>214</v>
      </c>
      <c r="C16" s="128" t="s">
        <v>209</v>
      </c>
      <c r="D16" s="128">
        <v>0.1</v>
      </c>
      <c r="E16" s="128">
        <v>30</v>
      </c>
      <c r="F16" s="128">
        <v>0.2</v>
      </c>
      <c r="G16" s="128">
        <v>40</v>
      </c>
      <c r="H16" s="128">
        <v>0.3</v>
      </c>
      <c r="I16" s="129">
        <v>50</v>
      </c>
    </row>
    <row r="17" spans="2:9">
      <c r="B17" s="563"/>
      <c r="C17" s="132" t="s">
        <v>210</v>
      </c>
      <c r="D17" s="132">
        <v>0.15</v>
      </c>
      <c r="E17" s="132">
        <v>40</v>
      </c>
      <c r="F17" s="132">
        <v>0.3</v>
      </c>
      <c r="G17" s="132">
        <v>50</v>
      </c>
      <c r="H17" s="132">
        <v>0.4</v>
      </c>
      <c r="I17" s="133">
        <v>55</v>
      </c>
    </row>
    <row r="18" spans="2:9">
      <c r="B18" s="563"/>
      <c r="C18" s="132" t="s">
        <v>44</v>
      </c>
      <c r="D18" s="132">
        <v>0.2</v>
      </c>
      <c r="E18" s="132">
        <v>50</v>
      </c>
      <c r="F18" s="132">
        <v>0.4</v>
      </c>
      <c r="G18" s="132">
        <v>55</v>
      </c>
      <c r="H18" s="132">
        <v>0.5</v>
      </c>
      <c r="I18" s="133">
        <v>60</v>
      </c>
    </row>
    <row r="19" spans="2:9" ht="15.75" thickBot="1">
      <c r="B19" s="564"/>
      <c r="C19" s="134" t="s">
        <v>196</v>
      </c>
      <c r="D19" s="134">
        <v>0.4</v>
      </c>
      <c r="E19" s="134">
        <v>60</v>
      </c>
      <c r="F19" s="134">
        <v>0.5</v>
      </c>
      <c r="G19" s="134">
        <v>65</v>
      </c>
      <c r="H19" s="134">
        <v>0.6</v>
      </c>
      <c r="I19" s="135">
        <v>70</v>
      </c>
    </row>
  </sheetData>
  <mergeCells count="9">
    <mergeCell ref="H2:I2"/>
    <mergeCell ref="B4:B7"/>
    <mergeCell ref="B8:B11"/>
    <mergeCell ref="B12:B15"/>
    <mergeCell ref="B16:B19"/>
    <mergeCell ref="B2:B3"/>
    <mergeCell ref="C2:C3"/>
    <mergeCell ref="D2:E2"/>
    <mergeCell ref="F2:G2"/>
  </mergeCell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6D8BE-9605-4E65-B9BD-E35F15C84450}">
  <sheetPr codeName="Planilha22">
    <pageSetUpPr fitToPage="1"/>
  </sheetPr>
  <dimension ref="A1:E104"/>
  <sheetViews>
    <sheetView showGridLines="0" zoomScaleNormal="100" workbookViewId="0">
      <pane ySplit="4" topLeftCell="A5" activePane="bottomLeft" state="frozen"/>
      <selection activeCell="F18" sqref="F18"/>
      <selection pane="bottomLeft" activeCell="F18" sqref="F18"/>
    </sheetView>
  </sheetViews>
  <sheetFormatPr defaultColWidth="8.7109375" defaultRowHeight="15"/>
  <cols>
    <col min="1" max="5" width="10" style="355" customWidth="1"/>
    <col min="6" max="16384" width="8.7109375" style="355"/>
  </cols>
  <sheetData>
    <row r="1" spans="1:5" ht="18">
      <c r="A1" s="354" t="s">
        <v>401</v>
      </c>
    </row>
    <row r="2" spans="1:5">
      <c r="A2" s="356" t="s">
        <v>402</v>
      </c>
    </row>
    <row r="4" spans="1:5">
      <c r="A4" s="357" t="s">
        <v>403</v>
      </c>
      <c r="B4" s="357" t="s">
        <v>404</v>
      </c>
      <c r="C4" s="357" t="s">
        <v>405</v>
      </c>
      <c r="D4" s="357" t="s">
        <v>383</v>
      </c>
      <c r="E4" s="357" t="s">
        <v>406</v>
      </c>
    </row>
    <row r="5" spans="1:5">
      <c r="A5" s="358">
        <v>0.01</v>
      </c>
      <c r="B5" s="359">
        <v>1.2999999999999999E-3</v>
      </c>
      <c r="C5" s="359">
        <v>6.6E-3</v>
      </c>
      <c r="D5" s="359">
        <v>3.5299999999999998E-2</v>
      </c>
      <c r="E5" s="360">
        <v>5.0000000000000002E-5</v>
      </c>
    </row>
    <row r="6" spans="1:5">
      <c r="A6" s="358">
        <v>0.02</v>
      </c>
      <c r="B6" s="359">
        <v>3.7000000000000002E-3</v>
      </c>
      <c r="C6" s="359">
        <v>1.32E-2</v>
      </c>
      <c r="D6" s="359">
        <v>5.5899999999999998E-2</v>
      </c>
      <c r="E6" s="360">
        <v>2.1000000000000001E-4</v>
      </c>
    </row>
    <row r="7" spans="1:5">
      <c r="A7" s="358">
        <v>0.03</v>
      </c>
      <c r="B7" s="359">
        <v>6.8999999999999999E-3</v>
      </c>
      <c r="C7" s="359">
        <v>1.9699999999999999E-2</v>
      </c>
      <c r="D7" s="359">
        <v>7.2999999999999995E-2</v>
      </c>
      <c r="E7" s="360">
        <v>5.0000000000000001E-4</v>
      </c>
    </row>
    <row r="8" spans="1:5">
      <c r="A8" s="358">
        <v>0.04</v>
      </c>
      <c r="B8" s="359">
        <v>1.0500000000000001E-2</v>
      </c>
      <c r="C8" s="359">
        <v>2.6200000000000001E-2</v>
      </c>
      <c r="D8" s="359">
        <v>8.8099999999999998E-2</v>
      </c>
      <c r="E8" s="360">
        <v>9.3000000000000005E-4</v>
      </c>
    </row>
    <row r="9" spans="1:5">
      <c r="A9" s="358">
        <v>0.05</v>
      </c>
      <c r="B9" s="359">
        <v>1.47E-2</v>
      </c>
      <c r="C9" s="359">
        <v>3.2599999999999997E-2</v>
      </c>
      <c r="D9" s="359">
        <v>0.1019</v>
      </c>
      <c r="E9" s="360">
        <v>1.5E-3</v>
      </c>
    </row>
    <row r="10" spans="1:5">
      <c r="A10" s="358">
        <v>0.06</v>
      </c>
      <c r="B10" s="359">
        <v>1.9199999999999998E-2</v>
      </c>
      <c r="C10" s="359">
        <v>3.8899999999999997E-2</v>
      </c>
      <c r="D10" s="359">
        <v>0.1147</v>
      </c>
      <c r="E10" s="360">
        <v>2.2100000000000002E-3</v>
      </c>
    </row>
    <row r="11" spans="1:5">
      <c r="A11" s="358">
        <v>7.0000000000000007E-2</v>
      </c>
      <c r="B11" s="359">
        <v>2.4199999999999999E-2</v>
      </c>
      <c r="C11" s="359">
        <v>4.5100000000000001E-2</v>
      </c>
      <c r="D11" s="359">
        <v>0.12670000000000001</v>
      </c>
      <c r="E11" s="360">
        <v>3.0599999999999998E-3</v>
      </c>
    </row>
    <row r="12" spans="1:5">
      <c r="A12" s="358">
        <v>0.08</v>
      </c>
      <c r="B12" s="359">
        <v>2.9399999999999999E-2</v>
      </c>
      <c r="C12" s="359">
        <v>5.1299999999999998E-2</v>
      </c>
      <c r="D12" s="359">
        <v>0.1381</v>
      </c>
      <c r="E12" s="360">
        <v>4.0600000000000002E-3</v>
      </c>
    </row>
    <row r="13" spans="1:5">
      <c r="A13" s="358">
        <v>0.09</v>
      </c>
      <c r="B13" s="359">
        <v>3.5000000000000003E-2</v>
      </c>
      <c r="C13" s="359">
        <v>5.7500000000000002E-2</v>
      </c>
      <c r="D13" s="359">
        <v>0.1489</v>
      </c>
      <c r="E13" s="360">
        <v>5.2100000000000002E-3</v>
      </c>
    </row>
    <row r="14" spans="1:5">
      <c r="A14" s="358">
        <v>0.1</v>
      </c>
      <c r="B14" s="359">
        <v>4.0899999999999999E-2</v>
      </c>
      <c r="C14" s="359">
        <v>6.3500000000000001E-2</v>
      </c>
      <c r="D14" s="359">
        <v>0.15920000000000001</v>
      </c>
      <c r="E14" s="360">
        <v>6.5100000000000002E-3</v>
      </c>
    </row>
    <row r="15" spans="1:5">
      <c r="A15" s="358">
        <v>0.11</v>
      </c>
      <c r="B15" s="359">
        <v>4.7E-2</v>
      </c>
      <c r="C15" s="359">
        <v>6.9500000000000006E-2</v>
      </c>
      <c r="D15" s="359">
        <v>0.1691</v>
      </c>
      <c r="E15" s="360">
        <v>7.9500000000000005E-3</v>
      </c>
    </row>
    <row r="16" spans="1:5">
      <c r="A16" s="358">
        <v>0.12</v>
      </c>
      <c r="B16" s="359">
        <v>5.3400000000000003E-2</v>
      </c>
      <c r="C16" s="359">
        <v>7.5499999999999998E-2</v>
      </c>
      <c r="D16" s="359">
        <v>0.17860000000000001</v>
      </c>
      <c r="E16" s="360">
        <v>9.5300000000000003E-3</v>
      </c>
    </row>
    <row r="17" spans="1:5">
      <c r="A17" s="358">
        <v>0.13</v>
      </c>
      <c r="B17" s="359">
        <v>0.06</v>
      </c>
      <c r="C17" s="359">
        <v>8.1299999999999997E-2</v>
      </c>
      <c r="D17" s="359">
        <v>0.18770000000000001</v>
      </c>
      <c r="E17" s="360">
        <v>1.1259999999999999E-2</v>
      </c>
    </row>
    <row r="18" spans="1:5">
      <c r="A18" s="358">
        <v>0.14000000000000001</v>
      </c>
      <c r="B18" s="359">
        <v>6.6799999999999998E-2</v>
      </c>
      <c r="C18" s="359">
        <v>8.7099999999999997E-2</v>
      </c>
      <c r="D18" s="359">
        <v>0.19650000000000001</v>
      </c>
      <c r="E18" s="360">
        <v>1.3129999999999999E-2</v>
      </c>
    </row>
    <row r="19" spans="1:5">
      <c r="A19" s="358">
        <v>0.15</v>
      </c>
      <c r="B19" s="359">
        <v>7.3899999999999993E-2</v>
      </c>
      <c r="C19" s="359">
        <v>9.2899999999999996E-2</v>
      </c>
      <c r="D19" s="359">
        <v>0.2051</v>
      </c>
      <c r="E19" s="360">
        <v>1.52E-2</v>
      </c>
    </row>
    <row r="20" spans="1:5">
      <c r="A20" s="358">
        <v>0.16</v>
      </c>
      <c r="B20" s="359">
        <v>8.1100000000000005E-2</v>
      </c>
      <c r="C20" s="359">
        <v>9.8599999999999993E-2</v>
      </c>
      <c r="D20" s="359">
        <v>0.21329999999999999</v>
      </c>
      <c r="E20" s="360">
        <v>1.7299999999999999E-2</v>
      </c>
    </row>
    <row r="21" spans="1:5">
      <c r="A21" s="358">
        <v>0.17</v>
      </c>
      <c r="B21" s="359">
        <v>8.8499999999999995E-2</v>
      </c>
      <c r="C21" s="359">
        <v>0.1042</v>
      </c>
      <c r="D21" s="359">
        <v>0.22140000000000001</v>
      </c>
      <c r="E21" s="360">
        <v>1.9599999999999999E-2</v>
      </c>
    </row>
    <row r="22" spans="1:5">
      <c r="A22" s="358">
        <v>0.18</v>
      </c>
      <c r="B22" s="359">
        <v>9.6100000000000005E-2</v>
      </c>
      <c r="C22" s="359">
        <v>0.10970000000000001</v>
      </c>
      <c r="D22" s="359">
        <v>0.2291</v>
      </c>
      <c r="E22" s="360">
        <v>2.1999999999999999E-2</v>
      </c>
    </row>
    <row r="23" spans="1:5">
      <c r="A23" s="358">
        <v>0.19</v>
      </c>
      <c r="B23" s="359">
        <v>0.10390000000000001</v>
      </c>
      <c r="C23" s="359">
        <v>0.1152</v>
      </c>
      <c r="D23" s="359">
        <v>0.23669999999999999</v>
      </c>
      <c r="E23" s="360">
        <v>2.46E-2</v>
      </c>
    </row>
    <row r="24" spans="1:5">
      <c r="A24" s="358">
        <v>0.2</v>
      </c>
      <c r="B24" s="359">
        <v>0.1118</v>
      </c>
      <c r="C24" s="359">
        <v>0.1206</v>
      </c>
      <c r="D24" s="359">
        <v>0.24410000000000001</v>
      </c>
      <c r="E24" s="360">
        <v>2.7300000000000001E-2</v>
      </c>
    </row>
    <row r="25" spans="1:5">
      <c r="A25" s="358">
        <v>0.21</v>
      </c>
      <c r="B25" s="359">
        <v>0.11990000000000001</v>
      </c>
      <c r="C25" s="359">
        <v>0.12590000000000001</v>
      </c>
      <c r="D25" s="359">
        <v>0.25119999999999998</v>
      </c>
      <c r="E25" s="360">
        <v>3.0099999999999998E-2</v>
      </c>
    </row>
    <row r="26" spans="1:5">
      <c r="A26" s="358">
        <v>0.22</v>
      </c>
      <c r="B26" s="359">
        <v>0.12809999999999999</v>
      </c>
      <c r="C26" s="359">
        <v>0.13120000000000001</v>
      </c>
      <c r="D26" s="359">
        <v>0.25819999999999999</v>
      </c>
      <c r="E26" s="360">
        <v>3.3099999999999997E-2</v>
      </c>
    </row>
    <row r="27" spans="1:5">
      <c r="A27" s="358">
        <v>0.23</v>
      </c>
      <c r="B27" s="359">
        <v>0.13650000000000001</v>
      </c>
      <c r="C27" s="359">
        <v>0.13639999999999999</v>
      </c>
      <c r="D27" s="359">
        <v>0.26500000000000001</v>
      </c>
      <c r="E27" s="360">
        <v>3.6200000000000003E-2</v>
      </c>
    </row>
    <row r="28" spans="1:5">
      <c r="A28" s="358">
        <v>0.24</v>
      </c>
      <c r="B28" s="359">
        <v>0.1449</v>
      </c>
      <c r="C28" s="359">
        <v>0.1416</v>
      </c>
      <c r="D28" s="359">
        <v>0.27160000000000001</v>
      </c>
      <c r="E28" s="360">
        <v>3.9399999999999998E-2</v>
      </c>
    </row>
    <row r="29" spans="1:5">
      <c r="A29" s="358">
        <v>0.25</v>
      </c>
      <c r="B29" s="359">
        <v>0.1535</v>
      </c>
      <c r="C29" s="359">
        <v>0.14660000000000001</v>
      </c>
      <c r="D29" s="359">
        <v>0.27800000000000002</v>
      </c>
      <c r="E29" s="360">
        <v>4.2700000000000002E-2</v>
      </c>
    </row>
    <row r="30" spans="1:5">
      <c r="A30" s="358">
        <v>0.26</v>
      </c>
      <c r="B30" s="359">
        <v>0.1623</v>
      </c>
      <c r="C30" s="359">
        <v>0.15160000000000001</v>
      </c>
      <c r="D30" s="359">
        <v>0.2843</v>
      </c>
      <c r="E30" s="360">
        <v>4.6100000000000002E-2</v>
      </c>
    </row>
    <row r="31" spans="1:5">
      <c r="A31" s="358">
        <v>0.27</v>
      </c>
      <c r="B31" s="359">
        <v>0.1711</v>
      </c>
      <c r="C31" s="359">
        <v>0.15659999999999999</v>
      </c>
      <c r="D31" s="359">
        <v>0.29049999999999998</v>
      </c>
      <c r="E31" s="360">
        <v>4.9700000000000001E-2</v>
      </c>
    </row>
    <row r="32" spans="1:5">
      <c r="A32" s="358">
        <v>0.28000000000000003</v>
      </c>
      <c r="B32" s="359">
        <v>0.18</v>
      </c>
      <c r="C32" s="359">
        <v>0.16139999999999999</v>
      </c>
      <c r="D32" s="359">
        <v>0.29649999999999999</v>
      </c>
      <c r="E32" s="360">
        <v>5.3400000000000003E-2</v>
      </c>
    </row>
    <row r="33" spans="1:5">
      <c r="A33" s="358">
        <v>0.28999999999999998</v>
      </c>
      <c r="B33" s="359">
        <v>0.189</v>
      </c>
      <c r="C33" s="359">
        <v>0.16619999999999999</v>
      </c>
      <c r="D33" s="359">
        <v>0.30230000000000001</v>
      </c>
      <c r="E33" s="360">
        <v>5.7099999999999998E-2</v>
      </c>
    </row>
    <row r="34" spans="1:5">
      <c r="A34" s="358">
        <v>0.3</v>
      </c>
      <c r="B34" s="359">
        <v>0.19819999999999999</v>
      </c>
      <c r="C34" s="359">
        <v>0.1709</v>
      </c>
      <c r="D34" s="359">
        <v>0.308</v>
      </c>
      <c r="E34" s="360">
        <v>6.0999999999999999E-2</v>
      </c>
    </row>
    <row r="35" spans="1:5">
      <c r="A35" s="358">
        <v>0.31</v>
      </c>
      <c r="B35" s="359">
        <v>0.2074</v>
      </c>
      <c r="C35" s="359">
        <v>0.17560000000000001</v>
      </c>
      <c r="D35" s="359">
        <v>0.31359999999999999</v>
      </c>
      <c r="E35" s="360">
        <v>6.5000000000000002E-2</v>
      </c>
    </row>
    <row r="36" spans="1:5">
      <c r="A36" s="358">
        <v>0.32</v>
      </c>
      <c r="B36" s="359">
        <v>0.2167</v>
      </c>
      <c r="C36" s="359">
        <v>0.1802</v>
      </c>
      <c r="D36" s="359">
        <v>0.31900000000000001</v>
      </c>
      <c r="E36" s="360">
        <v>6.9099999999999995E-2</v>
      </c>
    </row>
    <row r="37" spans="1:5">
      <c r="A37" s="358">
        <v>0.33</v>
      </c>
      <c r="B37" s="359">
        <v>0.22600000000000001</v>
      </c>
      <c r="C37" s="359">
        <v>0.1847</v>
      </c>
      <c r="D37" s="359">
        <v>0.32429999999999998</v>
      </c>
      <c r="E37" s="360">
        <v>7.3300000000000004E-2</v>
      </c>
    </row>
    <row r="38" spans="1:5">
      <c r="A38" s="358">
        <v>0.34</v>
      </c>
      <c r="B38" s="359">
        <v>0.23549999999999999</v>
      </c>
      <c r="C38" s="359">
        <v>0.18909999999999999</v>
      </c>
      <c r="D38" s="359">
        <v>0.32950000000000002</v>
      </c>
      <c r="E38" s="360">
        <v>7.7600000000000002E-2</v>
      </c>
    </row>
    <row r="39" spans="1:5">
      <c r="A39" s="358">
        <v>0.35</v>
      </c>
      <c r="B39" s="359">
        <v>0.245</v>
      </c>
      <c r="C39" s="359">
        <v>0.19350000000000001</v>
      </c>
      <c r="D39" s="359">
        <v>0.33450000000000002</v>
      </c>
      <c r="E39" s="360">
        <v>8.2000000000000003E-2</v>
      </c>
    </row>
    <row r="40" spans="1:5">
      <c r="A40" s="358">
        <v>0.36</v>
      </c>
      <c r="B40" s="359">
        <v>0.25459999999999999</v>
      </c>
      <c r="C40" s="359">
        <v>0.1978</v>
      </c>
      <c r="D40" s="359">
        <v>0.33939999999999998</v>
      </c>
      <c r="E40" s="360">
        <v>8.6400000000000005E-2</v>
      </c>
    </row>
    <row r="41" spans="1:5">
      <c r="A41" s="358">
        <v>0.37</v>
      </c>
      <c r="B41" s="359">
        <v>0.26419999999999999</v>
      </c>
      <c r="C41" s="359">
        <v>0.20200000000000001</v>
      </c>
      <c r="D41" s="359">
        <v>0.34429999999999999</v>
      </c>
      <c r="E41" s="360">
        <v>9.0999999999999998E-2</v>
      </c>
    </row>
    <row r="42" spans="1:5">
      <c r="A42" s="358">
        <v>0.38</v>
      </c>
      <c r="B42" s="359">
        <v>0.27389999999999998</v>
      </c>
      <c r="C42" s="359">
        <v>0.20619999999999999</v>
      </c>
      <c r="D42" s="359">
        <v>0.34899999999999998</v>
      </c>
      <c r="E42" s="360">
        <v>9.5600000000000004E-2</v>
      </c>
    </row>
    <row r="43" spans="1:5">
      <c r="A43" s="358">
        <v>0.39</v>
      </c>
      <c r="B43" s="359">
        <v>0.28360000000000002</v>
      </c>
      <c r="C43" s="359">
        <v>0.2102</v>
      </c>
      <c r="D43" s="359">
        <v>0.35349999999999998</v>
      </c>
      <c r="E43" s="360">
        <v>0.1003</v>
      </c>
    </row>
    <row r="44" spans="1:5">
      <c r="A44" s="358">
        <v>0.4</v>
      </c>
      <c r="B44" s="359">
        <v>0.29339999999999999</v>
      </c>
      <c r="C44" s="359">
        <v>0.2142</v>
      </c>
      <c r="D44" s="359">
        <v>0.35799999999999998</v>
      </c>
      <c r="E44" s="360">
        <v>0.105</v>
      </c>
    </row>
    <row r="45" spans="1:5">
      <c r="A45" s="358">
        <v>0.41</v>
      </c>
      <c r="B45" s="359">
        <v>0.30320000000000003</v>
      </c>
      <c r="C45" s="359">
        <v>0.21820000000000001</v>
      </c>
      <c r="D45" s="359">
        <v>0.3624</v>
      </c>
      <c r="E45" s="360">
        <v>0.1099</v>
      </c>
    </row>
    <row r="46" spans="1:5">
      <c r="A46" s="358">
        <v>0.42</v>
      </c>
      <c r="B46" s="359">
        <v>0.313</v>
      </c>
      <c r="C46" s="359">
        <v>0.222</v>
      </c>
      <c r="D46" s="359">
        <v>0.36659999999999998</v>
      </c>
      <c r="E46" s="360">
        <v>0.1148</v>
      </c>
    </row>
    <row r="47" spans="1:5">
      <c r="A47" s="358">
        <v>0.43</v>
      </c>
      <c r="B47" s="359">
        <v>0.32290000000000002</v>
      </c>
      <c r="C47" s="359">
        <v>0.2258</v>
      </c>
      <c r="D47" s="359">
        <v>0.37080000000000002</v>
      </c>
      <c r="E47" s="360">
        <v>0.1197</v>
      </c>
    </row>
    <row r="48" spans="1:5">
      <c r="A48" s="358">
        <v>0.44</v>
      </c>
      <c r="B48" s="359">
        <v>0.33279999999999998</v>
      </c>
      <c r="C48" s="359">
        <v>0.22950000000000001</v>
      </c>
      <c r="D48" s="359">
        <v>0.37480000000000002</v>
      </c>
      <c r="E48" s="360">
        <v>0.12470000000000001</v>
      </c>
    </row>
    <row r="49" spans="1:5">
      <c r="A49" s="358">
        <v>0.45</v>
      </c>
      <c r="B49" s="359">
        <v>0.34279999999999999</v>
      </c>
      <c r="C49" s="359">
        <v>0.2331</v>
      </c>
      <c r="D49" s="359">
        <v>0.37869999999999998</v>
      </c>
      <c r="E49" s="360">
        <v>0.1298</v>
      </c>
    </row>
    <row r="50" spans="1:5">
      <c r="A50" s="358">
        <v>0.46</v>
      </c>
      <c r="B50" s="359">
        <v>0.35270000000000001</v>
      </c>
      <c r="C50" s="359">
        <v>0.2366</v>
      </c>
      <c r="D50" s="359">
        <v>0.38250000000000001</v>
      </c>
      <c r="E50" s="360">
        <v>0.13489999999999999</v>
      </c>
    </row>
    <row r="51" spans="1:5">
      <c r="A51" s="358">
        <v>0.47</v>
      </c>
      <c r="B51" s="359">
        <v>0.36270000000000002</v>
      </c>
      <c r="C51" s="359">
        <v>0.24010000000000001</v>
      </c>
      <c r="D51" s="359">
        <v>0.38629999999999998</v>
      </c>
      <c r="E51" s="360">
        <v>0.1401</v>
      </c>
    </row>
    <row r="52" spans="1:5">
      <c r="A52" s="358">
        <v>0.48</v>
      </c>
      <c r="B52" s="359">
        <v>0.37269999999999998</v>
      </c>
      <c r="C52" s="359">
        <v>0.24349999999999999</v>
      </c>
      <c r="D52" s="359">
        <v>0.38990000000000002</v>
      </c>
      <c r="E52" s="360">
        <v>0.14530000000000001</v>
      </c>
    </row>
    <row r="53" spans="1:5">
      <c r="A53" s="358">
        <v>0.49</v>
      </c>
      <c r="B53" s="359">
        <v>0.38269999999999998</v>
      </c>
      <c r="C53" s="359">
        <v>0.24679999999999999</v>
      </c>
      <c r="D53" s="359">
        <v>0.39340000000000003</v>
      </c>
      <c r="E53" s="360">
        <v>0.15060000000000001</v>
      </c>
    </row>
    <row r="54" spans="1:5">
      <c r="A54" s="358">
        <v>0.5</v>
      </c>
      <c r="B54" s="359">
        <v>0.39269999999999999</v>
      </c>
      <c r="C54" s="359">
        <v>0.25</v>
      </c>
      <c r="D54" s="359">
        <v>0.39679999999999999</v>
      </c>
      <c r="E54" s="360">
        <v>0.15579999999999999</v>
      </c>
    </row>
    <row r="55" spans="1:5">
      <c r="A55" s="358">
        <v>0.51</v>
      </c>
      <c r="B55" s="359">
        <v>0.4027</v>
      </c>
      <c r="C55" s="359">
        <v>0.25309999999999999</v>
      </c>
      <c r="D55" s="359">
        <v>0.4002</v>
      </c>
      <c r="E55" s="360">
        <v>0.16109999999999999</v>
      </c>
    </row>
    <row r="56" spans="1:5">
      <c r="A56" s="358">
        <v>0.52</v>
      </c>
      <c r="B56" s="359">
        <v>0.41270000000000001</v>
      </c>
      <c r="C56" s="359">
        <v>0.25619999999999998</v>
      </c>
      <c r="D56" s="359">
        <v>0.40339999999999998</v>
      </c>
      <c r="E56" s="360">
        <v>0.16650000000000001</v>
      </c>
    </row>
    <row r="57" spans="1:5">
      <c r="A57" s="358">
        <v>0.53</v>
      </c>
      <c r="B57" s="359">
        <v>0.42270000000000002</v>
      </c>
      <c r="C57" s="359">
        <v>0.25919999999999999</v>
      </c>
      <c r="D57" s="359">
        <v>0.40649999999999997</v>
      </c>
      <c r="E57" s="360">
        <v>0.17180000000000001</v>
      </c>
    </row>
    <row r="58" spans="1:5">
      <c r="A58" s="358">
        <v>0.54</v>
      </c>
      <c r="B58" s="359">
        <v>0.43269999999999997</v>
      </c>
      <c r="C58" s="359">
        <v>0.2621</v>
      </c>
      <c r="D58" s="359">
        <v>0.40949999999999998</v>
      </c>
      <c r="E58" s="360">
        <v>0.1772</v>
      </c>
    </row>
    <row r="59" spans="1:5">
      <c r="A59" s="358">
        <v>0.55000000000000004</v>
      </c>
      <c r="B59" s="359">
        <v>0.44259999999999999</v>
      </c>
      <c r="C59" s="359">
        <v>0.26490000000000002</v>
      </c>
      <c r="D59" s="359">
        <v>0.41239999999999999</v>
      </c>
      <c r="E59" s="360">
        <v>0.1825</v>
      </c>
    </row>
    <row r="60" spans="1:5">
      <c r="A60" s="358">
        <v>0.56000000000000005</v>
      </c>
      <c r="B60" s="359">
        <v>0.4526</v>
      </c>
      <c r="C60" s="359">
        <v>0.2676</v>
      </c>
      <c r="D60" s="359">
        <v>0.4153</v>
      </c>
      <c r="E60" s="360">
        <v>0.18790000000000001</v>
      </c>
    </row>
    <row r="61" spans="1:5">
      <c r="A61" s="358">
        <v>0.56999999999999995</v>
      </c>
      <c r="B61" s="359">
        <v>0.46250000000000002</v>
      </c>
      <c r="C61" s="359">
        <v>0.27029999999999998</v>
      </c>
      <c r="D61" s="359">
        <v>0.41799999999999998</v>
      </c>
      <c r="E61" s="360">
        <v>0.1933</v>
      </c>
    </row>
    <row r="62" spans="1:5">
      <c r="A62" s="358">
        <v>0.57999999999999996</v>
      </c>
      <c r="B62" s="359">
        <v>0.47239999999999999</v>
      </c>
      <c r="C62" s="359">
        <v>0.27279999999999999</v>
      </c>
      <c r="D62" s="359">
        <v>0.42059999999999997</v>
      </c>
      <c r="E62" s="360">
        <v>0.19869999999999999</v>
      </c>
    </row>
    <row r="63" spans="1:5">
      <c r="A63" s="358">
        <v>0.59</v>
      </c>
      <c r="B63" s="359">
        <v>0.48220000000000002</v>
      </c>
      <c r="C63" s="359">
        <v>0.27529999999999999</v>
      </c>
      <c r="D63" s="359">
        <v>0.42309999999999998</v>
      </c>
      <c r="E63" s="360">
        <v>0.20399999999999999</v>
      </c>
    </row>
    <row r="64" spans="1:5">
      <c r="A64" s="358">
        <v>0.6</v>
      </c>
      <c r="B64" s="359">
        <v>0.49199999999999999</v>
      </c>
      <c r="C64" s="359">
        <v>0.27760000000000001</v>
      </c>
      <c r="D64" s="359">
        <v>0.42559999999999998</v>
      </c>
      <c r="E64" s="360">
        <v>0.2094</v>
      </c>
    </row>
    <row r="65" spans="1:5">
      <c r="A65" s="358">
        <v>0.61</v>
      </c>
      <c r="B65" s="359">
        <v>0.50180000000000002</v>
      </c>
      <c r="C65" s="359">
        <v>0.27989999999999998</v>
      </c>
      <c r="D65" s="359">
        <v>0.4279</v>
      </c>
      <c r="E65" s="360">
        <v>0.2147</v>
      </c>
    </row>
    <row r="66" spans="1:5">
      <c r="A66" s="358">
        <v>0.62</v>
      </c>
      <c r="B66" s="359">
        <v>0.51149999999999995</v>
      </c>
      <c r="C66" s="359">
        <v>0.28210000000000002</v>
      </c>
      <c r="D66" s="359">
        <v>0.43009999999999998</v>
      </c>
      <c r="E66" s="360">
        <v>0.22</v>
      </c>
    </row>
    <row r="67" spans="1:5">
      <c r="A67" s="358">
        <v>0.63</v>
      </c>
      <c r="B67" s="359">
        <v>0.5212</v>
      </c>
      <c r="C67" s="359">
        <v>0.28420000000000001</v>
      </c>
      <c r="D67" s="359">
        <v>0.43230000000000002</v>
      </c>
      <c r="E67" s="360">
        <v>0.2253</v>
      </c>
    </row>
    <row r="68" spans="1:5">
      <c r="A68" s="358">
        <v>0.64</v>
      </c>
      <c r="B68" s="359">
        <v>0.53080000000000005</v>
      </c>
      <c r="C68" s="359">
        <v>0.28620000000000001</v>
      </c>
      <c r="D68" s="359">
        <v>0.43430000000000002</v>
      </c>
      <c r="E68" s="360">
        <v>0.2306</v>
      </c>
    </row>
    <row r="69" spans="1:5">
      <c r="A69" s="358">
        <v>0.65</v>
      </c>
      <c r="B69" s="359">
        <v>0.54039999999999999</v>
      </c>
      <c r="C69" s="359">
        <v>0.28810000000000002</v>
      </c>
      <c r="D69" s="359">
        <v>0.43619999999999998</v>
      </c>
      <c r="E69" s="360">
        <v>0.23580000000000001</v>
      </c>
    </row>
    <row r="70" spans="1:5">
      <c r="A70" s="358">
        <v>0.66</v>
      </c>
      <c r="B70" s="359">
        <v>0.54990000000000006</v>
      </c>
      <c r="C70" s="359">
        <v>0.28999999999999998</v>
      </c>
      <c r="D70" s="359">
        <v>0.43809999999999999</v>
      </c>
      <c r="E70" s="360">
        <v>0.2409</v>
      </c>
    </row>
    <row r="71" spans="1:5">
      <c r="A71" s="358">
        <v>0.67</v>
      </c>
      <c r="B71" s="359">
        <v>0.55940000000000001</v>
      </c>
      <c r="C71" s="359">
        <v>0.29170000000000001</v>
      </c>
      <c r="D71" s="359">
        <v>0.43980000000000002</v>
      </c>
      <c r="E71" s="360">
        <v>0.246</v>
      </c>
    </row>
    <row r="72" spans="1:5">
      <c r="A72" s="358">
        <v>0.68</v>
      </c>
      <c r="B72" s="359">
        <v>0.56869999999999998</v>
      </c>
      <c r="C72" s="359">
        <v>0.29330000000000001</v>
      </c>
      <c r="D72" s="359">
        <v>0.44140000000000001</v>
      </c>
      <c r="E72" s="360">
        <v>0.25109999999999999</v>
      </c>
    </row>
    <row r="73" spans="1:5">
      <c r="A73" s="358">
        <v>0.69</v>
      </c>
      <c r="B73" s="359">
        <v>0.57799999999999996</v>
      </c>
      <c r="C73" s="359">
        <v>0.29480000000000001</v>
      </c>
      <c r="D73" s="359">
        <v>0.44290000000000002</v>
      </c>
      <c r="E73" s="360">
        <v>0.25600000000000001</v>
      </c>
    </row>
    <row r="74" spans="1:5">
      <c r="A74" s="358">
        <v>0.7</v>
      </c>
      <c r="B74" s="359">
        <v>0.58720000000000006</v>
      </c>
      <c r="C74" s="359">
        <v>0.29620000000000002</v>
      </c>
      <c r="D74" s="359">
        <v>0.44440000000000002</v>
      </c>
      <c r="E74" s="360">
        <v>0.26090000000000002</v>
      </c>
    </row>
    <row r="75" spans="1:5">
      <c r="A75" s="358">
        <v>0.71</v>
      </c>
      <c r="B75" s="359">
        <v>0.59640000000000004</v>
      </c>
      <c r="C75" s="359">
        <v>0.29749999999999999</v>
      </c>
      <c r="D75" s="359">
        <v>0.44569999999999999</v>
      </c>
      <c r="E75" s="360">
        <v>0.26579999999999998</v>
      </c>
    </row>
    <row r="76" spans="1:5">
      <c r="A76" s="358">
        <v>0.72</v>
      </c>
      <c r="B76" s="359">
        <v>0.60540000000000005</v>
      </c>
      <c r="C76" s="359">
        <v>0.29870000000000002</v>
      </c>
      <c r="D76" s="359">
        <v>0.44690000000000002</v>
      </c>
      <c r="E76" s="360">
        <v>0.27050000000000002</v>
      </c>
    </row>
    <row r="77" spans="1:5">
      <c r="A77" s="358">
        <v>0.73</v>
      </c>
      <c r="B77" s="359">
        <v>0.61429999999999996</v>
      </c>
      <c r="C77" s="359">
        <v>0.29980000000000001</v>
      </c>
      <c r="D77" s="359">
        <v>0.44800000000000001</v>
      </c>
      <c r="E77" s="360">
        <v>0.2752</v>
      </c>
    </row>
    <row r="78" spans="1:5">
      <c r="A78" s="358">
        <v>0.74</v>
      </c>
      <c r="B78" s="359">
        <v>0.62309999999999999</v>
      </c>
      <c r="C78" s="359">
        <v>0.30080000000000001</v>
      </c>
      <c r="D78" s="359">
        <v>0.44890000000000002</v>
      </c>
      <c r="E78" s="360">
        <v>0.2797</v>
      </c>
    </row>
    <row r="79" spans="1:5">
      <c r="A79" s="358">
        <v>0.75</v>
      </c>
      <c r="B79" s="359">
        <v>0.63190000000000002</v>
      </c>
      <c r="C79" s="359">
        <v>0.30170000000000002</v>
      </c>
      <c r="D79" s="359">
        <v>0.44979999999999998</v>
      </c>
      <c r="E79" s="360">
        <v>0.28420000000000001</v>
      </c>
    </row>
    <row r="80" spans="1:5">
      <c r="A80" s="358">
        <v>0.76</v>
      </c>
      <c r="B80" s="359">
        <v>0.64049999999999996</v>
      </c>
      <c r="C80" s="359">
        <v>0.3024</v>
      </c>
      <c r="D80" s="359">
        <v>0.45050000000000001</v>
      </c>
      <c r="E80" s="360">
        <v>0.28860000000000002</v>
      </c>
    </row>
    <row r="81" spans="1:5">
      <c r="A81" s="358">
        <v>0.77</v>
      </c>
      <c r="B81" s="359">
        <v>0.64890000000000003</v>
      </c>
      <c r="C81" s="359">
        <v>0.30309999999999998</v>
      </c>
      <c r="D81" s="359">
        <v>0.45119999999999999</v>
      </c>
      <c r="E81" s="360">
        <v>0.2928</v>
      </c>
    </row>
    <row r="82" spans="1:5">
      <c r="A82" s="358">
        <v>0.78</v>
      </c>
      <c r="B82" s="359">
        <v>0.6573</v>
      </c>
      <c r="C82" s="359">
        <v>0.30359999999999998</v>
      </c>
      <c r="D82" s="359">
        <v>0.45169999999999999</v>
      </c>
      <c r="E82" s="360">
        <v>0.2969</v>
      </c>
    </row>
    <row r="83" spans="1:5">
      <c r="A83" s="358">
        <v>0.79</v>
      </c>
      <c r="B83" s="359">
        <v>0.66549999999999998</v>
      </c>
      <c r="C83" s="359">
        <v>0.3039</v>
      </c>
      <c r="D83" s="359">
        <v>0.45200000000000001</v>
      </c>
      <c r="E83" s="360">
        <v>0.30080000000000001</v>
      </c>
    </row>
    <row r="84" spans="1:5">
      <c r="A84" s="358">
        <v>0.8</v>
      </c>
      <c r="B84" s="359">
        <v>0.67359999999999998</v>
      </c>
      <c r="C84" s="359">
        <v>0.30420000000000003</v>
      </c>
      <c r="D84" s="359">
        <v>0.45229999999999998</v>
      </c>
      <c r="E84" s="360">
        <v>0.30470000000000003</v>
      </c>
    </row>
    <row r="85" spans="1:5">
      <c r="A85" s="358">
        <v>0.81</v>
      </c>
      <c r="B85" s="359">
        <v>0.68149999999999999</v>
      </c>
      <c r="C85" s="359">
        <v>0.30430000000000001</v>
      </c>
      <c r="D85" s="359">
        <v>0.45240000000000002</v>
      </c>
      <c r="E85" s="360">
        <v>0.30830000000000002</v>
      </c>
    </row>
    <row r="86" spans="1:5">
      <c r="A86" s="358">
        <v>0.82</v>
      </c>
      <c r="B86" s="359">
        <v>0.68930000000000002</v>
      </c>
      <c r="C86" s="359">
        <v>0.30430000000000001</v>
      </c>
      <c r="D86" s="359">
        <v>0.45240000000000002</v>
      </c>
      <c r="E86" s="360">
        <v>0.31180000000000002</v>
      </c>
    </row>
    <row r="87" spans="1:5">
      <c r="A87" s="358">
        <v>0.83</v>
      </c>
      <c r="B87" s="359">
        <v>0.69689999999999996</v>
      </c>
      <c r="C87" s="359">
        <v>0.30409999999999998</v>
      </c>
      <c r="D87" s="359">
        <v>0.45219999999999999</v>
      </c>
      <c r="E87" s="360">
        <v>0.31509999999999999</v>
      </c>
    </row>
    <row r="88" spans="1:5">
      <c r="A88" s="358">
        <v>0.84</v>
      </c>
      <c r="B88" s="359">
        <v>0.70430000000000004</v>
      </c>
      <c r="C88" s="359">
        <v>0.30380000000000001</v>
      </c>
      <c r="D88" s="359">
        <v>0.45190000000000002</v>
      </c>
      <c r="E88" s="360">
        <v>0.31819999999999998</v>
      </c>
    </row>
    <row r="89" spans="1:5">
      <c r="A89" s="358">
        <v>0.85</v>
      </c>
      <c r="B89" s="359">
        <v>0.71150000000000002</v>
      </c>
      <c r="C89" s="359">
        <v>0.30330000000000001</v>
      </c>
      <c r="D89" s="359">
        <v>0.45140000000000002</v>
      </c>
      <c r="E89" s="360">
        <v>0.32119999999999999</v>
      </c>
    </row>
    <row r="90" spans="1:5">
      <c r="A90" s="358">
        <v>0.86</v>
      </c>
      <c r="B90" s="359">
        <v>0.71860000000000002</v>
      </c>
      <c r="C90" s="359">
        <v>0.30259999999999998</v>
      </c>
      <c r="D90" s="359">
        <v>0.45069999999999999</v>
      </c>
      <c r="E90" s="360">
        <v>0.32390000000000002</v>
      </c>
    </row>
    <row r="91" spans="1:5">
      <c r="A91" s="358">
        <v>0.87</v>
      </c>
      <c r="B91" s="359">
        <v>0.72540000000000004</v>
      </c>
      <c r="C91" s="359">
        <v>0.30180000000000001</v>
      </c>
      <c r="D91" s="359">
        <v>0.44990000000000002</v>
      </c>
      <c r="E91" s="360">
        <v>0.32629999999999998</v>
      </c>
    </row>
    <row r="92" spans="1:5">
      <c r="A92" s="358">
        <v>0.88</v>
      </c>
      <c r="B92" s="359">
        <v>0.73199999999999998</v>
      </c>
      <c r="C92" s="359">
        <v>0.30070000000000002</v>
      </c>
      <c r="D92" s="359">
        <v>0.44890000000000002</v>
      </c>
      <c r="E92" s="360">
        <v>0.3286</v>
      </c>
    </row>
    <row r="93" spans="1:5">
      <c r="A93" s="358">
        <v>0.89</v>
      </c>
      <c r="B93" s="359">
        <v>0.73839999999999995</v>
      </c>
      <c r="C93" s="359">
        <v>0.29949999999999999</v>
      </c>
      <c r="D93" s="359">
        <v>0.4476</v>
      </c>
      <c r="E93" s="360">
        <v>0.33050000000000002</v>
      </c>
    </row>
    <row r="94" spans="1:5">
      <c r="A94" s="358">
        <v>0.9</v>
      </c>
      <c r="B94" s="359">
        <v>0.74450000000000005</v>
      </c>
      <c r="C94" s="359">
        <v>0.29799999999999999</v>
      </c>
      <c r="D94" s="359">
        <v>0.44619999999999999</v>
      </c>
      <c r="E94" s="360">
        <v>0.3322</v>
      </c>
    </row>
    <row r="95" spans="1:5">
      <c r="A95" s="358">
        <v>0.91</v>
      </c>
      <c r="B95" s="359">
        <v>0.75039999999999996</v>
      </c>
      <c r="C95" s="359">
        <v>0.29630000000000001</v>
      </c>
      <c r="D95" s="359">
        <v>0.44450000000000001</v>
      </c>
      <c r="E95" s="360">
        <v>0.33350000000000002</v>
      </c>
    </row>
    <row r="96" spans="1:5">
      <c r="A96" s="358">
        <v>0.92</v>
      </c>
      <c r="B96" s="359">
        <v>0.75600000000000001</v>
      </c>
      <c r="C96" s="359">
        <v>0.2944</v>
      </c>
      <c r="D96" s="359">
        <v>0.4425</v>
      </c>
      <c r="E96" s="360">
        <v>0.33450000000000002</v>
      </c>
    </row>
    <row r="97" spans="1:5">
      <c r="A97" s="358">
        <v>0.93</v>
      </c>
      <c r="B97" s="359">
        <v>0.76119999999999999</v>
      </c>
      <c r="C97" s="359">
        <v>0.29210000000000003</v>
      </c>
      <c r="D97" s="359">
        <v>0.44019999999999998</v>
      </c>
      <c r="E97" s="360">
        <v>0.33510000000000001</v>
      </c>
    </row>
    <row r="98" spans="1:5">
      <c r="A98" s="358">
        <v>0.94</v>
      </c>
      <c r="B98" s="359">
        <v>0.76619999999999999</v>
      </c>
      <c r="C98" s="359">
        <v>0.28949999999999998</v>
      </c>
      <c r="D98" s="359">
        <v>0.43759999999999999</v>
      </c>
      <c r="E98" s="360">
        <v>0.33529999999999999</v>
      </c>
    </row>
    <row r="99" spans="1:5">
      <c r="A99" s="358">
        <v>0.95</v>
      </c>
      <c r="B99" s="359">
        <v>0.77070000000000005</v>
      </c>
      <c r="C99" s="359">
        <v>0.28649999999999998</v>
      </c>
      <c r="D99" s="359">
        <v>0.4345</v>
      </c>
      <c r="E99" s="360">
        <v>0.33489999999999998</v>
      </c>
    </row>
    <row r="100" spans="1:5">
      <c r="A100" s="358">
        <v>0.96</v>
      </c>
      <c r="B100" s="359">
        <v>0.77490000000000003</v>
      </c>
      <c r="C100" s="359">
        <v>0.28289999999999998</v>
      </c>
      <c r="D100" s="359">
        <v>0.43090000000000001</v>
      </c>
      <c r="E100" s="360">
        <v>0.33389999999999997</v>
      </c>
    </row>
    <row r="101" spans="1:5">
      <c r="A101" s="358">
        <v>0.97</v>
      </c>
      <c r="B101" s="359">
        <v>0.77849999999999997</v>
      </c>
      <c r="C101" s="359">
        <v>0.2787</v>
      </c>
      <c r="D101" s="359">
        <v>0.42670000000000002</v>
      </c>
      <c r="E101" s="360">
        <v>0.3322</v>
      </c>
    </row>
    <row r="102" spans="1:5">
      <c r="A102" s="358">
        <v>0.98</v>
      </c>
      <c r="B102" s="359">
        <v>0.78159999999999996</v>
      </c>
      <c r="C102" s="359">
        <v>0.27350000000000002</v>
      </c>
      <c r="D102" s="359">
        <v>0.42130000000000001</v>
      </c>
      <c r="E102" s="360">
        <v>0.32929999999999998</v>
      </c>
    </row>
    <row r="103" spans="1:5">
      <c r="A103" s="358">
        <v>0.99</v>
      </c>
      <c r="B103" s="359">
        <v>0.78410000000000002</v>
      </c>
      <c r="C103" s="359">
        <v>0.2666</v>
      </c>
      <c r="D103" s="359">
        <v>0.41420000000000001</v>
      </c>
      <c r="E103" s="360">
        <v>0.32469999999999999</v>
      </c>
    </row>
    <row r="104" spans="1:5">
      <c r="A104" s="358">
        <v>1</v>
      </c>
      <c r="B104" s="359">
        <v>0.78539999999999999</v>
      </c>
      <c r="C104" s="359">
        <v>0.25</v>
      </c>
      <c r="D104" s="359">
        <v>0.39679999999999999</v>
      </c>
      <c r="E104" s="360">
        <v>0.31169999999999998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4A939A6552054AB750BC5B57268889" ma:contentTypeVersion="17" ma:contentTypeDescription="Crie um novo documento." ma:contentTypeScope="" ma:versionID="c1aa5b8a3ee0b90c09c053e6b7944f15">
  <xsd:schema xmlns:xsd="http://www.w3.org/2001/XMLSchema" xmlns:xs="http://www.w3.org/2001/XMLSchema" xmlns:p="http://schemas.microsoft.com/office/2006/metadata/properties" xmlns:ns2="7a48e912-c938-4678-81ca-2f53026b198f" xmlns:ns3="6840ac6f-9ae5-454b-b943-7929afa68ef6" targetNamespace="http://schemas.microsoft.com/office/2006/metadata/properties" ma:root="true" ma:fieldsID="3d6f5af0bc2710517cc91dfc0aaedb58" ns2:_="" ns3:_="">
    <xsd:import namespace="7a48e912-c938-4678-81ca-2f53026b198f"/>
    <xsd:import namespace="6840ac6f-9ae5-454b-b943-7929afa68e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48e912-c938-4678-81ca-2f53026b19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1919c18-fb34-4e7d-90c9-46169c1ceb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40ac6f-9ae5-454b-b943-7929afa68ef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09a90d7-351a-4c55-9bb2-c3a57998fb5f}" ma:internalName="TaxCatchAll" ma:showField="CatchAllData" ma:web="6840ac6f-9ae5-454b-b943-7929afa68e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D8565A-40F4-4CB6-BF5B-8ED526DEAE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9B8E4B-AD12-47A8-9FC7-F8C336C5F2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48e912-c938-4678-81ca-2f53026b198f"/>
    <ds:schemaRef ds:uri="6840ac6f-9ae5-454b-b943-7929afa68e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31</vt:i4>
      </vt:variant>
      <vt:variant>
        <vt:lpstr>Intervalos Nomeados</vt:lpstr>
      </vt:variant>
      <vt:variant>
        <vt:i4>19</vt:i4>
      </vt:variant>
    </vt:vector>
  </HeadingPairs>
  <TitlesOfParts>
    <vt:vector size="50" baseType="lpstr">
      <vt:lpstr>BC01 (RAC)</vt:lpstr>
      <vt:lpstr>PERFIL BC01</vt:lpstr>
      <vt:lpstr>BC02 (RAC)</vt:lpstr>
      <vt:lpstr>PERFIL BC02</vt:lpstr>
      <vt:lpstr>BC03 (RAC-MOD)</vt:lpstr>
      <vt:lpstr>PERFIL BC03</vt:lpstr>
      <vt:lpstr>BC04 (RAC-MOD)</vt:lpstr>
      <vt:lpstr>PERFIL BC04</vt:lpstr>
      <vt:lpstr>BC05 (RAC-MOD)</vt:lpstr>
      <vt:lpstr>PERFIL BC05</vt:lpstr>
      <vt:lpstr>BC06 (HUT)</vt:lpstr>
      <vt:lpstr>PERFIL BC06 (HUT)</vt:lpstr>
      <vt:lpstr>BC07 (RAC-MOD)</vt:lpstr>
      <vt:lpstr>PERFIL BC07</vt:lpstr>
      <vt:lpstr>BC08 (RAC-MOD)</vt:lpstr>
      <vt:lpstr>PERFIL BC08</vt:lpstr>
      <vt:lpstr>BC09 (HUT)</vt:lpstr>
      <vt:lpstr>PERFIL BC09 (HUT)</vt:lpstr>
      <vt:lpstr>BC10 (RAC)</vt:lpstr>
      <vt:lpstr>PERFIL BC10</vt:lpstr>
      <vt:lpstr>BC11 (RAC)</vt:lpstr>
      <vt:lpstr>PERFIL BC11</vt:lpstr>
      <vt:lpstr>BC12 (RAC)</vt:lpstr>
      <vt:lpstr>PERFIL BC12</vt:lpstr>
      <vt:lpstr>Apresentação  - Est. Hid.</vt:lpstr>
      <vt:lpstr>Cadastro das Obras</vt:lpstr>
      <vt:lpstr>Base_Bueiros</vt:lpstr>
      <vt:lpstr>Tabela_DEB</vt:lpstr>
      <vt:lpstr>AUX BACIAS</vt:lpstr>
      <vt:lpstr>C_CN_IP03</vt:lpstr>
      <vt:lpstr>Tab18</vt:lpstr>
      <vt:lpstr>'Apresentação  - Est. Hid.'!Area_de_impressao</vt:lpstr>
      <vt:lpstr>'BC01 (RAC)'!Area_de_impressao</vt:lpstr>
      <vt:lpstr>'BC02 (RAC)'!Area_de_impressao</vt:lpstr>
      <vt:lpstr>'BC03 (RAC-MOD)'!Area_de_impressao</vt:lpstr>
      <vt:lpstr>'BC04 (RAC-MOD)'!Area_de_impressao</vt:lpstr>
      <vt:lpstr>'BC05 (RAC-MOD)'!Area_de_impressao</vt:lpstr>
      <vt:lpstr>'BC06 (HUT)'!Area_de_impressao</vt:lpstr>
      <vt:lpstr>'BC07 (RAC-MOD)'!Area_de_impressao</vt:lpstr>
      <vt:lpstr>'BC08 (RAC-MOD)'!Area_de_impressao</vt:lpstr>
      <vt:lpstr>'BC09 (HUT)'!Area_de_impressao</vt:lpstr>
      <vt:lpstr>'BC10 (RAC)'!Area_de_impressao</vt:lpstr>
      <vt:lpstr>'BC11 (RAC)'!Area_de_impressao</vt:lpstr>
      <vt:lpstr>'BC12 (RAC)'!Area_de_impressao</vt:lpstr>
      <vt:lpstr>'Cadastro das Obras'!Area_de_impressao</vt:lpstr>
      <vt:lpstr>'PERFIL BC03'!Area_de_impressao</vt:lpstr>
      <vt:lpstr>'PERFIL BC04'!Area_de_impressao</vt:lpstr>
      <vt:lpstr>'PERFIL BC05'!Area_de_impressao</vt:lpstr>
      <vt:lpstr>'PERFIL BC07'!Area_de_impressao</vt:lpstr>
      <vt:lpstr>'PERFIL BC08'!Area_de_impressao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</dc:creator>
  <cp:lastModifiedBy>Usuario</cp:lastModifiedBy>
  <cp:lastPrinted>2026-04-27T18:15:23Z</cp:lastPrinted>
  <dcterms:created xsi:type="dcterms:W3CDTF">2023-02-24T20:34:21Z</dcterms:created>
  <dcterms:modified xsi:type="dcterms:W3CDTF">2026-10-19T17:36:26Z</dcterms:modified>
</cp:coreProperties>
</file>