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17637\Desktop\100Devs\Python\"/>
    </mc:Choice>
  </mc:AlternateContent>
  <xr:revisionPtr revIDLastSave="0" documentId="13_ncr:1_{F66FBFC5-83A3-47F8-B6D3-58E8BCA14F4E}" xr6:coauthVersionLast="47" xr6:coauthVersionMax="47" xr10:uidLastSave="{00000000-0000-0000-0000-000000000000}"/>
  <bookViews>
    <workbookView xWindow="-120" yWindow="-120" windowWidth="20730" windowHeight="11040" xr2:uid="{00000000-000D-0000-FFFF-FFFF00000000}"/>
  </bookViews>
  <sheets>
    <sheet name="(2.0) Round 6" sheetId="1" r:id="rId1"/>
    <sheet name="(2.0) Round 5" sheetId="2" r:id="rId2"/>
    <sheet name="(2.0) Round 4" sheetId="3" r:id="rId3"/>
    <sheet name="(2.0) Round 3" sheetId="4" r:id="rId4"/>
    <sheet name="(2.0) Round 2" sheetId="5" r:id="rId5"/>
    <sheet name="(2.0) Round 1" sheetId="6" r:id="rId6"/>
    <sheet name="Analytics" sheetId="7" r:id="rId7"/>
    <sheet name="Film Master List" sheetId="8" r:id="rId8"/>
    <sheet name="Round 20" sheetId="9" r:id="rId9"/>
    <sheet name="Round 19" sheetId="10" r:id="rId10"/>
    <sheet name="Round 18" sheetId="11" r:id="rId11"/>
    <sheet name="Round 17" sheetId="12" r:id="rId12"/>
    <sheet name="Round 16" sheetId="13" r:id="rId13"/>
    <sheet name="Round 15" sheetId="14" r:id="rId14"/>
    <sheet name="Round 14" sheetId="15" r:id="rId15"/>
    <sheet name="Round 13" sheetId="16" r:id="rId16"/>
    <sheet name="Round 12" sheetId="17" r:id="rId17"/>
    <sheet name="Round 11" sheetId="18" r:id="rId18"/>
    <sheet name="Round 10" sheetId="19" r:id="rId19"/>
    <sheet name="Round 9" sheetId="20" r:id="rId20"/>
    <sheet name="Round 8" sheetId="21" r:id="rId21"/>
    <sheet name="Round 7" sheetId="22" r:id="rId22"/>
    <sheet name="Round 6" sheetId="23" r:id="rId23"/>
    <sheet name="Round 5" sheetId="24" r:id="rId24"/>
    <sheet name="Round 4" sheetId="25" r:id="rId25"/>
    <sheet name="Round 3" sheetId="26" r:id="rId26"/>
    <sheet name="Round 2" sheetId="27" r:id="rId27"/>
    <sheet name="Round 1" sheetId="28" r:id="rId28"/>
    <sheet name="Top 500 Unseen" sheetId="29" r:id="rId29"/>
    <sheet name="Jeffs Stats" sheetId="30" r:id="rId30"/>
    <sheet name="Danny’s Stats" sheetId="31" r:id="rId31"/>
    <sheet name="Jons Stats" sheetId="32" r:id="rId32"/>
    <sheet name="Pats Stats" sheetId="33" r:id="rId33"/>
    <sheet name="Reviews" sheetId="34" r:id="rId34"/>
    <sheet name="Source" sheetId="35" r:id="rId35"/>
  </sheets>
  <definedNames>
    <definedName name="_xlnm._FilterDatabase" localSheetId="6" hidden="1">Analytics!$A$1:$DO$105</definedName>
    <definedName name="_xlnm._FilterDatabase" localSheetId="30" hidden="1">'Danny’s Stats'!$A$4:$BF$60</definedName>
    <definedName name="_xlnm._FilterDatabase" localSheetId="7" hidden="1">'Film Master List'!$B$2:$Y$683</definedName>
    <definedName name="_xlnm._FilterDatabase" localSheetId="29" hidden="1">'Jeffs Stats'!$A$4:$Z$70</definedName>
    <definedName name="_xlnm._FilterDatabase" localSheetId="31" hidden="1">'Jons Stats'!$A$4:$C$60</definedName>
    <definedName name="_xlnm._FilterDatabase" localSheetId="32" hidden="1">'Pats Stats'!$A$4:$Z$60</definedName>
    <definedName name="_xlnm._FilterDatabase" localSheetId="28" hidden="1">'Top 500 Unseen'!$A$2:$C$382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1" i="33" l="1"/>
  <c r="G70" i="33" s="1"/>
  <c r="C70" i="33"/>
  <c r="G68" i="33"/>
  <c r="G67" i="33"/>
  <c r="G65" i="33"/>
  <c r="G64" i="33"/>
  <c r="G63" i="33"/>
  <c r="F71" i="32"/>
  <c r="G70" i="32"/>
  <c r="G69" i="32"/>
  <c r="C69" i="32"/>
  <c r="G68" i="32"/>
  <c r="C68" i="32"/>
  <c r="G67" i="32"/>
  <c r="C67" i="32"/>
  <c r="G66" i="32"/>
  <c r="C66" i="32"/>
  <c r="G65" i="32"/>
  <c r="C65" i="32"/>
  <c r="G64" i="32"/>
  <c r="C64" i="32"/>
  <c r="G63" i="32"/>
  <c r="C63" i="32"/>
  <c r="C70" i="32" s="1"/>
  <c r="F71" i="31"/>
  <c r="G70" i="31"/>
  <c r="G69" i="31"/>
  <c r="C69" i="31"/>
  <c r="G68" i="31"/>
  <c r="C68" i="31"/>
  <c r="G67" i="31"/>
  <c r="C67" i="31"/>
  <c r="G66" i="31"/>
  <c r="C66" i="31"/>
  <c r="G65" i="31"/>
  <c r="C65" i="31"/>
  <c r="G64" i="31"/>
  <c r="C64" i="31"/>
  <c r="G63" i="31"/>
  <c r="C63" i="31"/>
  <c r="C70" i="31" s="1"/>
  <c r="F94" i="30"/>
  <c r="G75" i="30" s="1"/>
  <c r="G92" i="30"/>
  <c r="C92" i="30"/>
  <c r="G78" i="30"/>
  <c r="G77" i="30"/>
  <c r="G76" i="30"/>
  <c r="G74" i="30"/>
  <c r="G73" i="30"/>
  <c r="G72" i="30"/>
  <c r="C339" i="29"/>
  <c r="B339" i="29"/>
  <c r="A339" i="29"/>
  <c r="C338" i="29"/>
  <c r="B338" i="29"/>
  <c r="A338" i="29"/>
  <c r="C337" i="29"/>
  <c r="B337" i="29"/>
  <c r="A337" i="29"/>
  <c r="C336" i="29"/>
  <c r="B336" i="29"/>
  <c r="A336" i="29"/>
  <c r="C335" i="29"/>
  <c r="B335" i="29"/>
  <c r="A335" i="29"/>
  <c r="C334" i="29"/>
  <c r="B334" i="29"/>
  <c r="A334" i="29"/>
  <c r="C333" i="29"/>
  <c r="B333" i="29"/>
  <c r="A333" i="29"/>
  <c r="C332" i="29"/>
  <c r="B332" i="29"/>
  <c r="A332" i="29"/>
  <c r="C331" i="29"/>
  <c r="B331" i="29"/>
  <c r="A331" i="29"/>
  <c r="C330" i="29"/>
  <c r="B330" i="29"/>
  <c r="A330" i="29"/>
  <c r="C329" i="29"/>
  <c r="B329" i="29"/>
  <c r="A329" i="29"/>
  <c r="C328" i="29"/>
  <c r="B328" i="29"/>
  <c r="A328" i="29"/>
  <c r="C327" i="29"/>
  <c r="B327" i="29"/>
  <c r="A327" i="29"/>
  <c r="C326" i="29"/>
  <c r="B326" i="29"/>
  <c r="A326" i="29"/>
  <c r="C325" i="29"/>
  <c r="B325" i="29"/>
  <c r="A325" i="29"/>
  <c r="C324" i="29"/>
  <c r="B324" i="29"/>
  <c r="A324" i="29"/>
  <c r="C323" i="29"/>
  <c r="B323" i="29"/>
  <c r="A323" i="29"/>
  <c r="C322" i="29"/>
  <c r="B322" i="29"/>
  <c r="A322" i="29"/>
  <c r="C321" i="29"/>
  <c r="B321" i="29"/>
  <c r="A321" i="29"/>
  <c r="C320" i="29"/>
  <c r="B320" i="29"/>
  <c r="A320" i="29"/>
  <c r="C319" i="29"/>
  <c r="B319" i="29"/>
  <c r="A319" i="29"/>
  <c r="C318" i="29"/>
  <c r="B318" i="29"/>
  <c r="A318" i="29"/>
  <c r="C317" i="29"/>
  <c r="B317" i="29"/>
  <c r="A317" i="29"/>
  <c r="C316" i="29"/>
  <c r="B316" i="29"/>
  <c r="A316" i="29"/>
  <c r="C315" i="29"/>
  <c r="B315" i="29"/>
  <c r="A315" i="29"/>
  <c r="C314" i="29"/>
  <c r="B314" i="29"/>
  <c r="A314" i="29"/>
  <c r="C313" i="29"/>
  <c r="B313" i="29"/>
  <c r="A313" i="29"/>
  <c r="C312" i="29"/>
  <c r="B312" i="29"/>
  <c r="A312" i="29"/>
  <c r="C311" i="29"/>
  <c r="B311" i="29"/>
  <c r="A311" i="29"/>
  <c r="C310" i="29"/>
  <c r="B310" i="29"/>
  <c r="A310" i="29"/>
  <c r="C309" i="29"/>
  <c r="B309" i="29"/>
  <c r="A309" i="29"/>
  <c r="C308" i="29"/>
  <c r="B308" i="29"/>
  <c r="A308" i="29"/>
  <c r="C307" i="29"/>
  <c r="B307" i="29"/>
  <c r="A307" i="29"/>
  <c r="C306" i="29"/>
  <c r="B306" i="29"/>
  <c r="A306" i="29"/>
  <c r="C305" i="29"/>
  <c r="B305" i="29"/>
  <c r="A305" i="29"/>
  <c r="C304" i="29"/>
  <c r="B304" i="29"/>
  <c r="A304" i="29"/>
  <c r="C303" i="29"/>
  <c r="B303" i="29"/>
  <c r="A303" i="29"/>
  <c r="C302" i="29"/>
  <c r="B302" i="29"/>
  <c r="A302" i="29"/>
  <c r="C301" i="29"/>
  <c r="B301" i="29"/>
  <c r="A301" i="29"/>
  <c r="C300" i="29"/>
  <c r="B300" i="29"/>
  <c r="A300" i="29"/>
  <c r="C299" i="29"/>
  <c r="B299" i="29"/>
  <c r="A299" i="29"/>
  <c r="C298" i="29"/>
  <c r="B298" i="29"/>
  <c r="A298" i="29"/>
  <c r="C297" i="29"/>
  <c r="B297" i="29"/>
  <c r="A297" i="29"/>
  <c r="C296" i="29"/>
  <c r="B296" i="29"/>
  <c r="A296" i="29"/>
  <c r="C295" i="29"/>
  <c r="B295" i="29"/>
  <c r="A295" i="29"/>
  <c r="C294" i="29"/>
  <c r="B294" i="29"/>
  <c r="A294" i="29"/>
  <c r="C293" i="29"/>
  <c r="B293" i="29"/>
  <c r="A293" i="29"/>
  <c r="C292" i="29"/>
  <c r="B292" i="29"/>
  <c r="A292" i="29"/>
  <c r="C291" i="29"/>
  <c r="B291" i="29"/>
  <c r="A291" i="29"/>
  <c r="C290" i="29"/>
  <c r="B290" i="29"/>
  <c r="A290" i="29"/>
  <c r="C289" i="29"/>
  <c r="B289" i="29"/>
  <c r="A289" i="29"/>
  <c r="C288" i="29"/>
  <c r="B288" i="29"/>
  <c r="A288" i="29"/>
  <c r="C287" i="29"/>
  <c r="B287" i="29"/>
  <c r="A287" i="29"/>
  <c r="C286" i="29"/>
  <c r="B286" i="29"/>
  <c r="A286" i="29"/>
  <c r="C285" i="29"/>
  <c r="B285" i="29"/>
  <c r="A285" i="29"/>
  <c r="C284" i="29"/>
  <c r="B284" i="29"/>
  <c r="A284" i="29"/>
  <c r="C283" i="29"/>
  <c r="B283" i="29"/>
  <c r="A283" i="29"/>
  <c r="C282" i="29"/>
  <c r="B282" i="29"/>
  <c r="A282" i="29"/>
  <c r="C281" i="29"/>
  <c r="B281" i="29"/>
  <c r="A281" i="29"/>
  <c r="C280" i="29"/>
  <c r="B280" i="29"/>
  <c r="A280" i="29"/>
  <c r="C279" i="29"/>
  <c r="B279" i="29"/>
  <c r="A279" i="29"/>
  <c r="C278" i="29"/>
  <c r="B278" i="29"/>
  <c r="A278" i="29"/>
  <c r="C277" i="29"/>
  <c r="B277" i="29"/>
  <c r="A277" i="29"/>
  <c r="C276" i="29"/>
  <c r="B276" i="29"/>
  <c r="A276" i="29"/>
  <c r="C275" i="29"/>
  <c r="B275" i="29"/>
  <c r="A275" i="29"/>
  <c r="C274" i="29"/>
  <c r="B274" i="29"/>
  <c r="A274" i="29"/>
  <c r="C273" i="29"/>
  <c r="B273" i="29"/>
  <c r="A273" i="29"/>
  <c r="C272" i="29"/>
  <c r="B272" i="29"/>
  <c r="A272" i="29"/>
  <c r="C271" i="29"/>
  <c r="B271" i="29"/>
  <c r="A271" i="29"/>
  <c r="C270" i="29"/>
  <c r="B270" i="29"/>
  <c r="A270" i="29"/>
  <c r="C269" i="29"/>
  <c r="B269" i="29"/>
  <c r="A269" i="29"/>
  <c r="C268" i="29"/>
  <c r="B268" i="29"/>
  <c r="A268" i="29"/>
  <c r="C267" i="29"/>
  <c r="B267" i="29"/>
  <c r="A267" i="29"/>
  <c r="C266" i="29"/>
  <c r="B266" i="29"/>
  <c r="A266" i="29"/>
  <c r="C265" i="29"/>
  <c r="B265" i="29"/>
  <c r="A265" i="29"/>
  <c r="C264" i="29"/>
  <c r="B264" i="29"/>
  <c r="A264" i="29"/>
  <c r="C263" i="29"/>
  <c r="B263" i="29"/>
  <c r="A263" i="29"/>
  <c r="C262" i="29"/>
  <c r="B262" i="29"/>
  <c r="A262" i="29"/>
  <c r="C261" i="29"/>
  <c r="B261" i="29"/>
  <c r="A261" i="29"/>
  <c r="C260" i="29"/>
  <c r="B260" i="29"/>
  <c r="A260" i="29"/>
  <c r="C259" i="29"/>
  <c r="B259" i="29"/>
  <c r="A259" i="29"/>
  <c r="C258" i="29"/>
  <c r="B258" i="29"/>
  <c r="A258" i="29"/>
  <c r="C257" i="29"/>
  <c r="B257" i="29"/>
  <c r="A257" i="29"/>
  <c r="C256" i="29"/>
  <c r="B256" i="29"/>
  <c r="A256" i="29"/>
  <c r="C255" i="29"/>
  <c r="B255" i="29"/>
  <c r="A255" i="29"/>
  <c r="C254" i="29"/>
  <c r="B254" i="29"/>
  <c r="A254" i="29"/>
  <c r="C253" i="29"/>
  <c r="B253" i="29"/>
  <c r="A253" i="29"/>
  <c r="C252" i="29"/>
  <c r="B252" i="29"/>
  <c r="A252" i="29"/>
  <c r="C251" i="29"/>
  <c r="B251" i="29"/>
  <c r="A251" i="29"/>
  <c r="C250" i="29"/>
  <c r="B250" i="29"/>
  <c r="A250" i="29"/>
  <c r="C249" i="29"/>
  <c r="B249" i="29"/>
  <c r="A249" i="29"/>
  <c r="C248" i="29"/>
  <c r="B248" i="29"/>
  <c r="A248" i="29"/>
  <c r="C247" i="29"/>
  <c r="B247" i="29"/>
  <c r="A247" i="29"/>
  <c r="C246" i="29"/>
  <c r="B246" i="29"/>
  <c r="A246" i="29"/>
  <c r="C245" i="29"/>
  <c r="B245" i="29"/>
  <c r="A245" i="29"/>
  <c r="C244" i="29"/>
  <c r="B244" i="29"/>
  <c r="A244" i="29"/>
  <c r="C243" i="29"/>
  <c r="B243" i="29"/>
  <c r="A243" i="29"/>
  <c r="C242" i="29"/>
  <c r="B242" i="29"/>
  <c r="A242" i="29"/>
  <c r="C241" i="29"/>
  <c r="B241" i="29"/>
  <c r="A241" i="29"/>
  <c r="C240" i="29"/>
  <c r="B240" i="29"/>
  <c r="A240" i="29"/>
  <c r="C239" i="29"/>
  <c r="B239" i="29"/>
  <c r="A239" i="29"/>
  <c r="C238" i="29"/>
  <c r="B238" i="29"/>
  <c r="A238" i="29"/>
  <c r="C237" i="29"/>
  <c r="B237" i="29"/>
  <c r="A237" i="29"/>
  <c r="C236" i="29"/>
  <c r="B236" i="29"/>
  <c r="A236" i="29"/>
  <c r="C235" i="29"/>
  <c r="B235" i="29"/>
  <c r="A235" i="29"/>
  <c r="C234" i="29"/>
  <c r="B234" i="29"/>
  <c r="A234" i="29"/>
  <c r="C233" i="29"/>
  <c r="B233" i="29"/>
  <c r="A233" i="29"/>
  <c r="C232" i="29"/>
  <c r="B232" i="29"/>
  <c r="A232" i="29"/>
  <c r="C231" i="29"/>
  <c r="B231" i="29"/>
  <c r="A231" i="29"/>
  <c r="C230" i="29"/>
  <c r="B230" i="29"/>
  <c r="A230" i="29"/>
  <c r="C229" i="29"/>
  <c r="B229" i="29"/>
  <c r="A229" i="29"/>
  <c r="C228" i="29"/>
  <c r="B228" i="29"/>
  <c r="A228" i="29"/>
  <c r="C227" i="29"/>
  <c r="B227" i="29"/>
  <c r="A227" i="29"/>
  <c r="C226" i="29"/>
  <c r="B226" i="29"/>
  <c r="A226" i="29"/>
  <c r="C225" i="29"/>
  <c r="B225" i="29"/>
  <c r="A225" i="29"/>
  <c r="C224" i="29"/>
  <c r="B224" i="29"/>
  <c r="A224" i="29"/>
  <c r="C223" i="29"/>
  <c r="B223" i="29"/>
  <c r="A223" i="29"/>
  <c r="C222" i="29"/>
  <c r="B222" i="29"/>
  <c r="A222" i="29"/>
  <c r="C221" i="29"/>
  <c r="B221" i="29"/>
  <c r="A221" i="29"/>
  <c r="C220" i="29"/>
  <c r="B220" i="29"/>
  <c r="A220" i="29"/>
  <c r="C219" i="29"/>
  <c r="B219" i="29"/>
  <c r="A219" i="29"/>
  <c r="C218" i="29"/>
  <c r="B218" i="29"/>
  <c r="A218" i="29"/>
  <c r="C217" i="29"/>
  <c r="B217" i="29"/>
  <c r="A217" i="29"/>
  <c r="C216" i="29"/>
  <c r="B216" i="29"/>
  <c r="A216" i="29"/>
  <c r="C215" i="29"/>
  <c r="B215" i="29"/>
  <c r="A215" i="29"/>
  <c r="C214" i="29"/>
  <c r="B214" i="29"/>
  <c r="A214" i="29"/>
  <c r="C213" i="29"/>
  <c r="B213" i="29"/>
  <c r="A213" i="29"/>
  <c r="C212" i="29"/>
  <c r="B212" i="29"/>
  <c r="A212" i="29"/>
  <c r="C211" i="29"/>
  <c r="B211" i="29"/>
  <c r="A211" i="29"/>
  <c r="C210" i="29"/>
  <c r="B210" i="29"/>
  <c r="A210" i="29"/>
  <c r="C209" i="29"/>
  <c r="B209" i="29"/>
  <c r="A209" i="29"/>
  <c r="C208" i="29"/>
  <c r="B208" i="29"/>
  <c r="A208" i="29"/>
  <c r="C207" i="29"/>
  <c r="B207" i="29"/>
  <c r="A207" i="29"/>
  <c r="C206" i="29"/>
  <c r="B206" i="29"/>
  <c r="A206" i="29"/>
  <c r="C205" i="29"/>
  <c r="B205" i="29"/>
  <c r="A205" i="29"/>
  <c r="C204" i="29"/>
  <c r="B204" i="29"/>
  <c r="A204" i="29"/>
  <c r="C203" i="29"/>
  <c r="B203" i="29"/>
  <c r="A203" i="29"/>
  <c r="C202" i="29"/>
  <c r="B202" i="29"/>
  <c r="A202" i="29"/>
  <c r="C201" i="29"/>
  <c r="B201" i="29"/>
  <c r="A201" i="29"/>
  <c r="C200" i="29"/>
  <c r="B200" i="29"/>
  <c r="A200" i="29"/>
  <c r="C199" i="29"/>
  <c r="B199" i="29"/>
  <c r="A199" i="29"/>
  <c r="C198" i="29"/>
  <c r="B198" i="29"/>
  <c r="A198" i="29"/>
  <c r="C197" i="29"/>
  <c r="B197" i="29"/>
  <c r="A197" i="29"/>
  <c r="C196" i="29"/>
  <c r="B196" i="29"/>
  <c r="A196" i="29"/>
  <c r="C195" i="29"/>
  <c r="B195" i="29"/>
  <c r="A195" i="29"/>
  <c r="C194" i="29"/>
  <c r="B194" i="29"/>
  <c r="A194" i="29"/>
  <c r="C193" i="29"/>
  <c r="B193" i="29"/>
  <c r="A193" i="29"/>
  <c r="C192" i="29"/>
  <c r="B192" i="29"/>
  <c r="A192" i="29"/>
  <c r="C191" i="29"/>
  <c r="B191" i="29"/>
  <c r="A191" i="29"/>
  <c r="C190" i="29"/>
  <c r="B190" i="29"/>
  <c r="A190" i="29"/>
  <c r="C189" i="29"/>
  <c r="B189" i="29"/>
  <c r="A189" i="29"/>
  <c r="C188" i="29"/>
  <c r="B188" i="29"/>
  <c r="A188" i="29"/>
  <c r="C187" i="29"/>
  <c r="B187" i="29"/>
  <c r="A187" i="29"/>
  <c r="C186" i="29"/>
  <c r="B186" i="29"/>
  <c r="A186" i="29"/>
  <c r="C185" i="29"/>
  <c r="B185" i="29"/>
  <c r="A185" i="29"/>
  <c r="C184" i="29"/>
  <c r="B184" i="29"/>
  <c r="A184" i="29"/>
  <c r="C183" i="29"/>
  <c r="B183" i="29"/>
  <c r="A183" i="29"/>
  <c r="C182" i="29"/>
  <c r="B182" i="29"/>
  <c r="A182" i="29"/>
  <c r="C181" i="29"/>
  <c r="B181" i="29"/>
  <c r="A181" i="29"/>
  <c r="C180" i="29"/>
  <c r="B180" i="29"/>
  <c r="A180" i="29"/>
  <c r="C179" i="29"/>
  <c r="B179" i="29"/>
  <c r="A179" i="29"/>
  <c r="C178" i="29"/>
  <c r="B178" i="29"/>
  <c r="A178" i="29"/>
  <c r="C177" i="29"/>
  <c r="B177" i="29"/>
  <c r="A177" i="29"/>
  <c r="C176" i="29"/>
  <c r="B176" i="29"/>
  <c r="A176" i="29"/>
  <c r="C175" i="29"/>
  <c r="B175" i="29"/>
  <c r="A175" i="29"/>
  <c r="C174" i="29"/>
  <c r="B174" i="29"/>
  <c r="A174" i="29"/>
  <c r="C173" i="29"/>
  <c r="B173" i="29"/>
  <c r="A173" i="29"/>
  <c r="C172" i="29"/>
  <c r="B172" i="29"/>
  <c r="A172" i="29"/>
  <c r="C171" i="29"/>
  <c r="B171" i="29"/>
  <c r="A171" i="29"/>
  <c r="C170" i="29"/>
  <c r="B170" i="29"/>
  <c r="A170" i="29"/>
  <c r="C169" i="29"/>
  <c r="B169" i="29"/>
  <c r="A169" i="29"/>
  <c r="C168" i="29"/>
  <c r="B168" i="29"/>
  <c r="A168" i="29"/>
  <c r="C167" i="29"/>
  <c r="B167" i="29"/>
  <c r="A167" i="29"/>
  <c r="C166" i="29"/>
  <c r="B166" i="29"/>
  <c r="A166" i="29"/>
  <c r="C165" i="29"/>
  <c r="B165" i="29"/>
  <c r="A165" i="29"/>
  <c r="C164" i="29"/>
  <c r="B164" i="29"/>
  <c r="A164" i="29"/>
  <c r="C163" i="29"/>
  <c r="B163" i="29"/>
  <c r="A163" i="29"/>
  <c r="C162" i="29"/>
  <c r="B162" i="29"/>
  <c r="A162" i="29"/>
  <c r="C161" i="29"/>
  <c r="B161" i="29"/>
  <c r="A161" i="29"/>
  <c r="C160" i="29"/>
  <c r="B160" i="29"/>
  <c r="A160" i="29"/>
  <c r="C159" i="29"/>
  <c r="B159" i="29"/>
  <c r="A159" i="29"/>
  <c r="C158" i="29"/>
  <c r="B158" i="29"/>
  <c r="A158" i="29"/>
  <c r="C157" i="29"/>
  <c r="B157" i="29"/>
  <c r="A157" i="29"/>
  <c r="C156" i="29"/>
  <c r="B156" i="29"/>
  <c r="A156" i="29"/>
  <c r="C155" i="29"/>
  <c r="B155" i="29"/>
  <c r="A155" i="29"/>
  <c r="C154" i="29"/>
  <c r="B154" i="29"/>
  <c r="A154" i="29"/>
  <c r="C153" i="29"/>
  <c r="B153" i="29"/>
  <c r="A153" i="29"/>
  <c r="C152" i="29"/>
  <c r="B152" i="29"/>
  <c r="A152" i="29"/>
  <c r="C151" i="29"/>
  <c r="B151" i="29"/>
  <c r="A151" i="29"/>
  <c r="C150" i="29"/>
  <c r="B150" i="29"/>
  <c r="A150" i="29"/>
  <c r="C149" i="29"/>
  <c r="B149" i="29"/>
  <c r="A149" i="29"/>
  <c r="C148" i="29"/>
  <c r="B148" i="29"/>
  <c r="A148" i="29"/>
  <c r="C147" i="29"/>
  <c r="B147" i="29"/>
  <c r="A147" i="29"/>
  <c r="C146" i="29"/>
  <c r="B146" i="29"/>
  <c r="A146" i="29"/>
  <c r="C145" i="29"/>
  <c r="B145" i="29"/>
  <c r="A145" i="29"/>
  <c r="C144" i="29"/>
  <c r="B144" i="29"/>
  <c r="A144" i="29"/>
  <c r="C143" i="29"/>
  <c r="B143" i="29"/>
  <c r="A143" i="29"/>
  <c r="C142" i="29"/>
  <c r="B142" i="29"/>
  <c r="A142" i="29"/>
  <c r="C141" i="29"/>
  <c r="B141" i="29"/>
  <c r="A141" i="29"/>
  <c r="C140" i="29"/>
  <c r="B140" i="29"/>
  <c r="A140" i="29"/>
  <c r="C139" i="29"/>
  <c r="B139" i="29"/>
  <c r="A139" i="29"/>
  <c r="C138" i="29"/>
  <c r="B138" i="29"/>
  <c r="A138" i="29"/>
  <c r="C137" i="29"/>
  <c r="B137" i="29"/>
  <c r="A137" i="29"/>
  <c r="C136" i="29"/>
  <c r="B136" i="29"/>
  <c r="A136" i="29"/>
  <c r="C135" i="29"/>
  <c r="B135" i="29"/>
  <c r="A135" i="29"/>
  <c r="C134" i="29"/>
  <c r="B134" i="29"/>
  <c r="A134" i="29"/>
  <c r="C133" i="29"/>
  <c r="B133" i="29"/>
  <c r="A133" i="29"/>
  <c r="C132" i="29"/>
  <c r="B132" i="29"/>
  <c r="A132" i="29"/>
  <c r="C131" i="29"/>
  <c r="B131" i="29"/>
  <c r="A131" i="29"/>
  <c r="C130" i="29"/>
  <c r="B130" i="29"/>
  <c r="A130" i="29"/>
  <c r="C129" i="29"/>
  <c r="B129" i="29"/>
  <c r="A129" i="29"/>
  <c r="C128" i="29"/>
  <c r="B128" i="29"/>
  <c r="A128" i="29"/>
  <c r="C127" i="29"/>
  <c r="B127" i="29"/>
  <c r="A127" i="29"/>
  <c r="C126" i="29"/>
  <c r="B126" i="29"/>
  <c r="A126" i="29"/>
  <c r="C125" i="29"/>
  <c r="B125" i="29"/>
  <c r="A125" i="29"/>
  <c r="C124" i="29"/>
  <c r="B124" i="29"/>
  <c r="A124" i="29"/>
  <c r="C123" i="29"/>
  <c r="B123" i="29"/>
  <c r="A123" i="29"/>
  <c r="C122" i="29"/>
  <c r="B122" i="29"/>
  <c r="A122" i="29"/>
  <c r="C121" i="29"/>
  <c r="B121" i="29"/>
  <c r="A121" i="29"/>
  <c r="C120" i="29"/>
  <c r="B120" i="29"/>
  <c r="A120" i="29"/>
  <c r="C119" i="29"/>
  <c r="B119" i="29"/>
  <c r="A119" i="29"/>
  <c r="C118" i="29"/>
  <c r="B118" i="29"/>
  <c r="A118" i="29"/>
  <c r="C117" i="29"/>
  <c r="B117" i="29"/>
  <c r="A117" i="29"/>
  <c r="C116" i="29"/>
  <c r="B116" i="29"/>
  <c r="A116" i="29"/>
  <c r="C115" i="29"/>
  <c r="B115" i="29"/>
  <c r="A115" i="29"/>
  <c r="C114" i="29"/>
  <c r="B114" i="29"/>
  <c r="A114" i="29"/>
  <c r="C113" i="29"/>
  <c r="B113" i="29"/>
  <c r="A113" i="29"/>
  <c r="C112" i="29"/>
  <c r="B112" i="29"/>
  <c r="A112" i="29"/>
  <c r="C111" i="29"/>
  <c r="B111" i="29"/>
  <c r="A111" i="29"/>
  <c r="C110" i="29"/>
  <c r="B110" i="29"/>
  <c r="A110" i="29"/>
  <c r="C109" i="29"/>
  <c r="B109" i="29"/>
  <c r="A109" i="29"/>
  <c r="C108" i="29"/>
  <c r="B108" i="29"/>
  <c r="A108" i="29"/>
  <c r="C107" i="29"/>
  <c r="B107" i="29"/>
  <c r="A107" i="29"/>
  <c r="C106" i="29"/>
  <c r="B106" i="29"/>
  <c r="A106" i="29"/>
  <c r="C105" i="29"/>
  <c r="B105" i="29"/>
  <c r="A105" i="29"/>
  <c r="C104" i="29"/>
  <c r="B104" i="29"/>
  <c r="A104" i="29"/>
  <c r="C103" i="29"/>
  <c r="B103" i="29"/>
  <c r="A103" i="29"/>
  <c r="C102" i="29"/>
  <c r="B102" i="29"/>
  <c r="A102" i="29"/>
  <c r="C101" i="29"/>
  <c r="B101" i="29"/>
  <c r="A101" i="29"/>
  <c r="C100" i="29"/>
  <c r="B100" i="29"/>
  <c r="A100" i="29"/>
  <c r="C99" i="29"/>
  <c r="B99" i="29"/>
  <c r="A99" i="29"/>
  <c r="C98" i="29"/>
  <c r="B98" i="29"/>
  <c r="A98" i="29"/>
  <c r="C97" i="29"/>
  <c r="B97" i="29"/>
  <c r="A97" i="29"/>
  <c r="C96" i="29"/>
  <c r="B96" i="29"/>
  <c r="A96" i="29"/>
  <c r="C95" i="29"/>
  <c r="B95" i="29"/>
  <c r="A95" i="29"/>
  <c r="C94" i="29"/>
  <c r="B94" i="29"/>
  <c r="A94" i="29"/>
  <c r="C93" i="29"/>
  <c r="B93" i="29"/>
  <c r="A93" i="29"/>
  <c r="C92" i="29"/>
  <c r="B92" i="29"/>
  <c r="A92" i="29"/>
  <c r="C91" i="29"/>
  <c r="B91" i="29"/>
  <c r="A91" i="29"/>
  <c r="C90" i="29"/>
  <c r="B90" i="29"/>
  <c r="A90" i="29"/>
  <c r="C89" i="29"/>
  <c r="B89" i="29"/>
  <c r="A89" i="29"/>
  <c r="C88" i="29"/>
  <c r="B88" i="29"/>
  <c r="A88" i="29"/>
  <c r="C87" i="29"/>
  <c r="B87" i="29"/>
  <c r="A87" i="29"/>
  <c r="C86" i="29"/>
  <c r="B86" i="29"/>
  <c r="A86" i="29"/>
  <c r="C85" i="29"/>
  <c r="B85" i="29"/>
  <c r="A85" i="29"/>
  <c r="C84" i="29"/>
  <c r="B84" i="29"/>
  <c r="A84" i="29"/>
  <c r="C83" i="29"/>
  <c r="B83" i="29"/>
  <c r="A83" i="29"/>
  <c r="C82" i="29"/>
  <c r="B82" i="29"/>
  <c r="A82" i="29"/>
  <c r="C81" i="29"/>
  <c r="B81" i="29"/>
  <c r="A81" i="29"/>
  <c r="C80" i="29"/>
  <c r="B80" i="29"/>
  <c r="A80" i="29"/>
  <c r="C79" i="29"/>
  <c r="B79" i="29"/>
  <c r="A79" i="29"/>
  <c r="C78" i="29"/>
  <c r="B78" i="29"/>
  <c r="A78" i="29"/>
  <c r="C77" i="29"/>
  <c r="B77" i="29"/>
  <c r="A77" i="29"/>
  <c r="C76" i="29"/>
  <c r="B76" i="29"/>
  <c r="A76" i="29"/>
  <c r="C75" i="29"/>
  <c r="B75" i="29"/>
  <c r="A75" i="29"/>
  <c r="C74" i="29"/>
  <c r="B74" i="29"/>
  <c r="A74" i="29"/>
  <c r="C73" i="29"/>
  <c r="B73" i="29"/>
  <c r="A73" i="29"/>
  <c r="C72" i="29"/>
  <c r="B72" i="29"/>
  <c r="A72" i="29"/>
  <c r="C71" i="29"/>
  <c r="B71" i="29"/>
  <c r="A71" i="29"/>
  <c r="C70" i="29"/>
  <c r="B70" i="29"/>
  <c r="A70" i="29"/>
  <c r="C69" i="29"/>
  <c r="B69" i="29"/>
  <c r="A69" i="29"/>
  <c r="C68" i="29"/>
  <c r="B68" i="29"/>
  <c r="A68" i="29"/>
  <c r="C67" i="29"/>
  <c r="B67" i="29"/>
  <c r="A67" i="29"/>
  <c r="C66" i="29"/>
  <c r="B66" i="29"/>
  <c r="A66" i="29"/>
  <c r="C65" i="29"/>
  <c r="B65" i="29"/>
  <c r="A65" i="29"/>
  <c r="C64" i="29"/>
  <c r="B64" i="29"/>
  <c r="A64" i="29"/>
  <c r="C63" i="29"/>
  <c r="B63" i="29"/>
  <c r="A63" i="29"/>
  <c r="C62" i="29"/>
  <c r="B62" i="29"/>
  <c r="A62" i="29"/>
  <c r="C61" i="29"/>
  <c r="B61" i="29"/>
  <c r="A61" i="29"/>
  <c r="C60" i="29"/>
  <c r="B60" i="29"/>
  <c r="A60" i="29"/>
  <c r="C59" i="29"/>
  <c r="B59" i="29"/>
  <c r="A59" i="29"/>
  <c r="C58" i="29"/>
  <c r="B58" i="29"/>
  <c r="A58" i="29"/>
  <c r="C57" i="29"/>
  <c r="B57" i="29"/>
  <c r="A57" i="29"/>
  <c r="C56" i="29"/>
  <c r="B56" i="29"/>
  <c r="A56" i="29"/>
  <c r="C55" i="29"/>
  <c r="B55" i="29"/>
  <c r="A55" i="29"/>
  <c r="C54" i="29"/>
  <c r="B54" i="29"/>
  <c r="A54" i="29"/>
  <c r="C53" i="29"/>
  <c r="B53" i="29"/>
  <c r="A53" i="29"/>
  <c r="C52" i="29"/>
  <c r="B52" i="29"/>
  <c r="A52" i="29"/>
  <c r="C51" i="29"/>
  <c r="B51" i="29"/>
  <c r="A51" i="29"/>
  <c r="C50" i="29"/>
  <c r="B50" i="29"/>
  <c r="A50" i="29"/>
  <c r="C49" i="29"/>
  <c r="B49" i="29"/>
  <c r="A49" i="29"/>
  <c r="C48" i="29"/>
  <c r="B48" i="29"/>
  <c r="A48" i="29"/>
  <c r="C47" i="29"/>
  <c r="B47" i="29"/>
  <c r="A47" i="29"/>
  <c r="C46" i="29"/>
  <c r="B46" i="29"/>
  <c r="A46" i="29"/>
  <c r="C45" i="29"/>
  <c r="B45" i="29"/>
  <c r="A45" i="29"/>
  <c r="C44" i="29"/>
  <c r="B44" i="29"/>
  <c r="A44" i="29"/>
  <c r="C43" i="29"/>
  <c r="B43" i="29"/>
  <c r="A43" i="29"/>
  <c r="C42" i="29"/>
  <c r="B42" i="29"/>
  <c r="A42" i="29"/>
  <c r="C41" i="29"/>
  <c r="B41" i="29"/>
  <c r="A41" i="29"/>
  <c r="C40" i="29"/>
  <c r="B40" i="29"/>
  <c r="A40" i="29"/>
  <c r="C39" i="29"/>
  <c r="B39" i="29"/>
  <c r="A39" i="29"/>
  <c r="C38" i="29"/>
  <c r="B38" i="29"/>
  <c r="A38" i="29"/>
  <c r="C37" i="29"/>
  <c r="B37" i="29"/>
  <c r="A37" i="29"/>
  <c r="C36" i="29"/>
  <c r="B36" i="29"/>
  <c r="A36" i="29"/>
  <c r="C35" i="29"/>
  <c r="B35" i="29"/>
  <c r="A35" i="29"/>
  <c r="C34" i="29"/>
  <c r="B34" i="29"/>
  <c r="A34" i="29"/>
  <c r="C33" i="29"/>
  <c r="B33" i="29"/>
  <c r="A33" i="29"/>
  <c r="C32" i="29"/>
  <c r="B32" i="29"/>
  <c r="A32" i="29"/>
  <c r="C31" i="29"/>
  <c r="B31" i="29"/>
  <c r="A31" i="29"/>
  <c r="C30" i="29"/>
  <c r="B30" i="29"/>
  <c r="A30" i="29"/>
  <c r="C29" i="29"/>
  <c r="B29" i="29"/>
  <c r="A29" i="29"/>
  <c r="C28" i="29"/>
  <c r="B28" i="29"/>
  <c r="A28" i="29"/>
  <c r="C27" i="29"/>
  <c r="B27" i="29"/>
  <c r="A27" i="29"/>
  <c r="C26" i="29"/>
  <c r="B26" i="29"/>
  <c r="A26" i="29"/>
  <c r="C25" i="29"/>
  <c r="B25" i="29"/>
  <c r="A25" i="29"/>
  <c r="C24" i="29"/>
  <c r="B24" i="29"/>
  <c r="A24" i="29"/>
  <c r="C23" i="29"/>
  <c r="B23" i="29"/>
  <c r="A23" i="29"/>
  <c r="C22" i="29"/>
  <c r="B22" i="29"/>
  <c r="A22" i="29"/>
  <c r="C21" i="29"/>
  <c r="B21" i="29"/>
  <c r="A21" i="29"/>
  <c r="C20" i="29"/>
  <c r="B20" i="29"/>
  <c r="A20" i="29"/>
  <c r="C19" i="29"/>
  <c r="B19" i="29"/>
  <c r="A19" i="29"/>
  <c r="C18" i="29"/>
  <c r="B18" i="29"/>
  <c r="A18" i="29"/>
  <c r="C17" i="29"/>
  <c r="B17" i="29"/>
  <c r="A17" i="29"/>
  <c r="C16" i="29"/>
  <c r="B16" i="29"/>
  <c r="A16" i="29"/>
  <c r="C15" i="29"/>
  <c r="B15" i="29"/>
  <c r="A15" i="29"/>
  <c r="C14" i="29"/>
  <c r="B14" i="29"/>
  <c r="A14" i="29"/>
  <c r="C13" i="29"/>
  <c r="B13" i="29"/>
  <c r="A13" i="29"/>
  <c r="C12" i="29"/>
  <c r="B12" i="29"/>
  <c r="A12" i="29"/>
  <c r="C11" i="29"/>
  <c r="B11" i="29"/>
  <c r="A11" i="29"/>
  <c r="C10" i="29"/>
  <c r="B10" i="29"/>
  <c r="A10" i="29"/>
  <c r="C9" i="29"/>
  <c r="B9" i="29"/>
  <c r="A9" i="29"/>
  <c r="C8" i="29"/>
  <c r="B8" i="29"/>
  <c r="A8" i="29"/>
  <c r="C7" i="29"/>
  <c r="B7" i="29"/>
  <c r="A7" i="29"/>
  <c r="C6" i="29"/>
  <c r="B6" i="29"/>
  <c r="A6" i="29"/>
  <c r="C5" i="29"/>
  <c r="B5" i="29"/>
  <c r="A5" i="29"/>
  <c r="C4" i="29"/>
  <c r="B4" i="29"/>
  <c r="A4" i="29"/>
  <c r="C3" i="29"/>
  <c r="B3" i="29"/>
  <c r="A3" i="29"/>
  <c r="C2" i="29"/>
  <c r="B2" i="29"/>
  <c r="A2" i="29"/>
  <c r="J14" i="28"/>
  <c r="I14" i="28"/>
  <c r="H14" i="28"/>
  <c r="G14" i="28"/>
  <c r="F14" i="28"/>
  <c r="E14" i="28"/>
  <c r="D14" i="28"/>
  <c r="C14" i="28"/>
  <c r="L14" i="28" s="1"/>
  <c r="J14" i="27"/>
  <c r="I14" i="27"/>
  <c r="H14" i="27"/>
  <c r="G14" i="27"/>
  <c r="F14" i="27"/>
  <c r="E14" i="27"/>
  <c r="D14" i="27"/>
  <c r="C14" i="27"/>
  <c r="L14" i="27" s="1"/>
  <c r="A1" i="27"/>
  <c r="J14" i="26"/>
  <c r="I14" i="26"/>
  <c r="H14" i="26"/>
  <c r="G14" i="26"/>
  <c r="F14" i="26"/>
  <c r="E14" i="26"/>
  <c r="D14" i="26"/>
  <c r="C14" i="26"/>
  <c r="L14" i="26" s="1"/>
  <c r="A1" i="26"/>
  <c r="J14" i="25"/>
  <c r="I14" i="25"/>
  <c r="H14" i="25"/>
  <c r="G14" i="25"/>
  <c r="F14" i="25"/>
  <c r="E14" i="25"/>
  <c r="D14" i="25"/>
  <c r="C14" i="25"/>
  <c r="L14" i="25" s="1"/>
  <c r="J14" i="24"/>
  <c r="I14" i="24"/>
  <c r="H14" i="24"/>
  <c r="G14" i="24"/>
  <c r="F14" i="24"/>
  <c r="E14" i="24"/>
  <c r="D14" i="24"/>
  <c r="C14" i="24"/>
  <c r="L14" i="24" s="1"/>
  <c r="A1" i="24"/>
  <c r="J14" i="23"/>
  <c r="I14" i="23"/>
  <c r="H14" i="23"/>
  <c r="G14" i="23"/>
  <c r="F14" i="23"/>
  <c r="E14" i="23"/>
  <c r="D14" i="23"/>
  <c r="C14" i="23"/>
  <c r="L14" i="23" s="1"/>
  <c r="A1" i="23"/>
  <c r="J14" i="22"/>
  <c r="I14" i="22"/>
  <c r="H14" i="22"/>
  <c r="G14" i="22"/>
  <c r="F14" i="22"/>
  <c r="E14" i="22"/>
  <c r="D14" i="22"/>
  <c r="C14" i="22"/>
  <c r="L14" i="22" s="1"/>
  <c r="A1" i="22"/>
  <c r="J14" i="21"/>
  <c r="I14" i="21"/>
  <c r="H14" i="21"/>
  <c r="G14" i="21"/>
  <c r="F14" i="21"/>
  <c r="E14" i="21"/>
  <c r="D14" i="21"/>
  <c r="C14" i="21"/>
  <c r="L14" i="21" s="1"/>
  <c r="A1" i="21"/>
  <c r="J14" i="20"/>
  <c r="I14" i="20"/>
  <c r="H14" i="20"/>
  <c r="G14" i="20"/>
  <c r="F14" i="20"/>
  <c r="E14" i="20"/>
  <c r="D14" i="20"/>
  <c r="C14" i="20"/>
  <c r="L14" i="20" s="1"/>
  <c r="A1" i="20"/>
  <c r="J14" i="19"/>
  <c r="I14" i="19"/>
  <c r="H14" i="19"/>
  <c r="G14" i="19"/>
  <c r="F14" i="19"/>
  <c r="E14" i="19"/>
  <c r="D14" i="19"/>
  <c r="C14" i="19"/>
  <c r="L14" i="19" s="1"/>
  <c r="A1" i="19"/>
  <c r="J14" i="18"/>
  <c r="I14" i="18"/>
  <c r="H14" i="18"/>
  <c r="G14" i="18"/>
  <c r="F14" i="18"/>
  <c r="E14" i="18"/>
  <c r="D14" i="18"/>
  <c r="C14" i="18"/>
  <c r="L14" i="18" s="1"/>
  <c r="A1" i="18"/>
  <c r="K14" i="17"/>
  <c r="J14" i="17"/>
  <c r="I14" i="17"/>
  <c r="H14" i="17"/>
  <c r="G14" i="17"/>
  <c r="F14" i="17"/>
  <c r="E14" i="17"/>
  <c r="D14" i="17"/>
  <c r="M14" i="17" s="1"/>
  <c r="B1" i="17"/>
  <c r="K14" i="16"/>
  <c r="J14" i="16"/>
  <c r="I14" i="16"/>
  <c r="H14" i="16"/>
  <c r="G14" i="16"/>
  <c r="F14" i="16"/>
  <c r="E14" i="16"/>
  <c r="D14" i="16"/>
  <c r="M14" i="16" s="1"/>
  <c r="B1" i="16"/>
  <c r="K14" i="15"/>
  <c r="J14" i="15"/>
  <c r="I14" i="15"/>
  <c r="H14" i="15"/>
  <c r="G14" i="15"/>
  <c r="F14" i="15"/>
  <c r="E14" i="15"/>
  <c r="D14" i="15"/>
  <c r="M14" i="15" s="1"/>
  <c r="B1" i="15"/>
  <c r="K14" i="14"/>
  <c r="J14" i="14"/>
  <c r="I14" i="14"/>
  <c r="H14" i="14"/>
  <c r="G14" i="14"/>
  <c r="F14" i="14"/>
  <c r="E14" i="14"/>
  <c r="D14" i="14"/>
  <c r="M14" i="14" s="1"/>
  <c r="B1" i="14"/>
  <c r="K14" i="13"/>
  <c r="J14" i="13"/>
  <c r="I14" i="13"/>
  <c r="H14" i="13"/>
  <c r="G14" i="13"/>
  <c r="F14" i="13"/>
  <c r="E14" i="13"/>
  <c r="D14" i="13"/>
  <c r="M14" i="13" s="1"/>
  <c r="B1" i="13"/>
  <c r="K14" i="12"/>
  <c r="J14" i="12"/>
  <c r="I14" i="12"/>
  <c r="H14" i="12"/>
  <c r="G14" i="12"/>
  <c r="F14" i="12"/>
  <c r="E14" i="12"/>
  <c r="D14" i="12"/>
  <c r="M14" i="12" s="1"/>
  <c r="B1" i="12"/>
  <c r="K14" i="11"/>
  <c r="J14" i="11"/>
  <c r="I14" i="11"/>
  <c r="H14" i="11"/>
  <c r="G14" i="11"/>
  <c r="F14" i="11"/>
  <c r="E14" i="11"/>
  <c r="D14" i="11"/>
  <c r="M14" i="11" s="1"/>
  <c r="B1" i="11"/>
  <c r="K14" i="10"/>
  <c r="J14" i="10"/>
  <c r="I14" i="10"/>
  <c r="H14" i="10"/>
  <c r="G14" i="10"/>
  <c r="F14" i="10"/>
  <c r="E14" i="10"/>
  <c r="D14" i="10"/>
  <c r="M14" i="10" s="1"/>
  <c r="B1" i="10"/>
  <c r="K14" i="9"/>
  <c r="J14" i="9"/>
  <c r="I14" i="9"/>
  <c r="H14" i="9"/>
  <c r="G14" i="9"/>
  <c r="F14" i="9"/>
  <c r="E14" i="9"/>
  <c r="D14" i="9"/>
  <c r="M14" i="9" s="1"/>
  <c r="B1" i="9"/>
  <c r="K683" i="8"/>
  <c r="J683" i="8"/>
  <c r="I683" i="8"/>
  <c r="H683" i="8"/>
  <c r="G683" i="8"/>
  <c r="F683" i="8"/>
  <c r="E683" i="8"/>
  <c r="D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O34" i="7"/>
  <c r="O33" i="7"/>
  <c r="K33" i="7"/>
  <c r="O32" i="7"/>
  <c r="O20" i="7" s="1"/>
  <c r="O23" i="7" s="1"/>
  <c r="O31" i="7"/>
  <c r="K31" i="7"/>
  <c r="O30" i="7"/>
  <c r="O18" i="7" s="1"/>
  <c r="K30" i="7"/>
  <c r="O29" i="7"/>
  <c r="K29" i="7"/>
  <c r="O28" i="7"/>
  <c r="O16" i="7" s="1"/>
  <c r="K28" i="7"/>
  <c r="O27" i="7"/>
  <c r="K27" i="7"/>
  <c r="K26" i="7"/>
  <c r="K25" i="7"/>
  <c r="K24" i="7"/>
  <c r="DM23" i="7"/>
  <c r="DL23" i="7"/>
  <c r="DI23" i="7"/>
  <c r="DH23" i="7"/>
  <c r="DE23" i="7"/>
  <c r="DD23" i="7"/>
  <c r="DA23" i="7"/>
  <c r="CZ23" i="7"/>
  <c r="CW23" i="7"/>
  <c r="CV23" i="7"/>
  <c r="CS23" i="7"/>
  <c r="CR23" i="7"/>
  <c r="CO23" i="7"/>
  <c r="CN23" i="7"/>
  <c r="CK23" i="7"/>
  <c r="CJ23" i="7"/>
  <c r="CG23" i="7"/>
  <c r="CF23" i="7"/>
  <c r="CC23" i="7"/>
  <c r="CB23" i="7"/>
  <c r="BY23" i="7"/>
  <c r="BX23" i="7"/>
  <c r="BU23" i="7"/>
  <c r="BT23" i="7"/>
  <c r="BQ23" i="7"/>
  <c r="BP23" i="7"/>
  <c r="BM23" i="7"/>
  <c r="BL23" i="7"/>
  <c r="BI23" i="7"/>
  <c r="BH23" i="7"/>
  <c r="BE23" i="7"/>
  <c r="BD23" i="7"/>
  <c r="BA23" i="7"/>
  <c r="AZ23" i="7"/>
  <c r="AW23" i="7"/>
  <c r="AV23" i="7"/>
  <c r="AS23" i="7"/>
  <c r="AR23" i="7"/>
  <c r="AO23" i="7"/>
  <c r="AN23" i="7"/>
  <c r="AK23" i="7"/>
  <c r="AJ23" i="7"/>
  <c r="AG23" i="7"/>
  <c r="AF23" i="7"/>
  <c r="AC23" i="7"/>
  <c r="AB23" i="7"/>
  <c r="Y23" i="7"/>
  <c r="X23" i="7"/>
  <c r="U23" i="7"/>
  <c r="T23" i="7"/>
  <c r="Q23" i="7"/>
  <c r="P23" i="7"/>
  <c r="DN22" i="7"/>
  <c r="DM22" i="7"/>
  <c r="DL22" i="7"/>
  <c r="DK22" i="7"/>
  <c r="DJ22" i="7"/>
  <c r="DI22" i="7"/>
  <c r="DH22" i="7"/>
  <c r="DG22" i="7"/>
  <c r="DF22" i="7"/>
  <c r="DE22" i="7"/>
  <c r="DD22" i="7"/>
  <c r="DC22" i="7"/>
  <c r="DB22" i="7"/>
  <c r="DA22" i="7"/>
  <c r="CZ22" i="7"/>
  <c r="CY22" i="7"/>
  <c r="CX22" i="7"/>
  <c r="CW22" i="7"/>
  <c r="CV22" i="7"/>
  <c r="CU22" i="7"/>
  <c r="CT22" i="7"/>
  <c r="CS22" i="7"/>
  <c r="CR22" i="7"/>
  <c r="CQ22" i="7"/>
  <c r="CP22" i="7"/>
  <c r="CO22" i="7"/>
  <c r="CN22" i="7"/>
  <c r="CM22" i="7"/>
  <c r="CL22" i="7"/>
  <c r="CK22" i="7"/>
  <c r="CJ22" i="7"/>
  <c r="CI22" i="7"/>
  <c r="CH22" i="7"/>
  <c r="CG22" i="7"/>
  <c r="CF22" i="7"/>
  <c r="CE22" i="7"/>
  <c r="CD22" i="7"/>
  <c r="CC22" i="7"/>
  <c r="CB22" i="7"/>
  <c r="CA22" i="7"/>
  <c r="BZ22" i="7"/>
  <c r="BY22" i="7"/>
  <c r="BX22" i="7"/>
  <c r="BW22" i="7"/>
  <c r="BV22" i="7"/>
  <c r="BU22" i="7"/>
  <c r="BT22" i="7"/>
  <c r="BS22" i="7"/>
  <c r="BR22" i="7"/>
  <c r="BQ22" i="7"/>
  <c r="BP22" i="7"/>
  <c r="BO22" i="7"/>
  <c r="BN22" i="7"/>
  <c r="BM22" i="7"/>
  <c r="BL22" i="7"/>
  <c r="BK22" i="7"/>
  <c r="BJ22" i="7"/>
  <c r="BI22" i="7"/>
  <c r="BH22" i="7"/>
  <c r="BG22"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DN21" i="7"/>
  <c r="DM21" i="7"/>
  <c r="DL21" i="7"/>
  <c r="DK21" i="7"/>
  <c r="DJ21" i="7"/>
  <c r="DI21" i="7"/>
  <c r="DH21" i="7"/>
  <c r="DG21" i="7"/>
  <c r="DF21" i="7"/>
  <c r="DE21" i="7"/>
  <c r="DD21" i="7"/>
  <c r="DC21" i="7"/>
  <c r="DB21" i="7"/>
  <c r="DA21" i="7"/>
  <c r="CZ21" i="7"/>
  <c r="CY21" i="7"/>
  <c r="CX21" i="7"/>
  <c r="CW21" i="7"/>
  <c r="CV21" i="7"/>
  <c r="CU21" i="7"/>
  <c r="CT21" i="7"/>
  <c r="CS21" i="7"/>
  <c r="CR21" i="7"/>
  <c r="CQ21" i="7"/>
  <c r="CP21" i="7"/>
  <c r="CO21" i="7"/>
  <c r="CN21" i="7"/>
  <c r="CM21" i="7"/>
  <c r="CL21" i="7"/>
  <c r="CK21" i="7"/>
  <c r="CJ21" i="7"/>
  <c r="CI21" i="7"/>
  <c r="CH21" i="7"/>
  <c r="CG21" i="7"/>
  <c r="CF21" i="7"/>
  <c r="CE21" i="7"/>
  <c r="CD21" i="7"/>
  <c r="CC21" i="7"/>
  <c r="CB21" i="7"/>
  <c r="CA21" i="7"/>
  <c r="BZ21" i="7"/>
  <c r="BY21" i="7"/>
  <c r="BX21" i="7"/>
  <c r="BW21" i="7"/>
  <c r="BV21" i="7"/>
  <c r="BU21" i="7"/>
  <c r="BT21" i="7"/>
  <c r="BS21" i="7"/>
  <c r="BR21" i="7"/>
  <c r="BQ21" i="7"/>
  <c r="BP21" i="7"/>
  <c r="BO21" i="7"/>
  <c r="BN21" i="7"/>
  <c r="BM21" i="7"/>
  <c r="BL21" i="7"/>
  <c r="BK21"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K21" i="7"/>
  <c r="DN20" i="7"/>
  <c r="DN23" i="7" s="1"/>
  <c r="DM20" i="7"/>
  <c r="DL20" i="7"/>
  <c r="DK20" i="7"/>
  <c r="DK23" i="7" s="1"/>
  <c r="DJ20" i="7"/>
  <c r="DJ23" i="7" s="1"/>
  <c r="DI20" i="7"/>
  <c r="DH20" i="7"/>
  <c r="DG20" i="7"/>
  <c r="DG23" i="7" s="1"/>
  <c r="DF20" i="7"/>
  <c r="DF23" i="7" s="1"/>
  <c r="DE20" i="7"/>
  <c r="DD20" i="7"/>
  <c r="DC20" i="7"/>
  <c r="DC23" i="7" s="1"/>
  <c r="DB20" i="7"/>
  <c r="DB23" i="7" s="1"/>
  <c r="DA20" i="7"/>
  <c r="CZ20" i="7"/>
  <c r="CY20" i="7"/>
  <c r="CY23" i="7" s="1"/>
  <c r="CX20" i="7"/>
  <c r="CX23" i="7" s="1"/>
  <c r="CW20" i="7"/>
  <c r="CV20" i="7"/>
  <c r="CU20" i="7"/>
  <c r="CU23" i="7" s="1"/>
  <c r="CT20" i="7"/>
  <c r="CT23" i="7" s="1"/>
  <c r="CS20" i="7"/>
  <c r="CR20" i="7"/>
  <c r="CQ20" i="7"/>
  <c r="CQ23" i="7" s="1"/>
  <c r="CP20" i="7"/>
  <c r="CP23" i="7" s="1"/>
  <c r="CO20" i="7"/>
  <c r="CN20" i="7"/>
  <c r="CM20" i="7"/>
  <c r="CM23" i="7" s="1"/>
  <c r="CL20" i="7"/>
  <c r="CL23" i="7" s="1"/>
  <c r="CK20" i="7"/>
  <c r="CJ20" i="7"/>
  <c r="CI20" i="7"/>
  <c r="CI23" i="7" s="1"/>
  <c r="CH20" i="7"/>
  <c r="CH23" i="7" s="1"/>
  <c r="CG20" i="7"/>
  <c r="CF20" i="7"/>
  <c r="CE20" i="7"/>
  <c r="CE23" i="7" s="1"/>
  <c r="CD20" i="7"/>
  <c r="CD23" i="7" s="1"/>
  <c r="CC20" i="7"/>
  <c r="CB20" i="7"/>
  <c r="CA20" i="7"/>
  <c r="CA23" i="7" s="1"/>
  <c r="BZ20" i="7"/>
  <c r="BZ23" i="7" s="1"/>
  <c r="BY20" i="7"/>
  <c r="BX20" i="7"/>
  <c r="BW20" i="7"/>
  <c r="BW23" i="7" s="1"/>
  <c r="BV20" i="7"/>
  <c r="BV23" i="7" s="1"/>
  <c r="BU20" i="7"/>
  <c r="BT20" i="7"/>
  <c r="BS20" i="7"/>
  <c r="BS23" i="7" s="1"/>
  <c r="BR20" i="7"/>
  <c r="BR23" i="7" s="1"/>
  <c r="BQ20" i="7"/>
  <c r="BP20" i="7"/>
  <c r="BO20" i="7"/>
  <c r="BO23" i="7" s="1"/>
  <c r="BN20" i="7"/>
  <c r="BN23" i="7" s="1"/>
  <c r="BM20" i="7"/>
  <c r="BL20" i="7"/>
  <c r="BK20" i="7"/>
  <c r="BK23" i="7" s="1"/>
  <c r="BJ20" i="7"/>
  <c r="BJ23" i="7" s="1"/>
  <c r="BI20" i="7"/>
  <c r="BH20" i="7"/>
  <c r="BG20" i="7"/>
  <c r="BG23" i="7" s="1"/>
  <c r="BF20" i="7"/>
  <c r="BF23" i="7" s="1"/>
  <c r="BE20" i="7"/>
  <c r="BD20" i="7"/>
  <c r="BC20" i="7"/>
  <c r="BC23" i="7" s="1"/>
  <c r="BB20" i="7"/>
  <c r="BB23" i="7" s="1"/>
  <c r="BA20" i="7"/>
  <c r="AZ20" i="7"/>
  <c r="AY20" i="7"/>
  <c r="AY23" i="7" s="1"/>
  <c r="AX20" i="7"/>
  <c r="AX23" i="7" s="1"/>
  <c r="AW20" i="7"/>
  <c r="AV20" i="7"/>
  <c r="AU20" i="7"/>
  <c r="AU23" i="7" s="1"/>
  <c r="AT20" i="7"/>
  <c r="AT23" i="7" s="1"/>
  <c r="AS20" i="7"/>
  <c r="AR20" i="7"/>
  <c r="AQ20" i="7"/>
  <c r="AQ23" i="7" s="1"/>
  <c r="AP20" i="7"/>
  <c r="AP23" i="7" s="1"/>
  <c r="AO20" i="7"/>
  <c r="AN20" i="7"/>
  <c r="AM20" i="7"/>
  <c r="AM23" i="7" s="1"/>
  <c r="AL20" i="7"/>
  <c r="AL23" i="7" s="1"/>
  <c r="AK20" i="7"/>
  <c r="AJ20" i="7"/>
  <c r="AI20" i="7"/>
  <c r="AI23" i="7" s="1"/>
  <c r="AH20" i="7"/>
  <c r="AH23" i="7" s="1"/>
  <c r="AG20" i="7"/>
  <c r="AF20" i="7"/>
  <c r="AE20" i="7"/>
  <c r="AE23" i="7" s="1"/>
  <c r="AD20" i="7"/>
  <c r="AD23" i="7" s="1"/>
  <c r="AC20" i="7"/>
  <c r="AB20" i="7"/>
  <c r="AA20" i="7"/>
  <c r="AA23" i="7" s="1"/>
  <c r="Z20" i="7"/>
  <c r="Z23" i="7" s="1"/>
  <c r="Y20" i="7"/>
  <c r="X20" i="7"/>
  <c r="W20" i="7"/>
  <c r="W23" i="7" s="1"/>
  <c r="V20" i="7"/>
  <c r="V23" i="7" s="1"/>
  <c r="U20" i="7"/>
  <c r="T20" i="7"/>
  <c r="S20" i="7"/>
  <c r="S23" i="7" s="1"/>
  <c r="R20" i="7"/>
  <c r="R23" i="7" s="1"/>
  <c r="Q20" i="7"/>
  <c r="P20" i="7"/>
  <c r="L20" i="7"/>
  <c r="DN19" i="7"/>
  <c r="DM19" i="7"/>
  <c r="DL19" i="7"/>
  <c r="DK19" i="7"/>
  <c r="DJ19" i="7"/>
  <c r="DI19" i="7"/>
  <c r="DH19" i="7"/>
  <c r="DG19" i="7"/>
  <c r="DF19" i="7"/>
  <c r="DE19" i="7"/>
  <c r="DD19" i="7"/>
  <c r="DC19" i="7"/>
  <c r="DB19" i="7"/>
  <c r="DA19" i="7"/>
  <c r="CZ19" i="7"/>
  <c r="CY19" i="7"/>
  <c r="CX19" i="7"/>
  <c r="CW19" i="7"/>
  <c r="CV19" i="7"/>
  <c r="CU19" i="7"/>
  <c r="CT19" i="7"/>
  <c r="CS19" i="7"/>
  <c r="CR19" i="7"/>
  <c r="CQ19" i="7"/>
  <c r="CP19" i="7"/>
  <c r="CO19" i="7"/>
  <c r="CN19" i="7"/>
  <c r="CM19" i="7"/>
  <c r="CL19" i="7"/>
  <c r="CK19" i="7"/>
  <c r="CJ19" i="7"/>
  <c r="CI19" i="7"/>
  <c r="CH19" i="7"/>
  <c r="CG19" i="7"/>
  <c r="CF19" i="7"/>
  <c r="CE19" i="7"/>
  <c r="CD19" i="7"/>
  <c r="CC19" i="7"/>
  <c r="CB19" i="7"/>
  <c r="CA19" i="7"/>
  <c r="BZ19" i="7"/>
  <c r="BY19" i="7"/>
  <c r="BX19" i="7"/>
  <c r="BW19" i="7"/>
  <c r="BV19" i="7"/>
  <c r="BU19" i="7"/>
  <c r="BT19" i="7"/>
  <c r="BS19" i="7"/>
  <c r="BR19" i="7"/>
  <c r="BQ19" i="7"/>
  <c r="BP19" i="7"/>
  <c r="BO19" i="7"/>
  <c r="BN19"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L19" i="7"/>
  <c r="DN18" i="7"/>
  <c r="DM18" i="7"/>
  <c r="DL18" i="7"/>
  <c r="DK18" i="7"/>
  <c r="DJ18" i="7"/>
  <c r="DI18" i="7"/>
  <c r="DH18" i="7"/>
  <c r="DG18" i="7"/>
  <c r="DF18" i="7"/>
  <c r="DE18" i="7"/>
  <c r="DD18" i="7"/>
  <c r="DC18" i="7"/>
  <c r="DB18" i="7"/>
  <c r="DA18" i="7"/>
  <c r="CZ18" i="7"/>
  <c r="CY18" i="7"/>
  <c r="CX18" i="7"/>
  <c r="CW18" i="7"/>
  <c r="CV18" i="7"/>
  <c r="CU18" i="7"/>
  <c r="CT18" i="7"/>
  <c r="CS18" i="7"/>
  <c r="CR18" i="7"/>
  <c r="CQ18" i="7"/>
  <c r="CP18" i="7"/>
  <c r="CO18" i="7"/>
  <c r="CN18" i="7"/>
  <c r="CM18" i="7"/>
  <c r="CL18" i="7"/>
  <c r="CK18" i="7"/>
  <c r="CJ18" i="7"/>
  <c r="CI18" i="7"/>
  <c r="CH18" i="7"/>
  <c r="CG18" i="7"/>
  <c r="CF18" i="7"/>
  <c r="CE18" i="7"/>
  <c r="CD18" i="7"/>
  <c r="CC18" i="7"/>
  <c r="CB18" i="7"/>
  <c r="CA18" i="7"/>
  <c r="BZ18" i="7"/>
  <c r="BY18" i="7"/>
  <c r="BX18" i="7"/>
  <c r="BW18" i="7"/>
  <c r="BV18" i="7"/>
  <c r="BU18" i="7"/>
  <c r="BT18" i="7"/>
  <c r="BS18" i="7"/>
  <c r="BR18" i="7"/>
  <c r="BQ18" i="7"/>
  <c r="BP18" i="7"/>
  <c r="BO18" i="7"/>
  <c r="BN18" i="7"/>
  <c r="BM18" i="7"/>
  <c r="BL18" i="7"/>
  <c r="BK18"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L18" i="7"/>
  <c r="DN17" i="7"/>
  <c r="DM17" i="7"/>
  <c r="DL17" i="7"/>
  <c r="DK17" i="7"/>
  <c r="DJ17" i="7"/>
  <c r="DI17" i="7"/>
  <c r="DH17" i="7"/>
  <c r="DG17" i="7"/>
  <c r="DF17" i="7"/>
  <c r="DE17" i="7"/>
  <c r="DD17" i="7"/>
  <c r="DC17" i="7"/>
  <c r="DB17" i="7"/>
  <c r="DA17" i="7"/>
  <c r="CZ17" i="7"/>
  <c r="CY17" i="7"/>
  <c r="CX17" i="7"/>
  <c r="CW17" i="7"/>
  <c r="CV17" i="7"/>
  <c r="CU17" i="7"/>
  <c r="CT17" i="7"/>
  <c r="CS17" i="7"/>
  <c r="CR17" i="7"/>
  <c r="CQ17" i="7"/>
  <c r="CP17" i="7"/>
  <c r="CO17" i="7"/>
  <c r="CN17" i="7"/>
  <c r="CM17" i="7"/>
  <c r="CL17" i="7"/>
  <c r="CK17" i="7"/>
  <c r="CJ17" i="7"/>
  <c r="CI17" i="7"/>
  <c r="CH17" i="7"/>
  <c r="CG17" i="7"/>
  <c r="CF17" i="7"/>
  <c r="CE17" i="7"/>
  <c r="CD17" i="7"/>
  <c r="CC17" i="7"/>
  <c r="CB17" i="7"/>
  <c r="CA17" i="7"/>
  <c r="BZ17" i="7"/>
  <c r="BY17" i="7"/>
  <c r="BX17" i="7"/>
  <c r="BW17" i="7"/>
  <c r="BV17" i="7"/>
  <c r="BU17" i="7"/>
  <c r="BT17" i="7"/>
  <c r="BS17" i="7"/>
  <c r="BR17" i="7"/>
  <c r="BQ17" i="7"/>
  <c r="BP17" i="7"/>
  <c r="BO17" i="7"/>
  <c r="BN17"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L17" i="7"/>
  <c r="DN16" i="7"/>
  <c r="DM16" i="7"/>
  <c r="DL16" i="7"/>
  <c r="DK16" i="7"/>
  <c r="DJ16" i="7"/>
  <c r="DI16" i="7"/>
  <c r="DH16" i="7"/>
  <c r="DG16" i="7"/>
  <c r="DF16" i="7"/>
  <c r="DE16" i="7"/>
  <c r="DD16" i="7"/>
  <c r="DC16" i="7"/>
  <c r="DB16" i="7"/>
  <c r="DA16" i="7"/>
  <c r="CZ16" i="7"/>
  <c r="CY16" i="7"/>
  <c r="CX16" i="7"/>
  <c r="CW16" i="7"/>
  <c r="CV16" i="7"/>
  <c r="CU16" i="7"/>
  <c r="CT16" i="7"/>
  <c r="CS16" i="7"/>
  <c r="CR16" i="7"/>
  <c r="CQ16" i="7"/>
  <c r="CP16" i="7"/>
  <c r="CO16" i="7"/>
  <c r="CN16" i="7"/>
  <c r="CM16" i="7"/>
  <c r="CL16" i="7"/>
  <c r="CK16" i="7"/>
  <c r="CJ16" i="7"/>
  <c r="CI16" i="7"/>
  <c r="CH16" i="7"/>
  <c r="CG16" i="7"/>
  <c r="CF16" i="7"/>
  <c r="CE16" i="7"/>
  <c r="CD16" i="7"/>
  <c r="CC16" i="7"/>
  <c r="CB16" i="7"/>
  <c r="CA16" i="7"/>
  <c r="BZ16" i="7"/>
  <c r="BY16" i="7"/>
  <c r="BX16" i="7"/>
  <c r="BW16" i="7"/>
  <c r="BV16" i="7"/>
  <c r="BU16" i="7"/>
  <c r="BT16" i="7"/>
  <c r="BS16" i="7"/>
  <c r="BR16" i="7"/>
  <c r="BQ16" i="7"/>
  <c r="BP16" i="7"/>
  <c r="BO16" i="7"/>
  <c r="BN16" i="7"/>
  <c r="BM16" i="7"/>
  <c r="BL16"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L16" i="7"/>
  <c r="DN15" i="7"/>
  <c r="DM15" i="7"/>
  <c r="DL15" i="7"/>
  <c r="DK15" i="7"/>
  <c r="DJ15" i="7"/>
  <c r="DI15" i="7"/>
  <c r="DH15" i="7"/>
  <c r="DG15" i="7"/>
  <c r="DF15" i="7"/>
  <c r="DE15" i="7"/>
  <c r="DD15" i="7"/>
  <c r="DC15" i="7"/>
  <c r="DB15" i="7"/>
  <c r="DA15" i="7"/>
  <c r="CZ15" i="7"/>
  <c r="CY15" i="7"/>
  <c r="CX15" i="7"/>
  <c r="CW15" i="7"/>
  <c r="CV15" i="7"/>
  <c r="CU15" i="7"/>
  <c r="CT15" i="7"/>
  <c r="CS15" i="7"/>
  <c r="CR15" i="7"/>
  <c r="CQ15" i="7"/>
  <c r="CP15" i="7"/>
  <c r="CO15" i="7"/>
  <c r="CN15" i="7"/>
  <c r="CM15" i="7"/>
  <c r="CL15" i="7"/>
  <c r="CK15" i="7"/>
  <c r="CJ15" i="7"/>
  <c r="CI15" i="7"/>
  <c r="CH15" i="7"/>
  <c r="CG15" i="7"/>
  <c r="CF15" i="7"/>
  <c r="CE15" i="7"/>
  <c r="CD15" i="7"/>
  <c r="CC15" i="7"/>
  <c r="CB15" i="7"/>
  <c r="CA15" i="7"/>
  <c r="BZ15" i="7"/>
  <c r="BY15" i="7"/>
  <c r="BX15" i="7"/>
  <c r="BW15" i="7"/>
  <c r="BV15" i="7"/>
  <c r="BU15" i="7"/>
  <c r="BT15" i="7"/>
  <c r="BS15" i="7"/>
  <c r="BR15" i="7"/>
  <c r="BQ15" i="7"/>
  <c r="BP15" i="7"/>
  <c r="BO15" i="7"/>
  <c r="BN15" i="7"/>
  <c r="BM15" i="7"/>
  <c r="BL15" i="7"/>
  <c r="BK15"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L15" i="7"/>
  <c r="L14" i="7"/>
  <c r="L13" i="7"/>
  <c r="L12" i="7"/>
  <c r="DN11" i="7"/>
  <c r="DM11" i="7"/>
  <c r="DL11" i="7"/>
  <c r="DK11" i="7"/>
  <c r="DJ11" i="7"/>
  <c r="DI11" i="7"/>
  <c r="DH11" i="7"/>
  <c r="DG11" i="7"/>
  <c r="DF11" i="7"/>
  <c r="DE11" i="7"/>
  <c r="DD11" i="7"/>
  <c r="DC11" i="7"/>
  <c r="DB11" i="7"/>
  <c r="DA11" i="7"/>
  <c r="CZ11" i="7"/>
  <c r="CY11" i="7"/>
  <c r="CX11" i="7"/>
  <c r="CW11" i="7"/>
  <c r="CV11" i="7"/>
  <c r="CU11" i="7"/>
  <c r="CT11" i="7"/>
  <c r="CS11" i="7"/>
  <c r="CR11" i="7"/>
  <c r="CQ11" i="7"/>
  <c r="CP11" i="7"/>
  <c r="CO11" i="7"/>
  <c r="CN11" i="7"/>
  <c r="CM11" i="7"/>
  <c r="CL11" i="7"/>
  <c r="CK11" i="7"/>
  <c r="CJ11" i="7"/>
  <c r="CI11" i="7"/>
  <c r="CH11" i="7"/>
  <c r="CG11" i="7"/>
  <c r="CF11" i="7"/>
  <c r="CE11" i="7"/>
  <c r="CD11" i="7"/>
  <c r="CC11" i="7"/>
  <c r="CB11" i="7"/>
  <c r="CA11" i="7"/>
  <c r="BZ11" i="7"/>
  <c r="BY11" i="7"/>
  <c r="BX11" i="7"/>
  <c r="BW11" i="7"/>
  <c r="BV11" i="7"/>
  <c r="BU11" i="7"/>
  <c r="BT11" i="7"/>
  <c r="BS11" i="7"/>
  <c r="BR11" i="7"/>
  <c r="BQ11" i="7"/>
  <c r="BP11" i="7"/>
  <c r="BO11" i="7"/>
  <c r="BN11" i="7"/>
  <c r="BM11" i="7"/>
  <c r="BL11" i="7"/>
  <c r="BK11" i="7"/>
  <c r="BJ11" i="7"/>
  <c r="BI11" i="7"/>
  <c r="BH11" i="7"/>
  <c r="BG11"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K14" i="6"/>
  <c r="J14" i="6"/>
  <c r="I14" i="6"/>
  <c r="H14" i="6"/>
  <c r="G14" i="6"/>
  <c r="F14" i="6"/>
  <c r="E14" i="6"/>
  <c r="D14" i="6"/>
  <c r="M14" i="6" s="1"/>
  <c r="M13" i="6"/>
  <c r="M12" i="6"/>
  <c r="M11" i="6"/>
  <c r="M10" i="6"/>
  <c r="M9" i="6"/>
  <c r="M8" i="6"/>
  <c r="M7" i="6"/>
  <c r="M6" i="6"/>
  <c r="B1" i="6"/>
  <c r="J14" i="5"/>
  <c r="I14" i="5"/>
  <c r="H14" i="5"/>
  <c r="G14" i="5"/>
  <c r="F14" i="5"/>
  <c r="E14" i="5"/>
  <c r="D14" i="5"/>
  <c r="L14" i="5" s="1"/>
  <c r="L13" i="5"/>
  <c r="L12" i="5"/>
  <c r="L11" i="5"/>
  <c r="L10" i="5"/>
  <c r="L9" i="5"/>
  <c r="L8" i="5"/>
  <c r="L7" i="5"/>
  <c r="L6" i="5"/>
  <c r="B1" i="5"/>
  <c r="I14" i="4"/>
  <c r="H14" i="4"/>
  <c r="G14" i="4"/>
  <c r="F14" i="4"/>
  <c r="K14" i="4" s="1"/>
  <c r="E14" i="4"/>
  <c r="D14" i="4"/>
  <c r="K13" i="4"/>
  <c r="K12" i="4"/>
  <c r="K11" i="4"/>
  <c r="K10" i="4"/>
  <c r="K9" i="4"/>
  <c r="K8" i="4"/>
  <c r="K7" i="4"/>
  <c r="K6" i="4"/>
  <c r="B1" i="4"/>
  <c r="I14" i="3"/>
  <c r="H14" i="3"/>
  <c r="G14" i="3"/>
  <c r="F14" i="3"/>
  <c r="K14" i="3" s="1"/>
  <c r="E14" i="3"/>
  <c r="D14" i="3"/>
  <c r="K13" i="3"/>
  <c r="K12" i="3"/>
  <c r="K11" i="3"/>
  <c r="K10" i="3"/>
  <c r="K9" i="3"/>
  <c r="K8" i="3"/>
  <c r="K7" i="3"/>
  <c r="K6" i="3"/>
  <c r="B1" i="3"/>
  <c r="I14" i="2"/>
  <c r="H14" i="2"/>
  <c r="G14" i="2"/>
  <c r="F14" i="2"/>
  <c r="K14" i="2" s="1"/>
  <c r="E14" i="2"/>
  <c r="D14" i="2"/>
  <c r="K13" i="2"/>
  <c r="K12" i="2"/>
  <c r="K11" i="2"/>
  <c r="K10" i="2"/>
  <c r="K9" i="2"/>
  <c r="K8" i="2"/>
  <c r="K7" i="2"/>
  <c r="K6" i="2"/>
  <c r="B1" i="2"/>
  <c r="I14" i="1"/>
  <c r="H14" i="1"/>
  <c r="G14" i="1"/>
  <c r="F14" i="1"/>
  <c r="K14" i="1" s="1"/>
  <c r="E14" i="1"/>
  <c r="D14" i="1"/>
  <c r="K13" i="1"/>
  <c r="K12" i="1"/>
  <c r="K11" i="1"/>
  <c r="K10" i="1"/>
  <c r="K9" i="1"/>
  <c r="K8" i="1"/>
  <c r="K7" i="1"/>
  <c r="K6" i="1"/>
  <c r="B1" i="1"/>
  <c r="G69" i="33" l="1"/>
  <c r="G66"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6" authorId="0" shapeId="0" xr:uid="{00000000-0006-0000-0600-000001000000}">
      <text>
        <r>
          <rPr>
            <sz val="10"/>
            <color rgb="FF000000"/>
            <rFont val="Arial"/>
            <scheme val="minor"/>
          </rPr>
          <t>The Midge Quotient (MQ) Rating is an alternative rating system that takes each members total average rating they have given to picks. We then divide their rating by this average to generate their MQ Rating. For example, Jeff's average given rating is a 7.8. He scored RoboCop a 7.7. To calculate his MQ Rating for RoboCop, you take 7.7/7.8 = 0.988. A MQ Rating of 1.0 indicates the film was rated exactly in line with a member's average rating. &lt; 1.0 is below average and &gt; 1.0 is above average. As you can see, in the Average Rating table to the left, our average given ratings range from 7.6 - 8.3 so the MQ Rating normalizes that scale so all films are rated on a equal playing field.</t>
        </r>
      </text>
    </comment>
  </commentList>
</comments>
</file>

<file path=xl/sharedStrings.xml><?xml version="1.0" encoding="utf-8"?>
<sst xmlns="http://schemas.openxmlformats.org/spreadsheetml/2006/main" count="2909" uniqueCount="1030">
  <si>
    <t>f</t>
  </si>
  <si>
    <t>Film Club Tracker - Round 6</t>
  </si>
  <si>
    <t>Week 1 - Chris</t>
  </si>
  <si>
    <t>Week 2 - Midge</t>
  </si>
  <si>
    <t>Week 3 - Gabe</t>
  </si>
  <si>
    <t>Week 4 - Jeff</t>
  </si>
  <si>
    <t>Week 5 - Danny</t>
  </si>
  <si>
    <t>Week 6 - Jon</t>
  </si>
  <si>
    <t>Name</t>
  </si>
  <si>
    <t>The Last Picture Show</t>
  </si>
  <si>
    <t>Lilttle Shop of Horrors '86</t>
  </si>
  <si>
    <t>The Monster Club</t>
  </si>
  <si>
    <t>Cure</t>
  </si>
  <si>
    <t>Rating Count</t>
  </si>
  <si>
    <t>Chris</t>
  </si>
  <si>
    <t>Gabe</t>
  </si>
  <si>
    <t>Jon</t>
  </si>
  <si>
    <t>Midge</t>
  </si>
  <si>
    <t>Apples</t>
  </si>
  <si>
    <t>Pat</t>
  </si>
  <si>
    <t>Jeff</t>
  </si>
  <si>
    <t>Danny</t>
  </si>
  <si>
    <t>Average Score:</t>
  </si>
  <si>
    <t>&lt; Round Rating Average</t>
  </si>
  <si>
    <t>Film Club Tracker - Round 5</t>
  </si>
  <si>
    <t>Week 1 - Jeff</t>
  </si>
  <si>
    <t>Week 4 - Jon</t>
  </si>
  <si>
    <t>Week 6 - Chris</t>
  </si>
  <si>
    <t>Flow</t>
  </si>
  <si>
    <t>Ocean's Eleven (1960)</t>
  </si>
  <si>
    <t>Forbidden Zone</t>
  </si>
  <si>
    <t>Lady Snowblood</t>
  </si>
  <si>
    <t>City of God</t>
  </si>
  <si>
    <t>Back to School</t>
  </si>
  <si>
    <t>Film Club Tracker - Round 4</t>
  </si>
  <si>
    <t>Week 1 - Midge</t>
  </si>
  <si>
    <t>Week 2 - Gabe</t>
  </si>
  <si>
    <t>Week 3 - Danny</t>
  </si>
  <si>
    <t>Week 4 - Chris</t>
  </si>
  <si>
    <t>Week 5 - Jon</t>
  </si>
  <si>
    <t>Week 6 - Jeff</t>
  </si>
  <si>
    <t>Apocalypse Now: Redux</t>
  </si>
  <si>
    <t>Barbarella</t>
  </si>
  <si>
    <t>The Straight Story</t>
  </si>
  <si>
    <t>Riders of Justice</t>
  </si>
  <si>
    <t>Belladonna of Sadness</t>
  </si>
  <si>
    <t>The Killing</t>
  </si>
  <si>
    <t>Film Club Tracker - Round 3</t>
  </si>
  <si>
    <t>Week 2 - Jeff</t>
  </si>
  <si>
    <t>Week 6 - Gabe</t>
  </si>
  <si>
    <t>The Secret of NHIM</t>
  </si>
  <si>
    <t>The Assassination of Jesse James by the Coward Robert Ford</t>
  </si>
  <si>
    <t>Cool Hand Luke</t>
  </si>
  <si>
    <t>Midnight Run</t>
  </si>
  <si>
    <t>The Graduate</t>
  </si>
  <si>
    <t>The In-Laws (1979)</t>
  </si>
  <si>
    <t>Film Club Tracker - Round 2</t>
  </si>
  <si>
    <t>Week 1 - Danny</t>
  </si>
  <si>
    <t>Week 3 - Chris</t>
  </si>
  <si>
    <t>Week 5 - Pat</t>
  </si>
  <si>
    <t>Week 7 - Midge</t>
  </si>
  <si>
    <t>Tombstone</t>
  </si>
  <si>
    <t>Night of the Hunter</t>
  </si>
  <si>
    <t>Life is Beautiful</t>
  </si>
  <si>
    <t>Inherent Vice</t>
  </si>
  <si>
    <t>Planet of Vampires</t>
  </si>
  <si>
    <t>Myth of Man</t>
  </si>
  <si>
    <t>License to Kill</t>
  </si>
  <si>
    <t>Film Club Tracker - Round 1</t>
  </si>
  <si>
    <t>Week 4 - Pat</t>
  </si>
  <si>
    <t>Week 5 - Jeff</t>
  </si>
  <si>
    <t>Week 6 - Apples</t>
  </si>
  <si>
    <t>Week 7 - Chris</t>
  </si>
  <si>
    <t>Week 8 - Jon</t>
  </si>
  <si>
    <t>Falling Down</t>
  </si>
  <si>
    <t>Saving Silverman (R Rated Version)</t>
  </si>
  <si>
    <t>The Vagrant</t>
  </si>
  <si>
    <t>Annihilation</t>
  </si>
  <si>
    <t>Network</t>
  </si>
  <si>
    <t>The Gods Must Be Crazy</t>
  </si>
  <si>
    <t>Cabin Boy</t>
  </si>
  <si>
    <t>Videodrome</t>
  </si>
  <si>
    <t>Rank</t>
  </si>
  <si>
    <t>Year</t>
  </si>
  <si>
    <t>Director</t>
  </si>
  <si>
    <t>Film Title</t>
  </si>
  <si>
    <t>FC Rating</t>
  </si>
  <si>
    <t>MQ Rating</t>
  </si>
  <si>
    <t>Picked By</t>
  </si>
  <si>
    <t>Rating Scale</t>
  </si>
  <si>
    <t>Week 1 - Pat</t>
  </si>
  <si>
    <t>Week 2 - Jen</t>
  </si>
  <si>
    <t>Week 3 - Midge</t>
  </si>
  <si>
    <t>Week 8 - Jeff</t>
  </si>
  <si>
    <t>Week 2 - Pat</t>
  </si>
  <si>
    <t>Week 3 - Jeff</t>
  </si>
  <si>
    <t>Week 4 - Jen</t>
  </si>
  <si>
    <t>Week 5 - Midge</t>
  </si>
  <si>
    <t>Week 7 - Apples</t>
  </si>
  <si>
    <t>Week 2 - Jon</t>
  </si>
  <si>
    <t>Week 3 - Apples</t>
  </si>
  <si>
    <t>Week 6 - Midge</t>
  </si>
  <si>
    <t>Week 7 - Jeff</t>
  </si>
  <si>
    <t>Week 8 - Jen</t>
  </si>
  <si>
    <t>Week 2 - Chris</t>
  </si>
  <si>
    <t>Week 4 - Apples</t>
  </si>
  <si>
    <t>Week 6 - Pat</t>
  </si>
  <si>
    <t>Week 7 - Jen</t>
  </si>
  <si>
    <t>Week 3 - Jon</t>
  </si>
  <si>
    <t>Week 6 - Jen</t>
  </si>
  <si>
    <t>Week 7 - Pat</t>
  </si>
  <si>
    <t>Week 8 - Apples</t>
  </si>
  <si>
    <t>Week 2 - Danny</t>
  </si>
  <si>
    <t>Week 3 - Pat</t>
  </si>
  <si>
    <t>Week 6 - Danny</t>
  </si>
  <si>
    <t>Week 2 - Apples</t>
  </si>
  <si>
    <t>Week 5 - Chris</t>
  </si>
  <si>
    <t>Week 1 - Jon</t>
  </si>
  <si>
    <t>Week 8 - Danny</t>
  </si>
  <si>
    <t>Week 8 - Chris</t>
  </si>
  <si>
    <t>Week 4 - Danny</t>
  </si>
  <si>
    <t>Week 5 - Jen</t>
  </si>
  <si>
    <t>Week 8 - Pat</t>
  </si>
  <si>
    <t>Masaki Kobayashi</t>
  </si>
  <si>
    <t>Harakiri</t>
  </si>
  <si>
    <t>0 - 4.9</t>
  </si>
  <si>
    <t>Abomination</t>
  </si>
  <si>
    <t>RoboCop</t>
  </si>
  <si>
    <t>Heathers</t>
  </si>
  <si>
    <t>Highlander</t>
  </si>
  <si>
    <t>The Fly (1986)</t>
  </si>
  <si>
    <t>True Romance (DC)</t>
  </si>
  <si>
    <t>Night of the Living Dead</t>
  </si>
  <si>
    <t>Manhattan</t>
  </si>
  <si>
    <t>Ex Machina</t>
  </si>
  <si>
    <t>Raging Bull</t>
  </si>
  <si>
    <t>They Live</t>
  </si>
  <si>
    <t>The Abyss</t>
  </si>
  <si>
    <t>Nightmare Alley</t>
  </si>
  <si>
    <t>Fortress</t>
  </si>
  <si>
    <t>Breaking Away</t>
  </si>
  <si>
    <t>Airplane!</t>
  </si>
  <si>
    <t>Memories of Murder</t>
  </si>
  <si>
    <t>Red Rocket</t>
  </si>
  <si>
    <t>Chinatown</t>
  </si>
  <si>
    <t>36th Chamber of Shaolin</t>
  </si>
  <si>
    <t>Dog Day Afternoon</t>
  </si>
  <si>
    <t>Fistful of Dollars</t>
  </si>
  <si>
    <t>UHF</t>
  </si>
  <si>
    <t>Prisoners</t>
  </si>
  <si>
    <t>Ed Wood</t>
  </si>
  <si>
    <t>Midnight Cowboy</t>
  </si>
  <si>
    <t>Close Encounters of the Third Kind</t>
  </si>
  <si>
    <t>Manhunter</t>
  </si>
  <si>
    <t>Nothing but Trouble</t>
  </si>
  <si>
    <t>Wild in the Streets (1968)</t>
  </si>
  <si>
    <t>Mad God</t>
  </si>
  <si>
    <t>Spun</t>
  </si>
  <si>
    <t>The Sting</t>
  </si>
  <si>
    <t>Halloween Kills</t>
  </si>
  <si>
    <t>Blow Out</t>
  </si>
  <si>
    <t>Paper Moon</t>
  </si>
  <si>
    <t>The French Connection</t>
  </si>
  <si>
    <t>The Prestige</t>
  </si>
  <si>
    <t>In the Name of the Father</t>
  </si>
  <si>
    <t>Withnail and I</t>
  </si>
  <si>
    <t>From Beyond</t>
  </si>
  <si>
    <t>Brazil</t>
  </si>
  <si>
    <t>Shadow of a Doubt</t>
  </si>
  <si>
    <t>Conan the Barbarian</t>
  </si>
  <si>
    <t>Repo Man</t>
  </si>
  <si>
    <t>Bad Lieutenant (1992)</t>
  </si>
  <si>
    <t>The Buddy Holly Story</t>
  </si>
  <si>
    <t>48 Hours</t>
  </si>
  <si>
    <t>Let the Right One In</t>
  </si>
  <si>
    <t>Nashville</t>
  </si>
  <si>
    <t>Gremlins</t>
  </si>
  <si>
    <t>Paths of Glory</t>
  </si>
  <si>
    <t>The Master</t>
  </si>
  <si>
    <t>Psycho Goreman</t>
  </si>
  <si>
    <t>Paris, Texas</t>
  </si>
  <si>
    <t>Summer Rental</t>
  </si>
  <si>
    <t>Oldboy (2003)</t>
  </si>
  <si>
    <t>Starship Troopers</t>
  </si>
  <si>
    <t>My Dinner with Andre</t>
  </si>
  <si>
    <t>Pi</t>
  </si>
  <si>
    <t>The Right Stuff</t>
  </si>
  <si>
    <t>Arrival</t>
  </si>
  <si>
    <t>The Searchers</t>
  </si>
  <si>
    <t>Fire and Ice</t>
  </si>
  <si>
    <t>Point Break</t>
  </si>
  <si>
    <t>Bacurau</t>
  </si>
  <si>
    <t>The Lighthouse (2019)</t>
  </si>
  <si>
    <t>Häxan</t>
  </si>
  <si>
    <t>Lost Highway</t>
  </si>
  <si>
    <t>Jackie Brown</t>
  </si>
  <si>
    <t>The Wizard</t>
  </si>
  <si>
    <t>Primer</t>
  </si>
  <si>
    <t>Dick Tracy</t>
  </si>
  <si>
    <t>Run Lola Run</t>
  </si>
  <si>
    <t>Midsommar</t>
  </si>
  <si>
    <t>Braindead</t>
  </si>
  <si>
    <t>The Great Escape</t>
  </si>
  <si>
    <t>Tootsie</t>
  </si>
  <si>
    <t>The Neverending Story</t>
  </si>
  <si>
    <t>American Graffiti</t>
  </si>
  <si>
    <t>Blackberry</t>
  </si>
  <si>
    <t>Three Billboards Outside Ebbing, Missouri</t>
  </si>
  <si>
    <t>High and Low</t>
  </si>
  <si>
    <t>Deep Cover</t>
  </si>
  <si>
    <t>Pee Wee's Big Adventure</t>
  </si>
  <si>
    <t>Akira</t>
  </si>
  <si>
    <t>Leon (Extended Cut)</t>
  </si>
  <si>
    <t>White Heat</t>
  </si>
  <si>
    <t>Drive (2011)</t>
  </si>
  <si>
    <t>Barton Fink</t>
  </si>
  <si>
    <t>Deep Red</t>
  </si>
  <si>
    <t>The Devil's Backbone</t>
  </si>
  <si>
    <t>Santa Sangre</t>
  </si>
  <si>
    <t>Mandy</t>
  </si>
  <si>
    <t>Rocky Horror Picture Show</t>
  </si>
  <si>
    <t>Something Wild</t>
  </si>
  <si>
    <t>Nights of Cabiria</t>
  </si>
  <si>
    <t>After Hours</t>
  </si>
  <si>
    <t>American Movie</t>
  </si>
  <si>
    <t>Miracle Mile</t>
  </si>
  <si>
    <t>Loving Vincent</t>
  </si>
  <si>
    <t>Baraka</t>
  </si>
  <si>
    <t>Enemy Mine</t>
  </si>
  <si>
    <t>Possessor</t>
  </si>
  <si>
    <t>Tony Scott</t>
  </si>
  <si>
    <t>5 - 5.9</t>
  </si>
  <si>
    <t>Bad</t>
  </si>
  <si>
    <t>Jim Sheridan</t>
  </si>
  <si>
    <t>6 - 6.9</t>
  </si>
  <si>
    <t>Meh</t>
  </si>
  <si>
    <t>Jen</t>
  </si>
  <si>
    <t>Peter Bogdanovich</t>
  </si>
  <si>
    <t>7 - 7.9</t>
  </si>
  <si>
    <t>Good</t>
  </si>
  <si>
    <t>C</t>
  </si>
  <si>
    <t>Stanley Kubrick</t>
  </si>
  <si>
    <t>8 - 8.9</t>
  </si>
  <si>
    <t>Great</t>
  </si>
  <si>
    <t xml:space="preserve"> </t>
  </si>
  <si>
    <t>Roman Polanski</t>
  </si>
  <si>
    <t>Quentin Tarantino</t>
  </si>
  <si>
    <t>9 - 9.7</t>
  </si>
  <si>
    <t>Masterpiece</t>
  </si>
  <si>
    <t>Alex Garland</t>
  </si>
  <si>
    <t>9.8 - 10</t>
  </si>
  <si>
    <t>I Came</t>
  </si>
  <si>
    <t>Ron Fricke</t>
  </si>
  <si>
    <t>Akira Kurasawa</t>
  </si>
  <si>
    <t>Picks by Decade</t>
  </si>
  <si>
    <t>Sidney Lumet</t>
  </si>
  <si>
    <t>2020's</t>
  </si>
  <si>
    <t>James Cameron</t>
  </si>
  <si>
    <t>2010's</t>
  </si>
  <si>
    <t>Robert Eggers</t>
  </si>
  <si>
    <t>2000's</t>
  </si>
  <si>
    <t>Christopher Nolan</t>
  </si>
  <si>
    <t>1990's</t>
  </si>
  <si>
    <t>Wim Wenders</t>
  </si>
  <si>
    <t>1980's</t>
  </si>
  <si>
    <t>George Roy Hill</t>
  </si>
  <si>
    <t>1970's</t>
  </si>
  <si>
    <t>George A Romero</t>
  </si>
  <si>
    <t>Jerry Zucker</t>
  </si>
  <si>
    <t>1960's</t>
  </si>
  <si>
    <t>Park Chan-wook</t>
  </si>
  <si>
    <t>&lt; 1960</t>
  </si>
  <si>
    <t>The Coen Brothers</t>
  </si>
  <si>
    <t>Total</t>
  </si>
  <si>
    <t>Denis Vilenueve</t>
  </si>
  <si>
    <t>Luc Besson</t>
  </si>
  <si>
    <t>Member</t>
  </si>
  <si>
    <t>Average Rating</t>
  </si>
  <si>
    <t>MQ Rating:</t>
  </si>
  <si>
    <t>Chris Smith</t>
  </si>
  <si>
    <t>Panos Cosmatos</t>
  </si>
  <si>
    <t>David Lynch</t>
  </si>
  <si>
    <t>DK Welchman</t>
  </si>
  <si>
    <t>Tomas Alfredson</t>
  </si>
  <si>
    <t>Steven Spieldberg</t>
  </si>
  <si>
    <t>Katsuhiro Otomo</t>
  </si>
  <si>
    <t>Lau Kar-leung</t>
  </si>
  <si>
    <t>John Schlesinger</t>
  </si>
  <si>
    <t>Jim Sharman</t>
  </si>
  <si>
    <t>Martin Scorsese</t>
  </si>
  <si>
    <t>Paul Thomas Anderson</t>
  </si>
  <si>
    <t>John Sturges</t>
  </si>
  <si>
    <t>Martin McDonagh</t>
  </si>
  <si>
    <t>Ari Aster</t>
  </si>
  <si>
    <t>Sergio Leone</t>
  </si>
  <si>
    <t>Michael Mann</t>
  </si>
  <si>
    <t>Raoul Walsh</t>
  </si>
  <si>
    <t>William Friedkin</t>
  </si>
  <si>
    <t>Woody Allen</t>
  </si>
  <si>
    <t>Darren Aronofsky</t>
  </si>
  <si>
    <t>Nicolas Winding Refn</t>
  </si>
  <si>
    <t>John Carpenter</t>
  </si>
  <si>
    <t>David Cronenberg</t>
  </si>
  <si>
    <t>Brian De Palma</t>
  </si>
  <si>
    <t>Jonathan Demme</t>
  </si>
  <si>
    <t>Gf</t>
  </si>
  <si>
    <t>Alfred Hitchcock</t>
  </si>
  <si>
    <t>Guillermo Del Toro</t>
  </si>
  <si>
    <t>Bong joon-ho</t>
  </si>
  <si>
    <t>Brandon Cronenberg</t>
  </si>
  <si>
    <t>Tim Burton</t>
  </si>
  <si>
    <t>Title</t>
  </si>
  <si>
    <t>Trip to the Moon</t>
  </si>
  <si>
    <t>Intolerance: Love's Struggle Throughout the Ages</t>
  </si>
  <si>
    <t>The Cabinet of Dr. Caligari</t>
  </si>
  <si>
    <t>The Kid</t>
  </si>
  <si>
    <t>The Phantom Carriage</t>
  </si>
  <si>
    <t>Dr. Mabuse the Gambler</t>
  </si>
  <si>
    <t>Nosferatu</t>
  </si>
  <si>
    <t>Our Hospitality</t>
  </si>
  <si>
    <t>Safety Last!</t>
  </si>
  <si>
    <t>Greed</t>
  </si>
  <si>
    <t>Sherlock Jr.</t>
  </si>
  <si>
    <t>The Last Laugh</t>
  </si>
  <si>
    <t>Battleship Potemkin</t>
  </si>
  <si>
    <t>The Gold Rush</t>
  </si>
  <si>
    <t>Faust</t>
  </si>
  <si>
    <t>The General</t>
  </si>
  <si>
    <t>Metropolis</t>
  </si>
  <si>
    <t>Napoleon</t>
  </si>
  <si>
    <t>Sunrise: A Song of Two Humans</t>
  </si>
  <si>
    <t>Steamboat Bill, Jr.</t>
  </si>
  <si>
    <t>The Cameraman</t>
  </si>
  <si>
    <t>The Circus</t>
  </si>
  <si>
    <t>The Crowd</t>
  </si>
  <si>
    <t>The Passion of Joan of Arc</t>
  </si>
  <si>
    <t>All Quiet on the Western Front</t>
  </si>
  <si>
    <t>City Lights</t>
  </si>
  <si>
    <t>M</t>
  </si>
  <si>
    <t>Freaks</t>
  </si>
  <si>
    <t>I Am a Fugitive from a Chain Gang</t>
  </si>
  <si>
    <t>Trouble in Paradise</t>
  </si>
  <si>
    <t>Duck Soup</t>
  </si>
  <si>
    <t>The Testament of Dr. Mabuse</t>
  </si>
  <si>
    <t>It Happened One Night</t>
  </si>
  <si>
    <t>L'Atalante</t>
  </si>
  <si>
    <t>Modern Times</t>
  </si>
  <si>
    <t>Grand Illusion</t>
  </si>
  <si>
    <t>Make Way for Tomorrow</t>
  </si>
  <si>
    <t>Bringing Up Baby</t>
  </si>
  <si>
    <t>Gone with the Wind</t>
  </si>
  <si>
    <t>Mr. Smith Goes to Washington</t>
  </si>
  <si>
    <t>Ninotchka</t>
  </si>
  <si>
    <t>Stagecoach</t>
  </si>
  <si>
    <t>The Roaring Twenties</t>
  </si>
  <si>
    <t>The Rules of the Game</t>
  </si>
  <si>
    <t>The Wizard of Oz</t>
  </si>
  <si>
    <t>Fantasia</t>
  </si>
  <si>
    <t>His Girl Friday</t>
  </si>
  <si>
    <t>Rebecca</t>
  </si>
  <si>
    <t>The Grapes of Wrath</t>
  </si>
  <si>
    <t/>
  </si>
  <si>
    <t>The Great Dictator</t>
  </si>
  <si>
    <t>The Philadelphia Story</t>
  </si>
  <si>
    <t>Beauty and the Beast</t>
  </si>
  <si>
    <t>The Shop Around the Corner</t>
  </si>
  <si>
    <t>Citizen Kane</t>
  </si>
  <si>
    <t>The Maltese Falcon</t>
  </si>
  <si>
    <t>Casablanca</t>
  </si>
  <si>
    <t>To Be or Not to Be</t>
  </si>
  <si>
    <t>Day of Wrath</t>
  </si>
  <si>
    <t>Meshes of the Afternoon</t>
  </si>
  <si>
    <t>The Life and Death of Colonel Blimp</t>
  </si>
  <si>
    <t>Double Indemnity</t>
  </si>
  <si>
    <t>Laura</t>
  </si>
  <si>
    <t>Brief Encounter</t>
  </si>
  <si>
    <t>Children of Paradise</t>
  </si>
  <si>
    <t>Rome, Open City</t>
  </si>
  <si>
    <t>A Matter of Life and Death</t>
  </si>
  <si>
    <t>It's a Wonderful Life</t>
  </si>
  <si>
    <t>Notorious</t>
  </si>
  <si>
    <t>Shoeshine</t>
  </si>
  <si>
    <t>The Best Years of Our Lives</t>
  </si>
  <si>
    <t>The Big Sleep</t>
  </si>
  <si>
    <t>Monsieur Verdoux</t>
  </si>
  <si>
    <t>Out of the Past</t>
  </si>
  <si>
    <t>Bicycle Thieves</t>
  </si>
  <si>
    <t>Germany Year Zero</t>
  </si>
  <si>
    <t>Letter from an Unknown Woman</t>
  </si>
  <si>
    <t>Rope</t>
  </si>
  <si>
    <t>The Red Shoes</t>
  </si>
  <si>
    <t>The Treasure of the Sierra Madre</t>
  </si>
  <si>
    <t>Kind Hearts and Coronets</t>
  </si>
  <si>
    <t>Late Spring</t>
  </si>
  <si>
    <t>The Heiress</t>
  </si>
  <si>
    <t>The Third Man</t>
  </si>
  <si>
    <t>All About Eve</t>
  </si>
  <si>
    <t>In a Lonely Place</t>
  </si>
  <si>
    <t>Orpheus</t>
  </si>
  <si>
    <t>Rashomon</t>
  </si>
  <si>
    <t>Sunset Boulevard</t>
  </si>
  <si>
    <t>The Young and the Damned</t>
  </si>
  <si>
    <t>A Streetcar Named Desire</t>
  </si>
  <si>
    <t>Ace in the Hole</t>
  </si>
  <si>
    <t>Early Summer</t>
  </si>
  <si>
    <t>Strangers on a Train</t>
  </si>
  <si>
    <t>Forbidden Games</t>
  </si>
  <si>
    <t>High Noon</t>
  </si>
  <si>
    <t>Ikiru</t>
  </si>
  <si>
    <t>Limelight</t>
  </si>
  <si>
    <t>Singin' in the Rain</t>
  </si>
  <si>
    <t>Umberto D.</t>
  </si>
  <si>
    <t>I Vitelloni</t>
  </si>
  <si>
    <t>Roman Holiday</t>
  </si>
  <si>
    <t>Stalag 17</t>
  </si>
  <si>
    <t>The Big Heat</t>
  </si>
  <si>
    <t>The Earrings of Madame de…</t>
  </si>
  <si>
    <t>The Wages of Fear</t>
  </si>
  <si>
    <t>Tokyo Story</t>
  </si>
  <si>
    <t>Ugetsu</t>
  </si>
  <si>
    <t>Dial M for Murder</t>
  </si>
  <si>
    <t>La Strada</t>
  </si>
  <si>
    <t>On the Waterfront</t>
  </si>
  <si>
    <t>Rear Window</t>
  </si>
  <si>
    <t>Sansho the Bailiff</t>
  </si>
  <si>
    <t>Seven Samurai</t>
  </si>
  <si>
    <t>Diabolique</t>
  </si>
  <si>
    <t>Ordet</t>
  </si>
  <si>
    <t>Pather Panchali</t>
  </si>
  <si>
    <t>Rififi</t>
  </si>
  <si>
    <t>The Night of the Hunter</t>
  </si>
  <si>
    <t>A Man Escaped</t>
  </si>
  <si>
    <t>Aparajito</t>
  </si>
  <si>
    <t>The Red Balloon</t>
  </si>
  <si>
    <t>12 Angry Men</t>
  </si>
  <si>
    <t>Sweet Smell of Success</t>
  </si>
  <si>
    <t>The Bridge on the River Kwai</t>
  </si>
  <si>
    <t>The Cranes Are Flying</t>
  </si>
  <si>
    <t>The Seventh Seal</t>
  </si>
  <si>
    <t>Throne of Blood</t>
  </si>
  <si>
    <t>Wild Strawberries</t>
  </si>
  <si>
    <t>Cat on a Hot Tin Roof</t>
  </si>
  <si>
    <t>Elevator to the Gallows</t>
  </si>
  <si>
    <t>Mon Oncle</t>
  </si>
  <si>
    <t>The Hidden Fortress</t>
  </si>
  <si>
    <t>Touch of Evil</t>
  </si>
  <si>
    <t>Vertigo</t>
  </si>
  <si>
    <t>Anatomy of a Murder</t>
  </si>
  <si>
    <t>Ben-Hur</t>
  </si>
  <si>
    <t>Hiroshima Mon Amour</t>
  </si>
  <si>
    <t>North by Northwest</t>
  </si>
  <si>
    <t>Pickpocket</t>
  </si>
  <si>
    <t>Rio Bravo</t>
  </si>
  <si>
    <t>Some Like It Hot</t>
  </si>
  <si>
    <t>The 400 Blows</t>
  </si>
  <si>
    <t>The World of Apu</t>
  </si>
  <si>
    <t>Breathless</t>
  </si>
  <si>
    <t>L'Avventura</t>
  </si>
  <si>
    <t>La Dolce Vita</t>
  </si>
  <si>
    <t>Le Trou</t>
  </si>
  <si>
    <t>Psycho</t>
  </si>
  <si>
    <t>Rocco and His Brothers</t>
  </si>
  <si>
    <t>The Apartment</t>
  </si>
  <si>
    <t>The Virgin Spring</t>
  </si>
  <si>
    <t>Divorce Italian Style</t>
  </si>
  <si>
    <t>Judgment at Nuremberg</t>
  </si>
  <si>
    <t>La Notte</t>
  </si>
  <si>
    <t>Last Year at Marienbad</t>
  </si>
  <si>
    <t>The Hustler</t>
  </si>
  <si>
    <t>Through a Glass Darkly</t>
  </si>
  <si>
    <t>Viridiana</t>
  </si>
  <si>
    <t>An Autumn Afternoon</t>
  </si>
  <si>
    <t>Cléo from 5 to 7</t>
  </si>
  <si>
    <t>Il Sorpasso</t>
  </si>
  <si>
    <t>Ivan's Childhood</t>
  </si>
  <si>
    <t>Jules and Jim</t>
  </si>
  <si>
    <t>L'Eclisse</t>
  </si>
  <si>
    <t>La Jetée</t>
  </si>
  <si>
    <t>Lawrence of Arabia</t>
  </si>
  <si>
    <t>Sanjuro</t>
  </si>
  <si>
    <t>The Exterminating Angel</t>
  </si>
  <si>
    <t>The Man Who Shot Liberty Valance</t>
  </si>
  <si>
    <t>The Miracle Worker</t>
  </si>
  <si>
    <t>To Kill a Mockingbird</t>
  </si>
  <si>
    <t>Vivre Sa Vie</t>
  </si>
  <si>
    <t>What Ever Happened to Baby Jane?</t>
  </si>
  <si>
    <t>8½</t>
  </si>
  <si>
    <t>Charade</t>
  </si>
  <si>
    <t>The Leopard</t>
  </si>
  <si>
    <t>The Servant</t>
  </si>
  <si>
    <t>Winter Light</t>
  </si>
  <si>
    <t>A Hard Day's Night</t>
  </si>
  <si>
    <t>Dr. Strangelove or: How I Learned to Stop Worrying and Love the Bomb</t>
  </si>
  <si>
    <t>I Am Cuba</t>
  </si>
  <si>
    <t>Kwaidan</t>
  </si>
  <si>
    <t>My Fair Lady</t>
  </si>
  <si>
    <t>Onibaba</t>
  </si>
  <si>
    <t>The Gospel According to Matthew</t>
  </si>
  <si>
    <t>For a Few Dollars More</t>
  </si>
  <si>
    <t>Pierrot le Fou</t>
  </si>
  <si>
    <t>Red Beard</t>
  </si>
  <si>
    <t>Repulsion</t>
  </si>
  <si>
    <t>The Shop on Main Street</t>
  </si>
  <si>
    <t>Andrei Rublev</t>
  </si>
  <si>
    <t>Au Hasard Balthazar</t>
  </si>
  <si>
    <t>Persona</t>
  </si>
  <si>
    <t>The Battle of Algiers</t>
  </si>
  <si>
    <t>The Face of Another</t>
  </si>
  <si>
    <t>The Good, the Bad and the Ugly</t>
  </si>
  <si>
    <t>Who's Afraid of Virginia Woolf?</t>
  </si>
  <si>
    <t>Bonnie and Clyde</t>
  </si>
  <si>
    <t>Le Samouraï</t>
  </si>
  <si>
    <t>PlayTime</t>
  </si>
  <si>
    <t>Samurai Rebellion</t>
  </si>
  <si>
    <t>2001: A Space Odyssey</t>
  </si>
  <si>
    <t>Once Upon a Time in the West</t>
  </si>
  <si>
    <t>Rosemary's Baby</t>
  </si>
  <si>
    <t>Army of Shadows</t>
  </si>
  <si>
    <t>Butch Cassidy and the Sundance Kid</t>
  </si>
  <si>
    <t>Kes</t>
  </si>
  <si>
    <t>My Night at Maud's</t>
  </si>
  <si>
    <t>The Wild Bunch</t>
  </si>
  <si>
    <t>Le Cercle Rouge</t>
  </si>
  <si>
    <t>The Conformist</t>
  </si>
  <si>
    <t>A Clockwork Orange</t>
  </si>
  <si>
    <t>Aguirre: The Wrath of God</t>
  </si>
  <si>
    <t>Cabaret</t>
  </si>
  <si>
    <t>Cries and Whispers</t>
  </si>
  <si>
    <t>Sleuth</t>
  </si>
  <si>
    <t>Solaris</t>
  </si>
  <si>
    <t>The Discreet Charm of the Bourgeoisie</t>
  </si>
  <si>
    <t>The Godfather</t>
  </si>
  <si>
    <t>Amarcord</t>
  </si>
  <si>
    <t>Badlands</t>
  </si>
  <si>
    <t>Day for Night</t>
  </si>
  <si>
    <t>The Mother and the Whore</t>
  </si>
  <si>
    <t>The Spirit of the Beehive</t>
  </si>
  <si>
    <t>A Woman Under the Influence</t>
  </si>
  <si>
    <t>Ali: Fear Eats the Soul</t>
  </si>
  <si>
    <t>Alice in the Cities</t>
  </si>
  <si>
    <t>Scenes from a Marriage</t>
  </si>
  <si>
    <t>The Conversation</t>
  </si>
  <si>
    <t>The Enigma of Kaspar Hauser</t>
  </si>
  <si>
    <t>The Godfather: Part II</t>
  </si>
  <si>
    <t>The Phantom of Liberty</t>
  </si>
  <si>
    <t>Barry Lyndon</t>
  </si>
  <si>
    <t>Dersu Uzala</t>
  </si>
  <si>
    <t>Jaws</t>
  </si>
  <si>
    <t>Jeanne Dielman, 23 Commerce Quay, 1080 Brussels</t>
  </si>
  <si>
    <t>Love and Death</t>
  </si>
  <si>
    <t>Mirror</t>
  </si>
  <si>
    <t>Monty Python and the Holy Grail</t>
  </si>
  <si>
    <t>One Flew Over the Cuckoo's Nest</t>
  </si>
  <si>
    <t>The Man Who Would Be King</t>
  </si>
  <si>
    <t>All the President's Men</t>
  </si>
  <si>
    <t>Rocky</t>
  </si>
  <si>
    <t>Taxi Driver</t>
  </si>
  <si>
    <t>A Special Day</t>
  </si>
  <si>
    <t>Annie Hall</t>
  </si>
  <si>
    <t>Opening Night</t>
  </si>
  <si>
    <t>Star Wars</t>
  </si>
  <si>
    <t>Stroszek</t>
  </si>
  <si>
    <t>That Obscure Object of Desire</t>
  </si>
  <si>
    <t>Autumn Sonata</t>
  </si>
  <si>
    <t>Days of Heaven</t>
  </si>
  <si>
    <t>The Deer Hunter</t>
  </si>
  <si>
    <t>Alien</t>
  </si>
  <si>
    <t>Apocalypse Now</t>
  </si>
  <si>
    <t>Being There</t>
  </si>
  <si>
    <t>Life of Brian</t>
  </si>
  <si>
    <t>Stalker</t>
  </si>
  <si>
    <t>Kagemusha</t>
  </si>
  <si>
    <t>Star Wars: The Empire Strikes Back</t>
  </si>
  <si>
    <t>The Elephant Man</t>
  </si>
  <si>
    <t>The Shining</t>
  </si>
  <si>
    <t>Das Boot</t>
  </si>
  <si>
    <t>Raiders of the Lost Ark</t>
  </si>
  <si>
    <t>Blade Runner</t>
  </si>
  <si>
    <t>E.T. the Extra-Terrestrial</t>
  </si>
  <si>
    <t>Fanny and Alexander</t>
  </si>
  <si>
    <t>Fitzcarraldo</t>
  </si>
  <si>
    <t>The Thing</t>
  </si>
  <si>
    <t>Nostalghia</t>
  </si>
  <si>
    <t>Sans Soleil</t>
  </si>
  <si>
    <t>Amadeus</t>
  </si>
  <si>
    <t>Nausicaä of the Valley of the Wind</t>
  </si>
  <si>
    <t>Once Upon a Time in America</t>
  </si>
  <si>
    <t>The Terminator</t>
  </si>
  <si>
    <t>Back to the Future</t>
  </si>
  <si>
    <t>Come and See</t>
  </si>
  <si>
    <t>Ran</t>
  </si>
  <si>
    <t>Tampopo</t>
  </si>
  <si>
    <t>Aliens</t>
  </si>
  <si>
    <t>Blue Velvet</t>
  </si>
  <si>
    <t>Castle in the Sky</t>
  </si>
  <si>
    <t>Down by Law</t>
  </si>
  <si>
    <t>Hannah and Her Sisters</t>
  </si>
  <si>
    <t>Jean de Florette</t>
  </si>
  <si>
    <t>Platoon</t>
  </si>
  <si>
    <t>Stand by Me</t>
  </si>
  <si>
    <t>Scarface</t>
  </si>
  <si>
    <t>The Sacrifice</t>
  </si>
  <si>
    <t>Au Revoir les Enfants</t>
  </si>
  <si>
    <t>Full Metal Jacket</t>
  </si>
  <si>
    <t>Where is the Friend's Home?</t>
  </si>
  <si>
    <t>Wings of Desire</t>
  </si>
  <si>
    <t>A Short Film About Killing</t>
  </si>
  <si>
    <t>A Short Film About Love</t>
  </si>
  <si>
    <t>Cinema Paradiso</t>
  </si>
  <si>
    <t>Die Hard</t>
  </si>
  <si>
    <t>Grave of the Fireflies</t>
  </si>
  <si>
    <t>Landscape in the Mist</t>
  </si>
  <si>
    <t>My Neighbor Totoro</t>
  </si>
  <si>
    <t>Time of the Gypsies</t>
  </si>
  <si>
    <t>Dead Poets Society</t>
  </si>
  <si>
    <t>Do the Right Thing</t>
  </si>
  <si>
    <t>Indiana Jones and the Last Crusade</t>
  </si>
  <si>
    <t>Kiki's Delivery Service</t>
  </si>
  <si>
    <t>My Left Foot: The Story of Christy Brown</t>
  </si>
  <si>
    <t>The Killer</t>
  </si>
  <si>
    <t>Close-Up</t>
  </si>
  <si>
    <t>Edward Scissorhands</t>
  </si>
  <si>
    <t>GoodFellas</t>
  </si>
  <si>
    <t>Henry: Portrait of a Serial Killer</t>
  </si>
  <si>
    <t>A Brighter Summer Day</t>
  </si>
  <si>
    <t>Raise the Red Lantern</t>
  </si>
  <si>
    <t>Terminator 2: Judgment Day</t>
  </si>
  <si>
    <t>The Double Life of Véronique</t>
  </si>
  <si>
    <t>The Silence of the Lambs</t>
  </si>
  <si>
    <t>Boyz 'N the Hood</t>
  </si>
  <si>
    <t>JFK</t>
  </si>
  <si>
    <t>My Own Private Idaho</t>
  </si>
  <si>
    <t>Hearts of Darkness: A Filmmaker's Apocalypse</t>
  </si>
  <si>
    <t>Reservoir Dogs</t>
  </si>
  <si>
    <t>Unforgiven</t>
  </si>
  <si>
    <t>Glengarry Glen Ross</t>
  </si>
  <si>
    <t>Man Bites Dog (C'est Arrivé Près de Chez Vous)</t>
  </si>
  <si>
    <t>Bram Stoker's Dracula</t>
  </si>
  <si>
    <t>Aileen Wuornos: The Selling of a Serial Killer</t>
  </si>
  <si>
    <t>Carlito's Way</t>
  </si>
  <si>
    <t>Farewell My Concubine</t>
  </si>
  <si>
    <t>Groundhog Day</t>
  </si>
  <si>
    <t>Naked</t>
  </si>
  <si>
    <t>Schindler's List</t>
  </si>
  <si>
    <t>The Nightmare Before Christmas</t>
  </si>
  <si>
    <t>The Remains of the Day</t>
  </si>
  <si>
    <t>Three Colors: Blue</t>
  </si>
  <si>
    <t>Philadelphia</t>
  </si>
  <si>
    <t>Jurassic Park</t>
  </si>
  <si>
    <t>Chungking Express</t>
  </si>
  <si>
    <t>Forrest Gump</t>
  </si>
  <si>
    <t>Léon: The Professional</t>
  </si>
  <si>
    <t>Pulp Fiction</t>
  </si>
  <si>
    <t>Satantango</t>
  </si>
  <si>
    <t>The Lion King</t>
  </si>
  <si>
    <t>The Shawshank Redemption</t>
  </si>
  <si>
    <t>Three Colors: Red</t>
  </si>
  <si>
    <t>To Live</t>
  </si>
  <si>
    <t>Natural Born Killers</t>
  </si>
  <si>
    <t>The Adventures of Priscilla, Queen of the Desert</t>
  </si>
  <si>
    <t>Hoop Dreams</t>
  </si>
  <si>
    <t>Clerks</t>
  </si>
  <si>
    <t>Four Weddings and a Funeral</t>
  </si>
  <si>
    <t>Before Sunrise</t>
  </si>
  <si>
    <t>Casino</t>
  </si>
  <si>
    <t>Ghost in the Shell</t>
  </si>
  <si>
    <t>Heat</t>
  </si>
  <si>
    <t>La Haine</t>
  </si>
  <si>
    <t>Se7en</t>
  </si>
  <si>
    <t>The Usual Suspects</t>
  </si>
  <si>
    <t>Toy Story</t>
  </si>
  <si>
    <t>Underground</t>
  </si>
  <si>
    <t>Whisper of the Heart</t>
  </si>
  <si>
    <t>Babe</t>
  </si>
  <si>
    <t>Clueless</t>
  </si>
  <si>
    <t>Breaking the Waves</t>
  </si>
  <si>
    <t>Fargo</t>
  </si>
  <si>
    <t>Secrets &amp; Lies</t>
  </si>
  <si>
    <t>Trainspotting</t>
  </si>
  <si>
    <t>Scream</t>
  </si>
  <si>
    <t>The English Patient</t>
  </si>
  <si>
    <t>Lone Star</t>
  </si>
  <si>
    <t>Independence Day</t>
  </si>
  <si>
    <t>Children of Heaven</t>
  </si>
  <si>
    <t>Fireworks</t>
  </si>
  <si>
    <t>Good Will Hunting</t>
  </si>
  <si>
    <t>L.A. Confidential</t>
  </si>
  <si>
    <t>Life Is Beautiful</t>
  </si>
  <si>
    <t>Perfect Blue</t>
  </si>
  <si>
    <t>Titanic</t>
  </si>
  <si>
    <t>American History X</t>
  </si>
  <si>
    <t>Central Station</t>
  </si>
  <si>
    <t>Dark City</t>
  </si>
  <si>
    <t>Saving Private Ryan</t>
  </si>
  <si>
    <t>The Big Lebowski</t>
  </si>
  <si>
    <t>The Celebration</t>
  </si>
  <si>
    <t>The Truman Show</t>
  </si>
  <si>
    <t>Lock, Stock, and Two Smoking Barrels</t>
  </si>
  <si>
    <t>There's Something about Mary</t>
  </si>
  <si>
    <t>All About My Mother</t>
  </si>
  <si>
    <t>American Beauty</t>
  </si>
  <si>
    <t>Fight Club</t>
  </si>
  <si>
    <t>Princess Mononoke</t>
  </si>
  <si>
    <t>The Green Mile</t>
  </si>
  <si>
    <t>The Iron Giant</t>
  </si>
  <si>
    <t>The Matrix</t>
  </si>
  <si>
    <t>Toy Story 2</t>
  </si>
  <si>
    <t>The Blair Witch Project</t>
  </si>
  <si>
    <t>Being John Malkovich</t>
  </si>
  <si>
    <t>The Sixth Sense</t>
  </si>
  <si>
    <t>Three Kings</t>
  </si>
  <si>
    <t>Magnolia</t>
  </si>
  <si>
    <t>Gladiator</t>
  </si>
  <si>
    <t>In the Mood for Love</t>
  </si>
  <si>
    <t>Memento</t>
  </si>
  <si>
    <t>Requiem for a Dream</t>
  </si>
  <si>
    <t>Werckmeister Harmonies</t>
  </si>
  <si>
    <t>Meet the Parents</t>
  </si>
  <si>
    <t>O Brother, Where Art Thou?</t>
  </si>
  <si>
    <t>Donnie Darko</t>
  </si>
  <si>
    <t>Monsters, Inc.</t>
  </si>
  <si>
    <t>Mulholland Drive</t>
  </si>
  <si>
    <t>Spirited Away</t>
  </si>
  <si>
    <t>The Lord of the Rings: The Fellowship of the Ring</t>
  </si>
  <si>
    <t>Vanilla Sky</t>
  </si>
  <si>
    <t>Moulin Rouge</t>
  </si>
  <si>
    <t>The Royal Tenenbaums</t>
  </si>
  <si>
    <t>A.I.: Artificial Intelligence</t>
  </si>
  <si>
    <t>Catch Me If You Can</t>
  </si>
  <si>
    <t>Infernal Affairs</t>
  </si>
  <si>
    <t>Talk to Her</t>
  </si>
  <si>
    <t>The Lord of the Rings: The Two Towers</t>
  </si>
  <si>
    <t>The Pianist</t>
  </si>
  <si>
    <t>The Twilight Samurai</t>
  </si>
  <si>
    <t>Bowling for Columbine</t>
  </si>
  <si>
    <t>Chicago</t>
  </si>
  <si>
    <t>Finding Nemo</t>
  </si>
  <si>
    <t>Oldboy</t>
  </si>
  <si>
    <t>Spring, Summer, Fall, Winter... and Spring</t>
  </si>
  <si>
    <t>The Best of Youth</t>
  </si>
  <si>
    <t>The Lord of the Rings: The Return of the King</t>
  </si>
  <si>
    <t>The Return</t>
  </si>
  <si>
    <t>The Triplets of Belleville</t>
  </si>
  <si>
    <t>Aileen: Life and Death of a Serial Killer</t>
  </si>
  <si>
    <t>Kill Bill, Vol. 1</t>
  </si>
  <si>
    <t>Lost in Translation</t>
  </si>
  <si>
    <t>Amélie</t>
  </si>
  <si>
    <t>Before Sunset</t>
  </si>
  <si>
    <t>Downfall</t>
  </si>
  <si>
    <t>Eternal Sunshine of the Spotless Mind</t>
  </si>
  <si>
    <t>Hotel Rwanda</t>
  </si>
  <si>
    <t>Howl's Moving Castle</t>
  </si>
  <si>
    <t>Million Dollar Baby</t>
  </si>
  <si>
    <t>Nobody Knows</t>
  </si>
  <si>
    <t>The Incredibles</t>
  </si>
  <si>
    <t>The Consequences of Love (Le Conseguenze dell’Amore)</t>
  </si>
  <si>
    <t>Downfall (Der Untergang)</t>
  </si>
  <si>
    <t>Fahrenheit 9/11</t>
  </si>
  <si>
    <t>The Passion of the Christ</t>
  </si>
  <si>
    <t>The Aviator</t>
  </si>
  <si>
    <t>Crash</t>
  </si>
  <si>
    <t>Sideways</t>
  </si>
  <si>
    <t>Pan's Labyrinth</t>
  </si>
  <si>
    <t>The Departed</t>
  </si>
  <si>
    <t>The Lives of Others</t>
  </si>
  <si>
    <t>Little Miss Sunshine</t>
  </si>
  <si>
    <t>Borat</t>
  </si>
  <si>
    <t>Once</t>
  </si>
  <si>
    <t>Children of Men</t>
  </si>
  <si>
    <t>United 93</t>
  </si>
  <si>
    <t>The Last King of Scotland</t>
  </si>
  <si>
    <t>Babel</t>
  </si>
  <si>
    <t>4 Months, 3 Weeks and 2 Days</t>
  </si>
  <si>
    <t>Like Stars on Earth</t>
  </si>
  <si>
    <t>No Country for Old Men</t>
  </si>
  <si>
    <t>Persepolis</t>
  </si>
  <si>
    <t>Ratatouille</t>
  </si>
  <si>
    <t>The Diving Bell and the Butterfly</t>
  </si>
  <si>
    <t>There Will Be Blood</t>
  </si>
  <si>
    <t>Paranormal Activity</t>
  </si>
  <si>
    <t>Into the Wild</t>
  </si>
  <si>
    <t>Gran Torino</t>
  </si>
  <si>
    <t>Love Exposure</t>
  </si>
  <si>
    <t>Still Walking</t>
  </si>
  <si>
    <t>The Dark Knight</t>
  </si>
  <si>
    <t>WALL-E</t>
  </si>
  <si>
    <t>The Hurt Locker</t>
  </si>
  <si>
    <t>Slumdog Millionaire</t>
  </si>
  <si>
    <t>Let the Right One In (Låt den Rätte Komma In)</t>
  </si>
  <si>
    <t>The Good, the Bad, the Weird (Joheun nom Nabbeun nom Isanghan nom)</t>
  </si>
  <si>
    <t>The Wrestler</t>
  </si>
  <si>
    <t>The Class (Entre les Murs)</t>
  </si>
  <si>
    <t>A Prophet</t>
  </si>
  <si>
    <t>Inglourious Basterds</t>
  </si>
  <si>
    <t>Mary and Max</t>
  </si>
  <si>
    <t>The Secret in Their Eyes</t>
  </si>
  <si>
    <t>Up</t>
  </si>
  <si>
    <t>District 9</t>
  </si>
  <si>
    <t>Avatar</t>
  </si>
  <si>
    <t>The White Ribbon (Das Weisse Band: Eine Deutsche Kindergeschichte)</t>
  </si>
  <si>
    <t>An Education</t>
  </si>
  <si>
    <t>Precious: Based on the Novel "Push" by Sapphire</t>
  </si>
  <si>
    <t>The Hangover</t>
  </si>
  <si>
    <t>In the Loop</t>
  </si>
  <si>
    <t>Fish Tank</t>
  </si>
  <si>
    <t>How to Train Your Dragon</t>
  </si>
  <si>
    <t>Inception</t>
  </si>
  <si>
    <t>The King's Speech</t>
  </si>
  <si>
    <t>Toy Story 3</t>
  </si>
  <si>
    <t>Black Swan</t>
  </si>
  <si>
    <t>The Social Network</t>
  </si>
  <si>
    <t>Four Lions</t>
  </si>
  <si>
    <t>True Grit</t>
  </si>
  <si>
    <t>A Separation</t>
  </si>
  <si>
    <t>Harry Potter and the Deathly Hallows: Part 2</t>
  </si>
  <si>
    <t>Incendies</t>
  </si>
  <si>
    <t>The Intouchables</t>
  </si>
  <si>
    <t>Le Havre</t>
  </si>
  <si>
    <t>Shame</t>
  </si>
  <si>
    <t>The Tree of Life</t>
  </si>
  <si>
    <t>Drive</t>
  </si>
  <si>
    <t>Tinker Tailor Soldier Spy</t>
  </si>
  <si>
    <t>Bridesmaids</t>
  </si>
  <si>
    <t>The Kid with a Bike</t>
  </si>
  <si>
    <t>The Artist</t>
  </si>
  <si>
    <t>The Girl with the Dragon Tattoo</t>
  </si>
  <si>
    <t>War Horse</t>
  </si>
  <si>
    <t>The Descendants</t>
  </si>
  <si>
    <t>Hugo</t>
  </si>
  <si>
    <t>A Place Beyond the Pines</t>
  </si>
  <si>
    <t>Amour</t>
  </si>
  <si>
    <t>Django Unchained</t>
  </si>
  <si>
    <t>It's Such a Beautiful Day</t>
  </si>
  <si>
    <t>The Hunt</t>
  </si>
  <si>
    <t>The Cabin in the Woods</t>
  </si>
  <si>
    <t>Les Misérables</t>
  </si>
  <si>
    <t>Argo</t>
  </si>
  <si>
    <t>The Act of Killing</t>
  </si>
  <si>
    <t>Lincoln</t>
  </si>
  <si>
    <t>Skyfall</t>
  </si>
  <si>
    <t>Life of Pi</t>
  </si>
  <si>
    <t>12 Years a Slave</t>
  </si>
  <si>
    <t>The Tale of the Princess Kaguya</t>
  </si>
  <si>
    <t>Nebraska</t>
  </si>
  <si>
    <t>Inside Llewyn Davis</t>
  </si>
  <si>
    <t>The Wolf of Wall Street</t>
  </si>
  <si>
    <t>Gravity</t>
  </si>
  <si>
    <t>American Hustle</t>
  </si>
  <si>
    <t>Ida</t>
  </si>
  <si>
    <t>Under the Skin</t>
  </si>
  <si>
    <t>Boyhood</t>
  </si>
  <si>
    <t>Gone Girl</t>
  </si>
  <si>
    <t>Interstellar</t>
  </si>
  <si>
    <t>Mommy</t>
  </si>
  <si>
    <t>Song of the Sea</t>
  </si>
  <si>
    <t>The Grand Budapest Hotel</t>
  </si>
  <si>
    <t>Whiplash</t>
  </si>
  <si>
    <t>Wild Tales</t>
  </si>
  <si>
    <t>Guardians of the Galaxy</t>
  </si>
  <si>
    <t>Birdman: Or (The Unexpected Virtue of Ignorance)</t>
  </si>
  <si>
    <t>The Theory of Everything</t>
  </si>
  <si>
    <t>Inside Out</t>
  </si>
  <si>
    <t>Mad Max: Fury Road</t>
  </si>
  <si>
    <t>Room</t>
  </si>
  <si>
    <t>Spotlight</t>
  </si>
  <si>
    <t>Star Wars: The Force Awakens</t>
  </si>
  <si>
    <t>The Revenant</t>
  </si>
  <si>
    <t>Bridge of Spies</t>
  </si>
  <si>
    <t>The Big Short</t>
  </si>
  <si>
    <t>Straight Outta Compton</t>
  </si>
  <si>
    <t>Mad Max Fury Road</t>
  </si>
  <si>
    <t>Jackie</t>
  </si>
  <si>
    <t>I, Daniel Blake</t>
  </si>
  <si>
    <t>Dangal</t>
  </si>
  <si>
    <t>The Handmaiden</t>
  </si>
  <si>
    <t>Hell or High Water</t>
  </si>
  <si>
    <t>The Jungle Book</t>
  </si>
  <si>
    <t>Manchester by the Sea</t>
  </si>
  <si>
    <t>13th</t>
  </si>
  <si>
    <t>Moonlight</t>
  </si>
  <si>
    <t xml:space="preserve">Dawson City: Frozen Time </t>
  </si>
  <si>
    <t>La La Land</t>
  </si>
  <si>
    <t>Lady Macbeth</t>
  </si>
  <si>
    <t>Blade Runner 2049</t>
  </si>
  <si>
    <t>Call Me by Your Name</t>
  </si>
  <si>
    <t>Coco</t>
  </si>
  <si>
    <t xml:space="preserve">Get Out </t>
  </si>
  <si>
    <t xml:space="preserve">LadyBird </t>
  </si>
  <si>
    <t>Mother!</t>
  </si>
  <si>
    <t xml:space="preserve">The Shape of Water </t>
  </si>
  <si>
    <t>The Florida Project</t>
  </si>
  <si>
    <t>Capernaum</t>
  </si>
  <si>
    <t>Shoplifters</t>
  </si>
  <si>
    <t>Spider-Man: Into the Spider-Verse</t>
  </si>
  <si>
    <t xml:space="preserve">Black Panther </t>
  </si>
  <si>
    <t>Ford v Ferrari</t>
  </si>
  <si>
    <t>Klaus</t>
  </si>
  <si>
    <t>Marriage Story</t>
  </si>
  <si>
    <t>Parasite</t>
  </si>
  <si>
    <t>Portrait of a Lady on Fire</t>
  </si>
  <si>
    <t>Phantom Thread</t>
  </si>
  <si>
    <t>The Greatest Showman</t>
  </si>
  <si>
    <t>Crazy Rich Asians</t>
  </si>
  <si>
    <t>A Star is Born</t>
  </si>
  <si>
    <t>Avengers: Infinity War</t>
  </si>
  <si>
    <t>Roma</t>
  </si>
  <si>
    <t>Hereditary</t>
  </si>
  <si>
    <t>The Favourite</t>
  </si>
  <si>
    <t>Sorry to Bother You</t>
  </si>
  <si>
    <t>Vice</t>
  </si>
  <si>
    <t>BlacKkKlansman</t>
  </si>
  <si>
    <t>Avengers: Endgame</t>
  </si>
  <si>
    <t>For Sama</t>
  </si>
  <si>
    <t>Booksmart</t>
  </si>
  <si>
    <t>Once Upon a Time in Hollywood</t>
  </si>
  <si>
    <t>The Farewell</t>
  </si>
  <si>
    <t>Joker</t>
  </si>
  <si>
    <t>Little Women</t>
  </si>
  <si>
    <t>The Lighthouse</t>
  </si>
  <si>
    <t xml:space="preserve">Toy Story 4 </t>
  </si>
  <si>
    <t>Tenet</t>
  </si>
  <si>
    <t xml:space="preserve">Ma Rainey’s Black Bottom </t>
  </si>
  <si>
    <t>Soul</t>
  </si>
  <si>
    <t>Never Rarely Sometimes Always</t>
  </si>
  <si>
    <t>Lovers Rock</t>
  </si>
  <si>
    <t>Dune</t>
  </si>
  <si>
    <t xml:space="preserve">Nomadland </t>
  </si>
  <si>
    <t>Summer of Soul</t>
  </si>
  <si>
    <t>The Father</t>
  </si>
  <si>
    <t>The Velvet Underground</t>
  </si>
  <si>
    <t>Judas and the Black Messiah</t>
  </si>
  <si>
    <t>Pig</t>
  </si>
  <si>
    <t>Coda</t>
  </si>
  <si>
    <t>The Power of the Dog</t>
  </si>
  <si>
    <t>My Octopus Teacher</t>
  </si>
  <si>
    <t>The Tragedy of Macbeth</t>
  </si>
  <si>
    <t>Licorice Pizza</t>
  </si>
  <si>
    <t>King Richard</t>
  </si>
  <si>
    <t>The Green Knight</t>
  </si>
  <si>
    <t>Belfast</t>
  </si>
  <si>
    <t>The Last Duel</t>
  </si>
  <si>
    <t>Nobody</t>
  </si>
  <si>
    <t>Top Gun: Maverick</t>
  </si>
  <si>
    <t>Prey</t>
  </si>
  <si>
    <t>The Unbearable Weight of Massive Talent</t>
  </si>
  <si>
    <t>The Batman</t>
  </si>
  <si>
    <t>Everything, Everywhere All At Once</t>
  </si>
  <si>
    <t>The Northman</t>
  </si>
  <si>
    <t>Scream (2022)</t>
  </si>
  <si>
    <t>Elvis</t>
  </si>
  <si>
    <t>See for Me</t>
  </si>
  <si>
    <t>The Black Phone</t>
  </si>
  <si>
    <t>Nope</t>
  </si>
  <si>
    <t>Poser</t>
  </si>
  <si>
    <t>Cyrano</t>
  </si>
  <si>
    <t>Film Club Tracker - Round 20</t>
  </si>
  <si>
    <t>Week 7 - Jon</t>
  </si>
  <si>
    <t>8-Bit Christmas</t>
  </si>
  <si>
    <t>12 Monkeys</t>
  </si>
  <si>
    <t>Fritz the Cat</t>
  </si>
  <si>
    <t>Ghost Dog: The Way of the Samurai</t>
  </si>
  <si>
    <t>One False Move</t>
  </si>
  <si>
    <t>Wild at Heart</t>
  </si>
  <si>
    <t>Decision to Leave</t>
  </si>
  <si>
    <t>Film Club Tracker - Round 19</t>
  </si>
  <si>
    <t>Halloween 3: Season of the Witch</t>
  </si>
  <si>
    <t>It Follows</t>
  </si>
  <si>
    <t>Creepshow</t>
  </si>
  <si>
    <t xml:space="preserve">Thief </t>
  </si>
  <si>
    <t xml:space="preserve">Once Upon a Time in the West </t>
  </si>
  <si>
    <t>The Daytrippers</t>
  </si>
  <si>
    <t>The American Astronaut</t>
  </si>
  <si>
    <t>Film Club Tracker - Round 18</t>
  </si>
  <si>
    <t>Week 7 - Danny</t>
  </si>
  <si>
    <t>Jacob's Ladder</t>
  </si>
  <si>
    <t>The Vanishing</t>
  </si>
  <si>
    <t>Another Round</t>
  </si>
  <si>
    <t>The Last Samurai</t>
  </si>
  <si>
    <t>Battle Royale</t>
  </si>
  <si>
    <t>The Holy Mountain</t>
  </si>
  <si>
    <t>Film Club Tracker - Round 17</t>
  </si>
  <si>
    <t>Week 4 - Midge</t>
  </si>
  <si>
    <t>The Sword and the Sorcerer</t>
  </si>
  <si>
    <t>Seconds</t>
  </si>
  <si>
    <t>House</t>
  </si>
  <si>
    <t>Swing Kids</t>
  </si>
  <si>
    <t>Killing Them Softly</t>
  </si>
  <si>
    <t>Invasion of the Body Snatchers (1978)</t>
  </si>
  <si>
    <t>Sorcerer</t>
  </si>
  <si>
    <t>All The President's Men</t>
  </si>
  <si>
    <t>Film Club Tracker - Round 16</t>
  </si>
  <si>
    <t>Blood Simple</t>
  </si>
  <si>
    <t>The Fortune</t>
  </si>
  <si>
    <t>Empire of the Sun</t>
  </si>
  <si>
    <t>Turbo Kid</t>
  </si>
  <si>
    <t>It Could Happen to You</t>
  </si>
  <si>
    <t>Film Club Tracker - Round 15</t>
  </si>
  <si>
    <t>Dead Man</t>
  </si>
  <si>
    <t>Bone Tomahawk</t>
  </si>
  <si>
    <t>Elite Squad</t>
  </si>
  <si>
    <t>Do The Right Thing</t>
  </si>
  <si>
    <t>The Trial of the Chicago 7</t>
  </si>
  <si>
    <t>The Iron Claw</t>
  </si>
  <si>
    <t>The Shadow</t>
  </si>
  <si>
    <t>Film Club Tracker - Round 14</t>
  </si>
  <si>
    <t>Week 1 - Jen</t>
  </si>
  <si>
    <t>Week 5 - Apples</t>
  </si>
  <si>
    <t>Lock, Stock and Two Smoking Barrels</t>
  </si>
  <si>
    <t>Predestination</t>
  </si>
  <si>
    <t>Timecrimes</t>
  </si>
  <si>
    <t>Before the Devil Knows You're Dead</t>
  </si>
  <si>
    <t>Magic</t>
  </si>
  <si>
    <t>Trees Lounge</t>
  </si>
  <si>
    <t>Quiz Show</t>
  </si>
  <si>
    <t>Film Club Tracker - Round 13</t>
  </si>
  <si>
    <t>Film Club Tracker - Round 12</t>
  </si>
  <si>
    <t>Film Club Tracker - Round 11</t>
  </si>
  <si>
    <t>Film Club Tracker - Round 10</t>
  </si>
  <si>
    <t>Film Club Tracker - Round 9</t>
  </si>
  <si>
    <t>Film Club Tracker - Round 8</t>
  </si>
  <si>
    <t>Film Club Tracker - Round 7</t>
  </si>
  <si>
    <t>Jeff's Stats</t>
  </si>
  <si>
    <t>Rating</t>
  </si>
  <si>
    <t>Round</t>
  </si>
  <si>
    <t>Pick</t>
  </si>
  <si>
    <t>Thief</t>
  </si>
  <si>
    <t>Danny's Stats</t>
  </si>
  <si>
    <t>Jon's Stats</t>
  </si>
  <si>
    <t>Pat's Stats</t>
  </si>
  <si>
    <t>Robocop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</si>
</sst>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23">
    <font>
      <sz val="10"/>
      <color rgb="FF000000"/>
      <name val="Arial"/>
      <scheme val="minor"/>
    </font>
    <font>
      <sz val="10"/>
      <color theme="1"/>
      <name val="Arial"/>
      <scheme val="minor"/>
    </font>
    <font>
      <b/>
      <sz val="10"/>
      <color theme="1"/>
      <name val="Arial"/>
      <scheme val="minor"/>
    </font>
    <font>
      <b/>
      <sz val="18"/>
      <color theme="1"/>
      <name val="Arial"/>
      <scheme val="minor"/>
    </font>
    <font>
      <b/>
      <sz val="12"/>
      <color theme="1"/>
      <name val="Arial"/>
      <scheme val="minor"/>
    </font>
    <font>
      <sz val="10"/>
      <color rgb="FFFFFFFF"/>
      <name val="Arial"/>
      <scheme val="minor"/>
    </font>
    <font>
      <sz val="12"/>
      <color theme="1"/>
      <name val="Arial"/>
      <scheme val="minor"/>
    </font>
    <font>
      <sz val="12"/>
      <color rgb="FF000000"/>
      <name val="Arial"/>
      <scheme val="minor"/>
    </font>
    <font>
      <sz val="12"/>
      <color rgb="FFFFFFFF"/>
      <name val="Arial"/>
      <scheme val="minor"/>
    </font>
    <font>
      <i/>
      <sz val="10"/>
      <color theme="1"/>
      <name val="Arial"/>
      <scheme val="minor"/>
    </font>
    <font>
      <sz val="10"/>
      <name val="Arial"/>
    </font>
    <font>
      <sz val="10"/>
      <color theme="1"/>
      <name val="Arial"/>
      <scheme val="minor"/>
    </font>
    <font>
      <b/>
      <sz val="10"/>
      <color theme="1"/>
      <name val="Verdana"/>
    </font>
    <font>
      <b/>
      <sz val="10"/>
      <color rgb="FF333333"/>
      <name val="Verdana"/>
    </font>
    <font>
      <sz val="10"/>
      <color rgb="FF333333"/>
      <name val="Verdana"/>
    </font>
    <font>
      <sz val="10"/>
      <color theme="0"/>
      <name val="Arial"/>
      <scheme val="minor"/>
    </font>
    <font>
      <sz val="10"/>
      <color rgb="FF1A1A1B"/>
      <name val="Arial"/>
      <scheme val="minor"/>
    </font>
    <font>
      <sz val="11"/>
      <color theme="0"/>
      <name val="Monospace"/>
    </font>
    <font>
      <sz val="11"/>
      <color rgb="FF198639"/>
      <name val="Monospace"/>
    </font>
    <font>
      <u/>
      <sz val="18"/>
      <color theme="1"/>
      <name val="Arial"/>
      <scheme val="minor"/>
    </font>
    <font>
      <sz val="18"/>
      <color theme="1"/>
      <name val="Arial"/>
      <scheme val="minor"/>
    </font>
    <font>
      <b/>
      <sz val="12"/>
      <color theme="1"/>
      <name val="Arial"/>
    </font>
    <font>
      <sz val="12"/>
      <color theme="1"/>
      <name val="Arial"/>
    </font>
  </fonts>
  <fills count="13">
    <fill>
      <patternFill patternType="none"/>
    </fill>
    <fill>
      <patternFill patternType="gray125"/>
    </fill>
    <fill>
      <patternFill patternType="solid">
        <fgColor rgb="FFFBFBFB"/>
        <bgColor rgb="FFFBFBFB"/>
      </patternFill>
    </fill>
    <fill>
      <patternFill patternType="solid">
        <fgColor theme="0"/>
        <bgColor theme="0"/>
      </patternFill>
    </fill>
    <fill>
      <patternFill patternType="solid">
        <fgColor rgb="FFD9D9D9"/>
        <bgColor rgb="FFD9D9D9"/>
      </patternFill>
    </fill>
    <fill>
      <patternFill patternType="solid">
        <fgColor rgb="FF9FC5E8"/>
        <bgColor rgb="FF9FC5E8"/>
      </patternFill>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F6F6F5"/>
        <bgColor rgb="FFF6F6F5"/>
      </patternFill>
    </fill>
    <fill>
      <patternFill patternType="solid">
        <fgColor rgb="FFA4C2F4"/>
        <bgColor rgb="FFA4C2F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147">
    <xf numFmtId="0" fontId="0" fillId="0" borderId="0" xfId="0"/>
    <xf numFmtId="0" fontId="1" fillId="0" borderId="0" xfId="0" applyFont="1"/>
    <xf numFmtId="0" fontId="2" fillId="2" borderId="0" xfId="0" applyFont="1" applyFill="1"/>
    <xf numFmtId="0" fontId="2" fillId="3" borderId="0" xfId="0" applyFont="1" applyFill="1"/>
    <xf numFmtId="0" fontId="2" fillId="3" borderId="0" xfId="0" applyFont="1" applyFill="1" applyAlignment="1">
      <alignment horizontal="center"/>
    </xf>
    <xf numFmtId="0" fontId="1" fillId="3" borderId="0" xfId="0" applyFont="1" applyFill="1"/>
    <xf numFmtId="0" fontId="3" fillId="2" borderId="0" xfId="0" applyFont="1" applyFill="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4" fillId="2" borderId="0" xfId="0" applyFont="1" applyFill="1" applyAlignment="1">
      <alignment horizont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2" fillId="0" borderId="0" xfId="0" applyFont="1" applyAlignment="1">
      <alignment horizontal="center"/>
    </xf>
    <xf numFmtId="0" fontId="5" fillId="6" borderId="4" xfId="0" applyFont="1" applyFill="1" applyBorder="1" applyAlignment="1">
      <alignment horizontal="center" vertical="center"/>
    </xf>
    <xf numFmtId="0" fontId="1" fillId="0" borderId="0" xfId="0" applyFont="1" applyAlignment="1">
      <alignment horizontal="center"/>
    </xf>
    <xf numFmtId="0" fontId="6" fillId="2" borderId="0" xfId="0" applyFont="1" applyFill="1"/>
    <xf numFmtId="0" fontId="7" fillId="0" borderId="4" xfId="0" applyFont="1" applyBorder="1" applyAlignment="1">
      <alignment horizontal="left"/>
    </xf>
    <xf numFmtId="164" fontId="6" fillId="0" borderId="4" xfId="0" applyNumberFormat="1" applyFont="1" applyBorder="1" applyAlignment="1">
      <alignment horizontal="center"/>
    </xf>
    <xf numFmtId="164" fontId="6" fillId="7" borderId="4" xfId="0" applyNumberFormat="1" applyFont="1" applyFill="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4" fillId="2" borderId="0" xfId="0" applyFont="1" applyFill="1"/>
    <xf numFmtId="0" fontId="4" fillId="5" borderId="4" xfId="0" applyFont="1" applyFill="1" applyBorder="1"/>
    <xf numFmtId="2" fontId="4" fillId="5" borderId="4" xfId="0" applyNumberFormat="1" applyFont="1" applyFill="1" applyBorder="1" applyAlignment="1">
      <alignment horizontal="center"/>
    </xf>
    <xf numFmtId="2" fontId="8" fillId="6" borderId="4" xfId="0" applyNumberFormat="1" applyFont="1" applyFill="1" applyBorder="1" applyAlignment="1">
      <alignment horizontal="center"/>
    </xf>
    <xf numFmtId="0" fontId="9" fillId="0" borderId="0" xfId="0" applyFont="1"/>
    <xf numFmtId="0" fontId="1" fillId="2" borderId="0" xfId="0" applyFont="1" applyFill="1"/>
    <xf numFmtId="0" fontId="2" fillId="0" borderId="0" xfId="0" applyFont="1"/>
    <xf numFmtId="164" fontId="6" fillId="8" borderId="4" xfId="0" applyNumberFormat="1" applyFont="1" applyFill="1" applyBorder="1" applyAlignment="1">
      <alignment horizontal="center"/>
    </xf>
    <xf numFmtId="0" fontId="4" fillId="3" borderId="0" xfId="0" applyFont="1" applyFill="1" applyAlignment="1">
      <alignment horizontal="center"/>
    </xf>
    <xf numFmtId="0" fontId="4" fillId="5" borderId="0" xfId="0" applyFont="1" applyFill="1" applyAlignment="1">
      <alignment horizontal="center" vertical="center"/>
    </xf>
    <xf numFmtId="0" fontId="6" fillId="0" borderId="0" xfId="0" applyFont="1"/>
    <xf numFmtId="0" fontId="4" fillId="3" borderId="0" xfId="0" applyFont="1" applyFill="1"/>
    <xf numFmtId="0" fontId="4" fillId="9" borderId="0" xfId="0" applyFont="1" applyFill="1" applyAlignment="1">
      <alignment horizontal="center"/>
    </xf>
    <xf numFmtId="0" fontId="2" fillId="9" borderId="0" xfId="0" applyFont="1" applyFill="1" applyAlignment="1">
      <alignment horizontal="center"/>
    </xf>
    <xf numFmtId="0" fontId="6" fillId="0" borderId="4" xfId="0" applyFont="1" applyBorder="1" applyAlignment="1">
      <alignment horizontal="center"/>
    </xf>
    <xf numFmtId="0" fontId="6" fillId="0" borderId="4" xfId="0" applyFont="1" applyBorder="1"/>
    <xf numFmtId="2" fontId="4" fillId="0" borderId="4" xfId="0" applyNumberFormat="1" applyFont="1" applyBorder="1" applyAlignment="1">
      <alignment horizontal="center"/>
    </xf>
    <xf numFmtId="0" fontId="6" fillId="0" borderId="4" xfId="0" applyFont="1" applyBorder="1" applyAlignment="1">
      <alignment horizontal="left"/>
    </xf>
    <xf numFmtId="0" fontId="4" fillId="5" borderId="4" xfId="0" applyFont="1" applyFill="1" applyBorder="1" applyAlignment="1">
      <alignment vertical="center"/>
    </xf>
    <xf numFmtId="0" fontId="4" fillId="5" borderId="4" xfId="0" applyFont="1" applyFill="1" applyBorder="1" applyAlignment="1">
      <alignment horizontal="center"/>
    </xf>
    <xf numFmtId="0" fontId="4" fillId="5" borderId="4" xfId="0" applyFont="1" applyFill="1" applyBorder="1" applyAlignment="1">
      <alignment horizontal="center" wrapText="1"/>
    </xf>
    <xf numFmtId="0" fontId="6" fillId="3" borderId="4" xfId="0" applyFont="1" applyFill="1" applyBorder="1" applyAlignment="1">
      <alignment horizontal="center"/>
    </xf>
    <xf numFmtId="0" fontId="6" fillId="3" borderId="4" xfId="0" applyFont="1" applyFill="1" applyBorder="1" applyAlignment="1">
      <alignment horizontal="left"/>
    </xf>
    <xf numFmtId="165" fontId="6" fillId="0" borderId="4" xfId="0" applyNumberFormat="1" applyFont="1" applyBorder="1" applyAlignment="1">
      <alignment horizontal="center"/>
    </xf>
    <xf numFmtId="164" fontId="6" fillId="3" borderId="4" xfId="0" applyNumberFormat="1" applyFont="1" applyFill="1" applyBorder="1" applyAlignment="1">
      <alignment horizontal="center"/>
    </xf>
    <xf numFmtId="164" fontId="6" fillId="2" borderId="4" xfId="0" applyNumberFormat="1" applyFont="1" applyFill="1" applyBorder="1" applyAlignment="1">
      <alignment horizontal="center"/>
    </xf>
    <xf numFmtId="0" fontId="4" fillId="5" borderId="0" xfId="0" applyFont="1" applyFill="1" applyAlignment="1">
      <alignment horizontal="center"/>
    </xf>
    <xf numFmtId="0" fontId="6" fillId="3" borderId="0" xfId="0" applyFont="1" applyFill="1" applyAlignment="1">
      <alignment horizontal="center"/>
    </xf>
    <xf numFmtId="164" fontId="6" fillId="7" borderId="0" xfId="0" applyNumberFormat="1" applyFont="1" applyFill="1" applyAlignment="1">
      <alignment horizontal="center"/>
    </xf>
    <xf numFmtId="0" fontId="6" fillId="3" borderId="4" xfId="0" applyFont="1" applyFill="1" applyBorder="1" applyAlignment="1">
      <alignment horizontal="left" wrapText="1"/>
    </xf>
    <xf numFmtId="164" fontId="6" fillId="2" borderId="0" xfId="0" applyNumberFormat="1" applyFont="1" applyFill="1" applyAlignment="1">
      <alignment horizontal="center"/>
    </xf>
    <xf numFmtId="164" fontId="6" fillId="0" borderId="0" xfId="0" applyNumberFormat="1" applyFont="1" applyAlignment="1">
      <alignment horizontal="center"/>
    </xf>
    <xf numFmtId="0" fontId="1" fillId="7" borderId="4" xfId="0" applyFont="1" applyFill="1" applyBorder="1"/>
    <xf numFmtId="0" fontId="6" fillId="3" borderId="4" xfId="0" applyFont="1" applyFill="1" applyBorder="1" applyAlignment="1">
      <alignment horizontal="center" wrapText="1"/>
    </xf>
    <xf numFmtId="164" fontId="6" fillId="3" borderId="0" xfId="0" applyNumberFormat="1" applyFont="1" applyFill="1" applyAlignment="1">
      <alignment horizontal="center"/>
    </xf>
    <xf numFmtId="164" fontId="6" fillId="8" borderId="0" xfId="0" applyNumberFormat="1" applyFont="1" applyFill="1" applyAlignment="1">
      <alignment horizontal="center"/>
    </xf>
    <xf numFmtId="0" fontId="6" fillId="7" borderId="4" xfId="0" applyFont="1" applyFill="1" applyBorder="1" applyAlignment="1">
      <alignment horizontal="center"/>
    </xf>
    <xf numFmtId="0" fontId="6" fillId="2" borderId="4" xfId="0" applyFont="1" applyFill="1" applyBorder="1" applyAlignment="1">
      <alignment horizontal="center"/>
    </xf>
    <xf numFmtId="0" fontId="6" fillId="8" borderId="4" xfId="0" applyFont="1" applyFill="1" applyBorder="1" applyAlignment="1">
      <alignment horizontal="center"/>
    </xf>
    <xf numFmtId="0" fontId="6" fillId="10" borderId="4" xfId="0" applyFont="1" applyFill="1" applyBorder="1" applyAlignment="1">
      <alignment horizontal="center"/>
    </xf>
    <xf numFmtId="166" fontId="6" fillId="0" borderId="4" xfId="0" applyNumberFormat="1" applyFont="1" applyBorder="1" applyAlignment="1">
      <alignment horizontal="center"/>
    </xf>
    <xf numFmtId="0" fontId="1" fillId="0" borderId="4" xfId="0" applyFont="1" applyBorder="1"/>
    <xf numFmtId="2" fontId="4" fillId="5" borderId="0" xfId="0" applyNumberFormat="1" applyFont="1" applyFill="1" applyAlignment="1">
      <alignment horizontal="center"/>
    </xf>
    <xf numFmtId="0" fontId="4" fillId="3" borderId="4" xfId="0" applyFont="1" applyFill="1" applyBorder="1"/>
    <xf numFmtId="0" fontId="4" fillId="9" borderId="4" xfId="0" applyFont="1" applyFill="1" applyBorder="1" applyAlignment="1">
      <alignment horizontal="center"/>
    </xf>
    <xf numFmtId="0" fontId="2" fillId="9" borderId="4" xfId="0" applyFont="1" applyFill="1" applyBorder="1" applyAlignment="1">
      <alignment horizontal="center"/>
    </xf>
    <xf numFmtId="2" fontId="6" fillId="0" borderId="4" xfId="0" applyNumberFormat="1" applyFont="1" applyBorder="1" applyAlignment="1">
      <alignment horizontal="center"/>
    </xf>
    <xf numFmtId="0" fontId="4" fillId="0" borderId="4" xfId="0" applyFont="1" applyBorder="1" applyAlignment="1">
      <alignment horizontal="center"/>
    </xf>
    <xf numFmtId="0" fontId="6" fillId="0" borderId="0" xfId="0" applyFont="1" applyAlignment="1">
      <alignment horizontal="center"/>
    </xf>
    <xf numFmtId="166" fontId="6" fillId="0" borderId="0" xfId="0" applyNumberFormat="1" applyFont="1" applyAlignment="1">
      <alignment horizontal="center"/>
    </xf>
    <xf numFmtId="164" fontId="4" fillId="5" borderId="4" xfId="0" applyNumberFormat="1" applyFont="1" applyFill="1" applyBorder="1" applyAlignment="1">
      <alignment horizontal="center"/>
    </xf>
    <xf numFmtId="0" fontId="4" fillId="5" borderId="0" xfId="0" applyFont="1" applyFill="1"/>
    <xf numFmtId="0" fontId="11" fillId="0" borderId="4" xfId="0" applyFont="1" applyBorder="1"/>
    <xf numFmtId="164" fontId="11" fillId="0" borderId="4" xfId="0" applyNumberFormat="1" applyFont="1" applyBorder="1" applyAlignment="1">
      <alignment horizontal="center"/>
    </xf>
    <xf numFmtId="2" fontId="6" fillId="0" borderId="0" xfId="0" applyNumberFormat="1" applyFont="1" applyAlignment="1">
      <alignment horizontal="center"/>
    </xf>
    <xf numFmtId="2" fontId="1" fillId="0" borderId="0" xfId="0" applyNumberFormat="1" applyFont="1"/>
    <xf numFmtId="0" fontId="12" fillId="2" borderId="0" xfId="0" applyFont="1" applyFill="1" applyAlignment="1">
      <alignment horizontal="center"/>
    </xf>
    <xf numFmtId="0" fontId="13" fillId="2" borderId="0" xfId="0" applyFont="1" applyFill="1" applyAlignment="1">
      <alignment horizontal="center"/>
    </xf>
    <xf numFmtId="0" fontId="2" fillId="2" borderId="0" xfId="0" applyFont="1" applyFill="1" applyAlignment="1">
      <alignment horizontal="center"/>
    </xf>
    <xf numFmtId="0" fontId="12" fillId="3" borderId="0" xfId="0" applyFont="1" applyFill="1" applyAlignment="1">
      <alignment horizontal="center"/>
    </xf>
    <xf numFmtId="0" fontId="13" fillId="5" borderId="4" xfId="0" applyFont="1" applyFill="1" applyBorder="1" applyAlignment="1">
      <alignment horizontal="center"/>
    </xf>
    <xf numFmtId="0" fontId="13" fillId="5" borderId="4" xfId="0" applyFont="1" applyFill="1" applyBorder="1" applyAlignment="1">
      <alignment horizontal="left"/>
    </xf>
    <xf numFmtId="0" fontId="2" fillId="5" borderId="4" xfId="0" applyFont="1" applyFill="1" applyBorder="1" applyAlignment="1">
      <alignment horizontal="center"/>
    </xf>
    <xf numFmtId="0" fontId="1" fillId="2" borderId="4" xfId="0" applyFont="1" applyFill="1" applyBorder="1"/>
    <xf numFmtId="0" fontId="14" fillId="11" borderId="4" xfId="0" applyFont="1" applyFill="1" applyBorder="1" applyAlignment="1">
      <alignment horizontal="center"/>
    </xf>
    <xf numFmtId="0" fontId="1" fillId="0" borderId="4" xfId="0" applyFont="1" applyBorder="1" applyAlignment="1">
      <alignment horizontal="center"/>
    </xf>
    <xf numFmtId="0" fontId="14" fillId="2" borderId="4" xfId="0" applyFont="1" applyFill="1" applyBorder="1" applyAlignment="1">
      <alignment horizontal="center"/>
    </xf>
    <xf numFmtId="0" fontId="1" fillId="0" borderId="4" xfId="0" quotePrefix="1" applyFont="1" applyBorder="1" applyAlignment="1">
      <alignment horizontal="center"/>
    </xf>
    <xf numFmtId="0" fontId="15" fillId="0" borderId="0" xfId="0" applyFont="1"/>
    <xf numFmtId="0" fontId="2" fillId="3" borderId="4" xfId="0" applyFont="1" applyFill="1" applyBorder="1" applyAlignment="1">
      <alignment horizontal="center"/>
    </xf>
    <xf numFmtId="0" fontId="11" fillId="0" borderId="4" xfId="0" applyFont="1" applyBorder="1" applyAlignment="1">
      <alignment horizontal="right"/>
    </xf>
    <xf numFmtId="0" fontId="11" fillId="2" borderId="4" xfId="0" applyFont="1" applyFill="1" applyBorder="1"/>
    <xf numFmtId="0" fontId="1" fillId="2" borderId="4" xfId="0" applyFont="1" applyFill="1" applyBorder="1" applyAlignment="1">
      <alignment horizontal="left"/>
    </xf>
    <xf numFmtId="0" fontId="11" fillId="8" borderId="4" xfId="0" applyFont="1" applyFill="1" applyBorder="1" applyAlignment="1">
      <alignment horizontal="right"/>
    </xf>
    <xf numFmtId="0" fontId="16" fillId="2" borderId="4" xfId="0" applyFont="1" applyFill="1" applyBorder="1"/>
    <xf numFmtId="0" fontId="1" fillId="3" borderId="4" xfId="0" applyFont="1" applyFill="1" applyBorder="1" applyAlignment="1">
      <alignment horizontal="center"/>
    </xf>
    <xf numFmtId="0" fontId="4" fillId="12" borderId="4" xfId="0" applyFont="1" applyFill="1" applyBorder="1" applyAlignment="1">
      <alignment horizontal="center"/>
    </xf>
    <xf numFmtId="0" fontId="4" fillId="12" borderId="4" xfId="0" applyFont="1" applyFill="1" applyBorder="1" applyAlignment="1">
      <alignment horizontal="center" wrapText="1"/>
    </xf>
    <xf numFmtId="0" fontId="1" fillId="0" borderId="4" xfId="0" applyFont="1" applyBorder="1" applyAlignment="1">
      <alignment horizontal="left"/>
    </xf>
    <xf numFmtId="0" fontId="1" fillId="7" borderId="0" xfId="0" applyFont="1" applyFill="1"/>
    <xf numFmtId="0" fontId="1" fillId="3" borderId="0" xfId="0" applyFont="1" applyFill="1" applyAlignment="1">
      <alignment horizontal="center"/>
    </xf>
    <xf numFmtId="0" fontId="4" fillId="3" borderId="0" xfId="0" applyFont="1" applyFill="1" applyAlignment="1">
      <alignment horizontal="center" wrapText="1"/>
    </xf>
    <xf numFmtId="0" fontId="1" fillId="0" borderId="0" xfId="0" applyFont="1" applyAlignment="1">
      <alignment horizontal="left"/>
    </xf>
    <xf numFmtId="0" fontId="17" fillId="8" borderId="0" xfId="0" applyFont="1" applyFill="1" applyAlignment="1">
      <alignment horizontal="left"/>
    </xf>
    <xf numFmtId="0" fontId="18" fillId="8" borderId="0" xfId="0" applyFont="1" applyFill="1" applyAlignment="1">
      <alignment horizontal="left"/>
    </xf>
    <xf numFmtId="0" fontId="4" fillId="5" borderId="4" xfId="0" applyFont="1" applyFill="1" applyBorder="1" applyAlignment="1">
      <alignment horizontal="left"/>
    </xf>
    <xf numFmtId="0" fontId="1" fillId="0" borderId="5" xfId="0" applyFont="1" applyBorder="1"/>
    <xf numFmtId="0" fontId="1" fillId="0" borderId="11" xfId="0" applyFont="1" applyBorder="1"/>
    <xf numFmtId="0" fontId="20" fillId="0" borderId="0" xfId="0" applyFont="1" applyAlignment="1">
      <alignment horizontal="center"/>
    </xf>
    <xf numFmtId="0" fontId="6" fillId="3" borderId="0" xfId="0" applyFont="1" applyFill="1"/>
    <xf numFmtId="0" fontId="4" fillId="3" borderId="4" xfId="0" applyFont="1" applyFill="1" applyBorder="1" applyAlignment="1">
      <alignment horizontal="center"/>
    </xf>
    <xf numFmtId="0" fontId="4" fillId="0" borderId="4" xfId="0" applyFont="1" applyBorder="1" applyAlignment="1">
      <alignment horizontal="left"/>
    </xf>
    <xf numFmtId="164" fontId="4" fillId="2" borderId="4" xfId="0" applyNumberFormat="1" applyFont="1" applyFill="1" applyBorder="1" applyAlignment="1">
      <alignment horizontal="center"/>
    </xf>
    <xf numFmtId="0" fontId="4" fillId="0" borderId="4" xfId="0" applyFont="1" applyBorder="1"/>
    <xf numFmtId="0" fontId="4" fillId="3" borderId="4" xfId="0" applyFont="1" applyFill="1" applyBorder="1" applyAlignment="1">
      <alignment horizontal="left"/>
    </xf>
    <xf numFmtId="164" fontId="4" fillId="0" borderId="4" xfId="0" applyNumberFormat="1" applyFont="1" applyBorder="1" applyAlignment="1">
      <alignment horizontal="center"/>
    </xf>
    <xf numFmtId="164" fontId="4" fillId="3" borderId="4" xfId="0" applyNumberFormat="1" applyFont="1" applyFill="1" applyBorder="1" applyAlignment="1">
      <alignment horizontal="left"/>
    </xf>
    <xf numFmtId="164" fontId="6" fillId="3" borderId="4" xfId="0" applyNumberFormat="1" applyFont="1" applyFill="1" applyBorder="1" applyAlignment="1">
      <alignment horizontal="left"/>
    </xf>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0" borderId="4"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4" fillId="3" borderId="4" xfId="0" applyFont="1" applyFill="1" applyBorder="1" applyAlignment="1">
      <alignment horizontal="center" wrapText="1"/>
    </xf>
    <xf numFmtId="0" fontId="4" fillId="0" borderId="4" xfId="0" applyFont="1" applyBorder="1" applyAlignment="1">
      <alignment horizontal="left" vertical="center" wrapText="1"/>
    </xf>
    <xf numFmtId="0" fontId="21" fillId="8" borderId="4" xfId="0" applyFont="1" applyFill="1" applyBorder="1" applyAlignment="1">
      <alignment horizontal="center"/>
    </xf>
    <xf numFmtId="0" fontId="22" fillId="8" borderId="7" xfId="0" applyFont="1" applyFill="1" applyBorder="1" applyAlignment="1">
      <alignment horizontal="center"/>
    </xf>
    <xf numFmtId="0" fontId="22" fillId="0" borderId="7" xfId="0" applyFont="1" applyBorder="1" applyAlignment="1">
      <alignment horizontal="center"/>
    </xf>
    <xf numFmtId="0" fontId="21" fillId="8" borderId="7" xfId="0" applyFont="1" applyFill="1" applyBorder="1" applyAlignment="1">
      <alignment horizontal="center" wrapText="1"/>
    </xf>
    <xf numFmtId="0" fontId="21" fillId="8" borderId="7" xfId="0" applyFont="1" applyFill="1" applyBorder="1" applyAlignment="1">
      <alignment horizontal="center"/>
    </xf>
    <xf numFmtId="0" fontId="22" fillId="8" borderId="7" xfId="0" applyFont="1" applyFill="1" applyBorder="1" applyAlignment="1">
      <alignment horizontal="center" wrapText="1"/>
    </xf>
    <xf numFmtId="164" fontId="4" fillId="3" borderId="4" xfId="0" applyNumberFormat="1" applyFont="1" applyFill="1" applyBorder="1" applyAlignment="1">
      <alignment horizontal="center"/>
    </xf>
    <xf numFmtId="0" fontId="6" fillId="3" borderId="4" xfId="0" applyFont="1" applyFill="1" applyBorder="1"/>
    <xf numFmtId="0" fontId="3" fillId="3" borderId="0" xfId="0" applyFont="1" applyFill="1" applyAlignment="1">
      <alignment horizontal="center"/>
    </xf>
    <xf numFmtId="0" fontId="0" fillId="0" borderId="0" xfId="0"/>
    <xf numFmtId="0" fontId="4" fillId="5" borderId="1" xfId="0" applyFont="1" applyFill="1" applyBorder="1" applyAlignment="1">
      <alignment horizontal="center"/>
    </xf>
    <xf numFmtId="0" fontId="10" fillId="0" borderId="3" xfId="0" applyFont="1" applyBorder="1"/>
    <xf numFmtId="0" fontId="4" fillId="5" borderId="8" xfId="0" applyFont="1" applyFill="1" applyBorder="1" applyAlignment="1">
      <alignment horizontal="center"/>
    </xf>
    <xf numFmtId="0" fontId="10" fillId="0" borderId="9" xfId="0" applyFont="1" applyBorder="1"/>
    <xf numFmtId="0" fontId="10" fillId="0" borderId="10" xfId="0" applyFont="1" applyBorder="1"/>
    <xf numFmtId="0" fontId="2" fillId="0" borderId="1" xfId="0" applyFont="1" applyBorder="1" applyAlignment="1">
      <alignment horizontal="center"/>
    </xf>
    <xf numFmtId="0" fontId="19" fillId="0" borderId="0" xfId="0" applyFont="1" applyAlignment="1">
      <alignment horizontal="center"/>
    </xf>
    <xf numFmtId="0" fontId="10" fillId="0" borderId="2" xfId="0" applyFont="1" applyBorder="1"/>
  </cellXfs>
  <cellStyles count="1">
    <cellStyle name="Normal" xfId="0" builtinId="0"/>
  </cellStyles>
  <dxfs count="2">
    <dxf>
      <fill>
        <patternFill patternType="solid">
          <fgColor rgb="FFB7E1CD"/>
          <bgColor rgb="FFB7E1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2"/>
  <sheetViews>
    <sheetView showGridLines="0" tabSelected="1" workbookViewId="0">
      <selection activeCell="L8" sqref="L8"/>
    </sheetView>
  </sheetViews>
  <sheetFormatPr defaultColWidth="12.5703125" defaultRowHeight="15.75" customHeight="1"/>
  <cols>
    <col min="1" max="1" width="3.85546875" customWidth="1"/>
    <col min="2" max="2" width="4.28515625" customWidth="1"/>
    <col min="3" max="3" width="15.5703125" customWidth="1"/>
    <col min="4" max="4" width="13.42578125" customWidth="1"/>
    <col min="5" max="5" width="12.7109375" customWidth="1"/>
    <col min="6" max="6" width="17.42578125" customWidth="1"/>
    <col min="7" max="7" width="11" customWidth="1"/>
    <col min="8" max="8" width="13" customWidth="1"/>
    <col min="9" max="9" width="12.28515625" customWidth="1"/>
    <col min="10" max="10" width="3.140625" customWidth="1"/>
  </cols>
  <sheetData>
    <row r="1" spans="1:26">
      <c r="A1" s="1" t="s">
        <v>0</v>
      </c>
      <c r="B1" s="2">
        <f>B23</f>
        <v>0</v>
      </c>
      <c r="C1" s="3"/>
      <c r="D1" s="3"/>
      <c r="E1" s="3"/>
      <c r="F1" s="3"/>
      <c r="G1" s="3"/>
      <c r="H1" s="3"/>
      <c r="I1" s="3"/>
      <c r="J1" s="4"/>
      <c r="K1" s="5"/>
      <c r="L1" s="5"/>
      <c r="M1" s="5"/>
      <c r="N1" s="5"/>
      <c r="O1" s="5"/>
      <c r="P1" s="5"/>
      <c r="Q1" s="5"/>
      <c r="R1" s="5"/>
      <c r="S1" s="5"/>
      <c r="T1" s="5"/>
      <c r="U1" s="5"/>
      <c r="V1" s="5"/>
      <c r="W1" s="5"/>
      <c r="X1" s="5"/>
      <c r="Y1" s="5"/>
      <c r="Z1" s="5"/>
    </row>
    <row r="2" spans="1:26" ht="15.75" customHeight="1">
      <c r="B2" s="6"/>
      <c r="C2" s="137" t="s">
        <v>1</v>
      </c>
      <c r="D2" s="138"/>
      <c r="E2" s="138"/>
      <c r="F2" s="138"/>
      <c r="G2" s="138"/>
      <c r="H2" s="138"/>
      <c r="I2" s="138"/>
      <c r="J2" s="4"/>
      <c r="K2" s="5"/>
      <c r="L2" s="5"/>
      <c r="M2" s="5"/>
      <c r="N2" s="5"/>
      <c r="O2" s="5"/>
      <c r="P2" s="5"/>
      <c r="Q2" s="5"/>
      <c r="R2" s="5"/>
      <c r="S2" s="5"/>
      <c r="T2" s="5"/>
      <c r="U2" s="5"/>
      <c r="V2" s="5"/>
      <c r="W2" s="5"/>
      <c r="X2" s="5"/>
      <c r="Y2" s="5"/>
      <c r="Z2" s="5"/>
    </row>
    <row r="3" spans="1:26">
      <c r="B3" s="2"/>
      <c r="C3" s="3"/>
      <c r="D3" s="3"/>
      <c r="E3" s="3"/>
      <c r="F3" s="3"/>
      <c r="G3" s="3"/>
      <c r="H3" s="3"/>
      <c r="I3" s="3"/>
      <c r="J3" s="4"/>
      <c r="K3" s="5"/>
      <c r="L3" s="5"/>
      <c r="M3" s="5"/>
      <c r="N3" s="5"/>
      <c r="O3" s="5"/>
      <c r="P3" s="5"/>
      <c r="Q3" s="5"/>
      <c r="R3" s="5"/>
      <c r="S3" s="5"/>
      <c r="T3" s="5"/>
      <c r="U3" s="5"/>
      <c r="V3" s="5"/>
      <c r="W3" s="5"/>
      <c r="X3" s="5"/>
      <c r="Y3" s="5"/>
      <c r="Z3" s="5"/>
    </row>
    <row r="4" spans="1:26">
      <c r="B4" s="2"/>
      <c r="C4" s="3"/>
      <c r="D4" s="7" t="s">
        <v>2</v>
      </c>
      <c r="E4" s="8" t="s">
        <v>3</v>
      </c>
      <c r="F4" s="8" t="s">
        <v>4</v>
      </c>
      <c r="G4" s="8" t="s">
        <v>5</v>
      </c>
      <c r="H4" s="8" t="s">
        <v>6</v>
      </c>
      <c r="I4" s="9" t="s">
        <v>7</v>
      </c>
      <c r="J4" s="4"/>
      <c r="K4" s="5"/>
      <c r="L4" s="5"/>
      <c r="M4" s="5"/>
      <c r="N4" s="5"/>
      <c r="O4" s="5"/>
      <c r="P4" s="5"/>
      <c r="Q4" s="5"/>
      <c r="R4" s="5"/>
      <c r="S4" s="5"/>
      <c r="T4" s="5"/>
      <c r="U4" s="5"/>
      <c r="V4" s="5"/>
      <c r="W4" s="5"/>
      <c r="X4" s="5"/>
      <c r="Y4" s="5"/>
      <c r="Z4" s="5"/>
    </row>
    <row r="5" spans="1:26" ht="15.75" customHeight="1">
      <c r="B5" s="10"/>
      <c r="C5" s="11" t="s">
        <v>8</v>
      </c>
      <c r="D5" s="12" t="s">
        <v>9</v>
      </c>
      <c r="E5" s="12" t="s">
        <v>10</v>
      </c>
      <c r="F5" s="11" t="s">
        <v>11</v>
      </c>
      <c r="G5" s="11" t="s">
        <v>12</v>
      </c>
      <c r="H5" s="12"/>
      <c r="I5" s="12"/>
      <c r="J5" s="13"/>
      <c r="K5" s="14" t="s">
        <v>13</v>
      </c>
      <c r="L5" s="15"/>
      <c r="M5" s="15"/>
      <c r="N5" s="15"/>
      <c r="O5" s="15"/>
      <c r="P5" s="15"/>
      <c r="Q5" s="15"/>
      <c r="R5" s="15"/>
      <c r="S5" s="15"/>
      <c r="T5" s="15"/>
      <c r="U5" s="15"/>
      <c r="V5" s="15"/>
      <c r="W5" s="15"/>
      <c r="X5" s="15"/>
      <c r="Y5" s="15"/>
      <c r="Z5" s="15"/>
    </row>
    <row r="6" spans="1:26">
      <c r="B6" s="16"/>
      <c r="C6" s="17" t="s">
        <v>14</v>
      </c>
      <c r="D6" s="18">
        <v>8.5</v>
      </c>
      <c r="E6" s="18">
        <v>7</v>
      </c>
      <c r="F6" s="19"/>
      <c r="G6" s="18"/>
      <c r="H6" s="18"/>
      <c r="I6" s="18"/>
      <c r="J6" s="15"/>
      <c r="K6" s="20">
        <f t="shared" ref="K6:K13" si="0">COUNT(D6:I6)</f>
        <v>2</v>
      </c>
    </row>
    <row r="7" spans="1:26">
      <c r="B7" s="16"/>
      <c r="C7" s="17" t="s">
        <v>15</v>
      </c>
      <c r="D7" s="19"/>
      <c r="E7" s="19"/>
      <c r="F7" s="19"/>
      <c r="G7" s="18"/>
      <c r="H7" s="18"/>
      <c r="I7" s="18"/>
      <c r="J7" s="15"/>
      <c r="K7" s="21">
        <f t="shared" si="0"/>
        <v>0</v>
      </c>
    </row>
    <row r="8" spans="1:26">
      <c r="B8" s="16"/>
      <c r="C8" s="17" t="s">
        <v>16</v>
      </c>
      <c r="D8" s="19"/>
      <c r="E8" s="19"/>
      <c r="F8" s="19"/>
      <c r="G8" s="18"/>
      <c r="H8" s="18"/>
      <c r="I8" s="18"/>
      <c r="J8" s="15"/>
      <c r="K8" s="21">
        <f t="shared" si="0"/>
        <v>0</v>
      </c>
    </row>
    <row r="9" spans="1:26">
      <c r="B9" s="16"/>
      <c r="C9" s="17" t="s">
        <v>17</v>
      </c>
      <c r="D9" s="19"/>
      <c r="E9" s="19">
        <v>9</v>
      </c>
      <c r="F9" s="19">
        <v>7.5</v>
      </c>
      <c r="G9" s="18"/>
      <c r="H9" s="18"/>
      <c r="I9" s="18"/>
      <c r="J9" s="15"/>
      <c r="K9" s="21">
        <f t="shared" si="0"/>
        <v>2</v>
      </c>
    </row>
    <row r="10" spans="1:26">
      <c r="B10" s="16"/>
      <c r="C10" s="17" t="s">
        <v>18</v>
      </c>
      <c r="D10" s="19"/>
      <c r="E10" s="19"/>
      <c r="F10" s="19"/>
      <c r="G10" s="18"/>
      <c r="H10" s="18"/>
      <c r="I10" s="18"/>
      <c r="J10" s="15"/>
      <c r="K10" s="21">
        <f t="shared" si="0"/>
        <v>0</v>
      </c>
    </row>
    <row r="11" spans="1:26">
      <c r="B11" s="16"/>
      <c r="C11" s="17" t="s">
        <v>19</v>
      </c>
      <c r="D11" s="19"/>
      <c r="E11" s="19"/>
      <c r="F11" s="19"/>
      <c r="G11" s="18"/>
      <c r="H11" s="18"/>
      <c r="I11" s="18"/>
      <c r="J11" s="15"/>
      <c r="K11" s="21">
        <f t="shared" si="0"/>
        <v>0</v>
      </c>
    </row>
    <row r="12" spans="1:26">
      <c r="B12" s="16"/>
      <c r="C12" s="17" t="s">
        <v>20</v>
      </c>
      <c r="D12" s="18">
        <v>8.3000000000000007</v>
      </c>
      <c r="E12" s="19"/>
      <c r="F12" s="18">
        <v>6.6</v>
      </c>
      <c r="G12" s="18"/>
      <c r="H12" s="18"/>
      <c r="I12" s="18"/>
      <c r="J12" s="15"/>
      <c r="K12" s="21">
        <f t="shared" si="0"/>
        <v>2</v>
      </c>
    </row>
    <row r="13" spans="1:26">
      <c r="B13" s="16"/>
      <c r="C13" s="17" t="s">
        <v>21</v>
      </c>
      <c r="D13" s="18">
        <v>8.1999999999999993</v>
      </c>
      <c r="E13" s="19"/>
      <c r="F13" s="19"/>
      <c r="G13" s="18"/>
      <c r="H13" s="18"/>
      <c r="I13" s="18"/>
      <c r="J13" s="15"/>
      <c r="K13" s="22">
        <f t="shared" si="0"/>
        <v>1</v>
      </c>
    </row>
    <row r="14" spans="1:26" ht="15.75" customHeight="1">
      <c r="B14" s="23"/>
      <c r="C14" s="24" t="s">
        <v>22</v>
      </c>
      <c r="D14" s="25">
        <f t="shared" ref="D14:I14" si="1">IFERROR(AVERAGE(D6:D13),"-")</f>
        <v>8.3333333333333339</v>
      </c>
      <c r="E14" s="25">
        <f t="shared" si="1"/>
        <v>8</v>
      </c>
      <c r="F14" s="25">
        <f t="shared" si="1"/>
        <v>7.05</v>
      </c>
      <c r="G14" s="25" t="str">
        <f t="shared" si="1"/>
        <v>-</v>
      </c>
      <c r="H14" s="25" t="str">
        <f t="shared" si="1"/>
        <v>-</v>
      </c>
      <c r="I14" s="25" t="str">
        <f t="shared" si="1"/>
        <v>-</v>
      </c>
      <c r="J14" s="15"/>
      <c r="K14" s="26">
        <f>AVERAGE(D14:I14)</f>
        <v>7.7944444444444452</v>
      </c>
      <c r="L14" s="27" t="s">
        <v>23</v>
      </c>
    </row>
    <row r="15" spans="1:26">
      <c r="B15" s="28"/>
      <c r="J15" s="15"/>
    </row>
    <row r="16" spans="1:26">
      <c r="B16" s="28"/>
      <c r="J16" s="15"/>
    </row>
    <row r="17" spans="2:10">
      <c r="B17" s="28"/>
      <c r="J17" s="15"/>
    </row>
    <row r="18" spans="2:10">
      <c r="B18" s="28"/>
      <c r="J18" s="15"/>
    </row>
    <row r="19" spans="2:10">
      <c r="B19" s="28"/>
      <c r="J19" s="15"/>
    </row>
    <row r="20" spans="2:10" ht="12.75">
      <c r="B20" s="28"/>
      <c r="J20" s="15"/>
    </row>
    <row r="21" spans="2:10" ht="12.75">
      <c r="B21" s="28"/>
      <c r="J21" s="15"/>
    </row>
    <row r="22" spans="2:10" ht="12.75">
      <c r="B22" s="28"/>
      <c r="D22" s="1"/>
      <c r="J22" s="15"/>
    </row>
    <row r="23" spans="2:10" ht="12.75">
      <c r="B23" s="28"/>
      <c r="D23" s="1"/>
      <c r="J23" s="15"/>
    </row>
    <row r="24" spans="2:10" ht="12.75">
      <c r="B24" s="28"/>
      <c r="J24" s="15"/>
    </row>
    <row r="25" spans="2:10" ht="12.75">
      <c r="B25" s="28"/>
      <c r="J25" s="15"/>
    </row>
    <row r="26" spans="2:10" ht="12.75">
      <c r="B26" s="28"/>
      <c r="J26" s="15"/>
    </row>
    <row r="27" spans="2:10" ht="12.75">
      <c r="B27" s="28"/>
      <c r="J27" s="15"/>
    </row>
    <row r="28" spans="2:10" ht="12.75">
      <c r="B28" s="28"/>
      <c r="J28" s="15"/>
    </row>
    <row r="29" spans="2:10" ht="12.75">
      <c r="B29" s="28"/>
      <c r="J29" s="15"/>
    </row>
    <row r="30" spans="2:10" ht="12.75">
      <c r="B30" s="28"/>
      <c r="J30" s="15"/>
    </row>
    <row r="31" spans="2:10" ht="12.75">
      <c r="B31" s="28"/>
      <c r="J31" s="15"/>
    </row>
    <row r="32" spans="2:10" ht="12.75">
      <c r="B32" s="28"/>
      <c r="J32" s="15"/>
    </row>
    <row r="33" spans="2:10" ht="12.75">
      <c r="B33" s="28"/>
      <c r="J33" s="15"/>
    </row>
    <row r="34" spans="2:10" ht="12.75">
      <c r="B34" s="28"/>
      <c r="J34" s="15"/>
    </row>
    <row r="35" spans="2:10" ht="12.75">
      <c r="B35" s="28"/>
      <c r="J35" s="15"/>
    </row>
    <row r="36" spans="2:10" ht="12.75">
      <c r="B36" s="28"/>
      <c r="J36" s="15"/>
    </row>
    <row r="37" spans="2:10" ht="12.75">
      <c r="B37" s="28"/>
      <c r="H37" s="29"/>
      <c r="J37" s="15"/>
    </row>
    <row r="38" spans="2:10" ht="12.75">
      <c r="B38" s="28"/>
      <c r="J38" s="15"/>
    </row>
    <row r="39" spans="2:10" ht="12.75">
      <c r="B39" s="28"/>
      <c r="J39" s="15"/>
    </row>
    <row r="40" spans="2:10" ht="12.75">
      <c r="B40" s="28"/>
      <c r="J40" s="15"/>
    </row>
    <row r="41" spans="2:10" ht="12.75">
      <c r="B41" s="28"/>
      <c r="J41" s="15"/>
    </row>
    <row r="42" spans="2:10" ht="12.75">
      <c r="B42" s="28"/>
      <c r="J42" s="15"/>
    </row>
    <row r="43" spans="2:10" ht="12.75">
      <c r="B43" s="28"/>
      <c r="J43" s="15"/>
    </row>
    <row r="44" spans="2:10" ht="12.75">
      <c r="B44" s="28"/>
      <c r="J44" s="15"/>
    </row>
    <row r="45" spans="2:10" ht="12.75">
      <c r="B45" s="28"/>
      <c r="J45" s="15"/>
    </row>
    <row r="46" spans="2:10" ht="12.75">
      <c r="B46" s="28"/>
      <c r="J46" s="15"/>
    </row>
    <row r="47" spans="2:10" ht="12.75">
      <c r="B47" s="28"/>
      <c r="J47" s="15"/>
    </row>
    <row r="48" spans="2:10" ht="12.75">
      <c r="B48" s="28"/>
      <c r="J48" s="15"/>
    </row>
    <row r="49" spans="2:10" ht="12.75">
      <c r="B49" s="28"/>
      <c r="J49" s="15"/>
    </row>
    <row r="50" spans="2:10" ht="12.75">
      <c r="B50" s="28"/>
      <c r="J50" s="15"/>
    </row>
    <row r="51" spans="2:10" ht="12.75">
      <c r="B51" s="28"/>
      <c r="J51" s="15"/>
    </row>
    <row r="52" spans="2:10" ht="12.75">
      <c r="B52" s="28"/>
      <c r="J52" s="15"/>
    </row>
    <row r="53" spans="2:10" ht="12.75">
      <c r="B53" s="28"/>
      <c r="J53" s="15"/>
    </row>
    <row r="54" spans="2:10" ht="12.75">
      <c r="B54" s="28"/>
      <c r="J54" s="15"/>
    </row>
    <row r="55" spans="2:10" ht="12.75">
      <c r="B55" s="28"/>
      <c r="J55" s="15"/>
    </row>
    <row r="56" spans="2:10" ht="12.75">
      <c r="B56" s="28"/>
      <c r="J56" s="15"/>
    </row>
    <row r="57" spans="2:10" ht="12.75">
      <c r="B57" s="28"/>
      <c r="J57" s="15"/>
    </row>
    <row r="58" spans="2:10" ht="12.75">
      <c r="B58" s="28"/>
      <c r="J58" s="15"/>
    </row>
    <row r="59" spans="2:10" ht="12.75">
      <c r="B59" s="28"/>
      <c r="J59" s="15"/>
    </row>
    <row r="60" spans="2:10" ht="12.75">
      <c r="B60" s="28"/>
      <c r="J60" s="15"/>
    </row>
    <row r="61" spans="2:10" ht="12.75">
      <c r="B61" s="28"/>
      <c r="J61" s="15"/>
    </row>
    <row r="62" spans="2:10" ht="12.75">
      <c r="B62" s="28"/>
      <c r="J62" s="15"/>
    </row>
    <row r="63" spans="2:10" ht="12.75">
      <c r="B63" s="28"/>
      <c r="J63" s="15"/>
    </row>
    <row r="64" spans="2:10" ht="12.75">
      <c r="B64" s="28"/>
      <c r="J64" s="15"/>
    </row>
    <row r="65" spans="2:10" ht="12.75">
      <c r="B65" s="28"/>
      <c r="J65" s="15"/>
    </row>
    <row r="66" spans="2:10" ht="12.75">
      <c r="B66" s="28"/>
      <c r="J66" s="15"/>
    </row>
    <row r="67" spans="2:10" ht="12.75">
      <c r="B67" s="28"/>
      <c r="J67" s="15"/>
    </row>
    <row r="68" spans="2:10" ht="12.75">
      <c r="B68" s="28"/>
      <c r="J68" s="15"/>
    </row>
    <row r="69" spans="2:10" ht="12.75">
      <c r="B69" s="28"/>
      <c r="J69" s="15"/>
    </row>
    <row r="70" spans="2:10" ht="12.75">
      <c r="B70" s="28"/>
      <c r="J70" s="15"/>
    </row>
    <row r="71" spans="2:10" ht="12.75">
      <c r="B71" s="28"/>
      <c r="J71" s="15"/>
    </row>
    <row r="72" spans="2:10" ht="12.75">
      <c r="B72" s="28"/>
      <c r="J72" s="15"/>
    </row>
    <row r="73" spans="2:10" ht="12.75">
      <c r="B73" s="28"/>
      <c r="J73" s="15"/>
    </row>
    <row r="74" spans="2:10" ht="12.75">
      <c r="B74" s="28"/>
      <c r="J74" s="15"/>
    </row>
    <row r="75" spans="2:10" ht="12.75">
      <c r="B75" s="28"/>
      <c r="J75" s="15"/>
    </row>
    <row r="76" spans="2:10" ht="12.75">
      <c r="B76" s="28"/>
      <c r="J76" s="15"/>
    </row>
    <row r="77" spans="2:10" ht="12.75">
      <c r="B77" s="28"/>
      <c r="J77" s="15"/>
    </row>
    <row r="78" spans="2:10" ht="12.75">
      <c r="B78" s="28"/>
      <c r="J78" s="15"/>
    </row>
    <row r="79" spans="2:10" ht="12.75">
      <c r="B79" s="28"/>
      <c r="J79" s="15"/>
    </row>
    <row r="80" spans="2:10" ht="12.75">
      <c r="B80" s="28"/>
      <c r="J80" s="15"/>
    </row>
    <row r="81" spans="2:10" ht="12.75">
      <c r="B81" s="28"/>
      <c r="J81" s="15"/>
    </row>
    <row r="82" spans="2:10" ht="12.75">
      <c r="B82" s="28"/>
      <c r="J82" s="15"/>
    </row>
    <row r="83" spans="2:10" ht="12.75">
      <c r="B83" s="28"/>
      <c r="J83" s="15"/>
    </row>
    <row r="84" spans="2:10" ht="12.75">
      <c r="B84" s="28"/>
      <c r="J84" s="15"/>
    </row>
    <row r="85" spans="2:10" ht="12.75">
      <c r="B85" s="28"/>
      <c r="J85" s="15"/>
    </row>
    <row r="86" spans="2:10" ht="12.75">
      <c r="B86" s="28"/>
      <c r="J86" s="15"/>
    </row>
    <row r="87" spans="2:10" ht="12.75">
      <c r="B87" s="28"/>
      <c r="J87" s="15"/>
    </row>
    <row r="88" spans="2:10" ht="12.75">
      <c r="B88" s="28"/>
      <c r="J88" s="15"/>
    </row>
    <row r="89" spans="2:10" ht="12.75">
      <c r="B89" s="28"/>
      <c r="J89" s="15"/>
    </row>
    <row r="90" spans="2:10" ht="12.75">
      <c r="B90" s="28"/>
      <c r="J90" s="15"/>
    </row>
    <row r="91" spans="2:10" ht="12.75">
      <c r="B91" s="28"/>
      <c r="J91" s="15"/>
    </row>
    <row r="92" spans="2:10" ht="12.75">
      <c r="B92" s="28"/>
      <c r="J92" s="15"/>
    </row>
    <row r="93" spans="2:10" ht="12.75">
      <c r="B93" s="28"/>
      <c r="J93" s="15"/>
    </row>
    <row r="94" spans="2:10" ht="12.75">
      <c r="B94" s="28"/>
      <c r="J94" s="15"/>
    </row>
    <row r="95" spans="2:10" ht="12.75">
      <c r="B95" s="28"/>
      <c r="J95" s="15"/>
    </row>
    <row r="96" spans="2:10" ht="12.75">
      <c r="B96" s="28"/>
      <c r="J96" s="15"/>
    </row>
    <row r="97" spans="2:10" ht="12.75">
      <c r="B97" s="28"/>
      <c r="J97" s="15"/>
    </row>
    <row r="98" spans="2:10" ht="12.75">
      <c r="B98" s="28"/>
      <c r="J98" s="15"/>
    </row>
    <row r="99" spans="2:10" ht="12.75">
      <c r="B99" s="28"/>
      <c r="J99" s="15"/>
    </row>
    <row r="100" spans="2:10" ht="12.75">
      <c r="B100" s="28"/>
      <c r="J100" s="15"/>
    </row>
    <row r="101" spans="2:10" ht="12.75">
      <c r="B101" s="28"/>
      <c r="J101" s="15"/>
    </row>
    <row r="102" spans="2:10" ht="12.75">
      <c r="B102" s="28"/>
      <c r="J102" s="15"/>
    </row>
    <row r="103" spans="2:10" ht="12.75">
      <c r="B103" s="28"/>
      <c r="J103" s="15"/>
    </row>
    <row r="104" spans="2:10" ht="12.75">
      <c r="B104" s="28"/>
      <c r="J104" s="15"/>
    </row>
    <row r="105" spans="2:10" ht="12.75">
      <c r="B105" s="28"/>
      <c r="J105" s="15"/>
    </row>
    <row r="106" spans="2:10" ht="12.75">
      <c r="B106" s="28"/>
      <c r="J106" s="15"/>
    </row>
    <row r="107" spans="2:10" ht="12.75">
      <c r="B107" s="28"/>
      <c r="J107" s="15"/>
    </row>
    <row r="108" spans="2:10" ht="12.75">
      <c r="B108" s="28"/>
      <c r="J108" s="15"/>
    </row>
    <row r="109" spans="2:10" ht="12.75">
      <c r="B109" s="28"/>
      <c r="J109" s="15"/>
    </row>
    <row r="110" spans="2:10" ht="12.75">
      <c r="B110" s="28"/>
      <c r="J110" s="15"/>
    </row>
    <row r="111" spans="2:10" ht="12.75">
      <c r="B111" s="28"/>
      <c r="J111" s="15"/>
    </row>
    <row r="112" spans="2:10" ht="12.75">
      <c r="B112" s="28"/>
      <c r="J112" s="15"/>
    </row>
    <row r="113" spans="2:10" ht="12.75">
      <c r="B113" s="28"/>
      <c r="J113" s="15"/>
    </row>
    <row r="114" spans="2:10" ht="12.75">
      <c r="B114" s="28"/>
      <c r="J114" s="15"/>
    </row>
    <row r="115" spans="2:10" ht="12.75">
      <c r="B115" s="28"/>
      <c r="J115" s="15"/>
    </row>
    <row r="116" spans="2:10" ht="12.75">
      <c r="B116" s="28"/>
      <c r="J116" s="15"/>
    </row>
    <row r="117" spans="2:10" ht="12.75">
      <c r="B117" s="28"/>
      <c r="J117" s="15"/>
    </row>
    <row r="118" spans="2:10" ht="12.75">
      <c r="B118" s="28"/>
      <c r="J118" s="15"/>
    </row>
    <row r="119" spans="2:10" ht="12.75">
      <c r="B119" s="28"/>
      <c r="J119" s="15"/>
    </row>
    <row r="120" spans="2:10" ht="12.75">
      <c r="B120" s="28"/>
      <c r="J120" s="15"/>
    </row>
    <row r="121" spans="2:10" ht="12.75">
      <c r="B121" s="28"/>
      <c r="J121" s="15"/>
    </row>
    <row r="122" spans="2:10" ht="12.75">
      <c r="B122" s="28"/>
      <c r="J122" s="15"/>
    </row>
    <row r="123" spans="2:10" ht="12.75">
      <c r="B123" s="28"/>
      <c r="J123" s="15"/>
    </row>
    <row r="124" spans="2:10" ht="12.75">
      <c r="B124" s="28"/>
      <c r="J124" s="15"/>
    </row>
    <row r="125" spans="2:10" ht="12.75">
      <c r="B125" s="28"/>
      <c r="J125" s="15"/>
    </row>
    <row r="126" spans="2:10" ht="12.75">
      <c r="B126" s="28"/>
      <c r="J126" s="15"/>
    </row>
    <row r="127" spans="2:10" ht="12.75">
      <c r="B127" s="28"/>
      <c r="J127" s="15"/>
    </row>
    <row r="128" spans="2:10" ht="12.75">
      <c r="B128" s="28"/>
      <c r="J128" s="15"/>
    </row>
    <row r="129" spans="2:10" ht="12.75">
      <c r="B129" s="28"/>
      <c r="J129" s="15"/>
    </row>
    <row r="130" spans="2:10" ht="12.75">
      <c r="B130" s="28"/>
      <c r="J130" s="15"/>
    </row>
    <row r="131" spans="2:10" ht="12.75">
      <c r="B131" s="28"/>
      <c r="J131" s="15"/>
    </row>
    <row r="132" spans="2:10" ht="12.75">
      <c r="B132" s="28"/>
      <c r="J132" s="15"/>
    </row>
    <row r="133" spans="2:10" ht="12.75">
      <c r="B133" s="28"/>
      <c r="J133" s="15"/>
    </row>
    <row r="134" spans="2:10" ht="12.75">
      <c r="B134" s="28"/>
      <c r="J134" s="15"/>
    </row>
    <row r="135" spans="2:10" ht="12.75">
      <c r="B135" s="28"/>
      <c r="J135" s="15"/>
    </row>
    <row r="136" spans="2:10" ht="12.75">
      <c r="B136" s="28"/>
      <c r="J136" s="15"/>
    </row>
    <row r="137" spans="2:10" ht="12.75">
      <c r="B137" s="28"/>
      <c r="J137" s="15"/>
    </row>
    <row r="138" spans="2:10" ht="12.75">
      <c r="B138" s="28"/>
      <c r="J138" s="15"/>
    </row>
    <row r="139" spans="2:10" ht="12.75">
      <c r="B139" s="28"/>
      <c r="J139" s="15"/>
    </row>
    <row r="140" spans="2:10" ht="12.75">
      <c r="B140" s="28"/>
      <c r="J140" s="15"/>
    </row>
    <row r="141" spans="2:10" ht="12.75">
      <c r="B141" s="28"/>
      <c r="J141" s="15"/>
    </row>
    <row r="142" spans="2:10" ht="12.75">
      <c r="B142" s="28"/>
      <c r="J142" s="15"/>
    </row>
    <row r="143" spans="2:10" ht="12.75">
      <c r="B143" s="28"/>
      <c r="J143" s="15"/>
    </row>
    <row r="144" spans="2:10" ht="12.75">
      <c r="B144" s="28"/>
      <c r="J144" s="15"/>
    </row>
    <row r="145" spans="2:10" ht="12.75">
      <c r="B145" s="28"/>
      <c r="J145" s="15"/>
    </row>
    <row r="146" spans="2:10" ht="12.75">
      <c r="B146" s="28"/>
      <c r="J146" s="15"/>
    </row>
    <row r="147" spans="2:10" ht="12.75">
      <c r="B147" s="28"/>
      <c r="J147" s="15"/>
    </row>
    <row r="148" spans="2:10" ht="12.75">
      <c r="B148" s="28"/>
      <c r="J148" s="15"/>
    </row>
    <row r="149" spans="2:10" ht="12.75">
      <c r="B149" s="28"/>
      <c r="J149" s="15"/>
    </row>
    <row r="150" spans="2:10" ht="12.75">
      <c r="B150" s="28"/>
      <c r="J150" s="15"/>
    </row>
    <row r="151" spans="2:10" ht="12.75">
      <c r="B151" s="28"/>
      <c r="J151" s="15"/>
    </row>
    <row r="152" spans="2:10" ht="12.75">
      <c r="B152" s="28"/>
      <c r="J152" s="15"/>
    </row>
    <row r="153" spans="2:10" ht="12.75">
      <c r="B153" s="28"/>
      <c r="J153" s="15"/>
    </row>
    <row r="154" spans="2:10" ht="12.75">
      <c r="B154" s="28"/>
      <c r="J154" s="15"/>
    </row>
    <row r="155" spans="2:10" ht="12.75">
      <c r="B155" s="28"/>
      <c r="J155" s="15"/>
    </row>
    <row r="156" spans="2:10" ht="12.75">
      <c r="B156" s="28"/>
      <c r="J156" s="15"/>
    </row>
    <row r="157" spans="2:10" ht="12.75">
      <c r="B157" s="28"/>
      <c r="J157" s="15"/>
    </row>
    <row r="158" spans="2:10" ht="12.75">
      <c r="B158" s="28"/>
      <c r="J158" s="15"/>
    </row>
    <row r="159" spans="2:10" ht="12.75">
      <c r="B159" s="28"/>
      <c r="J159" s="15"/>
    </row>
    <row r="160" spans="2:10" ht="12.75">
      <c r="B160" s="28"/>
      <c r="J160" s="15"/>
    </row>
    <row r="161" spans="2:10" ht="12.75">
      <c r="B161" s="28"/>
      <c r="J161" s="15"/>
    </row>
    <row r="162" spans="2:10" ht="12.75">
      <c r="B162" s="28"/>
      <c r="J162" s="15"/>
    </row>
    <row r="163" spans="2:10" ht="12.75">
      <c r="B163" s="28"/>
      <c r="J163" s="15"/>
    </row>
    <row r="164" spans="2:10" ht="12.75">
      <c r="B164" s="28"/>
      <c r="J164" s="15"/>
    </row>
    <row r="165" spans="2:10" ht="12.75">
      <c r="B165" s="28"/>
      <c r="J165" s="15"/>
    </row>
    <row r="166" spans="2:10" ht="12.75">
      <c r="B166" s="28"/>
      <c r="J166" s="15"/>
    </row>
    <row r="167" spans="2:10" ht="12.75">
      <c r="B167" s="28"/>
      <c r="J167" s="15"/>
    </row>
    <row r="168" spans="2:10" ht="12.75">
      <c r="B168" s="28"/>
      <c r="J168" s="15"/>
    </row>
    <row r="169" spans="2:10" ht="12.75">
      <c r="B169" s="28"/>
      <c r="J169" s="15"/>
    </row>
    <row r="170" spans="2:10" ht="12.75">
      <c r="B170" s="28"/>
      <c r="J170" s="15"/>
    </row>
    <row r="171" spans="2:10" ht="12.75">
      <c r="B171" s="28"/>
      <c r="J171" s="15"/>
    </row>
    <row r="172" spans="2:10" ht="12.75">
      <c r="B172" s="28"/>
      <c r="J172" s="15"/>
    </row>
    <row r="173" spans="2:10" ht="12.75">
      <c r="B173" s="28"/>
      <c r="J173" s="15"/>
    </row>
    <row r="174" spans="2:10" ht="12.75">
      <c r="B174" s="28"/>
      <c r="J174" s="15"/>
    </row>
    <row r="175" spans="2:10" ht="12.75">
      <c r="B175" s="28"/>
      <c r="J175" s="15"/>
    </row>
    <row r="176" spans="2:10" ht="12.75">
      <c r="B176" s="28"/>
      <c r="J176" s="15"/>
    </row>
    <row r="177" spans="2:10" ht="12.75">
      <c r="B177" s="28"/>
      <c r="J177" s="15"/>
    </row>
    <row r="178" spans="2:10" ht="12.75">
      <c r="B178" s="28"/>
      <c r="J178" s="15"/>
    </row>
    <row r="179" spans="2:10" ht="12.75">
      <c r="B179" s="28"/>
      <c r="J179" s="15"/>
    </row>
    <row r="180" spans="2:10" ht="12.75">
      <c r="B180" s="28"/>
      <c r="J180" s="15"/>
    </row>
    <row r="181" spans="2:10" ht="12.75">
      <c r="B181" s="28"/>
      <c r="J181" s="15"/>
    </row>
    <row r="182" spans="2:10" ht="12.75">
      <c r="B182" s="28"/>
      <c r="J182" s="15"/>
    </row>
    <row r="183" spans="2:10" ht="12.75">
      <c r="B183" s="28"/>
      <c r="J183" s="15"/>
    </row>
    <row r="184" spans="2:10" ht="12.75">
      <c r="B184" s="28"/>
      <c r="J184" s="15"/>
    </row>
    <row r="185" spans="2:10" ht="12.75">
      <c r="B185" s="28"/>
      <c r="J185" s="15"/>
    </row>
    <row r="186" spans="2:10" ht="12.75">
      <c r="B186" s="28"/>
      <c r="J186" s="15"/>
    </row>
    <row r="187" spans="2:10" ht="12.75">
      <c r="B187" s="28"/>
      <c r="J187" s="15"/>
    </row>
    <row r="188" spans="2:10" ht="12.75">
      <c r="B188" s="28"/>
      <c r="J188" s="15"/>
    </row>
    <row r="189" spans="2:10" ht="12.75">
      <c r="B189" s="28"/>
      <c r="J189" s="15"/>
    </row>
    <row r="190" spans="2:10" ht="12.75">
      <c r="B190" s="28"/>
      <c r="J190" s="15"/>
    </row>
    <row r="191" spans="2:10" ht="12.75">
      <c r="B191" s="28"/>
      <c r="J191" s="15"/>
    </row>
    <row r="192" spans="2:10" ht="12.75">
      <c r="B192" s="28"/>
      <c r="J192" s="15"/>
    </row>
    <row r="193" spans="2:10" ht="12.75">
      <c r="B193" s="28"/>
      <c r="J193" s="15"/>
    </row>
    <row r="194" spans="2:10" ht="12.75">
      <c r="B194" s="28"/>
      <c r="J194" s="15"/>
    </row>
    <row r="195" spans="2:10" ht="12.75">
      <c r="B195" s="28"/>
      <c r="J195" s="15"/>
    </row>
    <row r="196" spans="2:10" ht="12.75">
      <c r="B196" s="28"/>
      <c r="J196" s="15"/>
    </row>
    <row r="197" spans="2:10" ht="12.75">
      <c r="B197" s="28"/>
      <c r="J197" s="15"/>
    </row>
    <row r="198" spans="2:10" ht="12.75">
      <c r="B198" s="28"/>
      <c r="J198" s="15"/>
    </row>
    <row r="199" spans="2:10" ht="12.75">
      <c r="B199" s="28"/>
      <c r="J199" s="15"/>
    </row>
    <row r="200" spans="2:10" ht="12.75">
      <c r="B200" s="28"/>
      <c r="J200" s="15"/>
    </row>
    <row r="201" spans="2:10" ht="12.75">
      <c r="B201" s="28"/>
      <c r="J201" s="15"/>
    </row>
    <row r="202" spans="2:10" ht="12.75">
      <c r="B202" s="28"/>
      <c r="J202" s="15"/>
    </row>
    <row r="203" spans="2:10" ht="12.75">
      <c r="B203" s="28"/>
      <c r="J203" s="15"/>
    </row>
    <row r="204" spans="2:10" ht="12.75">
      <c r="B204" s="28"/>
      <c r="J204" s="15"/>
    </row>
    <row r="205" spans="2:10" ht="12.75">
      <c r="B205" s="28"/>
      <c r="J205" s="15"/>
    </row>
    <row r="206" spans="2:10" ht="12.75">
      <c r="B206" s="28"/>
      <c r="J206" s="15"/>
    </row>
    <row r="207" spans="2:10" ht="12.75">
      <c r="B207" s="28"/>
      <c r="J207" s="15"/>
    </row>
    <row r="208" spans="2:10" ht="12.75">
      <c r="B208" s="28"/>
      <c r="J208" s="15"/>
    </row>
    <row r="209" spans="2:10" ht="12.75">
      <c r="B209" s="28"/>
      <c r="J209" s="15"/>
    </row>
    <row r="210" spans="2:10" ht="12.75">
      <c r="B210" s="28"/>
      <c r="J210" s="15"/>
    </row>
    <row r="211" spans="2:10" ht="12.75">
      <c r="B211" s="28"/>
      <c r="J211" s="15"/>
    </row>
    <row r="212" spans="2:10" ht="12.75">
      <c r="B212" s="28"/>
      <c r="J212" s="15"/>
    </row>
    <row r="213" spans="2:10" ht="12.75">
      <c r="B213" s="28"/>
      <c r="J213" s="15"/>
    </row>
    <row r="214" spans="2:10" ht="12.75">
      <c r="B214" s="28"/>
      <c r="J214" s="15"/>
    </row>
    <row r="215" spans="2:10" ht="12.75">
      <c r="B215" s="28"/>
      <c r="J215" s="15"/>
    </row>
    <row r="216" spans="2:10" ht="12.75">
      <c r="B216" s="28"/>
      <c r="J216" s="15"/>
    </row>
    <row r="217" spans="2:10" ht="12.75">
      <c r="B217" s="28"/>
      <c r="J217" s="15"/>
    </row>
    <row r="218" spans="2:10" ht="12.75">
      <c r="B218" s="28"/>
      <c r="J218" s="15"/>
    </row>
    <row r="219" spans="2:10" ht="12.75">
      <c r="B219" s="28"/>
      <c r="J219" s="15"/>
    </row>
    <row r="220" spans="2:10" ht="12.75">
      <c r="B220" s="28"/>
      <c r="J220" s="15"/>
    </row>
    <row r="221" spans="2:10" ht="12.75">
      <c r="B221" s="28"/>
      <c r="J221" s="15"/>
    </row>
    <row r="222" spans="2:10" ht="12.75">
      <c r="B222" s="28"/>
      <c r="J222" s="15"/>
    </row>
    <row r="223" spans="2:10" ht="12.75">
      <c r="B223" s="28"/>
      <c r="J223" s="15"/>
    </row>
    <row r="224" spans="2:10" ht="12.75">
      <c r="B224" s="28"/>
      <c r="J224" s="15"/>
    </row>
    <row r="225" spans="2:10" ht="12.75">
      <c r="B225" s="28"/>
      <c r="J225" s="15"/>
    </row>
    <row r="226" spans="2:10" ht="12.75">
      <c r="B226" s="28"/>
      <c r="J226" s="15"/>
    </row>
    <row r="227" spans="2:10" ht="12.75">
      <c r="B227" s="28"/>
      <c r="J227" s="15"/>
    </row>
    <row r="228" spans="2:10" ht="12.75">
      <c r="B228" s="28"/>
      <c r="J228" s="15"/>
    </row>
    <row r="229" spans="2:10" ht="12.75">
      <c r="B229" s="28"/>
      <c r="J229" s="15"/>
    </row>
    <row r="230" spans="2:10" ht="12.75">
      <c r="B230" s="28"/>
      <c r="J230" s="15"/>
    </row>
    <row r="231" spans="2:10" ht="12.75">
      <c r="B231" s="28"/>
      <c r="J231" s="15"/>
    </row>
    <row r="232" spans="2:10" ht="12.75">
      <c r="B232" s="28"/>
      <c r="J232" s="15"/>
    </row>
    <row r="233" spans="2:10" ht="12.75">
      <c r="B233" s="28"/>
      <c r="J233" s="15"/>
    </row>
    <row r="234" spans="2:10" ht="12.75">
      <c r="B234" s="28"/>
      <c r="J234" s="15"/>
    </row>
    <row r="235" spans="2:10" ht="12.75">
      <c r="B235" s="28"/>
      <c r="J235" s="15"/>
    </row>
    <row r="236" spans="2:10" ht="12.75">
      <c r="B236" s="28"/>
      <c r="J236" s="15"/>
    </row>
    <row r="237" spans="2:10" ht="12.75">
      <c r="B237" s="28"/>
      <c r="J237" s="15"/>
    </row>
    <row r="238" spans="2:10" ht="12.75">
      <c r="B238" s="28"/>
      <c r="J238" s="15"/>
    </row>
    <row r="239" spans="2:10" ht="12.75">
      <c r="B239" s="28"/>
      <c r="J239" s="15"/>
    </row>
    <row r="240" spans="2:10" ht="12.75">
      <c r="B240" s="28"/>
      <c r="J240" s="15"/>
    </row>
    <row r="241" spans="2:10" ht="12.75">
      <c r="B241" s="28"/>
      <c r="J241" s="15"/>
    </row>
    <row r="242" spans="2:10" ht="12.75">
      <c r="B242" s="28"/>
      <c r="J242" s="15"/>
    </row>
    <row r="243" spans="2:10" ht="12.75">
      <c r="B243" s="28"/>
      <c r="J243" s="15"/>
    </row>
    <row r="244" spans="2:10" ht="12.75">
      <c r="B244" s="28"/>
      <c r="J244" s="15"/>
    </row>
    <row r="245" spans="2:10" ht="12.75">
      <c r="B245" s="28"/>
      <c r="J245" s="15"/>
    </row>
    <row r="246" spans="2:10" ht="12.75">
      <c r="B246" s="28"/>
      <c r="J246" s="15"/>
    </row>
    <row r="247" spans="2:10" ht="12.75">
      <c r="B247" s="28"/>
      <c r="J247" s="15"/>
    </row>
    <row r="248" spans="2:10" ht="12.75">
      <c r="B248" s="28"/>
      <c r="J248" s="15"/>
    </row>
    <row r="249" spans="2:10" ht="12.75">
      <c r="B249" s="28"/>
      <c r="J249" s="15"/>
    </row>
    <row r="250" spans="2:10" ht="12.75">
      <c r="B250" s="28"/>
      <c r="J250" s="15"/>
    </row>
    <row r="251" spans="2:10" ht="12.75">
      <c r="B251" s="28"/>
      <c r="J251" s="15"/>
    </row>
    <row r="252" spans="2:10" ht="12.75">
      <c r="B252" s="28"/>
      <c r="J252" s="15"/>
    </row>
    <row r="253" spans="2:10" ht="12.75">
      <c r="B253" s="28"/>
      <c r="J253" s="15"/>
    </row>
    <row r="254" spans="2:10" ht="12.75">
      <c r="B254" s="28"/>
      <c r="J254" s="15"/>
    </row>
    <row r="255" spans="2:10" ht="12.75">
      <c r="B255" s="28"/>
      <c r="J255" s="15"/>
    </row>
    <row r="256" spans="2:10" ht="12.75">
      <c r="B256" s="28"/>
      <c r="J256" s="15"/>
    </row>
    <row r="257" spans="2:10" ht="12.75">
      <c r="B257" s="28"/>
      <c r="J257" s="15"/>
    </row>
    <row r="258" spans="2:10" ht="12.75">
      <c r="B258" s="28"/>
      <c r="J258" s="15"/>
    </row>
    <row r="259" spans="2:10" ht="12.75">
      <c r="B259" s="28"/>
      <c r="J259" s="15"/>
    </row>
    <row r="260" spans="2:10" ht="12.75">
      <c r="B260" s="28"/>
      <c r="J260" s="15"/>
    </row>
    <row r="261" spans="2:10" ht="12.75">
      <c r="B261" s="28"/>
      <c r="J261" s="15"/>
    </row>
    <row r="262" spans="2:10" ht="12.75">
      <c r="B262" s="28"/>
      <c r="J262" s="15"/>
    </row>
    <row r="263" spans="2:10" ht="12.75">
      <c r="B263" s="28"/>
      <c r="J263" s="15"/>
    </row>
    <row r="264" spans="2:10" ht="12.75">
      <c r="B264" s="28"/>
      <c r="J264" s="15"/>
    </row>
    <row r="265" spans="2:10" ht="12.75">
      <c r="B265" s="28"/>
      <c r="J265" s="15"/>
    </row>
    <row r="266" spans="2:10" ht="12.75">
      <c r="B266" s="28"/>
      <c r="J266" s="15"/>
    </row>
    <row r="267" spans="2:10" ht="12.75">
      <c r="B267" s="28"/>
      <c r="J267" s="15"/>
    </row>
    <row r="268" spans="2:10" ht="12.75">
      <c r="B268" s="28"/>
      <c r="J268" s="15"/>
    </row>
    <row r="269" spans="2:10" ht="12.75">
      <c r="B269" s="28"/>
      <c r="J269" s="15"/>
    </row>
    <row r="270" spans="2:10" ht="12.75">
      <c r="B270" s="28"/>
      <c r="J270" s="15"/>
    </row>
    <row r="271" spans="2:10" ht="12.75">
      <c r="B271" s="28"/>
      <c r="J271" s="15"/>
    </row>
    <row r="272" spans="2:10" ht="12.75">
      <c r="B272" s="28"/>
      <c r="J272" s="15"/>
    </row>
    <row r="273" spans="2:10" ht="12.75">
      <c r="B273" s="28"/>
      <c r="J273" s="15"/>
    </row>
    <row r="274" spans="2:10" ht="12.75">
      <c r="B274" s="28"/>
      <c r="J274" s="15"/>
    </row>
    <row r="275" spans="2:10" ht="12.75">
      <c r="B275" s="28"/>
      <c r="J275" s="15"/>
    </row>
    <row r="276" spans="2:10" ht="12.75">
      <c r="B276" s="28"/>
      <c r="J276" s="15"/>
    </row>
    <row r="277" spans="2:10" ht="12.75">
      <c r="B277" s="28"/>
      <c r="J277" s="15"/>
    </row>
    <row r="278" spans="2:10" ht="12.75">
      <c r="B278" s="28"/>
      <c r="J278" s="15"/>
    </row>
    <row r="279" spans="2:10" ht="12.75">
      <c r="B279" s="28"/>
      <c r="J279" s="15"/>
    </row>
    <row r="280" spans="2:10" ht="12.75">
      <c r="B280" s="28"/>
      <c r="J280" s="15"/>
    </row>
    <row r="281" spans="2:10" ht="12.75">
      <c r="B281" s="28"/>
      <c r="J281" s="15"/>
    </row>
    <row r="282" spans="2:10" ht="12.75">
      <c r="B282" s="28"/>
      <c r="J282" s="15"/>
    </row>
    <row r="283" spans="2:10" ht="12.75">
      <c r="B283" s="28"/>
      <c r="J283" s="15"/>
    </row>
    <row r="284" spans="2:10" ht="12.75">
      <c r="B284" s="28"/>
      <c r="J284" s="15"/>
    </row>
    <row r="285" spans="2:10" ht="12.75">
      <c r="B285" s="28"/>
      <c r="J285" s="15"/>
    </row>
    <row r="286" spans="2:10" ht="12.75">
      <c r="B286" s="28"/>
      <c r="J286" s="15"/>
    </row>
    <row r="287" spans="2:10" ht="12.75">
      <c r="B287" s="28"/>
      <c r="J287" s="15"/>
    </row>
    <row r="288" spans="2:10" ht="12.75">
      <c r="B288" s="28"/>
      <c r="J288" s="15"/>
    </row>
    <row r="289" spans="2:10" ht="12.75">
      <c r="B289" s="28"/>
      <c r="J289" s="15"/>
    </row>
    <row r="290" spans="2:10" ht="12.75">
      <c r="B290" s="28"/>
      <c r="J290" s="15"/>
    </row>
    <row r="291" spans="2:10" ht="12.75">
      <c r="B291" s="28"/>
      <c r="J291" s="15"/>
    </row>
    <row r="292" spans="2:10" ht="12.75">
      <c r="B292" s="28"/>
      <c r="J292" s="15"/>
    </row>
    <row r="293" spans="2:10" ht="12.75">
      <c r="B293" s="28"/>
      <c r="J293" s="15"/>
    </row>
    <row r="294" spans="2:10" ht="12.75">
      <c r="B294" s="28"/>
      <c r="J294" s="15"/>
    </row>
    <row r="295" spans="2:10" ht="12.75">
      <c r="B295" s="28"/>
      <c r="J295" s="15"/>
    </row>
    <row r="296" spans="2:10" ht="12.75">
      <c r="B296" s="28"/>
      <c r="J296" s="15"/>
    </row>
    <row r="297" spans="2:10" ht="12.75">
      <c r="B297" s="28"/>
      <c r="J297" s="15"/>
    </row>
    <row r="298" spans="2:10" ht="12.75">
      <c r="B298" s="28"/>
      <c r="J298" s="15"/>
    </row>
    <row r="299" spans="2:10" ht="12.75">
      <c r="B299" s="28"/>
      <c r="J299" s="15"/>
    </row>
    <row r="300" spans="2:10" ht="12.75">
      <c r="B300" s="28"/>
      <c r="J300" s="15"/>
    </row>
    <row r="301" spans="2:10" ht="12.75">
      <c r="B301" s="28"/>
      <c r="J301" s="15"/>
    </row>
    <row r="302" spans="2:10" ht="12.75">
      <c r="B302" s="28"/>
      <c r="J302" s="15"/>
    </row>
    <row r="303" spans="2:10" ht="12.75">
      <c r="B303" s="28"/>
      <c r="J303" s="15"/>
    </row>
    <row r="304" spans="2:10" ht="12.75">
      <c r="B304" s="28"/>
      <c r="J304" s="15"/>
    </row>
    <row r="305" spans="2:10" ht="12.75">
      <c r="B305" s="28"/>
      <c r="J305" s="15"/>
    </row>
    <row r="306" spans="2:10" ht="12.75">
      <c r="B306" s="28"/>
      <c r="J306" s="15"/>
    </row>
    <row r="307" spans="2:10" ht="12.75">
      <c r="B307" s="28"/>
      <c r="J307" s="15"/>
    </row>
    <row r="308" spans="2:10" ht="12.75">
      <c r="B308" s="28"/>
      <c r="J308" s="15"/>
    </row>
    <row r="309" spans="2:10" ht="12.75">
      <c r="B309" s="28"/>
      <c r="J309" s="15"/>
    </row>
    <row r="310" spans="2:10" ht="12.75">
      <c r="B310" s="28"/>
      <c r="J310" s="15"/>
    </row>
    <row r="311" spans="2:10" ht="12.75">
      <c r="B311" s="28"/>
      <c r="J311" s="15"/>
    </row>
    <row r="312" spans="2:10" ht="12.75">
      <c r="B312" s="28"/>
      <c r="J312" s="15"/>
    </row>
    <row r="313" spans="2:10" ht="12.75">
      <c r="B313" s="28"/>
      <c r="J313" s="15"/>
    </row>
    <row r="314" spans="2:10" ht="12.75">
      <c r="B314" s="28"/>
      <c r="J314" s="15"/>
    </row>
    <row r="315" spans="2:10" ht="12.75">
      <c r="B315" s="28"/>
      <c r="J315" s="15"/>
    </row>
    <row r="316" spans="2:10" ht="12.75">
      <c r="B316" s="28"/>
      <c r="J316" s="15"/>
    </row>
    <row r="317" spans="2:10" ht="12.75">
      <c r="B317" s="28"/>
      <c r="J317" s="15"/>
    </row>
    <row r="318" spans="2:10" ht="12.75">
      <c r="B318" s="28"/>
      <c r="J318" s="15"/>
    </row>
    <row r="319" spans="2:10" ht="12.75">
      <c r="B319" s="28"/>
      <c r="J319" s="15"/>
    </row>
    <row r="320" spans="2:10" ht="12.75">
      <c r="B320" s="28"/>
      <c r="J320" s="15"/>
    </row>
    <row r="321" spans="2:10" ht="12.75">
      <c r="B321" s="28"/>
      <c r="J321" s="15"/>
    </row>
    <row r="322" spans="2:10" ht="12.75">
      <c r="B322" s="28"/>
      <c r="J322" s="15"/>
    </row>
    <row r="323" spans="2:10" ht="12.75">
      <c r="B323" s="28"/>
      <c r="J323" s="15"/>
    </row>
    <row r="324" spans="2:10" ht="12.75">
      <c r="B324" s="28"/>
      <c r="J324" s="15"/>
    </row>
    <row r="325" spans="2:10" ht="12.75">
      <c r="B325" s="28"/>
      <c r="J325" s="15"/>
    </row>
    <row r="326" spans="2:10" ht="12.75">
      <c r="B326" s="28"/>
      <c r="J326" s="15"/>
    </row>
    <row r="327" spans="2:10" ht="12.75">
      <c r="B327" s="28"/>
      <c r="J327" s="15"/>
    </row>
    <row r="328" spans="2:10" ht="12.75">
      <c r="B328" s="28"/>
      <c r="J328" s="15"/>
    </row>
    <row r="329" spans="2:10" ht="12.75">
      <c r="B329" s="28"/>
      <c r="J329" s="15"/>
    </row>
    <row r="330" spans="2:10" ht="12.75">
      <c r="B330" s="28"/>
      <c r="J330" s="15"/>
    </row>
    <row r="331" spans="2:10" ht="12.75">
      <c r="B331" s="28"/>
      <c r="J331" s="15"/>
    </row>
    <row r="332" spans="2:10" ht="12.75">
      <c r="B332" s="28"/>
      <c r="J332" s="15"/>
    </row>
    <row r="333" spans="2:10" ht="12.75">
      <c r="B333" s="28"/>
      <c r="J333" s="15"/>
    </row>
    <row r="334" spans="2:10" ht="12.75">
      <c r="B334" s="28"/>
      <c r="J334" s="15"/>
    </row>
    <row r="335" spans="2:10" ht="12.75">
      <c r="B335" s="28"/>
      <c r="J335" s="15"/>
    </row>
    <row r="336" spans="2:10" ht="12.75">
      <c r="B336" s="28"/>
      <c r="J336" s="15"/>
    </row>
    <row r="337" spans="2:10" ht="12.75">
      <c r="B337" s="28"/>
      <c r="J337" s="15"/>
    </row>
    <row r="338" spans="2:10" ht="12.75">
      <c r="B338" s="28"/>
      <c r="J338" s="15"/>
    </row>
    <row r="339" spans="2:10" ht="12.75">
      <c r="B339" s="28"/>
      <c r="J339" s="15"/>
    </row>
    <row r="340" spans="2:10" ht="12.75">
      <c r="B340" s="28"/>
      <c r="J340" s="15"/>
    </row>
    <row r="341" spans="2:10" ht="12.75">
      <c r="B341" s="28"/>
      <c r="J341" s="15"/>
    </row>
    <row r="342" spans="2:10" ht="12.75">
      <c r="B342" s="28"/>
      <c r="J342" s="15"/>
    </row>
    <row r="343" spans="2:10" ht="12.75">
      <c r="B343" s="28"/>
      <c r="J343" s="15"/>
    </row>
    <row r="344" spans="2:10" ht="12.75">
      <c r="B344" s="28"/>
      <c r="J344" s="15"/>
    </row>
    <row r="345" spans="2:10" ht="12.75">
      <c r="B345" s="28"/>
      <c r="J345" s="15"/>
    </row>
    <row r="346" spans="2:10" ht="12.75">
      <c r="B346" s="28"/>
      <c r="J346" s="15"/>
    </row>
    <row r="347" spans="2:10" ht="12.75">
      <c r="B347" s="28"/>
      <c r="J347" s="15"/>
    </row>
    <row r="348" spans="2:10" ht="12.75">
      <c r="B348" s="28"/>
      <c r="J348" s="15"/>
    </row>
    <row r="349" spans="2:10" ht="12.75">
      <c r="B349" s="28"/>
      <c r="J349" s="15"/>
    </row>
    <row r="350" spans="2:10" ht="12.75">
      <c r="B350" s="28"/>
      <c r="J350" s="15"/>
    </row>
    <row r="351" spans="2:10" ht="12.75">
      <c r="B351" s="28"/>
      <c r="J351" s="15"/>
    </row>
    <row r="352" spans="2:10" ht="12.75">
      <c r="B352" s="28"/>
      <c r="J352" s="15"/>
    </row>
    <row r="353" spans="2:10" ht="12.75">
      <c r="B353" s="28"/>
      <c r="J353" s="15"/>
    </row>
    <row r="354" spans="2:10" ht="12.75">
      <c r="B354" s="28"/>
      <c r="J354" s="15"/>
    </row>
    <row r="355" spans="2:10" ht="12.75">
      <c r="B355" s="28"/>
      <c r="J355" s="15"/>
    </row>
    <row r="356" spans="2:10" ht="12.75">
      <c r="B356" s="28"/>
      <c r="J356" s="15"/>
    </row>
    <row r="357" spans="2:10" ht="12.75">
      <c r="B357" s="28"/>
      <c r="J357" s="15"/>
    </row>
    <row r="358" spans="2:10" ht="12.75">
      <c r="B358" s="28"/>
      <c r="J358" s="15"/>
    </row>
    <row r="359" spans="2:10" ht="12.75">
      <c r="B359" s="28"/>
      <c r="J359" s="15"/>
    </row>
    <row r="360" spans="2:10" ht="12.75">
      <c r="B360" s="28"/>
      <c r="J360" s="15"/>
    </row>
    <row r="361" spans="2:10" ht="12.75">
      <c r="B361" s="28"/>
      <c r="J361" s="15"/>
    </row>
    <row r="362" spans="2:10" ht="12.75">
      <c r="B362" s="28"/>
      <c r="J362" s="15"/>
    </row>
    <row r="363" spans="2:10" ht="12.75">
      <c r="B363" s="28"/>
      <c r="J363" s="15"/>
    </row>
    <row r="364" spans="2:10" ht="12.75">
      <c r="B364" s="28"/>
      <c r="J364" s="15"/>
    </row>
    <row r="365" spans="2:10" ht="12.75">
      <c r="B365" s="28"/>
      <c r="J365" s="15"/>
    </row>
    <row r="366" spans="2:10" ht="12.75">
      <c r="B366" s="28"/>
      <c r="J366" s="15"/>
    </row>
    <row r="367" spans="2:10" ht="12.75">
      <c r="B367" s="28"/>
      <c r="J367" s="15"/>
    </row>
    <row r="368" spans="2:10" ht="12.75">
      <c r="B368" s="28"/>
      <c r="J368" s="15"/>
    </row>
    <row r="369" spans="2:10" ht="12.75">
      <c r="B369" s="28"/>
      <c r="J369" s="15"/>
    </row>
    <row r="370" spans="2:10" ht="12.75">
      <c r="B370" s="28"/>
      <c r="J370" s="15"/>
    </row>
    <row r="371" spans="2:10" ht="12.75">
      <c r="B371" s="28"/>
      <c r="J371" s="15"/>
    </row>
    <row r="372" spans="2:10" ht="12.75">
      <c r="B372" s="28"/>
      <c r="J372" s="15"/>
    </row>
    <row r="373" spans="2:10" ht="12.75">
      <c r="B373" s="28"/>
      <c r="J373" s="15"/>
    </row>
    <row r="374" spans="2:10" ht="12.75">
      <c r="B374" s="28"/>
      <c r="J374" s="15"/>
    </row>
    <row r="375" spans="2:10" ht="12.75">
      <c r="B375" s="28"/>
      <c r="J375" s="15"/>
    </row>
    <row r="376" spans="2:10" ht="12.75">
      <c r="B376" s="28"/>
      <c r="J376" s="15"/>
    </row>
    <row r="377" spans="2:10" ht="12.75">
      <c r="B377" s="28"/>
      <c r="J377" s="15"/>
    </row>
    <row r="378" spans="2:10" ht="12.75">
      <c r="B378" s="28"/>
      <c r="J378" s="15"/>
    </row>
    <row r="379" spans="2:10" ht="12.75">
      <c r="B379" s="28"/>
      <c r="J379" s="15"/>
    </row>
    <row r="380" spans="2:10" ht="12.75">
      <c r="B380" s="28"/>
      <c r="J380" s="15"/>
    </row>
    <row r="381" spans="2:10" ht="12.75">
      <c r="B381" s="28"/>
      <c r="J381" s="15"/>
    </row>
    <row r="382" spans="2:10" ht="12.75">
      <c r="B382" s="28"/>
      <c r="J382" s="15"/>
    </row>
    <row r="383" spans="2:10" ht="12.75">
      <c r="B383" s="28"/>
      <c r="J383" s="15"/>
    </row>
    <row r="384" spans="2:10" ht="12.75">
      <c r="B384" s="28"/>
      <c r="J384" s="15"/>
    </row>
    <row r="385" spans="2:10" ht="12.75">
      <c r="B385" s="28"/>
      <c r="J385" s="15"/>
    </row>
    <row r="386" spans="2:10" ht="12.75">
      <c r="B386" s="28"/>
      <c r="J386" s="15"/>
    </row>
    <row r="387" spans="2:10" ht="12.75">
      <c r="B387" s="28"/>
      <c r="J387" s="15"/>
    </row>
    <row r="388" spans="2:10" ht="12.75">
      <c r="B388" s="28"/>
      <c r="J388" s="15"/>
    </row>
    <row r="389" spans="2:10" ht="12.75">
      <c r="B389" s="28"/>
      <c r="J389" s="15"/>
    </row>
    <row r="390" spans="2:10" ht="12.75">
      <c r="B390" s="28"/>
      <c r="J390" s="15"/>
    </row>
    <row r="391" spans="2:10" ht="12.75">
      <c r="B391" s="28"/>
      <c r="J391" s="15"/>
    </row>
    <row r="392" spans="2:10" ht="12.75">
      <c r="B392" s="28"/>
      <c r="J392" s="15"/>
    </row>
    <row r="393" spans="2:10" ht="12.75">
      <c r="B393" s="28"/>
      <c r="J393" s="15"/>
    </row>
    <row r="394" spans="2:10" ht="12.75">
      <c r="B394" s="28"/>
      <c r="J394" s="15"/>
    </row>
    <row r="395" spans="2:10" ht="12.75">
      <c r="B395" s="28"/>
      <c r="J395" s="15"/>
    </row>
    <row r="396" spans="2:10" ht="12.75">
      <c r="B396" s="28"/>
      <c r="J396" s="15"/>
    </row>
    <row r="397" spans="2:10" ht="12.75">
      <c r="B397" s="28"/>
      <c r="J397" s="15"/>
    </row>
    <row r="398" spans="2:10" ht="12.75">
      <c r="B398" s="28"/>
      <c r="J398" s="15"/>
    </row>
    <row r="399" spans="2:10" ht="12.75">
      <c r="B399" s="28"/>
      <c r="J399" s="15"/>
    </row>
    <row r="400" spans="2:10" ht="12.75">
      <c r="B400" s="28"/>
      <c r="J400" s="15"/>
    </row>
    <row r="401" spans="2:10" ht="12.75">
      <c r="B401" s="28"/>
      <c r="J401" s="15"/>
    </row>
    <row r="402" spans="2:10" ht="12.75">
      <c r="B402" s="28"/>
      <c r="J402" s="15"/>
    </row>
    <row r="403" spans="2:10" ht="12.75">
      <c r="B403" s="28"/>
      <c r="J403" s="15"/>
    </row>
    <row r="404" spans="2:10" ht="12.75">
      <c r="B404" s="28"/>
      <c r="J404" s="15"/>
    </row>
    <row r="405" spans="2:10" ht="12.75">
      <c r="B405" s="28"/>
      <c r="J405" s="15"/>
    </row>
    <row r="406" spans="2:10" ht="12.75">
      <c r="B406" s="28"/>
      <c r="J406" s="15"/>
    </row>
    <row r="407" spans="2:10" ht="12.75">
      <c r="B407" s="28"/>
      <c r="J407" s="15"/>
    </row>
    <row r="408" spans="2:10" ht="12.75">
      <c r="B408" s="28"/>
      <c r="J408" s="15"/>
    </row>
    <row r="409" spans="2:10" ht="12.75">
      <c r="B409" s="28"/>
      <c r="J409" s="15"/>
    </row>
    <row r="410" spans="2:10" ht="12.75">
      <c r="B410" s="28"/>
      <c r="J410" s="15"/>
    </row>
    <row r="411" spans="2:10" ht="12.75">
      <c r="B411" s="28"/>
      <c r="J411" s="15"/>
    </row>
    <row r="412" spans="2:10" ht="12.75">
      <c r="B412" s="28"/>
      <c r="J412" s="15"/>
    </row>
    <row r="413" spans="2:10" ht="12.75">
      <c r="B413" s="28"/>
      <c r="J413" s="15"/>
    </row>
    <row r="414" spans="2:10" ht="12.75">
      <c r="B414" s="28"/>
      <c r="J414" s="15"/>
    </row>
    <row r="415" spans="2:10" ht="12.75">
      <c r="B415" s="28"/>
      <c r="J415" s="15"/>
    </row>
    <row r="416" spans="2:10" ht="12.75">
      <c r="B416" s="28"/>
      <c r="J416" s="15"/>
    </row>
    <row r="417" spans="2:10" ht="12.75">
      <c r="B417" s="28"/>
      <c r="J417" s="15"/>
    </row>
    <row r="418" spans="2:10" ht="12.75">
      <c r="B418" s="28"/>
      <c r="J418" s="15"/>
    </row>
    <row r="419" spans="2:10" ht="12.75">
      <c r="B419" s="28"/>
      <c r="J419" s="15"/>
    </row>
    <row r="420" spans="2:10" ht="12.75">
      <c r="B420" s="28"/>
      <c r="J420" s="15"/>
    </row>
    <row r="421" spans="2:10" ht="12.75">
      <c r="B421" s="28"/>
      <c r="J421" s="15"/>
    </row>
    <row r="422" spans="2:10" ht="12.75">
      <c r="B422" s="28"/>
      <c r="J422" s="15"/>
    </row>
    <row r="423" spans="2:10" ht="12.75">
      <c r="B423" s="28"/>
      <c r="J423" s="15"/>
    </row>
    <row r="424" spans="2:10" ht="12.75">
      <c r="B424" s="28"/>
      <c r="J424" s="15"/>
    </row>
    <row r="425" spans="2:10" ht="12.75">
      <c r="B425" s="28"/>
      <c r="J425" s="15"/>
    </row>
    <row r="426" spans="2:10" ht="12.75">
      <c r="B426" s="28"/>
      <c r="J426" s="15"/>
    </row>
    <row r="427" spans="2:10" ht="12.75">
      <c r="B427" s="28"/>
      <c r="J427" s="15"/>
    </row>
    <row r="428" spans="2:10" ht="12.75">
      <c r="B428" s="28"/>
      <c r="J428" s="15"/>
    </row>
    <row r="429" spans="2:10" ht="12.75">
      <c r="B429" s="28"/>
      <c r="J429" s="15"/>
    </row>
    <row r="430" spans="2:10" ht="12.75">
      <c r="B430" s="28"/>
      <c r="J430" s="15"/>
    </row>
    <row r="431" spans="2:10" ht="12.75">
      <c r="B431" s="28"/>
      <c r="J431" s="15"/>
    </row>
    <row r="432" spans="2:10" ht="12.75">
      <c r="B432" s="28"/>
      <c r="J432" s="15"/>
    </row>
    <row r="433" spans="2:10" ht="12.75">
      <c r="B433" s="28"/>
      <c r="J433" s="15"/>
    </row>
    <row r="434" spans="2:10" ht="12.75">
      <c r="B434" s="28"/>
      <c r="J434" s="15"/>
    </row>
    <row r="435" spans="2:10" ht="12.75">
      <c r="B435" s="28"/>
      <c r="J435" s="15"/>
    </row>
    <row r="436" spans="2:10" ht="12.75">
      <c r="B436" s="28"/>
      <c r="J436" s="15"/>
    </row>
    <row r="437" spans="2:10" ht="12.75">
      <c r="B437" s="28"/>
      <c r="J437" s="15"/>
    </row>
    <row r="438" spans="2:10" ht="12.75">
      <c r="B438" s="28"/>
      <c r="J438" s="15"/>
    </row>
    <row r="439" spans="2:10" ht="12.75">
      <c r="B439" s="28"/>
      <c r="J439" s="15"/>
    </row>
    <row r="440" spans="2:10" ht="12.75">
      <c r="B440" s="28"/>
      <c r="J440" s="15"/>
    </row>
    <row r="441" spans="2:10" ht="12.75">
      <c r="B441" s="28"/>
      <c r="J441" s="15"/>
    </row>
    <row r="442" spans="2:10" ht="12.75">
      <c r="B442" s="28"/>
      <c r="J442" s="15"/>
    </row>
    <row r="443" spans="2:10" ht="12.75">
      <c r="B443" s="28"/>
      <c r="J443" s="15"/>
    </row>
    <row r="444" spans="2:10" ht="12.75">
      <c r="B444" s="28"/>
      <c r="J444" s="15"/>
    </row>
    <row r="445" spans="2:10" ht="12.75">
      <c r="B445" s="28"/>
      <c r="J445" s="15"/>
    </row>
    <row r="446" spans="2:10" ht="12.75">
      <c r="B446" s="28"/>
      <c r="J446" s="15"/>
    </row>
    <row r="447" spans="2:10" ht="12.75">
      <c r="B447" s="28"/>
      <c r="J447" s="15"/>
    </row>
    <row r="448" spans="2:10" ht="12.75">
      <c r="B448" s="28"/>
      <c r="J448" s="15"/>
    </row>
    <row r="449" spans="2:10" ht="12.75">
      <c r="B449" s="28"/>
      <c r="J449" s="15"/>
    </row>
    <row r="450" spans="2:10" ht="12.75">
      <c r="B450" s="28"/>
      <c r="J450" s="15"/>
    </row>
    <row r="451" spans="2:10" ht="12.75">
      <c r="B451" s="28"/>
      <c r="J451" s="15"/>
    </row>
    <row r="452" spans="2:10" ht="12.75">
      <c r="B452" s="28"/>
      <c r="J452" s="15"/>
    </row>
    <row r="453" spans="2:10" ht="12.75">
      <c r="B453" s="28"/>
      <c r="J453" s="15"/>
    </row>
    <row r="454" spans="2:10" ht="12.75">
      <c r="B454" s="28"/>
      <c r="J454" s="15"/>
    </row>
    <row r="455" spans="2:10" ht="12.75">
      <c r="B455" s="28"/>
      <c r="J455" s="15"/>
    </row>
    <row r="456" spans="2:10" ht="12.75">
      <c r="B456" s="28"/>
      <c r="J456" s="15"/>
    </row>
    <row r="457" spans="2:10" ht="12.75">
      <c r="B457" s="28"/>
      <c r="J457" s="15"/>
    </row>
    <row r="458" spans="2:10" ht="12.75">
      <c r="B458" s="28"/>
      <c r="J458" s="15"/>
    </row>
    <row r="459" spans="2:10" ht="12.75">
      <c r="B459" s="28"/>
      <c r="J459" s="15"/>
    </row>
    <row r="460" spans="2:10" ht="12.75">
      <c r="B460" s="28"/>
      <c r="J460" s="15"/>
    </row>
    <row r="461" spans="2:10" ht="12.75">
      <c r="B461" s="28"/>
      <c r="J461" s="15"/>
    </row>
    <row r="462" spans="2:10" ht="12.75">
      <c r="B462" s="28"/>
      <c r="J462" s="15"/>
    </row>
    <row r="463" spans="2:10" ht="12.75">
      <c r="B463" s="28"/>
      <c r="J463" s="15"/>
    </row>
    <row r="464" spans="2:10" ht="12.75">
      <c r="B464" s="28"/>
      <c r="J464" s="15"/>
    </row>
    <row r="465" spans="2:10" ht="12.75">
      <c r="B465" s="28"/>
      <c r="J465" s="15"/>
    </row>
    <row r="466" spans="2:10" ht="12.75">
      <c r="B466" s="28"/>
      <c r="J466" s="15"/>
    </row>
    <row r="467" spans="2:10" ht="12.75">
      <c r="B467" s="28"/>
      <c r="J467" s="15"/>
    </row>
    <row r="468" spans="2:10" ht="12.75">
      <c r="B468" s="28"/>
      <c r="J468" s="15"/>
    </row>
    <row r="469" spans="2:10" ht="12.75">
      <c r="B469" s="28"/>
      <c r="J469" s="15"/>
    </row>
    <row r="470" spans="2:10" ht="12.75">
      <c r="B470" s="28"/>
      <c r="J470" s="15"/>
    </row>
    <row r="471" spans="2:10" ht="12.75">
      <c r="B471" s="28"/>
      <c r="J471" s="15"/>
    </row>
    <row r="472" spans="2:10" ht="12.75">
      <c r="B472" s="28"/>
      <c r="J472" s="15"/>
    </row>
    <row r="473" spans="2:10" ht="12.75">
      <c r="B473" s="28"/>
      <c r="J473" s="15"/>
    </row>
    <row r="474" spans="2:10" ht="12.75">
      <c r="B474" s="28"/>
      <c r="J474" s="15"/>
    </row>
    <row r="475" spans="2:10" ht="12.75">
      <c r="B475" s="28"/>
      <c r="J475" s="15"/>
    </row>
    <row r="476" spans="2:10" ht="12.75">
      <c r="B476" s="28"/>
      <c r="J476" s="15"/>
    </row>
    <row r="477" spans="2:10" ht="12.75">
      <c r="B477" s="28"/>
      <c r="J477" s="15"/>
    </row>
    <row r="478" spans="2:10" ht="12.75">
      <c r="B478" s="28"/>
      <c r="J478" s="15"/>
    </row>
    <row r="479" spans="2:10" ht="12.75">
      <c r="B479" s="28"/>
      <c r="J479" s="15"/>
    </row>
    <row r="480" spans="2:10" ht="12.75">
      <c r="B480" s="28"/>
      <c r="J480" s="15"/>
    </row>
    <row r="481" spans="2:10" ht="12.75">
      <c r="B481" s="28"/>
      <c r="J481" s="15"/>
    </row>
    <row r="482" spans="2:10" ht="12.75">
      <c r="B482" s="28"/>
      <c r="J482" s="15"/>
    </row>
    <row r="483" spans="2:10" ht="12.75">
      <c r="B483" s="28"/>
      <c r="J483" s="15"/>
    </row>
    <row r="484" spans="2:10" ht="12.75">
      <c r="B484" s="28"/>
      <c r="J484" s="15"/>
    </row>
    <row r="485" spans="2:10" ht="12.75">
      <c r="B485" s="28"/>
      <c r="J485" s="15"/>
    </row>
    <row r="486" spans="2:10" ht="12.75">
      <c r="B486" s="28"/>
      <c r="J486" s="15"/>
    </row>
    <row r="487" spans="2:10" ht="12.75">
      <c r="B487" s="28"/>
      <c r="J487" s="15"/>
    </row>
    <row r="488" spans="2:10" ht="12.75">
      <c r="B488" s="28"/>
      <c r="J488" s="15"/>
    </row>
    <row r="489" spans="2:10" ht="12.75">
      <c r="B489" s="28"/>
      <c r="J489" s="15"/>
    </row>
    <row r="490" spans="2:10" ht="12.75">
      <c r="B490" s="28"/>
      <c r="J490" s="15"/>
    </row>
    <row r="491" spans="2:10" ht="12.75">
      <c r="B491" s="28"/>
      <c r="J491" s="15"/>
    </row>
    <row r="492" spans="2:10" ht="12.75">
      <c r="B492" s="28"/>
      <c r="J492" s="15"/>
    </row>
    <row r="493" spans="2:10" ht="12.75">
      <c r="B493" s="28"/>
      <c r="J493" s="15"/>
    </row>
    <row r="494" spans="2:10" ht="12.75">
      <c r="B494" s="28"/>
      <c r="J494" s="15"/>
    </row>
    <row r="495" spans="2:10" ht="12.75">
      <c r="B495" s="28"/>
      <c r="J495" s="15"/>
    </row>
    <row r="496" spans="2:10" ht="12.75">
      <c r="B496" s="28"/>
      <c r="J496" s="15"/>
    </row>
    <row r="497" spans="2:10" ht="12.75">
      <c r="B497" s="28"/>
      <c r="J497" s="15"/>
    </row>
    <row r="498" spans="2:10" ht="12.75">
      <c r="B498" s="28"/>
      <c r="J498" s="15"/>
    </row>
    <row r="499" spans="2:10" ht="12.75">
      <c r="B499" s="28"/>
      <c r="J499" s="15"/>
    </row>
    <row r="500" spans="2:10" ht="12.75">
      <c r="B500" s="28"/>
      <c r="J500" s="15"/>
    </row>
    <row r="501" spans="2:10" ht="12.75">
      <c r="B501" s="28"/>
      <c r="J501" s="15"/>
    </row>
    <row r="502" spans="2:10" ht="12.75">
      <c r="B502" s="28"/>
      <c r="J502" s="15"/>
    </row>
    <row r="503" spans="2:10" ht="12.75">
      <c r="B503" s="28"/>
      <c r="J503" s="15"/>
    </row>
    <row r="504" spans="2:10" ht="12.75">
      <c r="B504" s="28"/>
      <c r="J504" s="15"/>
    </row>
    <row r="505" spans="2:10" ht="12.75">
      <c r="B505" s="28"/>
      <c r="J505" s="15"/>
    </row>
    <row r="506" spans="2:10" ht="12.75">
      <c r="B506" s="28"/>
      <c r="J506" s="15"/>
    </row>
    <row r="507" spans="2:10" ht="12.75">
      <c r="B507" s="28"/>
      <c r="J507" s="15"/>
    </row>
    <row r="508" spans="2:10" ht="12.75">
      <c r="B508" s="28"/>
      <c r="J508" s="15"/>
    </row>
    <row r="509" spans="2:10" ht="12.75">
      <c r="B509" s="28"/>
      <c r="J509" s="15"/>
    </row>
    <row r="510" spans="2:10" ht="12.75">
      <c r="B510" s="28"/>
      <c r="J510" s="15"/>
    </row>
    <row r="511" spans="2:10" ht="12.75">
      <c r="B511" s="28"/>
      <c r="J511" s="15"/>
    </row>
    <row r="512" spans="2:10" ht="12.75">
      <c r="B512" s="28"/>
      <c r="J512" s="15"/>
    </row>
    <row r="513" spans="2:10" ht="12.75">
      <c r="B513" s="28"/>
      <c r="J513" s="15"/>
    </row>
    <row r="514" spans="2:10" ht="12.75">
      <c r="B514" s="28"/>
      <c r="J514" s="15"/>
    </row>
    <row r="515" spans="2:10" ht="12.75">
      <c r="B515" s="28"/>
      <c r="J515" s="15"/>
    </row>
    <row r="516" spans="2:10" ht="12.75">
      <c r="B516" s="28"/>
      <c r="J516" s="15"/>
    </row>
    <row r="517" spans="2:10" ht="12.75">
      <c r="B517" s="28"/>
      <c r="J517" s="15"/>
    </row>
    <row r="518" spans="2:10" ht="12.75">
      <c r="B518" s="28"/>
      <c r="J518" s="15"/>
    </row>
    <row r="519" spans="2:10" ht="12.75">
      <c r="B519" s="28"/>
      <c r="J519" s="15"/>
    </row>
    <row r="520" spans="2:10" ht="12.75">
      <c r="B520" s="28"/>
      <c r="J520" s="15"/>
    </row>
    <row r="521" spans="2:10" ht="12.75">
      <c r="B521" s="28"/>
      <c r="J521" s="15"/>
    </row>
    <row r="522" spans="2:10" ht="12.75">
      <c r="B522" s="28"/>
      <c r="J522" s="15"/>
    </row>
    <row r="523" spans="2:10" ht="12.75">
      <c r="B523" s="28"/>
      <c r="J523" s="15"/>
    </row>
    <row r="524" spans="2:10" ht="12.75">
      <c r="B524" s="28"/>
      <c r="J524" s="15"/>
    </row>
    <row r="525" spans="2:10" ht="12.75">
      <c r="B525" s="28"/>
      <c r="J525" s="15"/>
    </row>
    <row r="526" spans="2:10" ht="12.75">
      <c r="B526" s="28"/>
      <c r="J526" s="15"/>
    </row>
    <row r="527" spans="2:10" ht="12.75">
      <c r="B527" s="28"/>
      <c r="J527" s="15"/>
    </row>
    <row r="528" spans="2:10" ht="12.75">
      <c r="B528" s="28"/>
      <c r="J528" s="15"/>
    </row>
    <row r="529" spans="2:10" ht="12.75">
      <c r="B529" s="28"/>
      <c r="J529" s="15"/>
    </row>
    <row r="530" spans="2:10" ht="12.75">
      <c r="B530" s="28"/>
      <c r="J530" s="15"/>
    </row>
    <row r="531" spans="2:10" ht="12.75">
      <c r="B531" s="28"/>
      <c r="J531" s="15"/>
    </row>
    <row r="532" spans="2:10" ht="12.75">
      <c r="B532" s="28"/>
      <c r="J532" s="15"/>
    </row>
    <row r="533" spans="2:10" ht="12.75">
      <c r="B533" s="28"/>
      <c r="J533" s="15"/>
    </row>
    <row r="534" spans="2:10" ht="12.75">
      <c r="B534" s="28"/>
      <c r="J534" s="15"/>
    </row>
    <row r="535" spans="2:10" ht="12.75">
      <c r="B535" s="28"/>
      <c r="J535" s="15"/>
    </row>
    <row r="536" spans="2:10" ht="12.75">
      <c r="B536" s="28"/>
      <c r="J536" s="15"/>
    </row>
    <row r="537" spans="2:10" ht="12.75">
      <c r="B537" s="28"/>
      <c r="J537" s="15"/>
    </row>
    <row r="538" spans="2:10" ht="12.75">
      <c r="B538" s="28"/>
      <c r="J538" s="15"/>
    </row>
    <row r="539" spans="2:10" ht="12.75">
      <c r="B539" s="28"/>
      <c r="J539" s="15"/>
    </row>
    <row r="540" spans="2:10" ht="12.75">
      <c r="B540" s="28"/>
      <c r="J540" s="15"/>
    </row>
    <row r="541" spans="2:10" ht="12.75">
      <c r="B541" s="28"/>
      <c r="J541" s="15"/>
    </row>
    <row r="542" spans="2:10" ht="12.75">
      <c r="B542" s="28"/>
      <c r="J542" s="15"/>
    </row>
    <row r="543" spans="2:10" ht="12.75">
      <c r="B543" s="28"/>
      <c r="J543" s="15"/>
    </row>
    <row r="544" spans="2:10" ht="12.75">
      <c r="B544" s="28"/>
      <c r="J544" s="15"/>
    </row>
    <row r="545" spans="2:10" ht="12.75">
      <c r="B545" s="28"/>
      <c r="J545" s="15"/>
    </row>
    <row r="546" spans="2:10" ht="12.75">
      <c r="B546" s="28"/>
      <c r="J546" s="15"/>
    </row>
    <row r="547" spans="2:10" ht="12.75">
      <c r="B547" s="28"/>
      <c r="J547" s="15"/>
    </row>
    <row r="548" spans="2:10" ht="12.75">
      <c r="B548" s="28"/>
      <c r="J548" s="15"/>
    </row>
    <row r="549" spans="2:10" ht="12.75">
      <c r="B549" s="28"/>
      <c r="J549" s="15"/>
    </row>
    <row r="550" spans="2:10" ht="12.75">
      <c r="B550" s="28"/>
      <c r="J550" s="15"/>
    </row>
    <row r="551" spans="2:10" ht="12.75">
      <c r="B551" s="28"/>
      <c r="J551" s="15"/>
    </row>
    <row r="552" spans="2:10" ht="12.75">
      <c r="B552" s="28"/>
      <c r="J552" s="15"/>
    </row>
    <row r="553" spans="2:10" ht="12.75">
      <c r="B553" s="28"/>
      <c r="J553" s="15"/>
    </row>
    <row r="554" spans="2:10" ht="12.75">
      <c r="B554" s="28"/>
      <c r="J554" s="15"/>
    </row>
    <row r="555" spans="2:10" ht="12.75">
      <c r="B555" s="28"/>
      <c r="J555" s="15"/>
    </row>
    <row r="556" spans="2:10" ht="12.75">
      <c r="B556" s="28"/>
      <c r="J556" s="15"/>
    </row>
    <row r="557" spans="2:10" ht="12.75">
      <c r="B557" s="28"/>
      <c r="J557" s="15"/>
    </row>
    <row r="558" spans="2:10" ht="12.75">
      <c r="B558" s="28"/>
      <c r="J558" s="15"/>
    </row>
    <row r="559" spans="2:10" ht="12.75">
      <c r="B559" s="28"/>
      <c r="J559" s="15"/>
    </row>
    <row r="560" spans="2:10" ht="12.75">
      <c r="B560" s="28"/>
      <c r="J560" s="15"/>
    </row>
    <row r="561" spans="2:10" ht="12.75">
      <c r="B561" s="28"/>
      <c r="J561" s="15"/>
    </row>
    <row r="562" spans="2:10" ht="12.75">
      <c r="B562" s="28"/>
      <c r="J562" s="15"/>
    </row>
    <row r="563" spans="2:10" ht="12.75">
      <c r="B563" s="28"/>
      <c r="J563" s="15"/>
    </row>
    <row r="564" spans="2:10" ht="12.75">
      <c r="B564" s="28"/>
      <c r="J564" s="15"/>
    </row>
    <row r="565" spans="2:10" ht="12.75">
      <c r="B565" s="28"/>
      <c r="J565" s="15"/>
    </row>
    <row r="566" spans="2:10" ht="12.75">
      <c r="B566" s="28"/>
      <c r="J566" s="15"/>
    </row>
    <row r="567" spans="2:10" ht="12.75">
      <c r="B567" s="28"/>
      <c r="J567" s="15"/>
    </row>
    <row r="568" spans="2:10" ht="12.75">
      <c r="B568" s="28"/>
      <c r="J568" s="15"/>
    </row>
    <row r="569" spans="2:10" ht="12.75">
      <c r="B569" s="28"/>
      <c r="J569" s="15"/>
    </row>
    <row r="570" spans="2:10" ht="12.75">
      <c r="B570" s="28"/>
      <c r="J570" s="15"/>
    </row>
    <row r="571" spans="2:10" ht="12.75">
      <c r="B571" s="28"/>
      <c r="J571" s="15"/>
    </row>
    <row r="572" spans="2:10" ht="12.75">
      <c r="B572" s="28"/>
      <c r="J572" s="15"/>
    </row>
    <row r="573" spans="2:10" ht="12.75">
      <c r="B573" s="28"/>
      <c r="J573" s="15"/>
    </row>
    <row r="574" spans="2:10" ht="12.75">
      <c r="B574" s="28"/>
      <c r="J574" s="15"/>
    </row>
    <row r="575" spans="2:10" ht="12.75">
      <c r="B575" s="28"/>
      <c r="J575" s="15"/>
    </row>
    <row r="576" spans="2:10" ht="12.75">
      <c r="B576" s="28"/>
      <c r="J576" s="15"/>
    </row>
    <row r="577" spans="2:10" ht="12.75">
      <c r="B577" s="28"/>
      <c r="J577" s="15"/>
    </row>
    <row r="578" spans="2:10" ht="12.75">
      <c r="B578" s="28"/>
      <c r="J578" s="15"/>
    </row>
    <row r="579" spans="2:10" ht="12.75">
      <c r="B579" s="28"/>
      <c r="J579" s="15"/>
    </row>
    <row r="580" spans="2:10" ht="12.75">
      <c r="B580" s="28"/>
      <c r="J580" s="15"/>
    </row>
    <row r="581" spans="2:10" ht="12.75">
      <c r="B581" s="28"/>
      <c r="J581" s="15"/>
    </row>
    <row r="582" spans="2:10" ht="12.75">
      <c r="B582" s="28"/>
      <c r="J582" s="15"/>
    </row>
    <row r="583" spans="2:10" ht="12.75">
      <c r="B583" s="28"/>
      <c r="J583" s="15"/>
    </row>
    <row r="584" spans="2:10" ht="12.75">
      <c r="B584" s="28"/>
      <c r="J584" s="15"/>
    </row>
    <row r="585" spans="2:10" ht="12.75">
      <c r="B585" s="28"/>
      <c r="J585" s="15"/>
    </row>
    <row r="586" spans="2:10" ht="12.75">
      <c r="B586" s="28"/>
      <c r="J586" s="15"/>
    </row>
    <row r="587" spans="2:10" ht="12.75">
      <c r="B587" s="28"/>
      <c r="J587" s="15"/>
    </row>
    <row r="588" spans="2:10" ht="12.75">
      <c r="B588" s="28"/>
      <c r="J588" s="15"/>
    </row>
    <row r="589" spans="2:10" ht="12.75">
      <c r="B589" s="28"/>
      <c r="J589" s="15"/>
    </row>
    <row r="590" spans="2:10" ht="12.75">
      <c r="B590" s="28"/>
      <c r="J590" s="15"/>
    </row>
    <row r="591" spans="2:10" ht="12.75">
      <c r="B591" s="28"/>
      <c r="J591" s="15"/>
    </row>
    <row r="592" spans="2:10" ht="12.75">
      <c r="B592" s="28"/>
      <c r="J592" s="15"/>
    </row>
    <row r="593" spans="2:10" ht="12.75">
      <c r="B593" s="28"/>
      <c r="J593" s="15"/>
    </row>
    <row r="594" spans="2:10" ht="12.75">
      <c r="B594" s="28"/>
      <c r="J594" s="15"/>
    </row>
    <row r="595" spans="2:10" ht="12.75">
      <c r="B595" s="28"/>
      <c r="J595" s="15"/>
    </row>
    <row r="596" spans="2:10" ht="12.75">
      <c r="B596" s="28"/>
      <c r="J596" s="15"/>
    </row>
    <row r="597" spans="2:10" ht="12.75">
      <c r="B597" s="28"/>
      <c r="J597" s="15"/>
    </row>
    <row r="598" spans="2:10" ht="12.75">
      <c r="B598" s="28"/>
      <c r="J598" s="15"/>
    </row>
    <row r="599" spans="2:10" ht="12.75">
      <c r="B599" s="28"/>
      <c r="J599" s="15"/>
    </row>
    <row r="600" spans="2:10" ht="12.75">
      <c r="B600" s="28"/>
      <c r="J600" s="15"/>
    </row>
    <row r="601" spans="2:10" ht="12.75">
      <c r="B601" s="28"/>
      <c r="J601" s="15"/>
    </row>
    <row r="602" spans="2:10" ht="12.75">
      <c r="B602" s="28"/>
      <c r="J602" s="15"/>
    </row>
    <row r="603" spans="2:10" ht="12.75">
      <c r="B603" s="28"/>
      <c r="J603" s="15"/>
    </row>
    <row r="604" spans="2:10" ht="12.75">
      <c r="B604" s="28"/>
      <c r="J604" s="15"/>
    </row>
    <row r="605" spans="2:10" ht="12.75">
      <c r="B605" s="28"/>
      <c r="J605" s="15"/>
    </row>
    <row r="606" spans="2:10" ht="12.75">
      <c r="B606" s="28"/>
      <c r="J606" s="15"/>
    </row>
    <row r="607" spans="2:10" ht="12.75">
      <c r="B607" s="28"/>
      <c r="J607" s="15"/>
    </row>
    <row r="608" spans="2:10" ht="12.75">
      <c r="B608" s="28"/>
      <c r="J608" s="15"/>
    </row>
    <row r="609" spans="2:10" ht="12.75">
      <c r="B609" s="28"/>
      <c r="J609" s="15"/>
    </row>
    <row r="610" spans="2:10" ht="12.75">
      <c r="B610" s="28"/>
      <c r="J610" s="15"/>
    </row>
    <row r="611" spans="2:10" ht="12.75">
      <c r="B611" s="28"/>
      <c r="J611" s="15"/>
    </row>
    <row r="612" spans="2:10" ht="12.75">
      <c r="B612" s="28"/>
      <c r="J612" s="15"/>
    </row>
    <row r="613" spans="2:10" ht="12.75">
      <c r="B613" s="28"/>
      <c r="J613" s="15"/>
    </row>
    <row r="614" spans="2:10" ht="12.75">
      <c r="B614" s="28"/>
      <c r="J614" s="15"/>
    </row>
    <row r="615" spans="2:10" ht="12.75">
      <c r="B615" s="28"/>
      <c r="J615" s="15"/>
    </row>
    <row r="616" spans="2:10" ht="12.75">
      <c r="B616" s="28"/>
      <c r="J616" s="15"/>
    </row>
    <row r="617" spans="2:10" ht="12.75">
      <c r="B617" s="28"/>
      <c r="J617" s="15"/>
    </row>
    <row r="618" spans="2:10" ht="12.75">
      <c r="B618" s="28"/>
      <c r="J618" s="15"/>
    </row>
    <row r="619" spans="2:10" ht="12.75">
      <c r="B619" s="28"/>
      <c r="J619" s="15"/>
    </row>
    <row r="620" spans="2:10" ht="12.75">
      <c r="B620" s="28"/>
      <c r="J620" s="15"/>
    </row>
    <row r="621" spans="2:10" ht="12.75">
      <c r="B621" s="28"/>
      <c r="J621" s="15"/>
    </row>
    <row r="622" spans="2:10" ht="12.75">
      <c r="B622" s="28"/>
      <c r="J622" s="15"/>
    </row>
    <row r="623" spans="2:10" ht="12.75">
      <c r="B623" s="28"/>
      <c r="J623" s="15"/>
    </row>
    <row r="624" spans="2:10" ht="12.75">
      <c r="B624" s="28"/>
      <c r="J624" s="15"/>
    </row>
    <row r="625" spans="2:10" ht="12.75">
      <c r="B625" s="28"/>
      <c r="J625" s="15"/>
    </row>
    <row r="626" spans="2:10" ht="12.75">
      <c r="B626" s="28"/>
      <c r="J626" s="15"/>
    </row>
    <row r="627" spans="2:10" ht="12.75">
      <c r="B627" s="28"/>
      <c r="J627" s="15"/>
    </row>
    <row r="628" spans="2:10" ht="12.75">
      <c r="B628" s="28"/>
      <c r="J628" s="15"/>
    </row>
    <row r="629" spans="2:10" ht="12.75">
      <c r="B629" s="28"/>
      <c r="J629" s="15"/>
    </row>
    <row r="630" spans="2:10" ht="12.75">
      <c r="B630" s="28"/>
      <c r="J630" s="15"/>
    </row>
    <row r="631" spans="2:10" ht="12.75">
      <c r="B631" s="28"/>
      <c r="J631" s="15"/>
    </row>
    <row r="632" spans="2:10" ht="12.75">
      <c r="B632" s="28"/>
      <c r="J632" s="15"/>
    </row>
    <row r="633" spans="2:10" ht="12.75">
      <c r="B633" s="28"/>
      <c r="J633" s="15"/>
    </row>
    <row r="634" spans="2:10" ht="12.75">
      <c r="B634" s="28"/>
      <c r="J634" s="15"/>
    </row>
    <row r="635" spans="2:10" ht="12.75">
      <c r="B635" s="28"/>
      <c r="J635" s="15"/>
    </row>
    <row r="636" spans="2:10" ht="12.75">
      <c r="B636" s="28"/>
      <c r="J636" s="15"/>
    </row>
    <row r="637" spans="2:10" ht="12.75">
      <c r="B637" s="28"/>
      <c r="J637" s="15"/>
    </row>
    <row r="638" spans="2:10" ht="12.75">
      <c r="B638" s="28"/>
      <c r="J638" s="15"/>
    </row>
    <row r="639" spans="2:10" ht="12.75">
      <c r="B639" s="28"/>
      <c r="J639" s="15"/>
    </row>
    <row r="640" spans="2:10" ht="12.75">
      <c r="B640" s="28"/>
      <c r="J640" s="15"/>
    </row>
    <row r="641" spans="2:10" ht="12.75">
      <c r="B641" s="28"/>
      <c r="J641" s="15"/>
    </row>
    <row r="642" spans="2:10" ht="12.75">
      <c r="B642" s="28"/>
      <c r="J642" s="15"/>
    </row>
    <row r="643" spans="2:10" ht="12.75">
      <c r="B643" s="28"/>
      <c r="J643" s="15"/>
    </row>
    <row r="644" spans="2:10" ht="12.75">
      <c r="B644" s="28"/>
      <c r="J644" s="15"/>
    </row>
    <row r="645" spans="2:10" ht="12.75">
      <c r="B645" s="28"/>
      <c r="J645" s="15"/>
    </row>
    <row r="646" spans="2:10" ht="12.75">
      <c r="B646" s="28"/>
      <c r="J646" s="15"/>
    </row>
    <row r="647" spans="2:10" ht="12.75">
      <c r="B647" s="28"/>
      <c r="J647" s="15"/>
    </row>
    <row r="648" spans="2:10" ht="12.75">
      <c r="B648" s="28"/>
      <c r="J648" s="15"/>
    </row>
    <row r="649" spans="2:10" ht="12.75">
      <c r="B649" s="28"/>
      <c r="J649" s="15"/>
    </row>
    <row r="650" spans="2:10" ht="12.75">
      <c r="B650" s="28"/>
      <c r="J650" s="15"/>
    </row>
    <row r="651" spans="2:10" ht="12.75">
      <c r="B651" s="28"/>
      <c r="J651" s="15"/>
    </row>
    <row r="652" spans="2:10" ht="12.75">
      <c r="B652" s="28"/>
      <c r="J652" s="15"/>
    </row>
    <row r="653" spans="2:10" ht="12.75">
      <c r="B653" s="28"/>
      <c r="J653" s="15"/>
    </row>
    <row r="654" spans="2:10" ht="12.75">
      <c r="B654" s="28"/>
      <c r="J654" s="15"/>
    </row>
    <row r="655" spans="2:10" ht="12.75">
      <c r="B655" s="28"/>
      <c r="J655" s="15"/>
    </row>
    <row r="656" spans="2:10" ht="12.75">
      <c r="B656" s="28"/>
      <c r="J656" s="15"/>
    </row>
    <row r="657" spans="2:10" ht="12.75">
      <c r="B657" s="28"/>
      <c r="J657" s="15"/>
    </row>
    <row r="658" spans="2:10" ht="12.75">
      <c r="B658" s="28"/>
      <c r="J658" s="15"/>
    </row>
    <row r="659" spans="2:10" ht="12.75">
      <c r="B659" s="28"/>
      <c r="J659" s="15"/>
    </row>
    <row r="660" spans="2:10" ht="12.75">
      <c r="B660" s="28"/>
      <c r="J660" s="15"/>
    </row>
    <row r="661" spans="2:10" ht="12.75">
      <c r="B661" s="28"/>
      <c r="J661" s="15"/>
    </row>
    <row r="662" spans="2:10" ht="12.75">
      <c r="B662" s="28"/>
      <c r="J662" s="15"/>
    </row>
    <row r="663" spans="2:10" ht="12.75">
      <c r="B663" s="28"/>
      <c r="J663" s="15"/>
    </row>
    <row r="664" spans="2:10" ht="12.75">
      <c r="B664" s="28"/>
      <c r="J664" s="15"/>
    </row>
    <row r="665" spans="2:10" ht="12.75">
      <c r="B665" s="28"/>
      <c r="J665" s="15"/>
    </row>
    <row r="666" spans="2:10" ht="12.75">
      <c r="B666" s="28"/>
      <c r="J666" s="15"/>
    </row>
    <row r="667" spans="2:10" ht="12.75">
      <c r="B667" s="28"/>
      <c r="J667" s="15"/>
    </row>
    <row r="668" spans="2:10" ht="12.75">
      <c r="B668" s="28"/>
      <c r="J668" s="15"/>
    </row>
    <row r="669" spans="2:10" ht="12.75">
      <c r="B669" s="28"/>
      <c r="J669" s="15"/>
    </row>
    <row r="670" spans="2:10" ht="12.75">
      <c r="B670" s="28"/>
      <c r="J670" s="15"/>
    </row>
    <row r="671" spans="2:10" ht="12.75">
      <c r="B671" s="28"/>
      <c r="J671" s="15"/>
    </row>
    <row r="672" spans="2:10" ht="12.75">
      <c r="B672" s="28"/>
      <c r="J672" s="15"/>
    </row>
    <row r="673" spans="2:10" ht="12.75">
      <c r="B673" s="28"/>
      <c r="J673" s="15"/>
    </row>
    <row r="674" spans="2:10" ht="12.75">
      <c r="B674" s="28"/>
      <c r="J674" s="15"/>
    </row>
    <row r="675" spans="2:10" ht="12.75">
      <c r="B675" s="28"/>
      <c r="J675" s="15"/>
    </row>
    <row r="676" spans="2:10" ht="12.75">
      <c r="B676" s="28"/>
      <c r="J676" s="15"/>
    </row>
    <row r="677" spans="2:10" ht="12.75">
      <c r="B677" s="28"/>
      <c r="J677" s="15"/>
    </row>
    <row r="678" spans="2:10" ht="12.75">
      <c r="B678" s="28"/>
      <c r="J678" s="15"/>
    </row>
    <row r="679" spans="2:10" ht="12.75">
      <c r="B679" s="28"/>
      <c r="J679" s="15"/>
    </row>
    <row r="680" spans="2:10" ht="12.75">
      <c r="B680" s="28"/>
      <c r="J680" s="15"/>
    </row>
    <row r="681" spans="2:10" ht="12.75">
      <c r="B681" s="28"/>
      <c r="J681" s="15"/>
    </row>
    <row r="682" spans="2:10" ht="12.75">
      <c r="B682" s="28"/>
      <c r="J682" s="15"/>
    </row>
    <row r="683" spans="2:10" ht="12.75">
      <c r="B683" s="28"/>
      <c r="J683" s="15"/>
    </row>
    <row r="684" spans="2:10" ht="12.75">
      <c r="B684" s="28"/>
      <c r="J684" s="15"/>
    </row>
    <row r="685" spans="2:10" ht="12.75">
      <c r="B685" s="28"/>
      <c r="J685" s="15"/>
    </row>
    <row r="686" spans="2:10" ht="12.75">
      <c r="B686" s="28"/>
      <c r="J686" s="15"/>
    </row>
    <row r="687" spans="2:10" ht="12.75">
      <c r="B687" s="28"/>
      <c r="J687" s="15"/>
    </row>
    <row r="688" spans="2:10" ht="12.75">
      <c r="B688" s="28"/>
      <c r="J688" s="15"/>
    </row>
    <row r="689" spans="2:10" ht="12.75">
      <c r="B689" s="28"/>
      <c r="J689" s="15"/>
    </row>
    <row r="690" spans="2:10" ht="12.75">
      <c r="B690" s="28"/>
      <c r="J690" s="15"/>
    </row>
    <row r="691" spans="2:10" ht="12.75">
      <c r="B691" s="28"/>
      <c r="J691" s="15"/>
    </row>
    <row r="692" spans="2:10" ht="12.75">
      <c r="B692" s="28"/>
      <c r="J692" s="15"/>
    </row>
    <row r="693" spans="2:10" ht="12.75">
      <c r="B693" s="28"/>
      <c r="J693" s="15"/>
    </row>
    <row r="694" spans="2:10" ht="12.75">
      <c r="B694" s="28"/>
      <c r="J694" s="15"/>
    </row>
    <row r="695" spans="2:10" ht="12.75">
      <c r="B695" s="28"/>
      <c r="J695" s="15"/>
    </row>
    <row r="696" spans="2:10" ht="12.75">
      <c r="B696" s="28"/>
      <c r="J696" s="15"/>
    </row>
    <row r="697" spans="2:10" ht="12.75">
      <c r="B697" s="28"/>
      <c r="J697" s="15"/>
    </row>
    <row r="698" spans="2:10" ht="12.75">
      <c r="B698" s="28"/>
      <c r="J698" s="15"/>
    </row>
    <row r="699" spans="2:10" ht="12.75">
      <c r="B699" s="28"/>
      <c r="J699" s="15"/>
    </row>
    <row r="700" spans="2:10" ht="12.75">
      <c r="B700" s="28"/>
      <c r="J700" s="15"/>
    </row>
    <row r="701" spans="2:10" ht="12.75">
      <c r="B701" s="28"/>
      <c r="J701" s="15"/>
    </row>
    <row r="702" spans="2:10" ht="12.75">
      <c r="B702" s="28"/>
      <c r="J702" s="15"/>
    </row>
    <row r="703" spans="2:10" ht="12.75">
      <c r="B703" s="28"/>
      <c r="J703" s="15"/>
    </row>
    <row r="704" spans="2:10" ht="12.75">
      <c r="B704" s="28"/>
      <c r="J704" s="15"/>
    </row>
    <row r="705" spans="2:10" ht="12.75">
      <c r="B705" s="28"/>
      <c r="J705" s="15"/>
    </row>
    <row r="706" spans="2:10" ht="12.75">
      <c r="B706" s="28"/>
      <c r="J706" s="15"/>
    </row>
    <row r="707" spans="2:10" ht="12.75">
      <c r="B707" s="28"/>
      <c r="J707" s="15"/>
    </row>
    <row r="708" spans="2:10" ht="12.75">
      <c r="B708" s="28"/>
      <c r="J708" s="15"/>
    </row>
    <row r="709" spans="2:10" ht="12.75">
      <c r="B709" s="28"/>
      <c r="J709" s="15"/>
    </row>
    <row r="710" spans="2:10" ht="12.75">
      <c r="B710" s="28"/>
      <c r="J710" s="15"/>
    </row>
    <row r="711" spans="2:10" ht="12.75">
      <c r="B711" s="28"/>
      <c r="J711" s="15"/>
    </row>
    <row r="712" spans="2:10" ht="12.75">
      <c r="B712" s="28"/>
      <c r="J712" s="15"/>
    </row>
    <row r="713" spans="2:10" ht="12.75">
      <c r="B713" s="28"/>
      <c r="J713" s="15"/>
    </row>
    <row r="714" spans="2:10" ht="12.75">
      <c r="B714" s="28"/>
      <c r="J714" s="15"/>
    </row>
    <row r="715" spans="2:10" ht="12.75">
      <c r="B715" s="28"/>
      <c r="J715" s="15"/>
    </row>
    <row r="716" spans="2:10" ht="12.75">
      <c r="B716" s="28"/>
      <c r="J716" s="15"/>
    </row>
    <row r="717" spans="2:10" ht="12.75">
      <c r="B717" s="28"/>
      <c r="J717" s="15"/>
    </row>
    <row r="718" spans="2:10" ht="12.75">
      <c r="B718" s="28"/>
      <c r="J718" s="15"/>
    </row>
    <row r="719" spans="2:10" ht="12.75">
      <c r="B719" s="28"/>
      <c r="J719" s="15"/>
    </row>
    <row r="720" spans="2:10" ht="12.75">
      <c r="B720" s="28"/>
      <c r="J720" s="15"/>
    </row>
    <row r="721" spans="2:10" ht="12.75">
      <c r="B721" s="28"/>
      <c r="J721" s="15"/>
    </row>
    <row r="722" spans="2:10" ht="12.75">
      <c r="B722" s="28"/>
      <c r="J722" s="15"/>
    </row>
    <row r="723" spans="2:10" ht="12.75">
      <c r="B723" s="28"/>
      <c r="J723" s="15"/>
    </row>
    <row r="724" spans="2:10" ht="12.75">
      <c r="B724" s="28"/>
      <c r="J724" s="15"/>
    </row>
    <row r="725" spans="2:10" ht="12.75">
      <c r="B725" s="28"/>
      <c r="J725" s="15"/>
    </row>
    <row r="726" spans="2:10" ht="12.75">
      <c r="B726" s="28"/>
      <c r="J726" s="15"/>
    </row>
    <row r="727" spans="2:10" ht="12.75">
      <c r="B727" s="28"/>
      <c r="J727" s="15"/>
    </row>
    <row r="728" spans="2:10" ht="12.75">
      <c r="B728" s="28"/>
      <c r="J728" s="15"/>
    </row>
    <row r="729" spans="2:10" ht="12.75">
      <c r="B729" s="28"/>
      <c r="J729" s="15"/>
    </row>
    <row r="730" spans="2:10" ht="12.75">
      <c r="B730" s="28"/>
      <c r="J730" s="15"/>
    </row>
    <row r="731" spans="2:10" ht="12.75">
      <c r="B731" s="28"/>
      <c r="J731" s="15"/>
    </row>
    <row r="732" spans="2:10" ht="12.75">
      <c r="B732" s="28"/>
      <c r="J732" s="15"/>
    </row>
    <row r="733" spans="2:10" ht="12.75">
      <c r="B733" s="28"/>
      <c r="J733" s="15"/>
    </row>
    <row r="734" spans="2:10" ht="12.75">
      <c r="B734" s="28"/>
      <c r="J734" s="15"/>
    </row>
    <row r="735" spans="2:10" ht="12.75">
      <c r="B735" s="28"/>
      <c r="J735" s="15"/>
    </row>
    <row r="736" spans="2:10" ht="12.75">
      <c r="B736" s="28"/>
      <c r="J736" s="15"/>
    </row>
    <row r="737" spans="2:10" ht="12.75">
      <c r="B737" s="28"/>
      <c r="J737" s="15"/>
    </row>
    <row r="738" spans="2:10" ht="12.75">
      <c r="B738" s="28"/>
      <c r="J738" s="15"/>
    </row>
    <row r="739" spans="2:10" ht="12.75">
      <c r="B739" s="28"/>
      <c r="J739" s="15"/>
    </row>
    <row r="740" spans="2:10" ht="12.75">
      <c r="B740" s="28"/>
      <c r="J740" s="15"/>
    </row>
    <row r="741" spans="2:10" ht="12.75">
      <c r="B741" s="28"/>
      <c r="J741" s="15"/>
    </row>
    <row r="742" spans="2:10" ht="12.75">
      <c r="B742" s="28"/>
      <c r="J742" s="15"/>
    </row>
    <row r="743" spans="2:10" ht="12.75">
      <c r="B743" s="28"/>
      <c r="J743" s="15"/>
    </row>
    <row r="744" spans="2:10" ht="12.75">
      <c r="B744" s="28"/>
      <c r="J744" s="15"/>
    </row>
    <row r="745" spans="2:10" ht="12.75">
      <c r="B745" s="28"/>
      <c r="J745" s="15"/>
    </row>
    <row r="746" spans="2:10" ht="12.75">
      <c r="B746" s="28"/>
      <c r="J746" s="15"/>
    </row>
    <row r="747" spans="2:10" ht="12.75">
      <c r="B747" s="28"/>
      <c r="J747" s="15"/>
    </row>
    <row r="748" spans="2:10" ht="12.75">
      <c r="B748" s="28"/>
      <c r="J748" s="15"/>
    </row>
    <row r="749" spans="2:10" ht="12.75">
      <c r="B749" s="28"/>
      <c r="J749" s="15"/>
    </row>
    <row r="750" spans="2:10" ht="12.75">
      <c r="B750" s="28"/>
      <c r="J750" s="15"/>
    </row>
    <row r="751" spans="2:10" ht="12.75">
      <c r="B751" s="28"/>
      <c r="J751" s="15"/>
    </row>
    <row r="752" spans="2:10" ht="12.75">
      <c r="B752" s="28"/>
      <c r="J752" s="15"/>
    </row>
    <row r="753" spans="2:10" ht="12.75">
      <c r="B753" s="28"/>
      <c r="J753" s="15"/>
    </row>
    <row r="754" spans="2:10" ht="12.75">
      <c r="B754" s="28"/>
      <c r="J754" s="15"/>
    </row>
    <row r="755" spans="2:10" ht="12.75">
      <c r="B755" s="28"/>
      <c r="J755" s="15"/>
    </row>
    <row r="756" spans="2:10" ht="12.75">
      <c r="B756" s="28"/>
      <c r="J756" s="15"/>
    </row>
    <row r="757" spans="2:10" ht="12.75">
      <c r="B757" s="28"/>
      <c r="J757" s="15"/>
    </row>
    <row r="758" spans="2:10" ht="12.75">
      <c r="B758" s="28"/>
      <c r="J758" s="15"/>
    </row>
    <row r="759" spans="2:10" ht="12.75">
      <c r="B759" s="28"/>
      <c r="J759" s="15"/>
    </row>
    <row r="760" spans="2:10" ht="12.75">
      <c r="B760" s="28"/>
      <c r="J760" s="15"/>
    </row>
    <row r="761" spans="2:10" ht="12.75">
      <c r="B761" s="28"/>
      <c r="J761" s="15"/>
    </row>
    <row r="762" spans="2:10" ht="12.75">
      <c r="B762" s="28"/>
      <c r="J762" s="15"/>
    </row>
    <row r="763" spans="2:10" ht="12.75">
      <c r="B763" s="28"/>
      <c r="J763" s="15"/>
    </row>
    <row r="764" spans="2:10" ht="12.75">
      <c r="B764" s="28"/>
      <c r="J764" s="15"/>
    </row>
    <row r="765" spans="2:10" ht="12.75">
      <c r="B765" s="28"/>
      <c r="J765" s="15"/>
    </row>
    <row r="766" spans="2:10" ht="12.75">
      <c r="B766" s="28"/>
      <c r="J766" s="15"/>
    </row>
    <row r="767" spans="2:10" ht="12.75">
      <c r="B767" s="28"/>
      <c r="J767" s="15"/>
    </row>
    <row r="768" spans="2:10" ht="12.75">
      <c r="B768" s="28"/>
      <c r="J768" s="15"/>
    </row>
    <row r="769" spans="2:10" ht="12.75">
      <c r="B769" s="28"/>
      <c r="J769" s="15"/>
    </row>
    <row r="770" spans="2:10" ht="12.75">
      <c r="B770" s="28"/>
      <c r="J770" s="15"/>
    </row>
    <row r="771" spans="2:10" ht="12.75">
      <c r="B771" s="28"/>
      <c r="J771" s="15"/>
    </row>
    <row r="772" spans="2:10" ht="12.75">
      <c r="B772" s="28"/>
      <c r="J772" s="15"/>
    </row>
    <row r="773" spans="2:10" ht="12.75">
      <c r="B773" s="28"/>
      <c r="J773" s="15"/>
    </row>
    <row r="774" spans="2:10" ht="12.75">
      <c r="B774" s="28"/>
      <c r="J774" s="15"/>
    </row>
    <row r="775" spans="2:10" ht="12.75">
      <c r="B775" s="28"/>
      <c r="J775" s="15"/>
    </row>
    <row r="776" spans="2:10" ht="12.75">
      <c r="B776" s="28"/>
      <c r="J776" s="15"/>
    </row>
    <row r="777" spans="2:10" ht="12.75">
      <c r="B777" s="28"/>
      <c r="J777" s="15"/>
    </row>
    <row r="778" spans="2:10" ht="12.75">
      <c r="B778" s="28"/>
      <c r="J778" s="15"/>
    </row>
    <row r="779" spans="2:10" ht="12.75">
      <c r="B779" s="28"/>
      <c r="J779" s="15"/>
    </row>
    <row r="780" spans="2:10" ht="12.75">
      <c r="B780" s="28"/>
      <c r="J780" s="15"/>
    </row>
    <row r="781" spans="2:10" ht="12.75">
      <c r="B781" s="28"/>
      <c r="J781" s="15"/>
    </row>
    <row r="782" spans="2:10" ht="12.75">
      <c r="B782" s="28"/>
      <c r="J782" s="15"/>
    </row>
    <row r="783" spans="2:10" ht="12.75">
      <c r="B783" s="28"/>
      <c r="J783" s="15"/>
    </row>
    <row r="784" spans="2:10" ht="12.75">
      <c r="B784" s="28"/>
      <c r="J784" s="15"/>
    </row>
    <row r="785" spans="2:10" ht="12.75">
      <c r="B785" s="28"/>
      <c r="J785" s="15"/>
    </row>
    <row r="786" spans="2:10" ht="12.75">
      <c r="B786" s="28"/>
      <c r="J786" s="15"/>
    </row>
    <row r="787" spans="2:10" ht="12.75">
      <c r="B787" s="28"/>
      <c r="J787" s="15"/>
    </row>
    <row r="788" spans="2:10" ht="12.75">
      <c r="B788" s="28"/>
      <c r="J788" s="15"/>
    </row>
    <row r="789" spans="2:10" ht="12.75">
      <c r="B789" s="28"/>
      <c r="J789" s="15"/>
    </row>
    <row r="790" spans="2:10" ht="12.75">
      <c r="B790" s="28"/>
      <c r="J790" s="15"/>
    </row>
    <row r="791" spans="2:10" ht="12.75">
      <c r="B791" s="28"/>
      <c r="J791" s="15"/>
    </row>
    <row r="792" spans="2:10" ht="12.75">
      <c r="B792" s="28"/>
      <c r="J792" s="15"/>
    </row>
    <row r="793" spans="2:10" ht="12.75">
      <c r="B793" s="28"/>
      <c r="J793" s="15"/>
    </row>
    <row r="794" spans="2:10" ht="12.75">
      <c r="B794" s="28"/>
      <c r="J794" s="15"/>
    </row>
    <row r="795" spans="2:10" ht="12.75">
      <c r="B795" s="28"/>
      <c r="J795" s="15"/>
    </row>
    <row r="796" spans="2:10" ht="12.75">
      <c r="B796" s="28"/>
      <c r="J796" s="15"/>
    </row>
    <row r="797" spans="2:10" ht="12.75">
      <c r="B797" s="28"/>
      <c r="J797" s="15"/>
    </row>
    <row r="798" spans="2:10" ht="12.75">
      <c r="B798" s="28"/>
      <c r="J798" s="15"/>
    </row>
    <row r="799" spans="2:10" ht="12.75">
      <c r="B799" s="28"/>
      <c r="J799" s="15"/>
    </row>
    <row r="800" spans="2:10" ht="12.75">
      <c r="B800" s="28"/>
      <c r="J800" s="15"/>
    </row>
    <row r="801" spans="2:10" ht="12.75">
      <c r="B801" s="28"/>
      <c r="J801" s="15"/>
    </row>
    <row r="802" spans="2:10" ht="12.75">
      <c r="B802" s="28"/>
      <c r="J802" s="15"/>
    </row>
    <row r="803" spans="2:10" ht="12.75">
      <c r="B803" s="28"/>
      <c r="J803" s="15"/>
    </row>
    <row r="804" spans="2:10" ht="12.75">
      <c r="B804" s="28"/>
      <c r="J804" s="15"/>
    </row>
    <row r="805" spans="2:10" ht="12.75">
      <c r="B805" s="28"/>
      <c r="J805" s="15"/>
    </row>
    <row r="806" spans="2:10" ht="12.75">
      <c r="B806" s="28"/>
      <c r="J806" s="15"/>
    </row>
    <row r="807" spans="2:10" ht="12.75">
      <c r="B807" s="28"/>
      <c r="J807" s="15"/>
    </row>
    <row r="808" spans="2:10" ht="12.75">
      <c r="B808" s="28"/>
      <c r="J808" s="15"/>
    </row>
    <row r="809" spans="2:10" ht="12.75">
      <c r="B809" s="28"/>
      <c r="J809" s="15"/>
    </row>
    <row r="810" spans="2:10" ht="12.75">
      <c r="B810" s="28"/>
      <c r="J810" s="15"/>
    </row>
    <row r="811" spans="2:10" ht="12.75">
      <c r="B811" s="28"/>
      <c r="J811" s="15"/>
    </row>
    <row r="812" spans="2:10" ht="12.75">
      <c r="B812" s="28"/>
      <c r="J812" s="15"/>
    </row>
    <row r="813" spans="2:10" ht="12.75">
      <c r="B813" s="28"/>
      <c r="J813" s="15"/>
    </row>
    <row r="814" spans="2:10" ht="12.75">
      <c r="B814" s="28"/>
      <c r="J814" s="15"/>
    </row>
    <row r="815" spans="2:10" ht="12.75">
      <c r="B815" s="28"/>
      <c r="J815" s="15"/>
    </row>
    <row r="816" spans="2:10" ht="12.75">
      <c r="B816" s="28"/>
      <c r="J816" s="15"/>
    </row>
    <row r="817" spans="2:10" ht="12.75">
      <c r="B817" s="28"/>
      <c r="J817" s="15"/>
    </row>
    <row r="818" spans="2:10" ht="12.75">
      <c r="B818" s="28"/>
      <c r="J818" s="15"/>
    </row>
    <row r="819" spans="2:10" ht="12.75">
      <c r="B819" s="28"/>
      <c r="J819" s="15"/>
    </row>
    <row r="820" spans="2:10" ht="12.75">
      <c r="B820" s="28"/>
      <c r="J820" s="15"/>
    </row>
    <row r="821" spans="2:10" ht="12.75">
      <c r="B821" s="28"/>
      <c r="J821" s="15"/>
    </row>
    <row r="822" spans="2:10" ht="12.75">
      <c r="B822" s="28"/>
      <c r="J822" s="15"/>
    </row>
    <row r="823" spans="2:10" ht="12.75">
      <c r="B823" s="28"/>
      <c r="J823" s="15"/>
    </row>
    <row r="824" spans="2:10" ht="12.75">
      <c r="B824" s="28"/>
      <c r="J824" s="15"/>
    </row>
    <row r="825" spans="2:10" ht="12.75">
      <c r="B825" s="28"/>
      <c r="J825" s="15"/>
    </row>
    <row r="826" spans="2:10" ht="12.75">
      <c r="B826" s="28"/>
      <c r="J826" s="15"/>
    </row>
    <row r="827" spans="2:10" ht="12.75">
      <c r="B827" s="28"/>
      <c r="J827" s="15"/>
    </row>
    <row r="828" spans="2:10" ht="12.75">
      <c r="B828" s="28"/>
      <c r="J828" s="15"/>
    </row>
    <row r="829" spans="2:10" ht="12.75">
      <c r="B829" s="28"/>
      <c r="J829" s="15"/>
    </row>
    <row r="830" spans="2:10" ht="12.75">
      <c r="B830" s="28"/>
      <c r="J830" s="15"/>
    </row>
    <row r="831" spans="2:10" ht="12.75">
      <c r="B831" s="28"/>
      <c r="J831" s="15"/>
    </row>
    <row r="832" spans="2:10" ht="12.75">
      <c r="B832" s="28"/>
      <c r="J832" s="15"/>
    </row>
    <row r="833" spans="2:10" ht="12.75">
      <c r="B833" s="28"/>
      <c r="J833" s="15"/>
    </row>
    <row r="834" spans="2:10" ht="12.75">
      <c r="B834" s="28"/>
      <c r="J834" s="15"/>
    </row>
    <row r="835" spans="2:10" ht="12.75">
      <c r="B835" s="28"/>
      <c r="J835" s="15"/>
    </row>
    <row r="836" spans="2:10" ht="12.75">
      <c r="B836" s="28"/>
      <c r="J836" s="15"/>
    </row>
    <row r="837" spans="2:10" ht="12.75">
      <c r="B837" s="28"/>
      <c r="J837" s="15"/>
    </row>
    <row r="838" spans="2:10" ht="12.75">
      <c r="B838" s="28"/>
      <c r="J838" s="15"/>
    </row>
    <row r="839" spans="2:10" ht="12.75">
      <c r="B839" s="28"/>
      <c r="J839" s="15"/>
    </row>
    <row r="840" spans="2:10" ht="12.75">
      <c r="B840" s="28"/>
      <c r="J840" s="15"/>
    </row>
    <row r="841" spans="2:10" ht="12.75">
      <c r="B841" s="28"/>
      <c r="J841" s="15"/>
    </row>
    <row r="842" spans="2:10" ht="12.75">
      <c r="B842" s="28"/>
      <c r="J842" s="15"/>
    </row>
    <row r="843" spans="2:10" ht="12.75">
      <c r="B843" s="28"/>
      <c r="J843" s="15"/>
    </row>
    <row r="844" spans="2:10" ht="12.75">
      <c r="B844" s="28"/>
      <c r="J844" s="15"/>
    </row>
    <row r="845" spans="2:10" ht="12.75">
      <c r="B845" s="28"/>
      <c r="J845" s="15"/>
    </row>
    <row r="846" spans="2:10" ht="12.75">
      <c r="B846" s="28"/>
      <c r="J846" s="15"/>
    </row>
    <row r="847" spans="2:10" ht="12.75">
      <c r="B847" s="28"/>
      <c r="J847" s="15"/>
    </row>
    <row r="848" spans="2:10" ht="12.75">
      <c r="B848" s="28"/>
      <c r="J848" s="15"/>
    </row>
    <row r="849" spans="2:10" ht="12.75">
      <c r="B849" s="28"/>
      <c r="J849" s="15"/>
    </row>
    <row r="850" spans="2:10" ht="12.75">
      <c r="B850" s="28"/>
      <c r="J850" s="15"/>
    </row>
    <row r="851" spans="2:10" ht="12.75">
      <c r="B851" s="28"/>
      <c r="J851" s="15"/>
    </row>
    <row r="852" spans="2:10" ht="12.75">
      <c r="B852" s="28"/>
      <c r="J852" s="15"/>
    </row>
    <row r="853" spans="2:10" ht="12.75">
      <c r="B853" s="28"/>
      <c r="J853" s="15"/>
    </row>
    <row r="854" spans="2:10" ht="12.75">
      <c r="B854" s="28"/>
      <c r="J854" s="15"/>
    </row>
    <row r="855" spans="2:10" ht="12.75">
      <c r="B855" s="28"/>
      <c r="J855" s="15"/>
    </row>
    <row r="856" spans="2:10" ht="12.75">
      <c r="B856" s="28"/>
      <c r="J856" s="15"/>
    </row>
    <row r="857" spans="2:10" ht="12.75">
      <c r="B857" s="28"/>
      <c r="J857" s="15"/>
    </row>
    <row r="858" spans="2:10" ht="12.75">
      <c r="B858" s="28"/>
      <c r="J858" s="15"/>
    </row>
    <row r="859" spans="2:10" ht="12.75">
      <c r="B859" s="28"/>
      <c r="J859" s="15"/>
    </row>
    <row r="860" spans="2:10" ht="12.75">
      <c r="B860" s="28"/>
      <c r="J860" s="15"/>
    </row>
    <row r="861" spans="2:10" ht="12.75">
      <c r="B861" s="28"/>
      <c r="J861" s="15"/>
    </row>
    <row r="862" spans="2:10" ht="12.75">
      <c r="B862" s="28"/>
      <c r="J862" s="15"/>
    </row>
    <row r="863" spans="2:10" ht="12.75">
      <c r="B863" s="28"/>
      <c r="J863" s="15"/>
    </row>
    <row r="864" spans="2:10" ht="12.75">
      <c r="B864" s="28"/>
      <c r="J864" s="15"/>
    </row>
    <row r="865" spans="2:10" ht="12.75">
      <c r="B865" s="28"/>
      <c r="J865" s="15"/>
    </row>
    <row r="866" spans="2:10" ht="12.75">
      <c r="B866" s="28"/>
      <c r="J866" s="15"/>
    </row>
    <row r="867" spans="2:10" ht="12.75">
      <c r="B867" s="28"/>
      <c r="J867" s="15"/>
    </row>
    <row r="868" spans="2:10" ht="12.75">
      <c r="B868" s="28"/>
      <c r="J868" s="15"/>
    </row>
    <row r="869" spans="2:10" ht="12.75">
      <c r="B869" s="28"/>
      <c r="J869" s="15"/>
    </row>
    <row r="870" spans="2:10" ht="12.75">
      <c r="B870" s="28"/>
      <c r="J870" s="15"/>
    </row>
    <row r="871" spans="2:10" ht="12.75">
      <c r="B871" s="28"/>
      <c r="J871" s="15"/>
    </row>
    <row r="872" spans="2:10" ht="12.75">
      <c r="B872" s="28"/>
      <c r="J872" s="15"/>
    </row>
    <row r="873" spans="2:10" ht="12.75">
      <c r="B873" s="28"/>
      <c r="J873" s="15"/>
    </row>
    <row r="874" spans="2:10" ht="12.75">
      <c r="B874" s="28"/>
      <c r="J874" s="15"/>
    </row>
    <row r="875" spans="2:10" ht="12.75">
      <c r="B875" s="28"/>
      <c r="J875" s="15"/>
    </row>
    <row r="876" spans="2:10" ht="12.75">
      <c r="B876" s="28"/>
      <c r="J876" s="15"/>
    </row>
    <row r="877" spans="2:10" ht="12.75">
      <c r="B877" s="28"/>
      <c r="J877" s="15"/>
    </row>
    <row r="878" spans="2:10" ht="12.75">
      <c r="B878" s="28"/>
      <c r="J878" s="15"/>
    </row>
    <row r="879" spans="2:10" ht="12.75">
      <c r="B879" s="28"/>
      <c r="J879" s="15"/>
    </row>
    <row r="880" spans="2:10" ht="12.75">
      <c r="B880" s="28"/>
      <c r="J880" s="15"/>
    </row>
    <row r="881" spans="2:10" ht="12.75">
      <c r="B881" s="28"/>
      <c r="J881" s="15"/>
    </row>
    <row r="882" spans="2:10" ht="12.75">
      <c r="B882" s="28"/>
      <c r="J882" s="15"/>
    </row>
    <row r="883" spans="2:10" ht="12.75">
      <c r="B883" s="28"/>
      <c r="J883" s="15"/>
    </row>
    <row r="884" spans="2:10" ht="12.75">
      <c r="B884" s="28"/>
      <c r="J884" s="15"/>
    </row>
    <row r="885" spans="2:10" ht="12.75">
      <c r="B885" s="28"/>
      <c r="J885" s="15"/>
    </row>
    <row r="886" spans="2:10" ht="12.75">
      <c r="B886" s="28"/>
      <c r="J886" s="15"/>
    </row>
    <row r="887" spans="2:10" ht="12.75">
      <c r="B887" s="28"/>
      <c r="J887" s="15"/>
    </row>
    <row r="888" spans="2:10" ht="12.75">
      <c r="B888" s="28"/>
      <c r="J888" s="15"/>
    </row>
    <row r="889" spans="2:10" ht="12.75">
      <c r="B889" s="28"/>
      <c r="J889" s="15"/>
    </row>
    <row r="890" spans="2:10" ht="12.75">
      <c r="B890" s="28"/>
      <c r="J890" s="15"/>
    </row>
    <row r="891" spans="2:10" ht="12.75">
      <c r="B891" s="28"/>
      <c r="J891" s="15"/>
    </row>
    <row r="892" spans="2:10" ht="12.75">
      <c r="B892" s="28"/>
      <c r="J892" s="15"/>
    </row>
    <row r="893" spans="2:10" ht="12.75">
      <c r="B893" s="28"/>
      <c r="J893" s="15"/>
    </row>
    <row r="894" spans="2:10" ht="12.75">
      <c r="B894" s="28"/>
      <c r="J894" s="15"/>
    </row>
    <row r="895" spans="2:10" ht="12.75">
      <c r="B895" s="28"/>
      <c r="J895" s="15"/>
    </row>
    <row r="896" spans="2:10" ht="12.75">
      <c r="B896" s="28"/>
      <c r="J896" s="15"/>
    </row>
    <row r="897" spans="2:10" ht="12.75">
      <c r="B897" s="28"/>
      <c r="J897" s="15"/>
    </row>
    <row r="898" spans="2:10" ht="12.75">
      <c r="B898" s="28"/>
      <c r="J898" s="15"/>
    </row>
    <row r="899" spans="2:10" ht="12.75">
      <c r="B899" s="28"/>
      <c r="J899" s="15"/>
    </row>
    <row r="900" spans="2:10" ht="12.75">
      <c r="B900" s="28"/>
      <c r="J900" s="15"/>
    </row>
    <row r="901" spans="2:10" ht="12.75">
      <c r="B901" s="28"/>
      <c r="J901" s="15"/>
    </row>
    <row r="902" spans="2:10" ht="12.75">
      <c r="B902" s="28"/>
      <c r="J902" s="15"/>
    </row>
    <row r="903" spans="2:10" ht="12.75">
      <c r="B903" s="28"/>
      <c r="J903" s="15"/>
    </row>
    <row r="904" spans="2:10" ht="12.75">
      <c r="B904" s="28"/>
      <c r="J904" s="15"/>
    </row>
    <row r="905" spans="2:10" ht="12.75">
      <c r="B905" s="28"/>
      <c r="J905" s="15"/>
    </row>
    <row r="906" spans="2:10" ht="12.75">
      <c r="B906" s="28"/>
      <c r="J906" s="15"/>
    </row>
    <row r="907" spans="2:10" ht="12.75">
      <c r="B907" s="28"/>
      <c r="J907" s="15"/>
    </row>
    <row r="908" spans="2:10" ht="12.75">
      <c r="B908" s="28"/>
      <c r="J908" s="15"/>
    </row>
    <row r="909" spans="2:10" ht="12.75">
      <c r="B909" s="28"/>
      <c r="J909" s="15"/>
    </row>
    <row r="910" spans="2:10" ht="12.75">
      <c r="B910" s="28"/>
      <c r="J910" s="15"/>
    </row>
    <row r="911" spans="2:10" ht="12.75">
      <c r="B911" s="28"/>
      <c r="J911" s="15"/>
    </row>
    <row r="912" spans="2:10" ht="12.75">
      <c r="B912" s="28"/>
      <c r="J912" s="15"/>
    </row>
    <row r="913" spans="2:10" ht="12.75">
      <c r="B913" s="28"/>
      <c r="J913" s="15"/>
    </row>
    <row r="914" spans="2:10" ht="12.75">
      <c r="B914" s="28"/>
      <c r="J914" s="15"/>
    </row>
    <row r="915" spans="2:10" ht="12.75">
      <c r="B915" s="28"/>
      <c r="J915" s="15"/>
    </row>
    <row r="916" spans="2:10" ht="12.75">
      <c r="B916" s="28"/>
      <c r="J916" s="15"/>
    </row>
    <row r="917" spans="2:10" ht="12.75">
      <c r="B917" s="28"/>
      <c r="J917" s="15"/>
    </row>
    <row r="918" spans="2:10" ht="12.75">
      <c r="B918" s="28"/>
      <c r="J918" s="15"/>
    </row>
    <row r="919" spans="2:10" ht="12.75">
      <c r="B919" s="28"/>
      <c r="J919" s="15"/>
    </row>
    <row r="920" spans="2:10" ht="12.75">
      <c r="B920" s="28"/>
      <c r="J920" s="15"/>
    </row>
    <row r="921" spans="2:10" ht="12.75">
      <c r="B921" s="28"/>
      <c r="J921" s="15"/>
    </row>
    <row r="922" spans="2:10" ht="12.75">
      <c r="B922" s="28"/>
      <c r="J922" s="15"/>
    </row>
    <row r="923" spans="2:10" ht="12.75">
      <c r="B923" s="28"/>
      <c r="J923" s="15"/>
    </row>
    <row r="924" spans="2:10" ht="12.75">
      <c r="B924" s="28"/>
      <c r="J924" s="15"/>
    </row>
    <row r="925" spans="2:10" ht="12.75">
      <c r="B925" s="28"/>
      <c r="J925" s="15"/>
    </row>
    <row r="926" spans="2:10" ht="12.75">
      <c r="B926" s="28"/>
      <c r="J926" s="15"/>
    </row>
    <row r="927" spans="2:10" ht="12.75">
      <c r="B927" s="28"/>
      <c r="J927" s="15"/>
    </row>
    <row r="928" spans="2:10" ht="12.75">
      <c r="B928" s="28"/>
      <c r="J928" s="15"/>
    </row>
    <row r="929" spans="2:10" ht="12.75">
      <c r="B929" s="28"/>
      <c r="J929" s="15"/>
    </row>
    <row r="930" spans="2:10" ht="12.75">
      <c r="B930" s="28"/>
      <c r="J930" s="15"/>
    </row>
    <row r="931" spans="2:10" ht="12.75">
      <c r="B931" s="28"/>
      <c r="J931" s="15"/>
    </row>
    <row r="932" spans="2:10" ht="12.75">
      <c r="B932" s="28"/>
      <c r="J932" s="15"/>
    </row>
    <row r="933" spans="2:10" ht="12.75">
      <c r="B933" s="28"/>
      <c r="J933" s="15"/>
    </row>
    <row r="934" spans="2:10" ht="12.75">
      <c r="B934" s="28"/>
      <c r="J934" s="15"/>
    </row>
    <row r="935" spans="2:10" ht="12.75">
      <c r="B935" s="28"/>
      <c r="J935" s="15"/>
    </row>
    <row r="936" spans="2:10" ht="12.75">
      <c r="B936" s="28"/>
      <c r="J936" s="15"/>
    </row>
    <row r="937" spans="2:10" ht="12.75">
      <c r="B937" s="28"/>
      <c r="J937" s="15"/>
    </row>
    <row r="938" spans="2:10" ht="12.75">
      <c r="B938" s="28"/>
      <c r="J938" s="15"/>
    </row>
    <row r="939" spans="2:10" ht="12.75">
      <c r="B939" s="28"/>
      <c r="J939" s="15"/>
    </row>
    <row r="940" spans="2:10" ht="12.75">
      <c r="B940" s="28"/>
      <c r="J940" s="15"/>
    </row>
    <row r="941" spans="2:10" ht="12.75">
      <c r="B941" s="28"/>
      <c r="J941" s="15"/>
    </row>
    <row r="942" spans="2:10" ht="12.75">
      <c r="B942" s="28"/>
      <c r="J942" s="15"/>
    </row>
    <row r="943" spans="2:10" ht="12.75">
      <c r="B943" s="28"/>
      <c r="J943" s="15"/>
    </row>
    <row r="944" spans="2:10" ht="12.75">
      <c r="B944" s="28"/>
      <c r="J944" s="15"/>
    </row>
    <row r="945" spans="2:10" ht="12.75">
      <c r="B945" s="28"/>
      <c r="J945" s="15"/>
    </row>
    <row r="946" spans="2:10" ht="12.75">
      <c r="B946" s="28"/>
      <c r="J946" s="15"/>
    </row>
    <row r="947" spans="2:10" ht="12.75">
      <c r="B947" s="28"/>
      <c r="J947" s="15"/>
    </row>
    <row r="948" spans="2:10" ht="12.75">
      <c r="B948" s="28"/>
      <c r="J948" s="15"/>
    </row>
    <row r="949" spans="2:10" ht="12.75">
      <c r="B949" s="28"/>
      <c r="J949" s="15"/>
    </row>
    <row r="950" spans="2:10" ht="12.75">
      <c r="B950" s="28"/>
      <c r="J950" s="15"/>
    </row>
    <row r="951" spans="2:10" ht="12.75">
      <c r="B951" s="28"/>
      <c r="J951" s="15"/>
    </row>
    <row r="952" spans="2:10" ht="12.75">
      <c r="B952" s="28"/>
      <c r="J952" s="15"/>
    </row>
    <row r="953" spans="2:10" ht="12.75">
      <c r="B953" s="28"/>
      <c r="J953" s="15"/>
    </row>
    <row r="954" spans="2:10" ht="12.75">
      <c r="B954" s="28"/>
      <c r="J954" s="15"/>
    </row>
    <row r="955" spans="2:10" ht="12.75">
      <c r="B955" s="28"/>
      <c r="J955" s="15"/>
    </row>
    <row r="956" spans="2:10" ht="12.75">
      <c r="B956" s="28"/>
      <c r="J956" s="15"/>
    </row>
    <row r="957" spans="2:10" ht="12.75">
      <c r="B957" s="28"/>
      <c r="J957" s="15"/>
    </row>
    <row r="958" spans="2:10" ht="12.75">
      <c r="B958" s="28"/>
      <c r="J958" s="15"/>
    </row>
    <row r="959" spans="2:10" ht="12.75">
      <c r="B959" s="28"/>
      <c r="J959" s="15"/>
    </row>
    <row r="960" spans="2:10" ht="12.75">
      <c r="B960" s="28"/>
      <c r="J960" s="15"/>
    </row>
    <row r="961" spans="2:10" ht="12.75">
      <c r="B961" s="28"/>
      <c r="J961" s="15"/>
    </row>
    <row r="962" spans="2:10" ht="12.75">
      <c r="B962" s="28"/>
      <c r="J962" s="15"/>
    </row>
    <row r="963" spans="2:10" ht="12.75">
      <c r="B963" s="28"/>
      <c r="J963" s="15"/>
    </row>
    <row r="964" spans="2:10" ht="12.75">
      <c r="B964" s="28"/>
      <c r="J964" s="15"/>
    </row>
    <row r="965" spans="2:10" ht="12.75">
      <c r="B965" s="28"/>
      <c r="J965" s="15"/>
    </row>
    <row r="966" spans="2:10" ht="12.75">
      <c r="B966" s="28"/>
      <c r="J966" s="15"/>
    </row>
    <row r="967" spans="2:10" ht="12.75">
      <c r="B967" s="28"/>
      <c r="J967" s="15"/>
    </row>
    <row r="968" spans="2:10" ht="12.75">
      <c r="B968" s="28"/>
      <c r="J968" s="15"/>
    </row>
    <row r="969" spans="2:10" ht="12.75">
      <c r="B969" s="28"/>
      <c r="J969" s="15"/>
    </row>
    <row r="970" spans="2:10" ht="12.75">
      <c r="B970" s="28"/>
      <c r="J970" s="15"/>
    </row>
    <row r="971" spans="2:10" ht="12.75">
      <c r="B971" s="28"/>
      <c r="J971" s="15"/>
    </row>
    <row r="972" spans="2:10" ht="12.75">
      <c r="B972" s="28"/>
      <c r="J972" s="15"/>
    </row>
    <row r="973" spans="2:10" ht="12.75">
      <c r="B973" s="28"/>
      <c r="J973" s="15"/>
    </row>
    <row r="974" spans="2:10" ht="12.75">
      <c r="B974" s="28"/>
      <c r="J974" s="15"/>
    </row>
    <row r="975" spans="2:10" ht="12.75">
      <c r="B975" s="28"/>
      <c r="J975" s="15"/>
    </row>
    <row r="976" spans="2:10" ht="12.75">
      <c r="B976" s="28"/>
      <c r="J976" s="15"/>
    </row>
    <row r="977" spans="2:10" ht="12.75">
      <c r="B977" s="28"/>
      <c r="J977" s="15"/>
    </row>
    <row r="978" spans="2:10" ht="12.75">
      <c r="B978" s="28"/>
      <c r="J978" s="15"/>
    </row>
    <row r="979" spans="2:10" ht="12.75">
      <c r="B979" s="28"/>
      <c r="J979" s="15"/>
    </row>
    <row r="980" spans="2:10" ht="12.75">
      <c r="B980" s="28"/>
      <c r="J980" s="15"/>
    </row>
    <row r="981" spans="2:10" ht="12.75">
      <c r="B981" s="28"/>
      <c r="J981" s="15"/>
    </row>
    <row r="982" spans="2:10" ht="12.75">
      <c r="B982" s="28"/>
      <c r="J982" s="15"/>
    </row>
    <row r="983" spans="2:10" ht="12.75">
      <c r="B983" s="28"/>
      <c r="J983" s="15"/>
    </row>
    <row r="984" spans="2:10" ht="12.75">
      <c r="B984" s="28"/>
      <c r="J984" s="15"/>
    </row>
    <row r="985" spans="2:10" ht="12.75">
      <c r="B985" s="28"/>
      <c r="J985" s="15"/>
    </row>
    <row r="986" spans="2:10" ht="12.75">
      <c r="B986" s="28"/>
      <c r="J986" s="15"/>
    </row>
    <row r="987" spans="2:10" ht="12.75">
      <c r="B987" s="28"/>
      <c r="J987" s="15"/>
    </row>
    <row r="988" spans="2:10" ht="12.75">
      <c r="B988" s="28"/>
      <c r="J988" s="15"/>
    </row>
    <row r="989" spans="2:10" ht="12.75">
      <c r="B989" s="28"/>
      <c r="J989" s="15"/>
    </row>
    <row r="990" spans="2:10" ht="12.75">
      <c r="B990" s="28"/>
      <c r="J990" s="15"/>
    </row>
    <row r="991" spans="2:10" ht="12.75">
      <c r="B991" s="28"/>
      <c r="J991" s="15"/>
    </row>
    <row r="992" spans="2:10" ht="12.75">
      <c r="B992" s="28"/>
      <c r="J992" s="15"/>
    </row>
  </sheetData>
  <mergeCells count="1">
    <mergeCell ref="C2:I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1:AB1003"/>
  <sheetViews>
    <sheetView workbookViewId="0"/>
  </sheetViews>
  <sheetFormatPr defaultColWidth="12.5703125" defaultRowHeight="15.75" customHeight="1"/>
  <cols>
    <col min="3" max="3" width="15.5703125" customWidth="1"/>
    <col min="4" max="4" width="32.140625" customWidth="1"/>
    <col min="5" max="5" width="12.7109375" customWidth="1"/>
    <col min="6" max="6" width="14.28515625" customWidth="1"/>
    <col min="7" max="7" width="11" customWidth="1"/>
    <col min="8" max="8" width="29" customWidth="1"/>
    <col min="9" max="9" width="18.140625" customWidth="1"/>
    <col min="10" max="10" width="31.42578125" customWidth="1"/>
    <col min="11" max="11" width="23.5703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964</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90</v>
      </c>
      <c r="E4" s="36" t="s">
        <v>3</v>
      </c>
      <c r="F4" s="36" t="s">
        <v>37</v>
      </c>
      <c r="G4" s="36" t="s">
        <v>5</v>
      </c>
      <c r="H4" s="36" t="s">
        <v>116</v>
      </c>
      <c r="I4" s="36" t="s">
        <v>71</v>
      </c>
      <c r="J4" s="36" t="s">
        <v>107</v>
      </c>
      <c r="K4" s="36" t="s">
        <v>73</v>
      </c>
      <c r="L4" s="3"/>
      <c r="M4" s="5"/>
      <c r="N4" s="5"/>
      <c r="O4" s="5"/>
      <c r="P4" s="5"/>
      <c r="Q4" s="5"/>
      <c r="R4" s="5"/>
      <c r="S4" s="5"/>
      <c r="T4" s="5"/>
      <c r="U4" s="5"/>
      <c r="V4" s="5"/>
      <c r="W4" s="5"/>
      <c r="X4" s="5"/>
      <c r="Y4" s="5"/>
      <c r="Z4" s="5"/>
      <c r="AA4" s="5"/>
      <c r="AB4" s="5"/>
    </row>
    <row r="5" spans="2:28" ht="15.75" customHeight="1">
      <c r="B5" s="10"/>
      <c r="C5" s="42" t="s">
        <v>8</v>
      </c>
      <c r="D5" s="99" t="s">
        <v>965</v>
      </c>
      <c r="E5" s="100" t="s">
        <v>966</v>
      </c>
      <c r="F5" s="99" t="s">
        <v>967</v>
      </c>
      <c r="G5" s="99" t="s">
        <v>968</v>
      </c>
      <c r="H5" s="99" t="s">
        <v>969</v>
      </c>
      <c r="I5" s="99" t="s">
        <v>970</v>
      </c>
      <c r="J5" s="99" t="s">
        <v>644</v>
      </c>
      <c r="K5" s="99" t="s">
        <v>971</v>
      </c>
      <c r="L5" s="13"/>
      <c r="M5" s="15"/>
      <c r="N5" s="15"/>
      <c r="O5" s="15"/>
      <c r="P5" s="15"/>
      <c r="Q5" s="15"/>
      <c r="R5" s="15"/>
      <c r="S5" s="15"/>
      <c r="T5" s="15"/>
      <c r="U5" s="15"/>
      <c r="V5" s="15"/>
      <c r="W5" s="15"/>
      <c r="X5" s="15"/>
      <c r="Y5" s="15"/>
      <c r="Z5" s="15"/>
      <c r="AA5" s="15"/>
      <c r="AB5" s="15"/>
    </row>
    <row r="6" spans="2:28">
      <c r="B6" s="16"/>
      <c r="C6" s="38" t="s">
        <v>14</v>
      </c>
      <c r="D6" s="18">
        <v>6.9</v>
      </c>
      <c r="E6" s="19"/>
      <c r="F6" s="19"/>
      <c r="G6" s="19"/>
      <c r="H6" s="18">
        <v>7.1</v>
      </c>
      <c r="I6" s="18">
        <v>7.8</v>
      </c>
      <c r="J6" s="18">
        <v>7.3</v>
      </c>
      <c r="K6" s="18">
        <v>7.9</v>
      </c>
    </row>
    <row r="7" spans="2:28">
      <c r="B7" s="16"/>
      <c r="C7" s="38" t="s">
        <v>236</v>
      </c>
      <c r="D7" s="19"/>
      <c r="E7" s="19"/>
      <c r="F7" s="19"/>
      <c r="G7" s="19"/>
      <c r="H7" s="19"/>
      <c r="I7" s="19"/>
      <c r="J7" s="19"/>
      <c r="K7" s="19"/>
    </row>
    <row r="8" spans="2:28">
      <c r="B8" s="16"/>
      <c r="C8" s="38" t="s">
        <v>16</v>
      </c>
      <c r="D8" s="18">
        <v>7.6</v>
      </c>
      <c r="E8" s="18">
        <v>7.9</v>
      </c>
      <c r="F8" s="18">
        <v>7.7</v>
      </c>
      <c r="G8" s="18">
        <v>8.1</v>
      </c>
      <c r="H8" s="19"/>
      <c r="I8" s="18">
        <v>8</v>
      </c>
      <c r="J8" s="19"/>
      <c r="K8" s="18">
        <v>8.3000000000000007</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9"/>
      <c r="E12" s="18">
        <v>8.1</v>
      </c>
      <c r="F12" s="18">
        <v>7.6</v>
      </c>
      <c r="G12" s="18">
        <v>8.4</v>
      </c>
      <c r="H12" s="19"/>
      <c r="I12" s="19"/>
      <c r="J12" s="18">
        <v>8.1</v>
      </c>
      <c r="K12" s="18">
        <v>7.6</v>
      </c>
    </row>
    <row r="13" spans="2:28">
      <c r="B13" s="16"/>
      <c r="C13" s="38" t="s">
        <v>21</v>
      </c>
      <c r="D13" s="19"/>
      <c r="E13" s="19"/>
      <c r="F13" s="19"/>
      <c r="G13" s="19"/>
      <c r="H13" s="19"/>
      <c r="I13" s="59"/>
      <c r="J13" s="19"/>
      <c r="K13" s="19"/>
    </row>
    <row r="14" spans="2:28" ht="15.75" customHeight="1">
      <c r="B14" s="23"/>
      <c r="C14" s="24" t="s">
        <v>22</v>
      </c>
      <c r="D14" s="25">
        <f t="shared" ref="D14:K14" si="0">AVERAGE(D6:D13)</f>
        <v>7.25</v>
      </c>
      <c r="E14" s="25">
        <f t="shared" si="0"/>
        <v>8</v>
      </c>
      <c r="F14" s="25">
        <f t="shared" si="0"/>
        <v>7.65</v>
      </c>
      <c r="G14" s="25">
        <f t="shared" si="0"/>
        <v>8.25</v>
      </c>
      <c r="H14" s="25">
        <f t="shared" si="0"/>
        <v>7.1</v>
      </c>
      <c r="I14" s="25">
        <f t="shared" si="0"/>
        <v>7.9</v>
      </c>
      <c r="J14" s="25">
        <f t="shared" si="0"/>
        <v>7.6999999999999993</v>
      </c>
      <c r="K14" s="25">
        <f t="shared" si="0"/>
        <v>7.9333333333333345</v>
      </c>
      <c r="M14" s="78">
        <f>AVERAGE(D14:K14)</f>
        <v>7.7229166666666664</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1:AB1003"/>
  <sheetViews>
    <sheetView workbookViewId="0"/>
  </sheetViews>
  <sheetFormatPr defaultColWidth="12.5703125" defaultRowHeight="15.75" customHeight="1"/>
  <cols>
    <col min="3" max="3" width="15.5703125" customWidth="1"/>
    <col min="4" max="4" width="15.28515625" customWidth="1"/>
    <col min="5" max="5" width="19.85546875" customWidth="1"/>
    <col min="6" max="6" width="14.28515625" customWidth="1"/>
    <col min="7" max="7" width="16.7109375" customWidth="1"/>
    <col min="8" max="8" width="15.28515625" customWidth="1"/>
    <col min="9" max="9" width="17.42578125" customWidth="1"/>
    <col min="10" max="10" width="13.42578125" customWidth="1"/>
    <col min="11" max="11" width="18.42578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972</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117</v>
      </c>
      <c r="E4" s="36" t="s">
        <v>48</v>
      </c>
      <c r="F4" s="36" t="s">
        <v>100</v>
      </c>
      <c r="G4" s="36" t="s">
        <v>96</v>
      </c>
      <c r="H4" s="36" t="s">
        <v>116</v>
      </c>
      <c r="I4" s="36" t="s">
        <v>101</v>
      </c>
      <c r="J4" s="36" t="s">
        <v>973</v>
      </c>
      <c r="K4" s="36" t="s">
        <v>122</v>
      </c>
      <c r="L4" s="3"/>
      <c r="M4" s="5"/>
      <c r="N4" s="5"/>
      <c r="O4" s="5"/>
      <c r="P4" s="5"/>
      <c r="Q4" s="5"/>
      <c r="R4" s="5"/>
      <c r="S4" s="5"/>
      <c r="T4" s="5"/>
      <c r="U4" s="5"/>
      <c r="V4" s="5"/>
      <c r="W4" s="5"/>
      <c r="X4" s="5"/>
      <c r="Y4" s="5"/>
      <c r="Z4" s="5"/>
      <c r="AA4" s="5"/>
      <c r="AB4" s="5"/>
    </row>
    <row r="5" spans="2:28" ht="15.75" customHeight="1">
      <c r="B5" s="10"/>
      <c r="C5" s="42" t="s">
        <v>8</v>
      </c>
      <c r="D5" s="99" t="s">
        <v>974</v>
      </c>
      <c r="E5" s="100" t="s">
        <v>764</v>
      </c>
      <c r="F5" s="99" t="s">
        <v>975</v>
      </c>
      <c r="G5" s="99" t="s">
        <v>721</v>
      </c>
      <c r="H5" s="99" t="s">
        <v>976</v>
      </c>
      <c r="I5" s="99" t="s">
        <v>977</v>
      </c>
      <c r="J5" s="99" t="s">
        <v>978</v>
      </c>
      <c r="K5" s="99" t="s">
        <v>979</v>
      </c>
      <c r="L5" s="13"/>
      <c r="M5" s="15"/>
      <c r="N5" s="15"/>
      <c r="O5" s="15"/>
      <c r="P5" s="15"/>
      <c r="Q5" s="15"/>
      <c r="R5" s="15"/>
      <c r="S5" s="15"/>
      <c r="T5" s="15"/>
      <c r="U5" s="15"/>
      <c r="V5" s="15"/>
      <c r="W5" s="15"/>
      <c r="X5" s="15"/>
      <c r="Y5" s="15"/>
      <c r="Z5" s="15"/>
      <c r="AA5" s="15"/>
      <c r="AB5" s="15"/>
    </row>
    <row r="6" spans="2:28">
      <c r="B6" s="16"/>
      <c r="C6" s="38" t="s">
        <v>14</v>
      </c>
      <c r="D6" s="18">
        <v>8</v>
      </c>
      <c r="E6" s="18">
        <v>6.5</v>
      </c>
      <c r="F6" s="19"/>
      <c r="G6" s="18">
        <v>8.6</v>
      </c>
      <c r="H6" s="18">
        <v>7.9</v>
      </c>
      <c r="I6" s="18">
        <v>6.9</v>
      </c>
      <c r="J6" s="19"/>
      <c r="K6" s="18">
        <v>7.5</v>
      </c>
    </row>
    <row r="7" spans="2:28">
      <c r="B7" s="16"/>
      <c r="C7" s="38" t="s">
        <v>236</v>
      </c>
      <c r="D7" s="19"/>
      <c r="E7" s="19"/>
      <c r="F7" s="19"/>
      <c r="G7" s="19"/>
      <c r="H7" s="19"/>
      <c r="I7" s="19"/>
      <c r="J7" s="19"/>
      <c r="K7" s="19"/>
    </row>
    <row r="8" spans="2:28">
      <c r="B8" s="16"/>
      <c r="C8" s="38" t="s">
        <v>16</v>
      </c>
      <c r="D8" s="18">
        <v>8.5</v>
      </c>
      <c r="E8" s="18">
        <v>8.1999999999999993</v>
      </c>
      <c r="F8" s="18">
        <v>8.3000000000000007</v>
      </c>
      <c r="G8" s="18">
        <v>9.1999999999999993</v>
      </c>
      <c r="H8" s="18">
        <v>8.1</v>
      </c>
      <c r="I8" s="18">
        <v>6.5</v>
      </c>
      <c r="J8" s="18">
        <v>8.3000000000000007</v>
      </c>
      <c r="K8" s="18">
        <v>9.1</v>
      </c>
    </row>
    <row r="9" spans="2:28">
      <c r="B9" s="16"/>
      <c r="C9" s="38" t="s">
        <v>17</v>
      </c>
      <c r="D9" s="18">
        <v>9</v>
      </c>
      <c r="E9" s="18">
        <v>8</v>
      </c>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8.5</v>
      </c>
      <c r="E12" s="18">
        <v>8.6999999999999993</v>
      </c>
      <c r="F12" s="18">
        <v>8.5</v>
      </c>
      <c r="G12" s="18">
        <v>8.6999999999999993</v>
      </c>
      <c r="H12" s="18">
        <v>8.1</v>
      </c>
      <c r="I12" s="18">
        <v>7.9</v>
      </c>
      <c r="J12" s="18">
        <v>7.8</v>
      </c>
      <c r="K12" s="19"/>
    </row>
    <row r="13" spans="2:28">
      <c r="B13" s="16"/>
      <c r="C13" s="38" t="s">
        <v>21</v>
      </c>
      <c r="D13" s="19"/>
      <c r="E13" s="19"/>
      <c r="F13" s="18">
        <v>8.3000000000000007</v>
      </c>
      <c r="G13" s="19"/>
      <c r="H13" s="19"/>
      <c r="I13" s="37">
        <v>7.3</v>
      </c>
      <c r="J13" s="18">
        <v>7.9</v>
      </c>
      <c r="K13" s="19"/>
    </row>
    <row r="14" spans="2:28" ht="15.75" customHeight="1">
      <c r="B14" s="23"/>
      <c r="C14" s="24" t="s">
        <v>22</v>
      </c>
      <c r="D14" s="25">
        <f t="shared" ref="D14:K14" si="0">AVERAGE(D6:D13)</f>
        <v>8.5</v>
      </c>
      <c r="E14" s="25">
        <f t="shared" si="0"/>
        <v>7.85</v>
      </c>
      <c r="F14" s="25">
        <f t="shared" si="0"/>
        <v>8.3666666666666671</v>
      </c>
      <c r="G14" s="25">
        <f t="shared" si="0"/>
        <v>8.8333333333333321</v>
      </c>
      <c r="H14" s="25">
        <f t="shared" si="0"/>
        <v>8.0333333333333332</v>
      </c>
      <c r="I14" s="25">
        <f t="shared" si="0"/>
        <v>7.15</v>
      </c>
      <c r="J14" s="25">
        <f t="shared" si="0"/>
        <v>8</v>
      </c>
      <c r="K14" s="25">
        <f t="shared" si="0"/>
        <v>8.3000000000000007</v>
      </c>
      <c r="M14" s="78">
        <f>AVERAGE(D14:K14)</f>
        <v>8.1291666666666664</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1:AB1003"/>
  <sheetViews>
    <sheetView workbookViewId="0"/>
  </sheetViews>
  <sheetFormatPr defaultColWidth="12.5703125" defaultRowHeight="15.75" customHeight="1"/>
  <cols>
    <col min="3" max="3" width="15.5703125" customWidth="1"/>
    <col min="4" max="4" width="26.42578125" customWidth="1"/>
    <col min="5" max="6" width="11" customWidth="1"/>
    <col min="7" max="7" width="12.7109375" customWidth="1"/>
    <col min="8" max="8" width="18.7109375" customWidth="1"/>
    <col min="9" max="9" width="36.42578125" customWidth="1"/>
    <col min="11" max="11" width="22.42578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980</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90</v>
      </c>
      <c r="E4" s="36" t="s">
        <v>48</v>
      </c>
      <c r="F4" s="36" t="s">
        <v>108</v>
      </c>
      <c r="G4" s="36" t="s">
        <v>981</v>
      </c>
      <c r="H4" s="36" t="s">
        <v>121</v>
      </c>
      <c r="I4" s="36" t="s">
        <v>71</v>
      </c>
      <c r="J4" s="36" t="s">
        <v>973</v>
      </c>
      <c r="K4" s="36" t="s">
        <v>119</v>
      </c>
      <c r="L4" s="3"/>
      <c r="M4" s="5"/>
      <c r="N4" s="5"/>
      <c r="O4" s="5"/>
      <c r="P4" s="5"/>
      <c r="Q4" s="5"/>
      <c r="R4" s="5"/>
      <c r="S4" s="5"/>
      <c r="T4" s="5"/>
      <c r="U4" s="5"/>
      <c r="V4" s="5"/>
      <c r="W4" s="5"/>
      <c r="X4" s="5"/>
      <c r="Y4" s="5"/>
      <c r="Z4" s="5"/>
      <c r="AA4" s="5"/>
      <c r="AB4" s="5"/>
    </row>
    <row r="5" spans="2:28" ht="15.75" customHeight="1">
      <c r="B5" s="10"/>
      <c r="C5" s="42" t="s">
        <v>8</v>
      </c>
      <c r="D5" s="99" t="s">
        <v>982</v>
      </c>
      <c r="E5" s="100" t="s">
        <v>983</v>
      </c>
      <c r="F5" s="99" t="s">
        <v>984</v>
      </c>
      <c r="G5" s="99" t="s">
        <v>985</v>
      </c>
      <c r="H5" s="99" t="s">
        <v>986</v>
      </c>
      <c r="I5" s="99" t="s">
        <v>987</v>
      </c>
      <c r="J5" s="99" t="s">
        <v>988</v>
      </c>
      <c r="K5" s="99" t="s">
        <v>989</v>
      </c>
      <c r="L5" s="13"/>
      <c r="M5" s="15"/>
      <c r="N5" s="15"/>
      <c r="O5" s="15"/>
      <c r="P5" s="15"/>
      <c r="Q5" s="15"/>
      <c r="R5" s="15"/>
      <c r="S5" s="15"/>
      <c r="T5" s="15"/>
      <c r="U5" s="15"/>
      <c r="V5" s="15"/>
      <c r="W5" s="15"/>
      <c r="X5" s="15"/>
      <c r="Y5" s="15"/>
      <c r="Z5" s="15"/>
      <c r="AA5" s="15"/>
      <c r="AB5" s="15"/>
    </row>
    <row r="6" spans="2:28">
      <c r="B6" s="16"/>
      <c r="C6" s="38" t="s">
        <v>14</v>
      </c>
      <c r="D6" s="19"/>
      <c r="E6" s="19"/>
      <c r="F6" s="19"/>
      <c r="G6" s="19"/>
      <c r="H6" s="19"/>
      <c r="I6" s="19"/>
      <c r="J6" s="19"/>
      <c r="K6" s="18">
        <v>7.8</v>
      </c>
    </row>
    <row r="7" spans="2:28">
      <c r="B7" s="16"/>
      <c r="C7" s="38" t="s">
        <v>236</v>
      </c>
      <c r="D7" s="19"/>
      <c r="E7" s="19"/>
      <c r="F7" s="19"/>
      <c r="G7" s="19"/>
      <c r="H7" s="19"/>
      <c r="I7" s="19"/>
      <c r="J7" s="19"/>
      <c r="K7" s="19"/>
    </row>
    <row r="8" spans="2:28">
      <c r="B8" s="16"/>
      <c r="C8" s="38" t="s">
        <v>16</v>
      </c>
      <c r="D8" s="18">
        <v>5.6</v>
      </c>
      <c r="E8" s="18">
        <v>8.3000000000000007</v>
      </c>
      <c r="F8" s="18">
        <v>8.6999999999999993</v>
      </c>
      <c r="G8" s="18">
        <v>7.3</v>
      </c>
      <c r="H8" s="18">
        <v>6.9</v>
      </c>
      <c r="I8" s="18">
        <v>8.4</v>
      </c>
      <c r="J8" s="19"/>
      <c r="K8" s="19"/>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5.9</v>
      </c>
      <c r="E12" s="18">
        <v>8.6</v>
      </c>
      <c r="F12" s="18">
        <v>8.1</v>
      </c>
      <c r="G12" s="18">
        <v>6.6</v>
      </c>
      <c r="H12" s="18">
        <v>7.6</v>
      </c>
      <c r="I12" s="18">
        <v>8.3000000000000007</v>
      </c>
      <c r="J12" s="18">
        <v>8.4</v>
      </c>
      <c r="K12" s="18">
        <v>8.3000000000000007</v>
      </c>
    </row>
    <row r="13" spans="2:28">
      <c r="B13" s="16"/>
      <c r="C13" s="38" t="s">
        <v>21</v>
      </c>
      <c r="D13" s="19"/>
      <c r="E13" s="18">
        <v>8.3000000000000007</v>
      </c>
      <c r="F13" s="30">
        <v>8.3000000000000007</v>
      </c>
      <c r="G13" s="18">
        <v>7.4</v>
      </c>
      <c r="H13" s="19"/>
      <c r="I13" s="59"/>
      <c r="J13" s="18">
        <v>8.1999999999999993</v>
      </c>
      <c r="K13" s="18">
        <v>8</v>
      </c>
    </row>
    <row r="14" spans="2:28" ht="15.75" customHeight="1">
      <c r="B14" s="23"/>
      <c r="C14" s="24" t="s">
        <v>22</v>
      </c>
      <c r="D14" s="25">
        <f t="shared" ref="D14:K14" si="0">AVERAGE(D6:D13)</f>
        <v>5.75</v>
      </c>
      <c r="E14" s="25">
        <f t="shared" si="0"/>
        <v>8.4</v>
      </c>
      <c r="F14" s="25">
        <f t="shared" si="0"/>
        <v>8.3666666666666654</v>
      </c>
      <c r="G14" s="25">
        <f t="shared" si="0"/>
        <v>7.0999999999999988</v>
      </c>
      <c r="H14" s="25">
        <f t="shared" si="0"/>
        <v>7.25</v>
      </c>
      <c r="I14" s="25">
        <f t="shared" si="0"/>
        <v>8.3500000000000014</v>
      </c>
      <c r="J14" s="25">
        <f t="shared" si="0"/>
        <v>8.3000000000000007</v>
      </c>
      <c r="K14" s="25">
        <f t="shared" si="0"/>
        <v>8.0333333333333332</v>
      </c>
      <c r="M14" s="78">
        <f>AVERAGE(D14:K14)</f>
        <v>7.6937499999999996</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1:AB1003"/>
  <sheetViews>
    <sheetView workbookViewId="0"/>
  </sheetViews>
  <sheetFormatPr defaultColWidth="12.5703125" defaultRowHeight="15.75" customHeight="1"/>
  <cols>
    <col min="3" max="3" width="16.140625" customWidth="1"/>
    <col min="4" max="4" width="13.42578125" customWidth="1"/>
    <col min="5" max="5" width="13" customWidth="1"/>
    <col min="6" max="6" width="17.7109375" customWidth="1"/>
    <col min="7" max="7" width="12.7109375" customWidth="1"/>
    <col min="8" max="8" width="10.5703125" customWidth="1"/>
    <col min="9" max="9" width="11" customWidth="1"/>
    <col min="10" max="10" width="22.42578125" customWidth="1"/>
    <col min="11" max="11" width="21.42578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990</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117</v>
      </c>
      <c r="E4" s="36" t="s">
        <v>112</v>
      </c>
      <c r="F4" s="36" t="s">
        <v>100</v>
      </c>
      <c r="G4" s="36" t="s">
        <v>981</v>
      </c>
      <c r="H4" s="36" t="s">
        <v>59</v>
      </c>
      <c r="I4" s="36" t="s">
        <v>40</v>
      </c>
      <c r="J4" s="36" t="s">
        <v>107</v>
      </c>
      <c r="K4" s="36" t="s">
        <v>119</v>
      </c>
      <c r="L4" s="3"/>
      <c r="M4" s="5"/>
      <c r="N4" s="5"/>
      <c r="O4" s="5"/>
      <c r="P4" s="5"/>
      <c r="Q4" s="5"/>
      <c r="R4" s="5"/>
      <c r="S4" s="5"/>
      <c r="T4" s="5"/>
      <c r="U4" s="5"/>
      <c r="V4" s="5"/>
      <c r="W4" s="5"/>
      <c r="X4" s="5"/>
      <c r="Y4" s="5"/>
      <c r="Z4" s="5"/>
      <c r="AA4" s="5"/>
      <c r="AB4" s="5"/>
    </row>
    <row r="5" spans="2:28" ht="15.75" customHeight="1">
      <c r="B5" s="10"/>
      <c r="C5" s="42" t="s">
        <v>8</v>
      </c>
      <c r="D5" s="99" t="s">
        <v>991</v>
      </c>
      <c r="E5" s="100" t="s">
        <v>992</v>
      </c>
      <c r="F5" s="99" t="s">
        <v>993</v>
      </c>
      <c r="G5" s="99">
        <v>1917</v>
      </c>
      <c r="H5" s="99" t="s">
        <v>994</v>
      </c>
      <c r="I5" s="99" t="s">
        <v>853</v>
      </c>
      <c r="J5" s="99" t="s">
        <v>995</v>
      </c>
      <c r="K5" s="99" t="s">
        <v>631</v>
      </c>
      <c r="L5" s="13"/>
      <c r="M5" s="15"/>
      <c r="N5" s="15"/>
      <c r="O5" s="15"/>
      <c r="P5" s="15"/>
      <c r="Q5" s="15"/>
      <c r="R5" s="15"/>
      <c r="S5" s="15"/>
      <c r="T5" s="15"/>
      <c r="U5" s="15"/>
      <c r="V5" s="15"/>
      <c r="W5" s="15"/>
      <c r="X5" s="15"/>
      <c r="Y5" s="15"/>
      <c r="Z5" s="15"/>
      <c r="AA5" s="15"/>
      <c r="AB5" s="15"/>
    </row>
    <row r="6" spans="2:28">
      <c r="B6" s="16"/>
      <c r="C6" s="38" t="s">
        <v>14</v>
      </c>
      <c r="D6" s="18">
        <v>8.1</v>
      </c>
      <c r="E6" s="19"/>
      <c r="F6" s="19"/>
      <c r="G6" s="18">
        <v>7.9</v>
      </c>
      <c r="H6" s="18">
        <v>6.8</v>
      </c>
      <c r="I6" s="18">
        <v>7.2</v>
      </c>
      <c r="J6" s="19"/>
      <c r="K6" s="18">
        <v>6.1</v>
      </c>
    </row>
    <row r="7" spans="2:28">
      <c r="B7" s="16"/>
      <c r="C7" s="38" t="s">
        <v>236</v>
      </c>
      <c r="D7" s="19"/>
      <c r="E7" s="19"/>
      <c r="F7" s="19"/>
      <c r="G7" s="19"/>
      <c r="H7" s="19"/>
      <c r="I7" s="19"/>
      <c r="J7" s="19"/>
      <c r="K7" s="19"/>
    </row>
    <row r="8" spans="2:28">
      <c r="B8" s="16"/>
      <c r="C8" s="38" t="s">
        <v>16</v>
      </c>
      <c r="D8" s="18">
        <v>8.1999999999999993</v>
      </c>
      <c r="E8" s="18">
        <v>6.4</v>
      </c>
      <c r="F8" s="19"/>
      <c r="G8" s="18">
        <v>8.1</v>
      </c>
      <c r="H8" s="18">
        <v>7.2</v>
      </c>
      <c r="I8" s="18">
        <v>6.3</v>
      </c>
      <c r="J8" s="18">
        <v>3.2</v>
      </c>
      <c r="K8" s="18">
        <v>7.7</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8.1999999999999993</v>
      </c>
      <c r="E12" s="18">
        <v>6.8</v>
      </c>
      <c r="F12" s="19"/>
      <c r="G12" s="18">
        <v>8.5</v>
      </c>
      <c r="H12" s="18">
        <v>6.9</v>
      </c>
      <c r="I12" s="18">
        <v>8.6</v>
      </c>
      <c r="J12" s="19"/>
      <c r="K12" s="18">
        <v>7.5</v>
      </c>
    </row>
    <row r="13" spans="2:28">
      <c r="B13" s="16"/>
      <c r="C13" s="38" t="s">
        <v>21</v>
      </c>
      <c r="D13" s="30">
        <v>8</v>
      </c>
      <c r="E13" s="18">
        <v>6.5</v>
      </c>
      <c r="F13" s="19"/>
      <c r="G13" s="19"/>
      <c r="H13" s="30">
        <v>7.3</v>
      </c>
      <c r="I13" s="59"/>
      <c r="J13" s="19"/>
      <c r="K13" s="19"/>
    </row>
    <row r="14" spans="2:28" ht="15.75" customHeight="1">
      <c r="B14" s="23"/>
      <c r="C14" s="24" t="s">
        <v>22</v>
      </c>
      <c r="D14" s="25">
        <f t="shared" ref="D14:K14" si="0">AVERAGE(D6:D13)</f>
        <v>8.125</v>
      </c>
      <c r="E14" s="25">
        <f t="shared" si="0"/>
        <v>6.5666666666666664</v>
      </c>
      <c r="F14" s="25" t="e">
        <f t="shared" si="0"/>
        <v>#DIV/0!</v>
      </c>
      <c r="G14" s="25">
        <f t="shared" si="0"/>
        <v>8.1666666666666661</v>
      </c>
      <c r="H14" s="25">
        <f t="shared" si="0"/>
        <v>7.05</v>
      </c>
      <c r="I14" s="25">
        <f t="shared" si="0"/>
        <v>7.3666666666666671</v>
      </c>
      <c r="J14" s="25">
        <f t="shared" si="0"/>
        <v>3.2</v>
      </c>
      <c r="K14" s="25">
        <f t="shared" si="0"/>
        <v>7.1000000000000005</v>
      </c>
      <c r="M14" s="1" t="e">
        <f>AVERAGE(D14:K14)</f>
        <v>#DIV/0!</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1:AB1003"/>
  <sheetViews>
    <sheetView workbookViewId="0"/>
  </sheetViews>
  <sheetFormatPr defaultColWidth="12.5703125" defaultRowHeight="15.75" customHeight="1"/>
  <cols>
    <col min="3" max="3" width="16.140625" customWidth="1"/>
    <col min="4" max="4" width="11.140625" customWidth="1"/>
    <col min="5" max="5" width="18" customWidth="1"/>
    <col min="6" max="6" width="11.85546875" customWidth="1"/>
    <col min="7" max="7" width="11.140625" customWidth="1"/>
    <col min="8" max="8" width="19" customWidth="1"/>
    <col min="9" max="9" width="24.7109375" customWidth="1"/>
    <col min="10" max="10" width="13.28515625" customWidth="1"/>
    <col min="11" max="11" width="13.710937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996</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117</v>
      </c>
      <c r="E4" s="36" t="s">
        <v>94</v>
      </c>
      <c r="F4" s="36" t="s">
        <v>95</v>
      </c>
      <c r="G4" s="36" t="s">
        <v>96</v>
      </c>
      <c r="H4" s="36" t="s">
        <v>116</v>
      </c>
      <c r="I4" s="36" t="s">
        <v>101</v>
      </c>
      <c r="J4" s="36" t="s">
        <v>973</v>
      </c>
      <c r="K4" s="36" t="s">
        <v>111</v>
      </c>
      <c r="L4" s="3"/>
      <c r="M4" s="5"/>
      <c r="N4" s="5"/>
      <c r="O4" s="5"/>
      <c r="P4" s="5"/>
      <c r="Q4" s="5"/>
      <c r="R4" s="5"/>
      <c r="S4" s="5"/>
      <c r="T4" s="5"/>
      <c r="U4" s="5"/>
      <c r="V4" s="5"/>
      <c r="W4" s="5"/>
      <c r="X4" s="5"/>
      <c r="Y4" s="5"/>
      <c r="Z4" s="5"/>
      <c r="AA4" s="5"/>
      <c r="AB4" s="5"/>
    </row>
    <row r="5" spans="2:28" ht="15.75" customHeight="1">
      <c r="B5" s="10"/>
      <c r="C5" s="42" t="s">
        <v>8</v>
      </c>
      <c r="D5" s="42" t="s">
        <v>997</v>
      </c>
      <c r="E5" s="43" t="s">
        <v>998</v>
      </c>
      <c r="F5" s="42" t="s">
        <v>667</v>
      </c>
      <c r="G5" s="42" t="s">
        <v>999</v>
      </c>
      <c r="H5" s="42" t="s">
        <v>1000</v>
      </c>
      <c r="I5" s="42" t="s">
        <v>1001</v>
      </c>
      <c r="J5" s="42" t="s">
        <v>1002</v>
      </c>
      <c r="K5" s="42" t="s">
        <v>1003</v>
      </c>
      <c r="L5" s="13"/>
      <c r="M5" s="15"/>
      <c r="N5" s="15"/>
      <c r="O5" s="15"/>
      <c r="P5" s="15"/>
      <c r="Q5" s="15"/>
      <c r="R5" s="15"/>
      <c r="S5" s="15"/>
      <c r="T5" s="15"/>
      <c r="U5" s="15"/>
      <c r="V5" s="15"/>
      <c r="W5" s="15"/>
      <c r="X5" s="15"/>
      <c r="Y5" s="15"/>
      <c r="Z5" s="15"/>
      <c r="AA5" s="15"/>
      <c r="AB5" s="15"/>
    </row>
    <row r="6" spans="2:28">
      <c r="B6" s="16"/>
      <c r="C6" s="38" t="s">
        <v>14</v>
      </c>
      <c r="D6" s="19"/>
      <c r="E6" s="19"/>
      <c r="F6" s="19"/>
      <c r="G6" s="18">
        <v>7.1</v>
      </c>
      <c r="H6" s="18">
        <v>7.8</v>
      </c>
      <c r="I6" s="18">
        <v>6.2</v>
      </c>
      <c r="J6" s="19"/>
      <c r="K6" s="19"/>
    </row>
    <row r="7" spans="2:28">
      <c r="B7" s="16"/>
      <c r="C7" s="38" t="s">
        <v>236</v>
      </c>
      <c r="D7" s="19"/>
      <c r="E7" s="19"/>
      <c r="F7" s="19"/>
      <c r="G7" s="19"/>
      <c r="H7" s="19"/>
      <c r="I7" s="19"/>
      <c r="J7" s="19"/>
      <c r="K7" s="19"/>
    </row>
    <row r="8" spans="2:28">
      <c r="B8" s="16"/>
      <c r="C8" s="38" t="s">
        <v>16</v>
      </c>
      <c r="D8" s="18">
        <v>7.9</v>
      </c>
      <c r="E8" s="18">
        <v>7</v>
      </c>
      <c r="F8" s="18">
        <v>8.1</v>
      </c>
      <c r="G8" s="19"/>
      <c r="H8" s="18">
        <v>7.7</v>
      </c>
      <c r="I8" s="18">
        <v>7</v>
      </c>
      <c r="J8" s="18">
        <v>7.4</v>
      </c>
      <c r="K8" s="18">
        <v>5.2</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7.6</v>
      </c>
      <c r="E12" s="18">
        <v>7.4</v>
      </c>
      <c r="F12" s="18">
        <v>8.4</v>
      </c>
      <c r="G12" s="18">
        <v>7.5</v>
      </c>
      <c r="H12" s="18">
        <v>7.8</v>
      </c>
      <c r="I12" s="19"/>
      <c r="J12" s="19"/>
      <c r="K12" s="18">
        <v>6.3</v>
      </c>
    </row>
    <row r="13" spans="2:28">
      <c r="B13" s="16"/>
      <c r="C13" s="38" t="s">
        <v>21</v>
      </c>
      <c r="D13" s="19"/>
      <c r="E13" s="19"/>
      <c r="F13" s="30">
        <v>8.1999999999999993</v>
      </c>
      <c r="G13" s="19"/>
      <c r="H13" s="30">
        <v>7.4</v>
      </c>
      <c r="I13" s="59"/>
      <c r="J13" s="19"/>
      <c r="K13" s="19"/>
    </row>
    <row r="14" spans="2:28" ht="15.75" customHeight="1">
      <c r="B14" s="23"/>
      <c r="C14" s="24" t="s">
        <v>22</v>
      </c>
      <c r="D14" s="25">
        <f t="shared" ref="D14:K14" si="0">AVERAGE(D6:D13)</f>
        <v>7.75</v>
      </c>
      <c r="E14" s="25">
        <f t="shared" si="0"/>
        <v>7.2</v>
      </c>
      <c r="F14" s="25">
        <f t="shared" si="0"/>
        <v>8.2333333333333325</v>
      </c>
      <c r="G14" s="25">
        <f t="shared" si="0"/>
        <v>7.3</v>
      </c>
      <c r="H14" s="25">
        <f t="shared" si="0"/>
        <v>7.6750000000000007</v>
      </c>
      <c r="I14" s="25">
        <f t="shared" si="0"/>
        <v>6.6</v>
      </c>
      <c r="J14" s="25">
        <f t="shared" si="0"/>
        <v>7.4</v>
      </c>
      <c r="K14" s="25">
        <f t="shared" si="0"/>
        <v>5.75</v>
      </c>
      <c r="M14" s="78">
        <f>AVERAGE(D14:K14)</f>
        <v>7.2385416666666664</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B1:AB1003"/>
  <sheetViews>
    <sheetView workbookViewId="0"/>
  </sheetViews>
  <sheetFormatPr defaultColWidth="12.5703125" defaultRowHeight="15.75" customHeight="1"/>
  <cols>
    <col min="3" max="3" width="16.140625" customWidth="1"/>
    <col min="4" max="4" width="36.42578125" customWidth="1"/>
    <col min="5" max="5" width="15.5703125" customWidth="1"/>
    <col min="6" max="6" width="11.85546875" customWidth="1"/>
    <col min="7" max="7" width="16.85546875" customWidth="1"/>
    <col min="8" max="8" width="34.42578125" customWidth="1"/>
    <col min="9" max="9" width="10.5703125" customWidth="1"/>
    <col min="10" max="10" width="13.7109375" customWidth="1"/>
    <col min="11" max="11" width="12.285156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1004</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1005</v>
      </c>
      <c r="E4" s="36" t="s">
        <v>3</v>
      </c>
      <c r="F4" s="36" t="s">
        <v>108</v>
      </c>
      <c r="G4" s="36" t="s">
        <v>5</v>
      </c>
      <c r="H4" s="36" t="s">
        <v>1006</v>
      </c>
      <c r="I4" s="36" t="s">
        <v>106</v>
      </c>
      <c r="J4" s="36" t="s">
        <v>973</v>
      </c>
      <c r="K4" s="36" t="s">
        <v>119</v>
      </c>
      <c r="L4" s="3"/>
      <c r="M4" s="5"/>
      <c r="N4" s="5"/>
      <c r="O4" s="5"/>
      <c r="P4" s="5"/>
      <c r="Q4" s="5"/>
      <c r="R4" s="5"/>
      <c r="S4" s="5"/>
      <c r="T4" s="5"/>
      <c r="U4" s="5"/>
      <c r="V4" s="5"/>
      <c r="W4" s="5"/>
      <c r="X4" s="5"/>
      <c r="Y4" s="5"/>
      <c r="Z4" s="5"/>
      <c r="AA4" s="5"/>
      <c r="AB4" s="5"/>
    </row>
    <row r="5" spans="2:28" ht="15.75" customHeight="1">
      <c r="B5" s="10"/>
      <c r="C5" s="42" t="s">
        <v>8</v>
      </c>
      <c r="D5" s="42" t="s">
        <v>1007</v>
      </c>
      <c r="E5" s="43" t="s">
        <v>1008</v>
      </c>
      <c r="F5" s="42" t="s">
        <v>1009</v>
      </c>
      <c r="G5" s="42" t="s">
        <v>608</v>
      </c>
      <c r="H5" s="42" t="s">
        <v>1010</v>
      </c>
      <c r="I5" s="42" t="s">
        <v>1011</v>
      </c>
      <c r="J5" s="42" t="s">
        <v>1012</v>
      </c>
      <c r="K5" s="42" t="s">
        <v>1013</v>
      </c>
      <c r="L5" s="13"/>
      <c r="M5" s="15"/>
      <c r="N5" s="15"/>
      <c r="O5" s="15"/>
      <c r="P5" s="15"/>
      <c r="Q5" s="15"/>
      <c r="R5" s="15"/>
      <c r="S5" s="15"/>
      <c r="T5" s="15"/>
      <c r="U5" s="15"/>
      <c r="V5" s="15"/>
      <c r="W5" s="15"/>
      <c r="X5" s="15"/>
      <c r="Y5" s="15"/>
      <c r="Z5" s="15"/>
      <c r="AA5" s="15"/>
      <c r="AB5" s="15"/>
    </row>
    <row r="6" spans="2:28">
      <c r="B6" s="16"/>
      <c r="C6" s="38" t="s">
        <v>14</v>
      </c>
      <c r="D6" s="19"/>
      <c r="E6" s="19"/>
      <c r="F6" s="18">
        <v>7.2</v>
      </c>
      <c r="G6" s="18">
        <v>7.8</v>
      </c>
      <c r="H6" s="18">
        <v>8</v>
      </c>
      <c r="I6" s="18">
        <v>7.2</v>
      </c>
      <c r="J6" s="18">
        <v>8.1999999999999993</v>
      </c>
      <c r="K6" s="18">
        <v>7.1</v>
      </c>
    </row>
    <row r="7" spans="2:28">
      <c r="B7" s="16"/>
      <c r="C7" s="38" t="s">
        <v>236</v>
      </c>
      <c r="D7" s="19"/>
      <c r="E7" s="19"/>
      <c r="F7" s="19"/>
      <c r="G7" s="19"/>
      <c r="H7" s="19"/>
      <c r="I7" s="19"/>
      <c r="J7" s="19"/>
      <c r="K7" s="19"/>
    </row>
    <row r="8" spans="2:28">
      <c r="B8" s="16"/>
      <c r="C8" s="38" t="s">
        <v>16</v>
      </c>
      <c r="D8" s="18">
        <v>7.7</v>
      </c>
      <c r="E8" s="18">
        <v>7.7</v>
      </c>
      <c r="F8" s="18">
        <v>8.3000000000000007</v>
      </c>
      <c r="G8" s="18">
        <v>8</v>
      </c>
      <c r="H8" s="18">
        <v>7.9</v>
      </c>
      <c r="I8" s="18">
        <v>7.6</v>
      </c>
      <c r="J8" s="18">
        <v>7.7</v>
      </c>
      <c r="K8" s="18">
        <v>7.3</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7.6</v>
      </c>
      <c r="E12" s="18">
        <v>6.6</v>
      </c>
      <c r="F12" s="18">
        <v>8</v>
      </c>
      <c r="G12" s="18">
        <v>8.6</v>
      </c>
      <c r="H12" s="18">
        <v>7.9</v>
      </c>
      <c r="I12" s="18">
        <v>7.7</v>
      </c>
      <c r="J12" s="18">
        <v>7.8</v>
      </c>
      <c r="K12" s="18">
        <v>7.6</v>
      </c>
    </row>
    <row r="13" spans="2:28">
      <c r="B13" s="16"/>
      <c r="C13" s="38" t="s">
        <v>21</v>
      </c>
      <c r="D13" s="19"/>
      <c r="E13" s="19"/>
      <c r="F13" s="18">
        <v>8.1999999999999993</v>
      </c>
      <c r="G13" s="19"/>
      <c r="H13" s="30">
        <v>8.1</v>
      </c>
      <c r="I13" s="61">
        <v>7.3</v>
      </c>
      <c r="J13" s="18">
        <v>8.1</v>
      </c>
      <c r="K13" s="19"/>
    </row>
    <row r="14" spans="2:28" ht="15.75" customHeight="1">
      <c r="B14" s="23"/>
      <c r="C14" s="24" t="s">
        <v>22</v>
      </c>
      <c r="D14" s="25">
        <f t="shared" ref="D14:K14" si="0">AVERAGE(D6:D13)</f>
        <v>7.65</v>
      </c>
      <c r="E14" s="25">
        <f t="shared" si="0"/>
        <v>7.15</v>
      </c>
      <c r="F14" s="25">
        <f t="shared" si="0"/>
        <v>7.9249999999999998</v>
      </c>
      <c r="G14" s="25">
        <f t="shared" si="0"/>
        <v>8.1333333333333329</v>
      </c>
      <c r="H14" s="25">
        <f t="shared" si="0"/>
        <v>7.9749999999999996</v>
      </c>
      <c r="I14" s="25">
        <f t="shared" si="0"/>
        <v>7.45</v>
      </c>
      <c r="J14" s="25">
        <f t="shared" si="0"/>
        <v>7.9499999999999993</v>
      </c>
      <c r="K14" s="25">
        <f t="shared" si="0"/>
        <v>7.333333333333333</v>
      </c>
      <c r="M14" s="78">
        <f>AVERAGE(D14:K14)</f>
        <v>7.6958333333333337</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B1:AB1003"/>
  <sheetViews>
    <sheetView workbookViewId="0"/>
  </sheetViews>
  <sheetFormatPr defaultColWidth="12.5703125" defaultRowHeight="15.75" customHeight="1"/>
  <cols>
    <col min="3" max="3" width="16.140625" customWidth="1"/>
    <col min="4" max="4" width="16.5703125" customWidth="1"/>
    <col min="5" max="5" width="11.7109375" customWidth="1"/>
    <col min="6" max="6" width="16" customWidth="1"/>
    <col min="7" max="7" width="13.42578125" customWidth="1"/>
    <col min="8" max="8" width="15" customWidth="1"/>
    <col min="9" max="9" width="11" customWidth="1"/>
    <col min="10" max="10" width="12.7109375" customWidth="1"/>
    <col min="11" max="11" width="10.8554687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1014</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2</v>
      </c>
      <c r="E4" s="36" t="s">
        <v>99</v>
      </c>
      <c r="F4" s="36" t="s">
        <v>37</v>
      </c>
      <c r="G4" s="36" t="s">
        <v>105</v>
      </c>
      <c r="H4" s="36" t="s">
        <v>121</v>
      </c>
      <c r="I4" s="36" t="s">
        <v>40</v>
      </c>
      <c r="J4" s="36" t="s">
        <v>60</v>
      </c>
      <c r="K4" s="36" t="s">
        <v>122</v>
      </c>
      <c r="L4" s="3"/>
      <c r="M4" s="5"/>
      <c r="N4" s="5"/>
      <c r="O4" s="5"/>
      <c r="P4" s="5"/>
      <c r="Q4" s="5"/>
      <c r="R4" s="5"/>
      <c r="S4" s="5"/>
      <c r="T4" s="5"/>
      <c r="U4" s="5"/>
      <c r="V4" s="5"/>
      <c r="W4" s="5"/>
      <c r="X4" s="5"/>
      <c r="Y4" s="5"/>
      <c r="Z4" s="5"/>
      <c r="AA4" s="5"/>
      <c r="AB4" s="5"/>
    </row>
    <row r="5" spans="2:28" ht="15.75" customHeight="1">
      <c r="B5" s="10"/>
      <c r="C5" s="42" t="s">
        <v>8</v>
      </c>
      <c r="D5" s="42" t="s">
        <v>222</v>
      </c>
      <c r="E5" s="43" t="s">
        <v>223</v>
      </c>
      <c r="F5" s="42" t="s">
        <v>224</v>
      </c>
      <c r="G5" s="42" t="s">
        <v>225</v>
      </c>
      <c r="H5" s="42" t="s">
        <v>226</v>
      </c>
      <c r="I5" s="42" t="s">
        <v>227</v>
      </c>
      <c r="J5" s="42" t="s">
        <v>228</v>
      </c>
      <c r="K5" s="42" t="s">
        <v>229</v>
      </c>
      <c r="L5" s="13"/>
      <c r="M5" s="15"/>
      <c r="N5" s="15"/>
      <c r="O5" s="15"/>
      <c r="P5" s="15"/>
      <c r="Q5" s="15"/>
      <c r="R5" s="15"/>
      <c r="S5" s="15"/>
      <c r="T5" s="15"/>
      <c r="U5" s="15"/>
      <c r="V5" s="15"/>
      <c r="W5" s="15"/>
      <c r="X5" s="15"/>
      <c r="Y5" s="15"/>
      <c r="Z5" s="15"/>
      <c r="AA5" s="15"/>
      <c r="AB5" s="15"/>
    </row>
    <row r="6" spans="2:28">
      <c r="B6" s="16"/>
      <c r="C6" s="38" t="s">
        <v>14</v>
      </c>
      <c r="D6" s="47">
        <v>8.1</v>
      </c>
      <c r="E6" s="18">
        <v>8.1</v>
      </c>
      <c r="F6" s="18">
        <v>8.1999999999999993</v>
      </c>
      <c r="G6" s="18">
        <v>7.4</v>
      </c>
      <c r="H6" s="18">
        <v>8.1999999999999993</v>
      </c>
      <c r="I6" s="18">
        <v>7.7</v>
      </c>
      <c r="J6" s="18">
        <v>6.2</v>
      </c>
      <c r="K6" s="19"/>
    </row>
    <row r="7" spans="2:28">
      <c r="B7" s="16"/>
      <c r="C7" s="38" t="s">
        <v>236</v>
      </c>
      <c r="D7" s="19"/>
      <c r="E7" s="19"/>
      <c r="F7" s="19"/>
      <c r="G7" s="19"/>
      <c r="H7" s="19"/>
      <c r="I7" s="19"/>
      <c r="J7" s="19"/>
      <c r="K7" s="19"/>
    </row>
    <row r="8" spans="2:28">
      <c r="B8" s="16"/>
      <c r="C8" s="38" t="s">
        <v>16</v>
      </c>
      <c r="D8" s="18">
        <v>7.7</v>
      </c>
      <c r="E8" s="18">
        <v>8.1999999999999993</v>
      </c>
      <c r="F8" s="18">
        <v>8.1999999999999993</v>
      </c>
      <c r="G8" s="18">
        <v>8.1</v>
      </c>
      <c r="H8" s="18">
        <v>7.9</v>
      </c>
      <c r="I8" s="18">
        <v>8.1999999999999993</v>
      </c>
      <c r="J8" s="18">
        <v>6.9</v>
      </c>
      <c r="K8" s="18">
        <v>7.1</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8</v>
      </c>
      <c r="E12" s="18">
        <v>8.1999999999999993</v>
      </c>
      <c r="F12" s="18">
        <v>8.3000000000000007</v>
      </c>
      <c r="G12" s="18">
        <v>7.5</v>
      </c>
      <c r="H12" s="18">
        <v>8.4</v>
      </c>
      <c r="I12" s="18">
        <v>9</v>
      </c>
      <c r="J12" s="19"/>
      <c r="K12" s="18">
        <v>7.9</v>
      </c>
    </row>
    <row r="13" spans="2:28">
      <c r="B13" s="16"/>
      <c r="C13" s="38" t="s">
        <v>21</v>
      </c>
      <c r="D13" s="30">
        <v>7.8</v>
      </c>
      <c r="E13" s="30">
        <v>8</v>
      </c>
      <c r="F13" s="18">
        <v>8.5</v>
      </c>
      <c r="G13" s="19"/>
      <c r="H13" s="18">
        <v>8.5</v>
      </c>
      <c r="I13" s="59"/>
      <c r="J13" s="19"/>
      <c r="K13" s="19"/>
    </row>
    <row r="14" spans="2:28" ht="15.75" customHeight="1">
      <c r="B14" s="23"/>
      <c r="C14" s="24" t="s">
        <v>22</v>
      </c>
      <c r="D14" s="25">
        <f t="shared" ref="D14:K14" si="0">AVERAGE(D6:D13)</f>
        <v>7.9</v>
      </c>
      <c r="E14" s="25">
        <f t="shared" si="0"/>
        <v>8.125</v>
      </c>
      <c r="F14" s="25">
        <f t="shared" si="0"/>
        <v>8.3000000000000007</v>
      </c>
      <c r="G14" s="25">
        <f t="shared" si="0"/>
        <v>7.666666666666667</v>
      </c>
      <c r="H14" s="25">
        <f t="shared" si="0"/>
        <v>8.25</v>
      </c>
      <c r="I14" s="25">
        <f t="shared" si="0"/>
        <v>8.2999999999999989</v>
      </c>
      <c r="J14" s="25">
        <f t="shared" si="0"/>
        <v>6.5500000000000007</v>
      </c>
      <c r="K14" s="25">
        <f t="shared" si="0"/>
        <v>7.5</v>
      </c>
      <c r="M14" s="78">
        <f>AVERAGE(D14:K14)</f>
        <v>7.8239583333333336</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B1:AB1003"/>
  <sheetViews>
    <sheetView showGridLines="0" workbookViewId="0"/>
  </sheetViews>
  <sheetFormatPr defaultColWidth="12.5703125" defaultRowHeight="15.75" customHeight="1"/>
  <cols>
    <col min="1" max="2" width="15.42578125" customWidth="1"/>
    <col min="3" max="3" width="18.7109375" customWidth="1"/>
    <col min="4" max="4" width="12" customWidth="1"/>
    <col min="5" max="5" width="14.28515625" customWidth="1"/>
    <col min="6" max="6" width="13.7109375" customWidth="1"/>
    <col min="7" max="7" width="21.140625" customWidth="1"/>
    <col min="8" max="8" width="13.42578125" customWidth="1"/>
    <col min="9" max="9" width="12.42578125" customWidth="1"/>
    <col min="10" max="10" width="26.42578125" customWidth="1"/>
    <col min="11" max="11" width="15.7109375" customWidth="1"/>
    <col min="12" max="12" width="15.42578125" customWidth="1"/>
    <col min="13" max="13" width="6.42578125" customWidth="1"/>
    <col min="14" max="28" width="15.42578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1015</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25</v>
      </c>
      <c r="E4" s="36" t="s">
        <v>91</v>
      </c>
      <c r="F4" s="36" t="s">
        <v>100</v>
      </c>
      <c r="G4" s="36" t="s">
        <v>120</v>
      </c>
      <c r="H4" s="36" t="s">
        <v>39</v>
      </c>
      <c r="I4" s="36" t="s">
        <v>106</v>
      </c>
      <c r="J4" s="36" t="s">
        <v>60</v>
      </c>
      <c r="K4" s="36" t="s">
        <v>119</v>
      </c>
      <c r="L4" s="3"/>
      <c r="M4" s="5"/>
      <c r="N4" s="5"/>
      <c r="O4" s="5"/>
      <c r="P4" s="5"/>
      <c r="Q4" s="5"/>
      <c r="R4" s="5"/>
      <c r="S4" s="5"/>
      <c r="T4" s="5"/>
      <c r="U4" s="5"/>
      <c r="V4" s="5"/>
      <c r="W4" s="5"/>
      <c r="X4" s="5"/>
      <c r="Y4" s="5"/>
      <c r="Z4" s="5"/>
      <c r="AA4" s="5"/>
      <c r="AB4" s="5"/>
    </row>
    <row r="5" spans="2:28" ht="15.75" customHeight="1">
      <c r="B5" s="10"/>
      <c r="C5" s="42" t="s">
        <v>8</v>
      </c>
      <c r="D5" s="42" t="s">
        <v>214</v>
      </c>
      <c r="E5" s="43" t="s">
        <v>215</v>
      </c>
      <c r="F5" s="42" t="s">
        <v>216</v>
      </c>
      <c r="G5" s="42" t="s">
        <v>217</v>
      </c>
      <c r="H5" s="42" t="s">
        <v>218</v>
      </c>
      <c r="I5" s="42" t="s">
        <v>219</v>
      </c>
      <c r="J5" s="42" t="s">
        <v>220</v>
      </c>
      <c r="K5" s="42" t="s">
        <v>221</v>
      </c>
      <c r="L5" s="13"/>
      <c r="M5" s="15"/>
      <c r="N5" s="15"/>
      <c r="O5" s="15"/>
      <c r="P5" s="15"/>
      <c r="Q5" s="15"/>
      <c r="R5" s="15"/>
      <c r="S5" s="15"/>
      <c r="T5" s="15"/>
      <c r="U5" s="15"/>
      <c r="V5" s="15"/>
      <c r="W5" s="15"/>
      <c r="X5" s="15"/>
      <c r="Y5" s="15"/>
      <c r="Z5" s="15"/>
      <c r="AA5" s="15"/>
      <c r="AB5" s="15"/>
    </row>
    <row r="6" spans="2:28">
      <c r="B6" s="16"/>
      <c r="C6" s="38" t="s">
        <v>14</v>
      </c>
      <c r="D6" s="18">
        <v>7.7</v>
      </c>
      <c r="E6" s="18">
        <v>8.1999999999999993</v>
      </c>
      <c r="F6" s="48">
        <v>8</v>
      </c>
      <c r="G6" s="47">
        <v>7.4</v>
      </c>
      <c r="H6" s="47">
        <v>7.7</v>
      </c>
      <c r="I6" s="47">
        <v>8.1</v>
      </c>
      <c r="J6" s="48">
        <v>8.1999999999999993</v>
      </c>
      <c r="K6" s="18">
        <v>8.4</v>
      </c>
    </row>
    <row r="7" spans="2:28">
      <c r="B7" s="16"/>
      <c r="C7" s="38" t="s">
        <v>236</v>
      </c>
      <c r="D7" s="19"/>
      <c r="E7" s="19"/>
      <c r="F7" s="19"/>
      <c r="G7" s="19"/>
      <c r="H7" s="19"/>
      <c r="I7" s="19"/>
      <c r="J7" s="48">
        <v>10</v>
      </c>
      <c r="K7" s="48">
        <v>8.1999999999999993</v>
      </c>
    </row>
    <row r="8" spans="2:28">
      <c r="B8" s="16"/>
      <c r="C8" s="38" t="s">
        <v>16</v>
      </c>
      <c r="D8" s="30">
        <v>7.8</v>
      </c>
      <c r="E8" s="30">
        <v>8.1</v>
      </c>
      <c r="F8" s="48">
        <v>8.1</v>
      </c>
      <c r="G8" s="48">
        <v>7.6</v>
      </c>
      <c r="H8" s="18">
        <v>8.4</v>
      </c>
      <c r="I8" s="48">
        <v>8.5</v>
      </c>
      <c r="J8" s="48">
        <v>7.4</v>
      </c>
      <c r="K8" s="48">
        <v>8.1</v>
      </c>
    </row>
    <row r="9" spans="2:28">
      <c r="B9" s="16"/>
      <c r="C9" s="38" t="s">
        <v>17</v>
      </c>
      <c r="D9" s="19"/>
      <c r="E9" s="19"/>
      <c r="F9" s="19"/>
      <c r="G9" s="19"/>
      <c r="H9" s="19"/>
      <c r="I9" s="19"/>
      <c r="J9" s="102"/>
      <c r="K9" s="19"/>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48">
        <v>8.6</v>
      </c>
      <c r="E12" s="48">
        <v>8.8000000000000007</v>
      </c>
      <c r="F12" s="48">
        <v>7.5</v>
      </c>
      <c r="G12" s="48">
        <v>7.7</v>
      </c>
      <c r="H12" s="48">
        <v>7.6</v>
      </c>
      <c r="I12" s="48">
        <v>8.1999999999999993</v>
      </c>
      <c r="J12" s="48">
        <v>7.4</v>
      </c>
      <c r="K12" s="19"/>
    </row>
    <row r="13" spans="2:28">
      <c r="B13" s="16"/>
      <c r="C13" s="38" t="s">
        <v>21</v>
      </c>
      <c r="D13" s="48">
        <v>7.8</v>
      </c>
      <c r="E13" s="48">
        <v>8.1999999999999993</v>
      </c>
      <c r="F13" s="30">
        <v>7</v>
      </c>
      <c r="G13" s="48">
        <v>7.2</v>
      </c>
      <c r="H13" s="48">
        <v>7.1</v>
      </c>
      <c r="I13" s="61">
        <v>8.3000000000000007</v>
      </c>
      <c r="J13" s="48">
        <v>5.9</v>
      </c>
      <c r="K13" s="48">
        <v>7.6</v>
      </c>
    </row>
    <row r="14" spans="2:28" ht="15.75" customHeight="1">
      <c r="B14" s="23"/>
      <c r="C14" s="24" t="s">
        <v>22</v>
      </c>
      <c r="D14" s="25">
        <f t="shared" ref="D14:K14" si="0">AVERAGE(D6:D13)</f>
        <v>7.9750000000000005</v>
      </c>
      <c r="E14" s="25">
        <f t="shared" si="0"/>
        <v>8.3249999999999993</v>
      </c>
      <c r="F14" s="25">
        <f t="shared" si="0"/>
        <v>7.65</v>
      </c>
      <c r="G14" s="25">
        <f t="shared" si="0"/>
        <v>7.4749999999999996</v>
      </c>
      <c r="H14" s="25">
        <f t="shared" si="0"/>
        <v>7.7000000000000011</v>
      </c>
      <c r="I14" s="25">
        <f t="shared" si="0"/>
        <v>8.2750000000000004</v>
      </c>
      <c r="J14" s="25">
        <f t="shared" si="0"/>
        <v>7.7799999999999994</v>
      </c>
      <c r="K14" s="25">
        <f t="shared" si="0"/>
        <v>8.0750000000000011</v>
      </c>
      <c r="M14" s="78">
        <f>AVERAGE(D14:K14)</f>
        <v>7.9068750000000012</v>
      </c>
    </row>
    <row r="15" spans="2:28">
      <c r="B15" s="28"/>
    </row>
    <row r="16" spans="2:28">
      <c r="B16" s="81"/>
      <c r="C16" s="13"/>
      <c r="D16" s="144" t="s">
        <v>89</v>
      </c>
      <c r="E16" s="140"/>
    </row>
    <row r="17" spans="2:9">
      <c r="B17" s="2"/>
      <c r="C17" s="29"/>
      <c r="D17" s="88" t="s">
        <v>125</v>
      </c>
      <c r="E17" s="101" t="s">
        <v>126</v>
      </c>
    </row>
    <row r="18" spans="2:9">
      <c r="B18" s="28"/>
      <c r="D18" s="88" t="s">
        <v>231</v>
      </c>
      <c r="E18" s="101" t="s">
        <v>232</v>
      </c>
    </row>
    <row r="19" spans="2:9">
      <c r="B19" s="28"/>
      <c r="D19" s="88" t="s">
        <v>234</v>
      </c>
      <c r="E19" s="101" t="s">
        <v>235</v>
      </c>
      <c r="I19" s="1"/>
    </row>
    <row r="20" spans="2:9" ht="12.75">
      <c r="B20" s="28"/>
      <c r="D20" s="88" t="s">
        <v>238</v>
      </c>
      <c r="E20" s="101" t="s">
        <v>239</v>
      </c>
    </row>
    <row r="21" spans="2:9" ht="12.75">
      <c r="B21" s="28"/>
      <c r="D21" s="88" t="s">
        <v>242</v>
      </c>
      <c r="E21" s="101" t="s">
        <v>243</v>
      </c>
    </row>
    <row r="22" spans="2:9" ht="12.75">
      <c r="B22" s="28"/>
      <c r="D22" s="88" t="s">
        <v>247</v>
      </c>
      <c r="E22" s="101" t="s">
        <v>248</v>
      </c>
      <c r="I22" s="1"/>
    </row>
    <row r="23" spans="2:9" ht="12.75">
      <c r="B23" s="28"/>
      <c r="D23" s="88" t="s">
        <v>250</v>
      </c>
      <c r="E23" s="101" t="s">
        <v>251</v>
      </c>
    </row>
    <row r="24" spans="2:9" ht="12.75">
      <c r="B24" s="28"/>
    </row>
    <row r="25" spans="2:9" ht="12.75">
      <c r="B25" s="28"/>
      <c r="H25" s="1"/>
    </row>
    <row r="26" spans="2:9" ht="12.75">
      <c r="B26" s="28"/>
    </row>
    <row r="27" spans="2:9" ht="12.75">
      <c r="B27" s="28"/>
    </row>
    <row r="28" spans="2:9" ht="12.75">
      <c r="B28" s="28"/>
    </row>
    <row r="29" spans="2:9" ht="12.75">
      <c r="B29" s="28"/>
    </row>
    <row r="30" spans="2:9" ht="12.75">
      <c r="B30" s="28"/>
    </row>
    <row r="31" spans="2:9" ht="12.75">
      <c r="B31" s="28"/>
    </row>
    <row r="32" spans="2:9" ht="12.75">
      <c r="B32" s="28"/>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A1003"/>
  <sheetViews>
    <sheetView showGridLines="0" workbookViewId="0"/>
  </sheetViews>
  <sheetFormatPr defaultColWidth="12.5703125" defaultRowHeight="15.75" customHeight="1"/>
  <cols>
    <col min="2" max="2" width="15.42578125" customWidth="1"/>
    <col min="4" max="4" width="43.42578125" customWidth="1"/>
    <col min="5" max="5" width="14" customWidth="1"/>
    <col min="6" max="6" width="15.5703125" customWidth="1"/>
    <col min="7" max="7" width="24.42578125" customWidth="1"/>
    <col min="9" max="9" width="20.14062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1016</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57</v>
      </c>
      <c r="D4" s="36" t="s">
        <v>91</v>
      </c>
      <c r="E4" s="36" t="s">
        <v>95</v>
      </c>
      <c r="F4" s="36" t="s">
        <v>26</v>
      </c>
      <c r="G4" s="36" t="s">
        <v>97</v>
      </c>
      <c r="H4" s="36" t="s">
        <v>106</v>
      </c>
      <c r="I4" s="36" t="s">
        <v>98</v>
      </c>
      <c r="J4" s="36" t="s">
        <v>119</v>
      </c>
      <c r="K4" s="3"/>
      <c r="L4" s="5"/>
      <c r="M4" s="5"/>
      <c r="N4" s="5"/>
      <c r="O4" s="5"/>
      <c r="P4" s="5"/>
      <c r="Q4" s="5"/>
      <c r="R4" s="5"/>
      <c r="S4" s="5"/>
      <c r="T4" s="5"/>
      <c r="U4" s="5"/>
      <c r="V4" s="5"/>
      <c r="W4" s="5"/>
      <c r="X4" s="5"/>
      <c r="Y4" s="5"/>
      <c r="Z4" s="5"/>
      <c r="AA4" s="5"/>
    </row>
    <row r="5" spans="1:27" ht="15.75" customHeight="1">
      <c r="A5" s="10"/>
      <c r="B5" s="42" t="s">
        <v>8</v>
      </c>
      <c r="C5" s="42" t="s">
        <v>206</v>
      </c>
      <c r="D5" s="43" t="s">
        <v>207</v>
      </c>
      <c r="E5" s="42" t="s">
        <v>208</v>
      </c>
      <c r="F5" s="42" t="s">
        <v>209</v>
      </c>
      <c r="G5" s="42" t="s">
        <v>210</v>
      </c>
      <c r="H5" s="42" t="s">
        <v>211</v>
      </c>
      <c r="I5" s="42" t="s">
        <v>212</v>
      </c>
      <c r="J5" s="42" t="s">
        <v>213</v>
      </c>
      <c r="K5" s="13"/>
      <c r="L5" s="15"/>
      <c r="M5" s="15"/>
      <c r="N5" s="15"/>
      <c r="O5" s="15"/>
      <c r="P5" s="15"/>
      <c r="Q5" s="15"/>
      <c r="R5" s="15"/>
      <c r="S5" s="15"/>
      <c r="T5" s="15"/>
      <c r="U5" s="15"/>
      <c r="V5" s="15"/>
      <c r="W5" s="15"/>
      <c r="X5" s="15"/>
      <c r="Y5" s="15"/>
      <c r="Z5" s="15"/>
      <c r="AA5" s="15"/>
    </row>
    <row r="6" spans="1:27">
      <c r="A6" s="16"/>
      <c r="B6" s="38" t="s">
        <v>14</v>
      </c>
      <c r="C6" s="18">
        <v>7.1</v>
      </c>
      <c r="D6" s="18">
        <v>8</v>
      </c>
      <c r="E6" s="19"/>
      <c r="F6" s="18">
        <v>7.5</v>
      </c>
      <c r="G6" s="18">
        <v>7.8</v>
      </c>
      <c r="H6" s="18">
        <v>7.3</v>
      </c>
      <c r="I6" s="18">
        <v>8.1</v>
      </c>
      <c r="J6" s="18">
        <v>8</v>
      </c>
    </row>
    <row r="7" spans="1:27">
      <c r="A7" s="16"/>
      <c r="B7" s="38" t="s">
        <v>236</v>
      </c>
      <c r="C7" s="18">
        <v>6</v>
      </c>
      <c r="D7" s="18">
        <v>8.1999999999999993</v>
      </c>
      <c r="E7" s="19"/>
      <c r="F7" s="18">
        <v>7.3</v>
      </c>
      <c r="G7" s="18">
        <v>6</v>
      </c>
      <c r="H7" s="19"/>
      <c r="I7" s="19"/>
      <c r="J7" s="19"/>
    </row>
    <row r="8" spans="1:27">
      <c r="A8" s="16"/>
      <c r="B8" s="38" t="s">
        <v>16</v>
      </c>
      <c r="C8" s="18">
        <v>6.2</v>
      </c>
      <c r="D8" s="18">
        <v>8.4</v>
      </c>
      <c r="E8" s="18">
        <v>8.4</v>
      </c>
      <c r="F8" s="18">
        <v>7.9</v>
      </c>
      <c r="G8" s="18">
        <v>6.8</v>
      </c>
      <c r="H8" s="18">
        <v>8</v>
      </c>
      <c r="I8" s="18">
        <v>8.4</v>
      </c>
      <c r="J8" s="18">
        <v>7.9</v>
      </c>
    </row>
    <row r="9" spans="1:27">
      <c r="A9" s="16"/>
      <c r="B9" s="38" t="s">
        <v>17</v>
      </c>
      <c r="C9" s="18">
        <v>8.5</v>
      </c>
      <c r="D9" s="18">
        <v>7</v>
      </c>
      <c r="E9" s="19"/>
      <c r="F9" s="19"/>
      <c r="G9" s="19"/>
      <c r="H9" s="19"/>
      <c r="I9" s="19"/>
      <c r="J9" s="19"/>
    </row>
    <row r="10" spans="1:27">
      <c r="A10" s="16"/>
      <c r="B10" s="38" t="s">
        <v>18</v>
      </c>
      <c r="C10" s="19"/>
      <c r="D10" s="19"/>
      <c r="E10" s="19"/>
      <c r="F10" s="19"/>
      <c r="G10" s="19"/>
      <c r="H10" s="19"/>
      <c r="I10" s="19"/>
      <c r="J10" s="19"/>
    </row>
    <row r="11" spans="1:27">
      <c r="A11" s="16"/>
      <c r="B11" s="38" t="s">
        <v>19</v>
      </c>
      <c r="C11" s="19"/>
      <c r="D11" s="19"/>
      <c r="E11" s="19"/>
      <c r="F11" s="19"/>
      <c r="G11" s="19"/>
      <c r="H11" s="19"/>
      <c r="I11" s="19"/>
      <c r="J11" s="19"/>
    </row>
    <row r="12" spans="1:27">
      <c r="A12" s="16"/>
      <c r="B12" s="38" t="s">
        <v>20</v>
      </c>
      <c r="C12" s="18">
        <v>7.6</v>
      </c>
      <c r="D12" s="18">
        <v>7.8</v>
      </c>
      <c r="E12" s="18">
        <v>9</v>
      </c>
      <c r="F12" s="18">
        <v>7.7</v>
      </c>
      <c r="G12" s="18">
        <v>6.6</v>
      </c>
      <c r="H12" s="18">
        <v>8.1999999999999993</v>
      </c>
      <c r="I12" s="18">
        <v>8.5</v>
      </c>
      <c r="J12" s="18">
        <v>8</v>
      </c>
    </row>
    <row r="13" spans="1:27">
      <c r="A13" s="16"/>
      <c r="B13" s="38" t="s">
        <v>21</v>
      </c>
      <c r="C13" s="18">
        <v>7.7</v>
      </c>
      <c r="D13" s="19"/>
      <c r="E13" s="30">
        <v>8.3000000000000007</v>
      </c>
      <c r="F13" s="30">
        <v>7.2</v>
      </c>
      <c r="G13" s="30">
        <v>8.6999999999999993</v>
      </c>
      <c r="H13" s="59"/>
      <c r="I13" s="30">
        <v>8.1999999999999993</v>
      </c>
      <c r="J13" s="18">
        <v>8.1999999999999993</v>
      </c>
    </row>
    <row r="14" spans="1:27" ht="15.75" customHeight="1">
      <c r="A14" s="23"/>
      <c r="B14" s="24" t="s">
        <v>22</v>
      </c>
      <c r="C14" s="25">
        <f t="shared" ref="C14:J14" si="0">AVERAGE(C6:C13)</f>
        <v>7.1833333333333336</v>
      </c>
      <c r="D14" s="25">
        <f t="shared" si="0"/>
        <v>7.88</v>
      </c>
      <c r="E14" s="25">
        <f t="shared" si="0"/>
        <v>8.5666666666666664</v>
      </c>
      <c r="F14" s="25">
        <f t="shared" si="0"/>
        <v>7.5200000000000005</v>
      </c>
      <c r="G14" s="25">
        <f t="shared" si="0"/>
        <v>7.1800000000000015</v>
      </c>
      <c r="H14" s="25">
        <f t="shared" si="0"/>
        <v>7.833333333333333</v>
      </c>
      <c r="I14" s="25">
        <f t="shared" si="0"/>
        <v>8.3000000000000007</v>
      </c>
      <c r="J14" s="25">
        <f t="shared" si="0"/>
        <v>8.0249999999999986</v>
      </c>
      <c r="L14" s="78">
        <f>AVERAGE(C14:J14)</f>
        <v>7.8110416666666671</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1003"/>
  <sheetViews>
    <sheetView showGridLines="0" workbookViewId="0"/>
  </sheetViews>
  <sheetFormatPr defaultColWidth="12.5703125" defaultRowHeight="15.75" customHeight="1"/>
  <cols>
    <col min="2" max="2" width="15.42578125" customWidth="1"/>
    <col min="3" max="3" width="13.7109375" customWidth="1"/>
    <col min="7" max="7" width="17.42578125" customWidth="1"/>
    <col min="9" max="9" width="22.42578125" customWidth="1"/>
    <col min="10" max="10" width="16.8554687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1017</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117</v>
      </c>
      <c r="D4" s="36" t="s">
        <v>94</v>
      </c>
      <c r="E4" s="36" t="s">
        <v>100</v>
      </c>
      <c r="F4" s="36" t="s">
        <v>5</v>
      </c>
      <c r="G4" s="36" t="s">
        <v>97</v>
      </c>
      <c r="H4" s="36" t="s">
        <v>27</v>
      </c>
      <c r="I4" s="36" t="s">
        <v>107</v>
      </c>
      <c r="J4" s="36" t="s">
        <v>118</v>
      </c>
      <c r="K4" s="3"/>
      <c r="L4" s="5"/>
      <c r="M4" s="5"/>
      <c r="N4" s="5"/>
      <c r="O4" s="5"/>
      <c r="P4" s="5"/>
      <c r="Q4" s="5"/>
      <c r="R4" s="5"/>
      <c r="S4" s="5"/>
      <c r="T4" s="5"/>
      <c r="U4" s="5"/>
      <c r="V4" s="5"/>
      <c r="W4" s="5"/>
      <c r="X4" s="5"/>
      <c r="Y4" s="5"/>
      <c r="Z4" s="5"/>
      <c r="AA4" s="5"/>
    </row>
    <row r="5" spans="1:27" ht="15.75" customHeight="1">
      <c r="A5" s="10"/>
      <c r="B5" s="42" t="s">
        <v>8</v>
      </c>
      <c r="C5" s="42" t="s">
        <v>199</v>
      </c>
      <c r="D5" s="42" t="s">
        <v>200</v>
      </c>
      <c r="E5" s="42" t="s">
        <v>201</v>
      </c>
      <c r="F5" s="42" t="s">
        <v>124</v>
      </c>
      <c r="G5" s="42" t="s">
        <v>202</v>
      </c>
      <c r="H5" s="42" t="s">
        <v>203</v>
      </c>
      <c r="I5" s="42" t="s">
        <v>204</v>
      </c>
      <c r="J5" s="42" t="s">
        <v>205</v>
      </c>
      <c r="K5" s="13"/>
      <c r="L5" s="15"/>
      <c r="M5" s="15"/>
      <c r="N5" s="15"/>
      <c r="O5" s="15"/>
      <c r="P5" s="15"/>
      <c r="Q5" s="15"/>
      <c r="R5" s="15"/>
      <c r="S5" s="15"/>
      <c r="T5" s="15"/>
      <c r="U5" s="15"/>
      <c r="V5" s="15"/>
      <c r="W5" s="15"/>
      <c r="X5" s="15"/>
      <c r="Y5" s="15"/>
      <c r="Z5" s="15"/>
      <c r="AA5" s="15"/>
    </row>
    <row r="6" spans="1:27">
      <c r="A6" s="16"/>
      <c r="B6" s="38" t="s">
        <v>14</v>
      </c>
      <c r="C6" s="18">
        <v>7.6</v>
      </c>
      <c r="D6" s="18">
        <v>8.1</v>
      </c>
      <c r="E6" s="18">
        <v>6.5</v>
      </c>
      <c r="F6" s="19"/>
      <c r="G6" s="18">
        <v>7.9</v>
      </c>
      <c r="H6" s="18">
        <v>6.9</v>
      </c>
      <c r="I6" s="18">
        <v>6.8</v>
      </c>
      <c r="J6" s="18">
        <v>7.9</v>
      </c>
    </row>
    <row r="7" spans="1:27">
      <c r="A7" s="16"/>
      <c r="B7" s="38" t="s">
        <v>236</v>
      </c>
      <c r="C7" s="18">
        <v>7.3</v>
      </c>
      <c r="D7" s="18">
        <v>8.1</v>
      </c>
      <c r="E7" s="18">
        <v>6</v>
      </c>
      <c r="F7" s="19"/>
      <c r="G7" s="19"/>
      <c r="H7" s="19"/>
      <c r="I7" s="19"/>
      <c r="J7" s="19"/>
    </row>
    <row r="8" spans="1:27">
      <c r="A8" s="16"/>
      <c r="B8" s="38" t="s">
        <v>16</v>
      </c>
      <c r="C8" s="18">
        <v>8.1999999999999993</v>
      </c>
      <c r="D8" s="18">
        <v>7.8</v>
      </c>
      <c r="E8" s="18">
        <v>7.7</v>
      </c>
      <c r="F8" s="18">
        <v>8.6</v>
      </c>
      <c r="G8" s="18">
        <v>8.1999999999999993</v>
      </c>
      <c r="H8" s="18">
        <v>6.6</v>
      </c>
      <c r="I8" s="18">
        <v>6.4</v>
      </c>
      <c r="J8" s="18">
        <v>7.6</v>
      </c>
    </row>
    <row r="9" spans="1:27">
      <c r="A9" s="16"/>
      <c r="B9" s="38" t="s">
        <v>17</v>
      </c>
      <c r="C9" s="18">
        <v>9</v>
      </c>
      <c r="D9" s="18">
        <v>10</v>
      </c>
      <c r="E9" s="18">
        <v>6.5</v>
      </c>
      <c r="F9" s="18">
        <v>10</v>
      </c>
      <c r="G9" s="19"/>
      <c r="H9" s="19"/>
      <c r="I9" s="19"/>
      <c r="J9" s="19"/>
    </row>
    <row r="10" spans="1:27">
      <c r="A10" s="16"/>
      <c r="B10" s="38" t="s">
        <v>18</v>
      </c>
      <c r="C10" s="18">
        <v>8</v>
      </c>
      <c r="D10" s="18">
        <v>7.9</v>
      </c>
      <c r="E10" s="18">
        <v>7.6</v>
      </c>
      <c r="F10" s="18">
        <v>8.8000000000000007</v>
      </c>
      <c r="G10" s="18">
        <v>8</v>
      </c>
      <c r="H10" s="18">
        <v>6.6</v>
      </c>
      <c r="I10" s="19"/>
      <c r="J10" s="19"/>
    </row>
    <row r="11" spans="1:27">
      <c r="A11" s="16"/>
      <c r="B11" s="38" t="s">
        <v>19</v>
      </c>
      <c r="C11" s="19"/>
      <c r="D11" s="19"/>
      <c r="E11" s="19"/>
      <c r="F11" s="19"/>
      <c r="G11" s="19"/>
      <c r="H11" s="19"/>
      <c r="I11" s="19"/>
      <c r="J11" s="19"/>
    </row>
    <row r="12" spans="1:27">
      <c r="A12" s="16"/>
      <c r="B12" s="38" t="s">
        <v>20</v>
      </c>
      <c r="C12" s="18">
        <v>8.3000000000000007</v>
      </c>
      <c r="D12" s="18">
        <v>8.6</v>
      </c>
      <c r="E12" s="18">
        <v>6.7</v>
      </c>
      <c r="F12" s="18">
        <v>9.1999999999999993</v>
      </c>
      <c r="G12" s="18">
        <v>8.3000000000000007</v>
      </c>
      <c r="H12" s="18">
        <v>7.2</v>
      </c>
      <c r="I12" s="18">
        <v>6.6</v>
      </c>
      <c r="J12" s="18">
        <v>7.6</v>
      </c>
    </row>
    <row r="13" spans="1:27">
      <c r="A13" s="16"/>
      <c r="B13" s="38" t="s">
        <v>21</v>
      </c>
      <c r="C13" s="18">
        <v>8</v>
      </c>
      <c r="D13" s="18">
        <v>8</v>
      </c>
      <c r="E13" s="18">
        <v>6.9</v>
      </c>
      <c r="F13" s="19"/>
      <c r="G13" s="19"/>
      <c r="H13" s="62">
        <v>6.1</v>
      </c>
      <c r="I13" s="30">
        <v>7</v>
      </c>
      <c r="J13" s="30">
        <v>7.8</v>
      </c>
    </row>
    <row r="14" spans="1:27" ht="15.75" customHeight="1">
      <c r="A14" s="23"/>
      <c r="B14" s="24" t="s">
        <v>22</v>
      </c>
      <c r="C14" s="25">
        <f t="shared" ref="C14:J14" si="0">AVERAGE(C6:C13)</f>
        <v>8.0571428571428552</v>
      </c>
      <c r="D14" s="25">
        <f t="shared" si="0"/>
        <v>8.3571428571428577</v>
      </c>
      <c r="E14" s="25">
        <f t="shared" si="0"/>
        <v>6.8428571428571425</v>
      </c>
      <c r="F14" s="25">
        <f t="shared" si="0"/>
        <v>9.15</v>
      </c>
      <c r="G14" s="25">
        <f t="shared" si="0"/>
        <v>8.1000000000000014</v>
      </c>
      <c r="H14" s="25">
        <f t="shared" si="0"/>
        <v>6.68</v>
      </c>
      <c r="I14" s="25">
        <f t="shared" si="0"/>
        <v>6.6999999999999993</v>
      </c>
      <c r="J14" s="25">
        <f t="shared" si="0"/>
        <v>7.7250000000000005</v>
      </c>
      <c r="L14" s="78">
        <f>AVERAGE(C14:J14)</f>
        <v>7.7015178571428562</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2"/>
  <sheetViews>
    <sheetView showGridLines="0" workbookViewId="0"/>
  </sheetViews>
  <sheetFormatPr defaultColWidth="12.5703125" defaultRowHeight="15.75" customHeight="1"/>
  <cols>
    <col min="1" max="1" width="3.85546875" customWidth="1"/>
    <col min="2" max="2" width="4.28515625" customWidth="1"/>
    <col min="3" max="3" width="15.5703125" customWidth="1"/>
    <col min="4" max="4" width="11" customWidth="1"/>
    <col min="5" max="7" width="16.5703125" customWidth="1"/>
    <col min="8" max="8" width="13" customWidth="1"/>
    <col min="9" max="9" width="12.28515625" customWidth="1"/>
    <col min="10" max="10" width="3.140625" customWidth="1"/>
  </cols>
  <sheetData>
    <row r="1" spans="1:26">
      <c r="A1" s="1" t="s">
        <v>0</v>
      </c>
      <c r="B1" s="2">
        <f>B23</f>
        <v>0</v>
      </c>
      <c r="C1" s="3"/>
      <c r="D1" s="3"/>
      <c r="E1" s="3"/>
      <c r="F1" s="3"/>
      <c r="G1" s="3"/>
      <c r="H1" s="3"/>
      <c r="I1" s="3"/>
      <c r="J1" s="4"/>
      <c r="K1" s="5"/>
      <c r="L1" s="5"/>
      <c r="M1" s="5"/>
      <c r="N1" s="5"/>
      <c r="O1" s="5"/>
      <c r="P1" s="5"/>
      <c r="Q1" s="5"/>
      <c r="R1" s="5"/>
      <c r="S1" s="5"/>
      <c r="T1" s="5"/>
      <c r="U1" s="5"/>
      <c r="V1" s="5"/>
      <c r="W1" s="5"/>
      <c r="X1" s="5"/>
      <c r="Y1" s="5"/>
      <c r="Z1" s="5"/>
    </row>
    <row r="2" spans="1:26" ht="15.75" customHeight="1">
      <c r="B2" s="6"/>
      <c r="C2" s="137" t="s">
        <v>24</v>
      </c>
      <c r="D2" s="138"/>
      <c r="E2" s="138"/>
      <c r="F2" s="138"/>
      <c r="G2" s="138"/>
      <c r="H2" s="138"/>
      <c r="I2" s="138"/>
      <c r="J2" s="4"/>
      <c r="K2" s="5"/>
      <c r="L2" s="5"/>
      <c r="M2" s="5"/>
      <c r="N2" s="5"/>
      <c r="O2" s="5"/>
      <c r="P2" s="5"/>
      <c r="Q2" s="5"/>
      <c r="R2" s="5"/>
      <c r="S2" s="5"/>
      <c r="T2" s="5"/>
      <c r="U2" s="5"/>
      <c r="V2" s="5"/>
      <c r="W2" s="5"/>
      <c r="X2" s="5"/>
      <c r="Y2" s="5"/>
      <c r="Z2" s="5"/>
    </row>
    <row r="3" spans="1:26">
      <c r="B3" s="2"/>
      <c r="C3" s="3"/>
      <c r="D3" s="3"/>
      <c r="E3" s="3"/>
      <c r="F3" s="3"/>
      <c r="G3" s="3"/>
      <c r="H3" s="3"/>
      <c r="I3" s="3"/>
      <c r="J3" s="4"/>
      <c r="K3" s="5"/>
      <c r="L3" s="5"/>
      <c r="M3" s="5"/>
      <c r="N3" s="5"/>
      <c r="O3" s="5"/>
      <c r="P3" s="5"/>
      <c r="Q3" s="5"/>
      <c r="R3" s="5"/>
      <c r="S3" s="5"/>
      <c r="T3" s="5"/>
      <c r="U3" s="5"/>
      <c r="V3" s="5"/>
      <c r="W3" s="5"/>
      <c r="X3" s="5"/>
      <c r="Y3" s="5"/>
      <c r="Z3" s="5"/>
    </row>
    <row r="4" spans="1:26">
      <c r="B4" s="2"/>
      <c r="C4" s="3"/>
      <c r="D4" s="7" t="s">
        <v>25</v>
      </c>
      <c r="E4" s="8" t="s">
        <v>3</v>
      </c>
      <c r="F4" s="8" t="s">
        <v>4</v>
      </c>
      <c r="G4" s="8" t="s">
        <v>26</v>
      </c>
      <c r="H4" s="8" t="s">
        <v>6</v>
      </c>
      <c r="I4" s="9" t="s">
        <v>27</v>
      </c>
      <c r="J4" s="4"/>
      <c r="K4" s="5"/>
      <c r="L4" s="5"/>
      <c r="M4" s="5"/>
      <c r="N4" s="5"/>
      <c r="O4" s="5"/>
      <c r="P4" s="5"/>
      <c r="Q4" s="5"/>
      <c r="R4" s="5"/>
      <c r="S4" s="5"/>
      <c r="T4" s="5"/>
      <c r="U4" s="5"/>
      <c r="V4" s="5"/>
      <c r="W4" s="5"/>
      <c r="X4" s="5"/>
      <c r="Y4" s="5"/>
      <c r="Z4" s="5"/>
    </row>
    <row r="5" spans="1:26" ht="15.75" customHeight="1">
      <c r="B5" s="10"/>
      <c r="C5" s="11" t="s">
        <v>8</v>
      </c>
      <c r="D5" s="12" t="s">
        <v>28</v>
      </c>
      <c r="E5" s="12" t="s">
        <v>29</v>
      </c>
      <c r="F5" s="11" t="s">
        <v>30</v>
      </c>
      <c r="G5" s="11" t="s">
        <v>31</v>
      </c>
      <c r="H5" s="12" t="s">
        <v>32</v>
      </c>
      <c r="I5" s="12" t="s">
        <v>33</v>
      </c>
      <c r="J5" s="13"/>
      <c r="K5" s="14" t="s">
        <v>13</v>
      </c>
      <c r="L5" s="15"/>
      <c r="M5" s="15"/>
      <c r="N5" s="15"/>
      <c r="O5" s="15"/>
      <c r="P5" s="15"/>
      <c r="Q5" s="15"/>
      <c r="R5" s="15"/>
      <c r="S5" s="15"/>
      <c r="T5" s="15"/>
      <c r="U5" s="15"/>
      <c r="V5" s="15"/>
      <c r="W5" s="15"/>
      <c r="X5" s="15"/>
      <c r="Y5" s="15"/>
      <c r="Z5" s="15"/>
    </row>
    <row r="6" spans="1:26">
      <c r="B6" s="16"/>
      <c r="C6" s="17" t="s">
        <v>14</v>
      </c>
      <c r="D6" s="18">
        <v>6.9</v>
      </c>
      <c r="E6" s="18">
        <v>7.2</v>
      </c>
      <c r="F6" s="18">
        <v>6.3</v>
      </c>
      <c r="G6" s="18">
        <v>8</v>
      </c>
      <c r="H6" s="19"/>
      <c r="I6" s="18">
        <v>6.5</v>
      </c>
      <c r="J6" s="15"/>
      <c r="K6" s="20">
        <f t="shared" ref="K6:K13" si="0">COUNT(D6:I6)</f>
        <v>5</v>
      </c>
    </row>
    <row r="7" spans="1:26">
      <c r="B7" s="16"/>
      <c r="C7" s="17" t="s">
        <v>15</v>
      </c>
      <c r="D7" s="18">
        <v>8.5</v>
      </c>
      <c r="E7" s="19"/>
      <c r="F7" s="18">
        <v>8</v>
      </c>
      <c r="G7" s="18">
        <v>8.3000000000000007</v>
      </c>
      <c r="H7" s="18">
        <v>8.5</v>
      </c>
      <c r="I7" s="18">
        <v>6</v>
      </c>
      <c r="J7" s="15"/>
      <c r="K7" s="21">
        <f t="shared" si="0"/>
        <v>5</v>
      </c>
    </row>
    <row r="8" spans="1:26">
      <c r="B8" s="16"/>
      <c r="C8" s="17" t="s">
        <v>16</v>
      </c>
      <c r="D8" s="18">
        <v>6</v>
      </c>
      <c r="E8" s="18">
        <v>7</v>
      </c>
      <c r="F8" s="18">
        <v>7.5</v>
      </c>
      <c r="G8" s="18">
        <v>8.5</v>
      </c>
      <c r="H8" s="18">
        <v>8.5</v>
      </c>
      <c r="I8" s="18">
        <v>6</v>
      </c>
      <c r="J8" s="15"/>
      <c r="K8" s="21">
        <f t="shared" si="0"/>
        <v>6</v>
      </c>
    </row>
    <row r="9" spans="1:26">
      <c r="B9" s="16"/>
      <c r="C9" s="17" t="s">
        <v>17</v>
      </c>
      <c r="D9" s="19"/>
      <c r="E9" s="18">
        <v>8.5</v>
      </c>
      <c r="F9" s="18">
        <v>2.5</v>
      </c>
      <c r="G9" s="18">
        <v>6.5</v>
      </c>
      <c r="H9" s="19"/>
      <c r="I9" s="19"/>
      <c r="J9" s="15"/>
      <c r="K9" s="21">
        <f t="shared" si="0"/>
        <v>3</v>
      </c>
    </row>
    <row r="10" spans="1:26">
      <c r="B10" s="16"/>
      <c r="C10" s="17" t="s">
        <v>18</v>
      </c>
      <c r="D10" s="19"/>
      <c r="E10" s="19"/>
      <c r="F10" s="19"/>
      <c r="G10" s="19"/>
      <c r="H10" s="19"/>
      <c r="I10" s="19"/>
      <c r="J10" s="15"/>
      <c r="K10" s="21">
        <f t="shared" si="0"/>
        <v>0</v>
      </c>
    </row>
    <row r="11" spans="1:26">
      <c r="B11" s="16"/>
      <c r="C11" s="17" t="s">
        <v>19</v>
      </c>
      <c r="D11" s="19"/>
      <c r="E11" s="19"/>
      <c r="F11" s="19"/>
      <c r="G11" s="19"/>
      <c r="H11" s="19"/>
      <c r="I11" s="19"/>
      <c r="J11" s="15"/>
      <c r="K11" s="21">
        <f t="shared" si="0"/>
        <v>0</v>
      </c>
    </row>
    <row r="12" spans="1:26">
      <c r="B12" s="16"/>
      <c r="C12" s="17" t="s">
        <v>20</v>
      </c>
      <c r="D12" s="18">
        <v>9</v>
      </c>
      <c r="E12" s="18">
        <v>6.8</v>
      </c>
      <c r="F12" s="18">
        <v>5.8</v>
      </c>
      <c r="G12" s="18">
        <v>8.3000000000000007</v>
      </c>
      <c r="H12" s="18">
        <v>8.6999999999999993</v>
      </c>
      <c r="I12" s="18">
        <v>6.4</v>
      </c>
      <c r="J12" s="15"/>
      <c r="K12" s="21">
        <f t="shared" si="0"/>
        <v>6</v>
      </c>
    </row>
    <row r="13" spans="1:26">
      <c r="B13" s="16"/>
      <c r="C13" s="17" t="s">
        <v>21</v>
      </c>
      <c r="D13" s="30">
        <v>8.6999999999999993</v>
      </c>
      <c r="E13" s="30">
        <v>7.1</v>
      </c>
      <c r="F13" s="19"/>
      <c r="G13" s="19"/>
      <c r="H13" s="18">
        <v>9.1999999999999993</v>
      </c>
      <c r="I13" s="18">
        <v>7.3</v>
      </c>
      <c r="J13" s="15"/>
      <c r="K13" s="22">
        <f t="shared" si="0"/>
        <v>4</v>
      </c>
    </row>
    <row r="14" spans="1:26" ht="15.75" customHeight="1">
      <c r="B14" s="23"/>
      <c r="C14" s="24" t="s">
        <v>22</v>
      </c>
      <c r="D14" s="25">
        <f t="shared" ref="D14:I14" si="1">IFERROR(AVERAGE(D6:D13),"-")</f>
        <v>7.8199999999999985</v>
      </c>
      <c r="E14" s="25">
        <f t="shared" si="1"/>
        <v>7.32</v>
      </c>
      <c r="F14" s="25">
        <f t="shared" si="1"/>
        <v>6.0200000000000005</v>
      </c>
      <c r="G14" s="25">
        <f t="shared" si="1"/>
        <v>7.92</v>
      </c>
      <c r="H14" s="25">
        <f t="shared" si="1"/>
        <v>8.7249999999999996</v>
      </c>
      <c r="I14" s="25">
        <f t="shared" si="1"/>
        <v>6.4399999999999995</v>
      </c>
      <c r="J14" s="15"/>
      <c r="K14" s="26">
        <f>AVERAGE(D14:I14)</f>
        <v>7.3741666666666665</v>
      </c>
      <c r="L14" s="27" t="s">
        <v>23</v>
      </c>
    </row>
    <row r="15" spans="1:26">
      <c r="B15" s="28"/>
      <c r="J15" s="15"/>
    </row>
    <row r="16" spans="1:26">
      <c r="B16" s="28"/>
      <c r="J16" s="15"/>
    </row>
    <row r="17" spans="2:10">
      <c r="B17" s="28"/>
      <c r="J17" s="15"/>
    </row>
    <row r="18" spans="2:10">
      <c r="B18" s="28"/>
      <c r="J18" s="15"/>
    </row>
    <row r="19" spans="2:10">
      <c r="B19" s="28"/>
      <c r="J19" s="15"/>
    </row>
    <row r="20" spans="2:10" ht="12.75">
      <c r="B20" s="28"/>
      <c r="J20" s="15"/>
    </row>
    <row r="21" spans="2:10" ht="12.75">
      <c r="B21" s="28"/>
      <c r="J21" s="15"/>
    </row>
    <row r="22" spans="2:10" ht="12.75">
      <c r="B22" s="28"/>
      <c r="D22" s="1"/>
      <c r="J22" s="15"/>
    </row>
    <row r="23" spans="2:10" ht="12.75">
      <c r="B23" s="28"/>
      <c r="D23" s="1"/>
      <c r="J23" s="15"/>
    </row>
    <row r="24" spans="2:10" ht="12.75">
      <c r="B24" s="28"/>
      <c r="J24" s="15"/>
    </row>
    <row r="25" spans="2:10" ht="12.75">
      <c r="B25" s="28"/>
      <c r="J25" s="15"/>
    </row>
    <row r="26" spans="2:10" ht="12.75">
      <c r="B26" s="28"/>
      <c r="J26" s="15"/>
    </row>
    <row r="27" spans="2:10" ht="12.75">
      <c r="B27" s="28"/>
      <c r="J27" s="15"/>
    </row>
    <row r="28" spans="2:10" ht="12.75">
      <c r="B28" s="28"/>
      <c r="J28" s="15"/>
    </row>
    <row r="29" spans="2:10" ht="12.75">
      <c r="B29" s="28"/>
      <c r="J29" s="15"/>
    </row>
    <row r="30" spans="2:10" ht="12.75">
      <c r="B30" s="28"/>
      <c r="J30" s="15"/>
    </row>
    <row r="31" spans="2:10" ht="12.75">
      <c r="B31" s="28"/>
      <c r="J31" s="15"/>
    </row>
    <row r="32" spans="2:10" ht="12.75">
      <c r="B32" s="28"/>
      <c r="J32" s="15"/>
    </row>
    <row r="33" spans="2:10" ht="12.75">
      <c r="B33" s="28"/>
      <c r="J33" s="15"/>
    </row>
    <row r="34" spans="2:10" ht="12.75">
      <c r="B34" s="28"/>
      <c r="J34" s="15"/>
    </row>
    <row r="35" spans="2:10" ht="12.75">
      <c r="B35" s="28"/>
      <c r="J35" s="15"/>
    </row>
    <row r="36" spans="2:10" ht="12.75">
      <c r="B36" s="28"/>
      <c r="J36" s="15"/>
    </row>
    <row r="37" spans="2:10" ht="12.75">
      <c r="B37" s="28"/>
      <c r="H37" s="29"/>
      <c r="J37" s="15"/>
    </row>
    <row r="38" spans="2:10" ht="12.75">
      <c r="B38" s="28"/>
      <c r="J38" s="15"/>
    </row>
    <row r="39" spans="2:10" ht="12.75">
      <c r="B39" s="28"/>
      <c r="J39" s="15"/>
    </row>
    <row r="40" spans="2:10" ht="12.75">
      <c r="B40" s="28"/>
      <c r="J40" s="15"/>
    </row>
    <row r="41" spans="2:10" ht="12.75">
      <c r="B41" s="28"/>
      <c r="J41" s="15"/>
    </row>
    <row r="42" spans="2:10" ht="12.75">
      <c r="B42" s="28"/>
      <c r="J42" s="15"/>
    </row>
    <row r="43" spans="2:10" ht="12.75">
      <c r="B43" s="28"/>
      <c r="J43" s="15"/>
    </row>
    <row r="44" spans="2:10" ht="12.75">
      <c r="B44" s="28"/>
      <c r="J44" s="15"/>
    </row>
    <row r="45" spans="2:10" ht="12.75">
      <c r="B45" s="28"/>
      <c r="J45" s="15"/>
    </row>
    <row r="46" spans="2:10" ht="12.75">
      <c r="B46" s="28"/>
      <c r="J46" s="15"/>
    </row>
    <row r="47" spans="2:10" ht="12.75">
      <c r="B47" s="28"/>
      <c r="J47" s="15"/>
    </row>
    <row r="48" spans="2:10" ht="12.75">
      <c r="B48" s="28"/>
      <c r="J48" s="15"/>
    </row>
    <row r="49" spans="2:10" ht="12.75">
      <c r="B49" s="28"/>
      <c r="J49" s="15"/>
    </row>
    <row r="50" spans="2:10" ht="12.75">
      <c r="B50" s="28"/>
      <c r="J50" s="15"/>
    </row>
    <row r="51" spans="2:10" ht="12.75">
      <c r="B51" s="28"/>
      <c r="J51" s="15"/>
    </row>
    <row r="52" spans="2:10" ht="12.75">
      <c r="B52" s="28"/>
      <c r="J52" s="15"/>
    </row>
    <row r="53" spans="2:10" ht="12.75">
      <c r="B53" s="28"/>
      <c r="J53" s="15"/>
    </row>
    <row r="54" spans="2:10" ht="12.75">
      <c r="B54" s="28"/>
      <c r="J54" s="15"/>
    </row>
    <row r="55" spans="2:10" ht="12.75">
      <c r="B55" s="28"/>
      <c r="J55" s="15"/>
    </row>
    <row r="56" spans="2:10" ht="12.75">
      <c r="B56" s="28"/>
      <c r="J56" s="15"/>
    </row>
    <row r="57" spans="2:10" ht="12.75">
      <c r="B57" s="28"/>
      <c r="J57" s="15"/>
    </row>
    <row r="58" spans="2:10" ht="12.75">
      <c r="B58" s="28"/>
      <c r="J58" s="15"/>
    </row>
    <row r="59" spans="2:10" ht="12.75">
      <c r="B59" s="28"/>
      <c r="J59" s="15"/>
    </row>
    <row r="60" spans="2:10" ht="12.75">
      <c r="B60" s="28"/>
      <c r="J60" s="15"/>
    </row>
    <row r="61" spans="2:10" ht="12.75">
      <c r="B61" s="28"/>
      <c r="J61" s="15"/>
    </row>
    <row r="62" spans="2:10" ht="12.75">
      <c r="B62" s="28"/>
      <c r="J62" s="15"/>
    </row>
    <row r="63" spans="2:10" ht="12.75">
      <c r="B63" s="28"/>
      <c r="J63" s="15"/>
    </row>
    <row r="64" spans="2:10" ht="12.75">
      <c r="B64" s="28"/>
      <c r="J64" s="15"/>
    </row>
    <row r="65" spans="2:10" ht="12.75">
      <c r="B65" s="28"/>
      <c r="J65" s="15"/>
    </row>
    <row r="66" spans="2:10" ht="12.75">
      <c r="B66" s="28"/>
      <c r="J66" s="15"/>
    </row>
    <row r="67" spans="2:10" ht="12.75">
      <c r="B67" s="28"/>
      <c r="J67" s="15"/>
    </row>
    <row r="68" spans="2:10" ht="12.75">
      <c r="B68" s="28"/>
      <c r="J68" s="15"/>
    </row>
    <row r="69" spans="2:10" ht="12.75">
      <c r="B69" s="28"/>
      <c r="J69" s="15"/>
    </row>
    <row r="70" spans="2:10" ht="12.75">
      <c r="B70" s="28"/>
      <c r="J70" s="15"/>
    </row>
    <row r="71" spans="2:10" ht="12.75">
      <c r="B71" s="28"/>
      <c r="J71" s="15"/>
    </row>
    <row r="72" spans="2:10" ht="12.75">
      <c r="B72" s="28"/>
      <c r="J72" s="15"/>
    </row>
    <row r="73" spans="2:10" ht="12.75">
      <c r="B73" s="28"/>
      <c r="J73" s="15"/>
    </row>
    <row r="74" spans="2:10" ht="12.75">
      <c r="B74" s="28"/>
      <c r="J74" s="15"/>
    </row>
    <row r="75" spans="2:10" ht="12.75">
      <c r="B75" s="28"/>
      <c r="J75" s="15"/>
    </row>
    <row r="76" spans="2:10" ht="12.75">
      <c r="B76" s="28"/>
      <c r="J76" s="15"/>
    </row>
    <row r="77" spans="2:10" ht="12.75">
      <c r="B77" s="28"/>
      <c r="J77" s="15"/>
    </row>
    <row r="78" spans="2:10" ht="12.75">
      <c r="B78" s="28"/>
      <c r="J78" s="15"/>
    </row>
    <row r="79" spans="2:10" ht="12.75">
      <c r="B79" s="28"/>
      <c r="J79" s="15"/>
    </row>
    <row r="80" spans="2:10" ht="12.75">
      <c r="B80" s="28"/>
      <c r="J80" s="15"/>
    </row>
    <row r="81" spans="2:10" ht="12.75">
      <c r="B81" s="28"/>
      <c r="J81" s="15"/>
    </row>
    <row r="82" spans="2:10" ht="12.75">
      <c r="B82" s="28"/>
      <c r="J82" s="15"/>
    </row>
    <row r="83" spans="2:10" ht="12.75">
      <c r="B83" s="28"/>
      <c r="J83" s="15"/>
    </row>
    <row r="84" spans="2:10" ht="12.75">
      <c r="B84" s="28"/>
      <c r="J84" s="15"/>
    </row>
    <row r="85" spans="2:10" ht="12.75">
      <c r="B85" s="28"/>
      <c r="J85" s="15"/>
    </row>
    <row r="86" spans="2:10" ht="12.75">
      <c r="B86" s="28"/>
      <c r="J86" s="15"/>
    </row>
    <row r="87" spans="2:10" ht="12.75">
      <c r="B87" s="28"/>
      <c r="J87" s="15"/>
    </row>
    <row r="88" spans="2:10" ht="12.75">
      <c r="B88" s="28"/>
      <c r="J88" s="15"/>
    </row>
    <row r="89" spans="2:10" ht="12.75">
      <c r="B89" s="28"/>
      <c r="J89" s="15"/>
    </row>
    <row r="90" spans="2:10" ht="12.75">
      <c r="B90" s="28"/>
      <c r="J90" s="15"/>
    </row>
    <row r="91" spans="2:10" ht="12.75">
      <c r="B91" s="28"/>
      <c r="J91" s="15"/>
    </row>
    <row r="92" spans="2:10" ht="12.75">
      <c r="B92" s="28"/>
      <c r="J92" s="15"/>
    </row>
    <row r="93" spans="2:10" ht="12.75">
      <c r="B93" s="28"/>
      <c r="J93" s="15"/>
    </row>
    <row r="94" spans="2:10" ht="12.75">
      <c r="B94" s="28"/>
      <c r="J94" s="15"/>
    </row>
    <row r="95" spans="2:10" ht="12.75">
      <c r="B95" s="28"/>
      <c r="J95" s="15"/>
    </row>
    <row r="96" spans="2:10" ht="12.75">
      <c r="B96" s="28"/>
      <c r="J96" s="15"/>
    </row>
    <row r="97" spans="2:10" ht="12.75">
      <c r="B97" s="28"/>
      <c r="J97" s="15"/>
    </row>
    <row r="98" spans="2:10" ht="12.75">
      <c r="B98" s="28"/>
      <c r="J98" s="15"/>
    </row>
    <row r="99" spans="2:10" ht="12.75">
      <c r="B99" s="28"/>
      <c r="J99" s="15"/>
    </row>
    <row r="100" spans="2:10" ht="12.75">
      <c r="B100" s="28"/>
      <c r="J100" s="15"/>
    </row>
    <row r="101" spans="2:10" ht="12.75">
      <c r="B101" s="28"/>
      <c r="J101" s="15"/>
    </row>
    <row r="102" spans="2:10" ht="12.75">
      <c r="B102" s="28"/>
      <c r="J102" s="15"/>
    </row>
    <row r="103" spans="2:10" ht="12.75">
      <c r="B103" s="28"/>
      <c r="J103" s="15"/>
    </row>
    <row r="104" spans="2:10" ht="12.75">
      <c r="B104" s="28"/>
      <c r="J104" s="15"/>
    </row>
    <row r="105" spans="2:10" ht="12.75">
      <c r="B105" s="28"/>
      <c r="J105" s="15"/>
    </row>
    <row r="106" spans="2:10" ht="12.75">
      <c r="B106" s="28"/>
      <c r="J106" s="15"/>
    </row>
    <row r="107" spans="2:10" ht="12.75">
      <c r="B107" s="28"/>
      <c r="J107" s="15"/>
    </row>
    <row r="108" spans="2:10" ht="12.75">
      <c r="B108" s="28"/>
      <c r="J108" s="15"/>
    </row>
    <row r="109" spans="2:10" ht="12.75">
      <c r="B109" s="28"/>
      <c r="J109" s="15"/>
    </row>
    <row r="110" spans="2:10" ht="12.75">
      <c r="B110" s="28"/>
      <c r="J110" s="15"/>
    </row>
    <row r="111" spans="2:10" ht="12.75">
      <c r="B111" s="28"/>
      <c r="J111" s="15"/>
    </row>
    <row r="112" spans="2:10" ht="12.75">
      <c r="B112" s="28"/>
      <c r="J112" s="15"/>
    </row>
    <row r="113" spans="2:10" ht="12.75">
      <c r="B113" s="28"/>
      <c r="J113" s="15"/>
    </row>
    <row r="114" spans="2:10" ht="12.75">
      <c r="B114" s="28"/>
      <c r="J114" s="15"/>
    </row>
    <row r="115" spans="2:10" ht="12.75">
      <c r="B115" s="28"/>
      <c r="J115" s="15"/>
    </row>
    <row r="116" spans="2:10" ht="12.75">
      <c r="B116" s="28"/>
      <c r="J116" s="15"/>
    </row>
    <row r="117" spans="2:10" ht="12.75">
      <c r="B117" s="28"/>
      <c r="J117" s="15"/>
    </row>
    <row r="118" spans="2:10" ht="12.75">
      <c r="B118" s="28"/>
      <c r="J118" s="15"/>
    </row>
    <row r="119" spans="2:10" ht="12.75">
      <c r="B119" s="28"/>
      <c r="J119" s="15"/>
    </row>
    <row r="120" spans="2:10" ht="12.75">
      <c r="B120" s="28"/>
      <c r="J120" s="15"/>
    </row>
    <row r="121" spans="2:10" ht="12.75">
      <c r="B121" s="28"/>
      <c r="J121" s="15"/>
    </row>
    <row r="122" spans="2:10" ht="12.75">
      <c r="B122" s="28"/>
      <c r="J122" s="15"/>
    </row>
    <row r="123" spans="2:10" ht="12.75">
      <c r="B123" s="28"/>
      <c r="J123" s="15"/>
    </row>
    <row r="124" spans="2:10" ht="12.75">
      <c r="B124" s="28"/>
      <c r="J124" s="15"/>
    </row>
    <row r="125" spans="2:10" ht="12.75">
      <c r="B125" s="28"/>
      <c r="J125" s="15"/>
    </row>
    <row r="126" spans="2:10" ht="12.75">
      <c r="B126" s="28"/>
      <c r="J126" s="15"/>
    </row>
    <row r="127" spans="2:10" ht="12.75">
      <c r="B127" s="28"/>
      <c r="J127" s="15"/>
    </row>
    <row r="128" spans="2:10" ht="12.75">
      <c r="B128" s="28"/>
      <c r="J128" s="15"/>
    </row>
    <row r="129" spans="2:10" ht="12.75">
      <c r="B129" s="28"/>
      <c r="J129" s="15"/>
    </row>
    <row r="130" spans="2:10" ht="12.75">
      <c r="B130" s="28"/>
      <c r="J130" s="15"/>
    </row>
    <row r="131" spans="2:10" ht="12.75">
      <c r="B131" s="28"/>
      <c r="J131" s="15"/>
    </row>
    <row r="132" spans="2:10" ht="12.75">
      <c r="B132" s="28"/>
      <c r="J132" s="15"/>
    </row>
    <row r="133" spans="2:10" ht="12.75">
      <c r="B133" s="28"/>
      <c r="J133" s="15"/>
    </row>
    <row r="134" spans="2:10" ht="12.75">
      <c r="B134" s="28"/>
      <c r="J134" s="15"/>
    </row>
    <row r="135" spans="2:10" ht="12.75">
      <c r="B135" s="28"/>
      <c r="J135" s="15"/>
    </row>
    <row r="136" spans="2:10" ht="12.75">
      <c r="B136" s="28"/>
      <c r="J136" s="15"/>
    </row>
    <row r="137" spans="2:10" ht="12.75">
      <c r="B137" s="28"/>
      <c r="J137" s="15"/>
    </row>
    <row r="138" spans="2:10" ht="12.75">
      <c r="B138" s="28"/>
      <c r="J138" s="15"/>
    </row>
    <row r="139" spans="2:10" ht="12.75">
      <c r="B139" s="28"/>
      <c r="J139" s="15"/>
    </row>
    <row r="140" spans="2:10" ht="12.75">
      <c r="B140" s="28"/>
      <c r="J140" s="15"/>
    </row>
    <row r="141" spans="2:10" ht="12.75">
      <c r="B141" s="28"/>
      <c r="J141" s="15"/>
    </row>
    <row r="142" spans="2:10" ht="12.75">
      <c r="B142" s="28"/>
      <c r="J142" s="15"/>
    </row>
    <row r="143" spans="2:10" ht="12.75">
      <c r="B143" s="28"/>
      <c r="J143" s="15"/>
    </row>
    <row r="144" spans="2:10" ht="12.75">
      <c r="B144" s="28"/>
      <c r="J144" s="15"/>
    </row>
    <row r="145" spans="2:10" ht="12.75">
      <c r="B145" s="28"/>
      <c r="J145" s="15"/>
    </row>
    <row r="146" spans="2:10" ht="12.75">
      <c r="B146" s="28"/>
      <c r="J146" s="15"/>
    </row>
    <row r="147" spans="2:10" ht="12.75">
      <c r="B147" s="28"/>
      <c r="J147" s="15"/>
    </row>
    <row r="148" spans="2:10" ht="12.75">
      <c r="B148" s="28"/>
      <c r="J148" s="15"/>
    </row>
    <row r="149" spans="2:10" ht="12.75">
      <c r="B149" s="28"/>
      <c r="J149" s="15"/>
    </row>
    <row r="150" spans="2:10" ht="12.75">
      <c r="B150" s="28"/>
      <c r="J150" s="15"/>
    </row>
    <row r="151" spans="2:10" ht="12.75">
      <c r="B151" s="28"/>
      <c r="J151" s="15"/>
    </row>
    <row r="152" spans="2:10" ht="12.75">
      <c r="B152" s="28"/>
      <c r="J152" s="15"/>
    </row>
    <row r="153" spans="2:10" ht="12.75">
      <c r="B153" s="28"/>
      <c r="J153" s="15"/>
    </row>
    <row r="154" spans="2:10" ht="12.75">
      <c r="B154" s="28"/>
      <c r="J154" s="15"/>
    </row>
    <row r="155" spans="2:10" ht="12.75">
      <c r="B155" s="28"/>
      <c r="J155" s="15"/>
    </row>
    <row r="156" spans="2:10" ht="12.75">
      <c r="B156" s="28"/>
      <c r="J156" s="15"/>
    </row>
    <row r="157" spans="2:10" ht="12.75">
      <c r="B157" s="28"/>
      <c r="J157" s="15"/>
    </row>
    <row r="158" spans="2:10" ht="12.75">
      <c r="B158" s="28"/>
      <c r="J158" s="15"/>
    </row>
    <row r="159" spans="2:10" ht="12.75">
      <c r="B159" s="28"/>
      <c r="J159" s="15"/>
    </row>
    <row r="160" spans="2:10" ht="12.75">
      <c r="B160" s="28"/>
      <c r="J160" s="15"/>
    </row>
    <row r="161" spans="2:10" ht="12.75">
      <c r="B161" s="28"/>
      <c r="J161" s="15"/>
    </row>
    <row r="162" spans="2:10" ht="12.75">
      <c r="B162" s="28"/>
      <c r="J162" s="15"/>
    </row>
    <row r="163" spans="2:10" ht="12.75">
      <c r="B163" s="28"/>
      <c r="J163" s="15"/>
    </row>
    <row r="164" spans="2:10" ht="12.75">
      <c r="B164" s="28"/>
      <c r="J164" s="15"/>
    </row>
    <row r="165" spans="2:10" ht="12.75">
      <c r="B165" s="28"/>
      <c r="J165" s="15"/>
    </row>
    <row r="166" spans="2:10" ht="12.75">
      <c r="B166" s="28"/>
      <c r="J166" s="15"/>
    </row>
    <row r="167" spans="2:10" ht="12.75">
      <c r="B167" s="28"/>
      <c r="J167" s="15"/>
    </row>
    <row r="168" spans="2:10" ht="12.75">
      <c r="B168" s="28"/>
      <c r="J168" s="15"/>
    </row>
    <row r="169" spans="2:10" ht="12.75">
      <c r="B169" s="28"/>
      <c r="J169" s="15"/>
    </row>
    <row r="170" spans="2:10" ht="12.75">
      <c r="B170" s="28"/>
      <c r="J170" s="15"/>
    </row>
    <row r="171" spans="2:10" ht="12.75">
      <c r="B171" s="28"/>
      <c r="J171" s="15"/>
    </row>
    <row r="172" spans="2:10" ht="12.75">
      <c r="B172" s="28"/>
      <c r="J172" s="15"/>
    </row>
    <row r="173" spans="2:10" ht="12.75">
      <c r="B173" s="28"/>
      <c r="J173" s="15"/>
    </row>
    <row r="174" spans="2:10" ht="12.75">
      <c r="B174" s="28"/>
      <c r="J174" s="15"/>
    </row>
    <row r="175" spans="2:10" ht="12.75">
      <c r="B175" s="28"/>
      <c r="J175" s="15"/>
    </row>
    <row r="176" spans="2:10" ht="12.75">
      <c r="B176" s="28"/>
      <c r="J176" s="15"/>
    </row>
    <row r="177" spans="2:10" ht="12.75">
      <c r="B177" s="28"/>
      <c r="J177" s="15"/>
    </row>
    <row r="178" spans="2:10" ht="12.75">
      <c r="B178" s="28"/>
      <c r="J178" s="15"/>
    </row>
    <row r="179" spans="2:10" ht="12.75">
      <c r="B179" s="28"/>
      <c r="J179" s="15"/>
    </row>
    <row r="180" spans="2:10" ht="12.75">
      <c r="B180" s="28"/>
      <c r="J180" s="15"/>
    </row>
    <row r="181" spans="2:10" ht="12.75">
      <c r="B181" s="28"/>
      <c r="J181" s="15"/>
    </row>
    <row r="182" spans="2:10" ht="12.75">
      <c r="B182" s="28"/>
      <c r="J182" s="15"/>
    </row>
    <row r="183" spans="2:10" ht="12.75">
      <c r="B183" s="28"/>
      <c r="J183" s="15"/>
    </row>
    <row r="184" spans="2:10" ht="12.75">
      <c r="B184" s="28"/>
      <c r="J184" s="15"/>
    </row>
    <row r="185" spans="2:10" ht="12.75">
      <c r="B185" s="28"/>
      <c r="J185" s="15"/>
    </row>
    <row r="186" spans="2:10" ht="12.75">
      <c r="B186" s="28"/>
      <c r="J186" s="15"/>
    </row>
    <row r="187" spans="2:10" ht="12.75">
      <c r="B187" s="28"/>
      <c r="J187" s="15"/>
    </row>
    <row r="188" spans="2:10" ht="12.75">
      <c r="B188" s="28"/>
      <c r="J188" s="15"/>
    </row>
    <row r="189" spans="2:10" ht="12.75">
      <c r="B189" s="28"/>
      <c r="J189" s="15"/>
    </row>
    <row r="190" spans="2:10" ht="12.75">
      <c r="B190" s="28"/>
      <c r="J190" s="15"/>
    </row>
    <row r="191" spans="2:10" ht="12.75">
      <c r="B191" s="28"/>
      <c r="J191" s="15"/>
    </row>
    <row r="192" spans="2:10" ht="12.75">
      <c r="B192" s="28"/>
      <c r="J192" s="15"/>
    </row>
    <row r="193" spans="2:10" ht="12.75">
      <c r="B193" s="28"/>
      <c r="J193" s="15"/>
    </row>
    <row r="194" spans="2:10" ht="12.75">
      <c r="B194" s="28"/>
      <c r="J194" s="15"/>
    </row>
    <row r="195" spans="2:10" ht="12.75">
      <c r="B195" s="28"/>
      <c r="J195" s="15"/>
    </row>
    <row r="196" spans="2:10" ht="12.75">
      <c r="B196" s="28"/>
      <c r="J196" s="15"/>
    </row>
    <row r="197" spans="2:10" ht="12.75">
      <c r="B197" s="28"/>
      <c r="J197" s="15"/>
    </row>
    <row r="198" spans="2:10" ht="12.75">
      <c r="B198" s="28"/>
      <c r="J198" s="15"/>
    </row>
    <row r="199" spans="2:10" ht="12.75">
      <c r="B199" s="28"/>
      <c r="J199" s="15"/>
    </row>
    <row r="200" spans="2:10" ht="12.75">
      <c r="B200" s="28"/>
      <c r="J200" s="15"/>
    </row>
    <row r="201" spans="2:10" ht="12.75">
      <c r="B201" s="28"/>
      <c r="J201" s="15"/>
    </row>
    <row r="202" spans="2:10" ht="12.75">
      <c r="B202" s="28"/>
      <c r="J202" s="15"/>
    </row>
    <row r="203" spans="2:10" ht="12.75">
      <c r="B203" s="28"/>
      <c r="J203" s="15"/>
    </row>
    <row r="204" spans="2:10" ht="12.75">
      <c r="B204" s="28"/>
      <c r="J204" s="15"/>
    </row>
    <row r="205" spans="2:10" ht="12.75">
      <c r="B205" s="28"/>
      <c r="J205" s="15"/>
    </row>
    <row r="206" spans="2:10" ht="12.75">
      <c r="B206" s="28"/>
      <c r="J206" s="15"/>
    </row>
    <row r="207" spans="2:10" ht="12.75">
      <c r="B207" s="28"/>
      <c r="J207" s="15"/>
    </row>
    <row r="208" spans="2:10" ht="12.75">
      <c r="B208" s="28"/>
      <c r="J208" s="15"/>
    </row>
    <row r="209" spans="2:10" ht="12.75">
      <c r="B209" s="28"/>
      <c r="J209" s="15"/>
    </row>
    <row r="210" spans="2:10" ht="12.75">
      <c r="B210" s="28"/>
      <c r="J210" s="15"/>
    </row>
    <row r="211" spans="2:10" ht="12.75">
      <c r="B211" s="28"/>
      <c r="J211" s="15"/>
    </row>
    <row r="212" spans="2:10" ht="12.75">
      <c r="B212" s="28"/>
      <c r="J212" s="15"/>
    </row>
    <row r="213" spans="2:10" ht="12.75">
      <c r="B213" s="28"/>
      <c r="J213" s="15"/>
    </row>
    <row r="214" spans="2:10" ht="12.75">
      <c r="B214" s="28"/>
      <c r="J214" s="15"/>
    </row>
    <row r="215" spans="2:10" ht="12.75">
      <c r="B215" s="28"/>
      <c r="J215" s="15"/>
    </row>
    <row r="216" spans="2:10" ht="12.75">
      <c r="B216" s="28"/>
      <c r="J216" s="15"/>
    </row>
    <row r="217" spans="2:10" ht="12.75">
      <c r="B217" s="28"/>
      <c r="J217" s="15"/>
    </row>
    <row r="218" spans="2:10" ht="12.75">
      <c r="B218" s="28"/>
      <c r="J218" s="15"/>
    </row>
    <row r="219" spans="2:10" ht="12.75">
      <c r="B219" s="28"/>
      <c r="J219" s="15"/>
    </row>
    <row r="220" spans="2:10" ht="12.75">
      <c r="B220" s="28"/>
      <c r="J220" s="15"/>
    </row>
    <row r="221" spans="2:10" ht="12.75">
      <c r="B221" s="28"/>
      <c r="J221" s="15"/>
    </row>
    <row r="222" spans="2:10" ht="12.75">
      <c r="B222" s="28"/>
      <c r="J222" s="15"/>
    </row>
    <row r="223" spans="2:10" ht="12.75">
      <c r="B223" s="28"/>
      <c r="J223" s="15"/>
    </row>
    <row r="224" spans="2:10" ht="12.75">
      <c r="B224" s="28"/>
      <c r="J224" s="15"/>
    </row>
    <row r="225" spans="2:10" ht="12.75">
      <c r="B225" s="28"/>
      <c r="J225" s="15"/>
    </row>
    <row r="226" spans="2:10" ht="12.75">
      <c r="B226" s="28"/>
      <c r="J226" s="15"/>
    </row>
    <row r="227" spans="2:10" ht="12.75">
      <c r="B227" s="28"/>
      <c r="J227" s="15"/>
    </row>
    <row r="228" spans="2:10" ht="12.75">
      <c r="B228" s="28"/>
      <c r="J228" s="15"/>
    </row>
    <row r="229" spans="2:10" ht="12.75">
      <c r="B229" s="28"/>
      <c r="J229" s="15"/>
    </row>
    <row r="230" spans="2:10" ht="12.75">
      <c r="B230" s="28"/>
      <c r="J230" s="15"/>
    </row>
    <row r="231" spans="2:10" ht="12.75">
      <c r="B231" s="28"/>
      <c r="J231" s="15"/>
    </row>
    <row r="232" spans="2:10" ht="12.75">
      <c r="B232" s="28"/>
      <c r="J232" s="15"/>
    </row>
    <row r="233" spans="2:10" ht="12.75">
      <c r="B233" s="28"/>
      <c r="J233" s="15"/>
    </row>
    <row r="234" spans="2:10" ht="12.75">
      <c r="B234" s="28"/>
      <c r="J234" s="15"/>
    </row>
    <row r="235" spans="2:10" ht="12.75">
      <c r="B235" s="28"/>
      <c r="J235" s="15"/>
    </row>
    <row r="236" spans="2:10" ht="12.75">
      <c r="B236" s="28"/>
      <c r="J236" s="15"/>
    </row>
    <row r="237" spans="2:10" ht="12.75">
      <c r="B237" s="28"/>
      <c r="J237" s="15"/>
    </row>
    <row r="238" spans="2:10" ht="12.75">
      <c r="B238" s="28"/>
      <c r="J238" s="15"/>
    </row>
    <row r="239" spans="2:10" ht="12.75">
      <c r="B239" s="28"/>
      <c r="J239" s="15"/>
    </row>
    <row r="240" spans="2:10" ht="12.75">
      <c r="B240" s="28"/>
      <c r="J240" s="15"/>
    </row>
    <row r="241" spans="2:10" ht="12.75">
      <c r="B241" s="28"/>
      <c r="J241" s="15"/>
    </row>
    <row r="242" spans="2:10" ht="12.75">
      <c r="B242" s="28"/>
      <c r="J242" s="15"/>
    </row>
    <row r="243" spans="2:10" ht="12.75">
      <c r="B243" s="28"/>
      <c r="J243" s="15"/>
    </row>
    <row r="244" spans="2:10" ht="12.75">
      <c r="B244" s="28"/>
      <c r="J244" s="15"/>
    </row>
    <row r="245" spans="2:10" ht="12.75">
      <c r="B245" s="28"/>
      <c r="J245" s="15"/>
    </row>
    <row r="246" spans="2:10" ht="12.75">
      <c r="B246" s="28"/>
      <c r="J246" s="15"/>
    </row>
    <row r="247" spans="2:10" ht="12.75">
      <c r="B247" s="28"/>
      <c r="J247" s="15"/>
    </row>
    <row r="248" spans="2:10" ht="12.75">
      <c r="B248" s="28"/>
      <c r="J248" s="15"/>
    </row>
    <row r="249" spans="2:10" ht="12.75">
      <c r="B249" s="28"/>
      <c r="J249" s="15"/>
    </row>
    <row r="250" spans="2:10" ht="12.75">
      <c r="B250" s="28"/>
      <c r="J250" s="15"/>
    </row>
    <row r="251" spans="2:10" ht="12.75">
      <c r="B251" s="28"/>
      <c r="J251" s="15"/>
    </row>
    <row r="252" spans="2:10" ht="12.75">
      <c r="B252" s="28"/>
      <c r="J252" s="15"/>
    </row>
    <row r="253" spans="2:10" ht="12.75">
      <c r="B253" s="28"/>
      <c r="J253" s="15"/>
    </row>
    <row r="254" spans="2:10" ht="12.75">
      <c r="B254" s="28"/>
      <c r="J254" s="15"/>
    </row>
    <row r="255" spans="2:10" ht="12.75">
      <c r="B255" s="28"/>
      <c r="J255" s="15"/>
    </row>
    <row r="256" spans="2:10" ht="12.75">
      <c r="B256" s="28"/>
      <c r="J256" s="15"/>
    </row>
    <row r="257" spans="2:10" ht="12.75">
      <c r="B257" s="28"/>
      <c r="J257" s="15"/>
    </row>
    <row r="258" spans="2:10" ht="12.75">
      <c r="B258" s="28"/>
      <c r="J258" s="15"/>
    </row>
    <row r="259" spans="2:10" ht="12.75">
      <c r="B259" s="28"/>
      <c r="J259" s="15"/>
    </row>
    <row r="260" spans="2:10" ht="12.75">
      <c r="B260" s="28"/>
      <c r="J260" s="15"/>
    </row>
    <row r="261" spans="2:10" ht="12.75">
      <c r="B261" s="28"/>
      <c r="J261" s="15"/>
    </row>
    <row r="262" spans="2:10" ht="12.75">
      <c r="B262" s="28"/>
      <c r="J262" s="15"/>
    </row>
    <row r="263" spans="2:10" ht="12.75">
      <c r="B263" s="28"/>
      <c r="J263" s="15"/>
    </row>
    <row r="264" spans="2:10" ht="12.75">
      <c r="B264" s="28"/>
      <c r="J264" s="15"/>
    </row>
    <row r="265" spans="2:10" ht="12.75">
      <c r="B265" s="28"/>
      <c r="J265" s="15"/>
    </row>
    <row r="266" spans="2:10" ht="12.75">
      <c r="B266" s="28"/>
      <c r="J266" s="15"/>
    </row>
    <row r="267" spans="2:10" ht="12.75">
      <c r="B267" s="28"/>
      <c r="J267" s="15"/>
    </row>
    <row r="268" spans="2:10" ht="12.75">
      <c r="B268" s="28"/>
      <c r="J268" s="15"/>
    </row>
    <row r="269" spans="2:10" ht="12.75">
      <c r="B269" s="28"/>
      <c r="J269" s="15"/>
    </row>
    <row r="270" spans="2:10" ht="12.75">
      <c r="B270" s="28"/>
      <c r="J270" s="15"/>
    </row>
    <row r="271" spans="2:10" ht="12.75">
      <c r="B271" s="28"/>
      <c r="J271" s="15"/>
    </row>
    <row r="272" spans="2:10" ht="12.75">
      <c r="B272" s="28"/>
      <c r="J272" s="15"/>
    </row>
    <row r="273" spans="2:10" ht="12.75">
      <c r="B273" s="28"/>
      <c r="J273" s="15"/>
    </row>
    <row r="274" spans="2:10" ht="12.75">
      <c r="B274" s="28"/>
      <c r="J274" s="15"/>
    </row>
    <row r="275" spans="2:10" ht="12.75">
      <c r="B275" s="28"/>
      <c r="J275" s="15"/>
    </row>
    <row r="276" spans="2:10" ht="12.75">
      <c r="B276" s="28"/>
      <c r="J276" s="15"/>
    </row>
    <row r="277" spans="2:10" ht="12.75">
      <c r="B277" s="28"/>
      <c r="J277" s="15"/>
    </row>
    <row r="278" spans="2:10" ht="12.75">
      <c r="B278" s="28"/>
      <c r="J278" s="15"/>
    </row>
    <row r="279" spans="2:10" ht="12.75">
      <c r="B279" s="28"/>
      <c r="J279" s="15"/>
    </row>
    <row r="280" spans="2:10" ht="12.75">
      <c r="B280" s="28"/>
      <c r="J280" s="15"/>
    </row>
    <row r="281" spans="2:10" ht="12.75">
      <c r="B281" s="28"/>
      <c r="J281" s="15"/>
    </row>
    <row r="282" spans="2:10" ht="12.75">
      <c r="B282" s="28"/>
      <c r="J282" s="15"/>
    </row>
    <row r="283" spans="2:10" ht="12.75">
      <c r="B283" s="28"/>
      <c r="J283" s="15"/>
    </row>
    <row r="284" spans="2:10" ht="12.75">
      <c r="B284" s="28"/>
      <c r="J284" s="15"/>
    </row>
    <row r="285" spans="2:10" ht="12.75">
      <c r="B285" s="28"/>
      <c r="J285" s="15"/>
    </row>
    <row r="286" spans="2:10" ht="12.75">
      <c r="B286" s="28"/>
      <c r="J286" s="15"/>
    </row>
    <row r="287" spans="2:10" ht="12.75">
      <c r="B287" s="28"/>
      <c r="J287" s="15"/>
    </row>
    <row r="288" spans="2:10" ht="12.75">
      <c r="B288" s="28"/>
      <c r="J288" s="15"/>
    </row>
    <row r="289" spans="2:10" ht="12.75">
      <c r="B289" s="28"/>
      <c r="J289" s="15"/>
    </row>
    <row r="290" spans="2:10" ht="12.75">
      <c r="B290" s="28"/>
      <c r="J290" s="15"/>
    </row>
    <row r="291" spans="2:10" ht="12.75">
      <c r="B291" s="28"/>
      <c r="J291" s="15"/>
    </row>
    <row r="292" spans="2:10" ht="12.75">
      <c r="B292" s="28"/>
      <c r="J292" s="15"/>
    </row>
    <row r="293" spans="2:10" ht="12.75">
      <c r="B293" s="28"/>
      <c r="J293" s="15"/>
    </row>
    <row r="294" spans="2:10" ht="12.75">
      <c r="B294" s="28"/>
      <c r="J294" s="15"/>
    </row>
    <row r="295" spans="2:10" ht="12.75">
      <c r="B295" s="28"/>
      <c r="J295" s="15"/>
    </row>
    <row r="296" spans="2:10" ht="12.75">
      <c r="B296" s="28"/>
      <c r="J296" s="15"/>
    </row>
    <row r="297" spans="2:10" ht="12.75">
      <c r="B297" s="28"/>
      <c r="J297" s="15"/>
    </row>
    <row r="298" spans="2:10" ht="12.75">
      <c r="B298" s="28"/>
      <c r="J298" s="15"/>
    </row>
    <row r="299" spans="2:10" ht="12.75">
      <c r="B299" s="28"/>
      <c r="J299" s="15"/>
    </row>
    <row r="300" spans="2:10" ht="12.75">
      <c r="B300" s="28"/>
      <c r="J300" s="15"/>
    </row>
    <row r="301" spans="2:10" ht="12.75">
      <c r="B301" s="28"/>
      <c r="J301" s="15"/>
    </row>
    <row r="302" spans="2:10" ht="12.75">
      <c r="B302" s="28"/>
      <c r="J302" s="15"/>
    </row>
    <row r="303" spans="2:10" ht="12.75">
      <c r="B303" s="28"/>
      <c r="J303" s="15"/>
    </row>
    <row r="304" spans="2:10" ht="12.75">
      <c r="B304" s="28"/>
      <c r="J304" s="15"/>
    </row>
    <row r="305" spans="2:10" ht="12.75">
      <c r="B305" s="28"/>
      <c r="J305" s="15"/>
    </row>
    <row r="306" spans="2:10" ht="12.75">
      <c r="B306" s="28"/>
      <c r="J306" s="15"/>
    </row>
    <row r="307" spans="2:10" ht="12.75">
      <c r="B307" s="28"/>
      <c r="J307" s="15"/>
    </row>
    <row r="308" spans="2:10" ht="12.75">
      <c r="B308" s="28"/>
      <c r="J308" s="15"/>
    </row>
    <row r="309" spans="2:10" ht="12.75">
      <c r="B309" s="28"/>
      <c r="J309" s="15"/>
    </row>
    <row r="310" spans="2:10" ht="12.75">
      <c r="B310" s="28"/>
      <c r="J310" s="15"/>
    </row>
    <row r="311" spans="2:10" ht="12.75">
      <c r="B311" s="28"/>
      <c r="J311" s="15"/>
    </row>
    <row r="312" spans="2:10" ht="12.75">
      <c r="B312" s="28"/>
      <c r="J312" s="15"/>
    </row>
    <row r="313" spans="2:10" ht="12.75">
      <c r="B313" s="28"/>
      <c r="J313" s="15"/>
    </row>
    <row r="314" spans="2:10" ht="12.75">
      <c r="B314" s="28"/>
      <c r="J314" s="15"/>
    </row>
    <row r="315" spans="2:10" ht="12.75">
      <c r="B315" s="28"/>
      <c r="J315" s="15"/>
    </row>
    <row r="316" spans="2:10" ht="12.75">
      <c r="B316" s="28"/>
      <c r="J316" s="15"/>
    </row>
    <row r="317" spans="2:10" ht="12.75">
      <c r="B317" s="28"/>
      <c r="J317" s="15"/>
    </row>
    <row r="318" spans="2:10" ht="12.75">
      <c r="B318" s="28"/>
      <c r="J318" s="15"/>
    </row>
    <row r="319" spans="2:10" ht="12.75">
      <c r="B319" s="28"/>
      <c r="J319" s="15"/>
    </row>
    <row r="320" spans="2:10" ht="12.75">
      <c r="B320" s="28"/>
      <c r="J320" s="15"/>
    </row>
    <row r="321" spans="2:10" ht="12.75">
      <c r="B321" s="28"/>
      <c r="J321" s="15"/>
    </row>
    <row r="322" spans="2:10" ht="12.75">
      <c r="B322" s="28"/>
      <c r="J322" s="15"/>
    </row>
    <row r="323" spans="2:10" ht="12.75">
      <c r="B323" s="28"/>
      <c r="J323" s="15"/>
    </row>
    <row r="324" spans="2:10" ht="12.75">
      <c r="B324" s="28"/>
      <c r="J324" s="15"/>
    </row>
    <row r="325" spans="2:10" ht="12.75">
      <c r="B325" s="28"/>
      <c r="J325" s="15"/>
    </row>
    <row r="326" spans="2:10" ht="12.75">
      <c r="B326" s="28"/>
      <c r="J326" s="15"/>
    </row>
    <row r="327" spans="2:10" ht="12.75">
      <c r="B327" s="28"/>
      <c r="J327" s="15"/>
    </row>
    <row r="328" spans="2:10" ht="12.75">
      <c r="B328" s="28"/>
      <c r="J328" s="15"/>
    </row>
    <row r="329" spans="2:10" ht="12.75">
      <c r="B329" s="28"/>
      <c r="J329" s="15"/>
    </row>
    <row r="330" spans="2:10" ht="12.75">
      <c r="B330" s="28"/>
      <c r="J330" s="15"/>
    </row>
    <row r="331" spans="2:10" ht="12.75">
      <c r="B331" s="28"/>
      <c r="J331" s="15"/>
    </row>
    <row r="332" spans="2:10" ht="12.75">
      <c r="B332" s="28"/>
      <c r="J332" s="15"/>
    </row>
    <row r="333" spans="2:10" ht="12.75">
      <c r="B333" s="28"/>
      <c r="J333" s="15"/>
    </row>
    <row r="334" spans="2:10" ht="12.75">
      <c r="B334" s="28"/>
      <c r="J334" s="15"/>
    </row>
    <row r="335" spans="2:10" ht="12.75">
      <c r="B335" s="28"/>
      <c r="J335" s="15"/>
    </row>
    <row r="336" spans="2:10" ht="12.75">
      <c r="B336" s="28"/>
      <c r="J336" s="15"/>
    </row>
    <row r="337" spans="2:10" ht="12.75">
      <c r="B337" s="28"/>
      <c r="J337" s="15"/>
    </row>
    <row r="338" spans="2:10" ht="12.75">
      <c r="B338" s="28"/>
      <c r="J338" s="15"/>
    </row>
    <row r="339" spans="2:10" ht="12.75">
      <c r="B339" s="28"/>
      <c r="J339" s="15"/>
    </row>
    <row r="340" spans="2:10" ht="12.75">
      <c r="B340" s="28"/>
      <c r="J340" s="15"/>
    </row>
    <row r="341" spans="2:10" ht="12.75">
      <c r="B341" s="28"/>
      <c r="J341" s="15"/>
    </row>
    <row r="342" spans="2:10" ht="12.75">
      <c r="B342" s="28"/>
      <c r="J342" s="15"/>
    </row>
    <row r="343" spans="2:10" ht="12.75">
      <c r="B343" s="28"/>
      <c r="J343" s="15"/>
    </row>
    <row r="344" spans="2:10" ht="12.75">
      <c r="B344" s="28"/>
      <c r="J344" s="15"/>
    </row>
    <row r="345" spans="2:10" ht="12.75">
      <c r="B345" s="28"/>
      <c r="J345" s="15"/>
    </row>
    <row r="346" spans="2:10" ht="12.75">
      <c r="B346" s="28"/>
      <c r="J346" s="15"/>
    </row>
    <row r="347" spans="2:10" ht="12.75">
      <c r="B347" s="28"/>
      <c r="J347" s="15"/>
    </row>
    <row r="348" spans="2:10" ht="12.75">
      <c r="B348" s="28"/>
      <c r="J348" s="15"/>
    </row>
    <row r="349" spans="2:10" ht="12.75">
      <c r="B349" s="28"/>
      <c r="J349" s="15"/>
    </row>
    <row r="350" spans="2:10" ht="12.75">
      <c r="B350" s="28"/>
      <c r="J350" s="15"/>
    </row>
    <row r="351" spans="2:10" ht="12.75">
      <c r="B351" s="28"/>
      <c r="J351" s="15"/>
    </row>
    <row r="352" spans="2:10" ht="12.75">
      <c r="B352" s="28"/>
      <c r="J352" s="15"/>
    </row>
    <row r="353" spans="2:10" ht="12.75">
      <c r="B353" s="28"/>
      <c r="J353" s="15"/>
    </row>
    <row r="354" spans="2:10" ht="12.75">
      <c r="B354" s="28"/>
      <c r="J354" s="15"/>
    </row>
    <row r="355" spans="2:10" ht="12.75">
      <c r="B355" s="28"/>
      <c r="J355" s="15"/>
    </row>
    <row r="356" spans="2:10" ht="12.75">
      <c r="B356" s="28"/>
      <c r="J356" s="15"/>
    </row>
    <row r="357" spans="2:10" ht="12.75">
      <c r="B357" s="28"/>
      <c r="J357" s="15"/>
    </row>
    <row r="358" spans="2:10" ht="12.75">
      <c r="B358" s="28"/>
      <c r="J358" s="15"/>
    </row>
    <row r="359" spans="2:10" ht="12.75">
      <c r="B359" s="28"/>
      <c r="J359" s="15"/>
    </row>
    <row r="360" spans="2:10" ht="12.75">
      <c r="B360" s="28"/>
      <c r="J360" s="15"/>
    </row>
    <row r="361" spans="2:10" ht="12.75">
      <c r="B361" s="28"/>
      <c r="J361" s="15"/>
    </row>
    <row r="362" spans="2:10" ht="12.75">
      <c r="B362" s="28"/>
      <c r="J362" s="15"/>
    </row>
    <row r="363" spans="2:10" ht="12.75">
      <c r="B363" s="28"/>
      <c r="J363" s="15"/>
    </row>
    <row r="364" spans="2:10" ht="12.75">
      <c r="B364" s="28"/>
      <c r="J364" s="15"/>
    </row>
    <row r="365" spans="2:10" ht="12.75">
      <c r="B365" s="28"/>
      <c r="J365" s="15"/>
    </row>
    <row r="366" spans="2:10" ht="12.75">
      <c r="B366" s="28"/>
      <c r="J366" s="15"/>
    </row>
    <row r="367" spans="2:10" ht="12.75">
      <c r="B367" s="28"/>
      <c r="J367" s="15"/>
    </row>
    <row r="368" spans="2:10" ht="12.75">
      <c r="B368" s="28"/>
      <c r="J368" s="15"/>
    </row>
    <row r="369" spans="2:10" ht="12.75">
      <c r="B369" s="28"/>
      <c r="J369" s="15"/>
    </row>
    <row r="370" spans="2:10" ht="12.75">
      <c r="B370" s="28"/>
      <c r="J370" s="15"/>
    </row>
    <row r="371" spans="2:10" ht="12.75">
      <c r="B371" s="28"/>
      <c r="J371" s="15"/>
    </row>
    <row r="372" spans="2:10" ht="12.75">
      <c r="B372" s="28"/>
      <c r="J372" s="15"/>
    </row>
    <row r="373" spans="2:10" ht="12.75">
      <c r="B373" s="28"/>
      <c r="J373" s="15"/>
    </row>
    <row r="374" spans="2:10" ht="12.75">
      <c r="B374" s="28"/>
      <c r="J374" s="15"/>
    </row>
    <row r="375" spans="2:10" ht="12.75">
      <c r="B375" s="28"/>
      <c r="J375" s="15"/>
    </row>
    <row r="376" spans="2:10" ht="12.75">
      <c r="B376" s="28"/>
      <c r="J376" s="15"/>
    </row>
    <row r="377" spans="2:10" ht="12.75">
      <c r="B377" s="28"/>
      <c r="J377" s="15"/>
    </row>
    <row r="378" spans="2:10" ht="12.75">
      <c r="B378" s="28"/>
      <c r="J378" s="15"/>
    </row>
    <row r="379" spans="2:10" ht="12.75">
      <c r="B379" s="28"/>
      <c r="J379" s="15"/>
    </row>
    <row r="380" spans="2:10" ht="12.75">
      <c r="B380" s="28"/>
      <c r="J380" s="15"/>
    </row>
    <row r="381" spans="2:10" ht="12.75">
      <c r="B381" s="28"/>
      <c r="J381" s="15"/>
    </row>
    <row r="382" spans="2:10" ht="12.75">
      <c r="B382" s="28"/>
      <c r="J382" s="15"/>
    </row>
    <row r="383" spans="2:10" ht="12.75">
      <c r="B383" s="28"/>
      <c r="J383" s="15"/>
    </row>
    <row r="384" spans="2:10" ht="12.75">
      <c r="B384" s="28"/>
      <c r="J384" s="15"/>
    </row>
    <row r="385" spans="2:10" ht="12.75">
      <c r="B385" s="28"/>
      <c r="J385" s="15"/>
    </row>
    <row r="386" spans="2:10" ht="12.75">
      <c r="B386" s="28"/>
      <c r="J386" s="15"/>
    </row>
    <row r="387" spans="2:10" ht="12.75">
      <c r="B387" s="28"/>
      <c r="J387" s="15"/>
    </row>
    <row r="388" spans="2:10" ht="12.75">
      <c r="B388" s="28"/>
      <c r="J388" s="15"/>
    </row>
    <row r="389" spans="2:10" ht="12.75">
      <c r="B389" s="28"/>
      <c r="J389" s="15"/>
    </row>
    <row r="390" spans="2:10" ht="12.75">
      <c r="B390" s="28"/>
      <c r="J390" s="15"/>
    </row>
    <row r="391" spans="2:10" ht="12.75">
      <c r="B391" s="28"/>
      <c r="J391" s="15"/>
    </row>
    <row r="392" spans="2:10" ht="12.75">
      <c r="B392" s="28"/>
      <c r="J392" s="15"/>
    </row>
    <row r="393" spans="2:10" ht="12.75">
      <c r="B393" s="28"/>
      <c r="J393" s="15"/>
    </row>
    <row r="394" spans="2:10" ht="12.75">
      <c r="B394" s="28"/>
      <c r="J394" s="15"/>
    </row>
    <row r="395" spans="2:10" ht="12.75">
      <c r="B395" s="28"/>
      <c r="J395" s="15"/>
    </row>
    <row r="396" spans="2:10" ht="12.75">
      <c r="B396" s="28"/>
      <c r="J396" s="15"/>
    </row>
    <row r="397" spans="2:10" ht="12.75">
      <c r="B397" s="28"/>
      <c r="J397" s="15"/>
    </row>
    <row r="398" spans="2:10" ht="12.75">
      <c r="B398" s="28"/>
      <c r="J398" s="15"/>
    </row>
    <row r="399" spans="2:10" ht="12.75">
      <c r="B399" s="28"/>
      <c r="J399" s="15"/>
    </row>
    <row r="400" spans="2:10" ht="12.75">
      <c r="B400" s="28"/>
      <c r="J400" s="15"/>
    </row>
    <row r="401" spans="2:10" ht="12.75">
      <c r="B401" s="28"/>
      <c r="J401" s="15"/>
    </row>
    <row r="402" spans="2:10" ht="12.75">
      <c r="B402" s="28"/>
      <c r="J402" s="15"/>
    </row>
    <row r="403" spans="2:10" ht="12.75">
      <c r="B403" s="28"/>
      <c r="J403" s="15"/>
    </row>
    <row r="404" spans="2:10" ht="12.75">
      <c r="B404" s="28"/>
      <c r="J404" s="15"/>
    </row>
    <row r="405" spans="2:10" ht="12.75">
      <c r="B405" s="28"/>
      <c r="J405" s="15"/>
    </row>
    <row r="406" spans="2:10" ht="12.75">
      <c r="B406" s="28"/>
      <c r="J406" s="15"/>
    </row>
    <row r="407" spans="2:10" ht="12.75">
      <c r="B407" s="28"/>
      <c r="J407" s="15"/>
    </row>
    <row r="408" spans="2:10" ht="12.75">
      <c r="B408" s="28"/>
      <c r="J408" s="15"/>
    </row>
    <row r="409" spans="2:10" ht="12.75">
      <c r="B409" s="28"/>
      <c r="J409" s="15"/>
    </row>
    <row r="410" spans="2:10" ht="12.75">
      <c r="B410" s="28"/>
      <c r="J410" s="15"/>
    </row>
    <row r="411" spans="2:10" ht="12.75">
      <c r="B411" s="28"/>
      <c r="J411" s="15"/>
    </row>
    <row r="412" spans="2:10" ht="12.75">
      <c r="B412" s="28"/>
      <c r="J412" s="15"/>
    </row>
    <row r="413" spans="2:10" ht="12.75">
      <c r="B413" s="28"/>
      <c r="J413" s="15"/>
    </row>
    <row r="414" spans="2:10" ht="12.75">
      <c r="B414" s="28"/>
      <c r="J414" s="15"/>
    </row>
    <row r="415" spans="2:10" ht="12.75">
      <c r="B415" s="28"/>
      <c r="J415" s="15"/>
    </row>
    <row r="416" spans="2:10" ht="12.75">
      <c r="B416" s="28"/>
      <c r="J416" s="15"/>
    </row>
    <row r="417" spans="2:10" ht="12.75">
      <c r="B417" s="28"/>
      <c r="J417" s="15"/>
    </row>
    <row r="418" spans="2:10" ht="12.75">
      <c r="B418" s="28"/>
      <c r="J418" s="15"/>
    </row>
    <row r="419" spans="2:10" ht="12.75">
      <c r="B419" s="28"/>
      <c r="J419" s="15"/>
    </row>
    <row r="420" spans="2:10" ht="12.75">
      <c r="B420" s="28"/>
      <c r="J420" s="15"/>
    </row>
    <row r="421" spans="2:10" ht="12.75">
      <c r="B421" s="28"/>
      <c r="J421" s="15"/>
    </row>
    <row r="422" spans="2:10" ht="12.75">
      <c r="B422" s="28"/>
      <c r="J422" s="15"/>
    </row>
    <row r="423" spans="2:10" ht="12.75">
      <c r="B423" s="28"/>
      <c r="J423" s="15"/>
    </row>
    <row r="424" spans="2:10" ht="12.75">
      <c r="B424" s="28"/>
      <c r="J424" s="15"/>
    </row>
    <row r="425" spans="2:10" ht="12.75">
      <c r="B425" s="28"/>
      <c r="J425" s="15"/>
    </row>
    <row r="426" spans="2:10" ht="12.75">
      <c r="B426" s="28"/>
      <c r="J426" s="15"/>
    </row>
    <row r="427" spans="2:10" ht="12.75">
      <c r="B427" s="28"/>
      <c r="J427" s="15"/>
    </row>
    <row r="428" spans="2:10" ht="12.75">
      <c r="B428" s="28"/>
      <c r="J428" s="15"/>
    </row>
    <row r="429" spans="2:10" ht="12.75">
      <c r="B429" s="28"/>
      <c r="J429" s="15"/>
    </row>
    <row r="430" spans="2:10" ht="12.75">
      <c r="B430" s="28"/>
      <c r="J430" s="15"/>
    </row>
    <row r="431" spans="2:10" ht="12.75">
      <c r="B431" s="28"/>
      <c r="J431" s="15"/>
    </row>
    <row r="432" spans="2:10" ht="12.75">
      <c r="B432" s="28"/>
      <c r="J432" s="15"/>
    </row>
    <row r="433" spans="2:10" ht="12.75">
      <c r="B433" s="28"/>
      <c r="J433" s="15"/>
    </row>
    <row r="434" spans="2:10" ht="12.75">
      <c r="B434" s="28"/>
      <c r="J434" s="15"/>
    </row>
    <row r="435" spans="2:10" ht="12.75">
      <c r="B435" s="28"/>
      <c r="J435" s="15"/>
    </row>
    <row r="436" spans="2:10" ht="12.75">
      <c r="B436" s="28"/>
      <c r="J436" s="15"/>
    </row>
    <row r="437" spans="2:10" ht="12.75">
      <c r="B437" s="28"/>
      <c r="J437" s="15"/>
    </row>
    <row r="438" spans="2:10" ht="12.75">
      <c r="B438" s="28"/>
      <c r="J438" s="15"/>
    </row>
    <row r="439" spans="2:10" ht="12.75">
      <c r="B439" s="28"/>
      <c r="J439" s="15"/>
    </row>
    <row r="440" spans="2:10" ht="12.75">
      <c r="B440" s="28"/>
      <c r="J440" s="15"/>
    </row>
    <row r="441" spans="2:10" ht="12.75">
      <c r="B441" s="28"/>
      <c r="J441" s="15"/>
    </row>
    <row r="442" spans="2:10" ht="12.75">
      <c r="B442" s="28"/>
      <c r="J442" s="15"/>
    </row>
    <row r="443" spans="2:10" ht="12.75">
      <c r="B443" s="28"/>
      <c r="J443" s="15"/>
    </row>
    <row r="444" spans="2:10" ht="12.75">
      <c r="B444" s="28"/>
      <c r="J444" s="15"/>
    </row>
    <row r="445" spans="2:10" ht="12.75">
      <c r="B445" s="28"/>
      <c r="J445" s="15"/>
    </row>
    <row r="446" spans="2:10" ht="12.75">
      <c r="B446" s="28"/>
      <c r="J446" s="15"/>
    </row>
    <row r="447" spans="2:10" ht="12.75">
      <c r="B447" s="28"/>
      <c r="J447" s="15"/>
    </row>
    <row r="448" spans="2:10" ht="12.75">
      <c r="B448" s="28"/>
      <c r="J448" s="15"/>
    </row>
    <row r="449" spans="2:10" ht="12.75">
      <c r="B449" s="28"/>
      <c r="J449" s="15"/>
    </row>
    <row r="450" spans="2:10" ht="12.75">
      <c r="B450" s="28"/>
      <c r="J450" s="15"/>
    </row>
    <row r="451" spans="2:10" ht="12.75">
      <c r="B451" s="28"/>
      <c r="J451" s="15"/>
    </row>
    <row r="452" spans="2:10" ht="12.75">
      <c r="B452" s="28"/>
      <c r="J452" s="15"/>
    </row>
    <row r="453" spans="2:10" ht="12.75">
      <c r="B453" s="28"/>
      <c r="J453" s="15"/>
    </row>
    <row r="454" spans="2:10" ht="12.75">
      <c r="B454" s="28"/>
      <c r="J454" s="15"/>
    </row>
    <row r="455" spans="2:10" ht="12.75">
      <c r="B455" s="28"/>
      <c r="J455" s="15"/>
    </row>
    <row r="456" spans="2:10" ht="12.75">
      <c r="B456" s="28"/>
      <c r="J456" s="15"/>
    </row>
    <row r="457" spans="2:10" ht="12.75">
      <c r="B457" s="28"/>
      <c r="J457" s="15"/>
    </row>
    <row r="458" spans="2:10" ht="12.75">
      <c r="B458" s="28"/>
      <c r="J458" s="15"/>
    </row>
    <row r="459" spans="2:10" ht="12.75">
      <c r="B459" s="28"/>
      <c r="J459" s="15"/>
    </row>
    <row r="460" spans="2:10" ht="12.75">
      <c r="B460" s="28"/>
      <c r="J460" s="15"/>
    </row>
    <row r="461" spans="2:10" ht="12.75">
      <c r="B461" s="28"/>
      <c r="J461" s="15"/>
    </row>
    <row r="462" spans="2:10" ht="12.75">
      <c r="B462" s="28"/>
      <c r="J462" s="15"/>
    </row>
    <row r="463" spans="2:10" ht="12.75">
      <c r="B463" s="28"/>
      <c r="J463" s="15"/>
    </row>
    <row r="464" spans="2:10" ht="12.75">
      <c r="B464" s="28"/>
      <c r="J464" s="15"/>
    </row>
    <row r="465" spans="2:10" ht="12.75">
      <c r="B465" s="28"/>
      <c r="J465" s="15"/>
    </row>
    <row r="466" spans="2:10" ht="12.75">
      <c r="B466" s="28"/>
      <c r="J466" s="15"/>
    </row>
    <row r="467" spans="2:10" ht="12.75">
      <c r="B467" s="28"/>
      <c r="J467" s="15"/>
    </row>
    <row r="468" spans="2:10" ht="12.75">
      <c r="B468" s="28"/>
      <c r="J468" s="15"/>
    </row>
    <row r="469" spans="2:10" ht="12.75">
      <c r="B469" s="28"/>
      <c r="J469" s="15"/>
    </row>
    <row r="470" spans="2:10" ht="12.75">
      <c r="B470" s="28"/>
      <c r="J470" s="15"/>
    </row>
    <row r="471" spans="2:10" ht="12.75">
      <c r="B471" s="28"/>
      <c r="J471" s="15"/>
    </row>
    <row r="472" spans="2:10" ht="12.75">
      <c r="B472" s="28"/>
      <c r="J472" s="15"/>
    </row>
    <row r="473" spans="2:10" ht="12.75">
      <c r="B473" s="28"/>
      <c r="J473" s="15"/>
    </row>
    <row r="474" spans="2:10" ht="12.75">
      <c r="B474" s="28"/>
      <c r="J474" s="15"/>
    </row>
    <row r="475" spans="2:10" ht="12.75">
      <c r="B475" s="28"/>
      <c r="J475" s="15"/>
    </row>
    <row r="476" spans="2:10" ht="12.75">
      <c r="B476" s="28"/>
      <c r="J476" s="15"/>
    </row>
    <row r="477" spans="2:10" ht="12.75">
      <c r="B477" s="28"/>
      <c r="J477" s="15"/>
    </row>
    <row r="478" spans="2:10" ht="12.75">
      <c r="B478" s="28"/>
      <c r="J478" s="15"/>
    </row>
    <row r="479" spans="2:10" ht="12.75">
      <c r="B479" s="28"/>
      <c r="J479" s="15"/>
    </row>
    <row r="480" spans="2:10" ht="12.75">
      <c r="B480" s="28"/>
      <c r="J480" s="15"/>
    </row>
    <row r="481" spans="2:10" ht="12.75">
      <c r="B481" s="28"/>
      <c r="J481" s="15"/>
    </row>
    <row r="482" spans="2:10" ht="12.75">
      <c r="B482" s="28"/>
      <c r="J482" s="15"/>
    </row>
    <row r="483" spans="2:10" ht="12.75">
      <c r="B483" s="28"/>
      <c r="J483" s="15"/>
    </row>
    <row r="484" spans="2:10" ht="12.75">
      <c r="B484" s="28"/>
      <c r="J484" s="15"/>
    </row>
    <row r="485" spans="2:10" ht="12.75">
      <c r="B485" s="28"/>
      <c r="J485" s="15"/>
    </row>
    <row r="486" spans="2:10" ht="12.75">
      <c r="B486" s="28"/>
      <c r="J486" s="15"/>
    </row>
    <row r="487" spans="2:10" ht="12.75">
      <c r="B487" s="28"/>
      <c r="J487" s="15"/>
    </row>
    <row r="488" spans="2:10" ht="12.75">
      <c r="B488" s="28"/>
      <c r="J488" s="15"/>
    </row>
    <row r="489" spans="2:10" ht="12.75">
      <c r="B489" s="28"/>
      <c r="J489" s="15"/>
    </row>
    <row r="490" spans="2:10" ht="12.75">
      <c r="B490" s="28"/>
      <c r="J490" s="15"/>
    </row>
    <row r="491" spans="2:10" ht="12.75">
      <c r="B491" s="28"/>
      <c r="J491" s="15"/>
    </row>
    <row r="492" spans="2:10" ht="12.75">
      <c r="B492" s="28"/>
      <c r="J492" s="15"/>
    </row>
    <row r="493" spans="2:10" ht="12.75">
      <c r="B493" s="28"/>
      <c r="J493" s="15"/>
    </row>
    <row r="494" spans="2:10" ht="12.75">
      <c r="B494" s="28"/>
      <c r="J494" s="15"/>
    </row>
    <row r="495" spans="2:10" ht="12.75">
      <c r="B495" s="28"/>
      <c r="J495" s="15"/>
    </row>
    <row r="496" spans="2:10" ht="12.75">
      <c r="B496" s="28"/>
      <c r="J496" s="15"/>
    </row>
    <row r="497" spans="2:10" ht="12.75">
      <c r="B497" s="28"/>
      <c r="J497" s="15"/>
    </row>
    <row r="498" spans="2:10" ht="12.75">
      <c r="B498" s="28"/>
      <c r="J498" s="15"/>
    </row>
    <row r="499" spans="2:10" ht="12.75">
      <c r="B499" s="28"/>
      <c r="J499" s="15"/>
    </row>
    <row r="500" spans="2:10" ht="12.75">
      <c r="B500" s="28"/>
      <c r="J500" s="15"/>
    </row>
    <row r="501" spans="2:10" ht="12.75">
      <c r="B501" s="28"/>
      <c r="J501" s="15"/>
    </row>
    <row r="502" spans="2:10" ht="12.75">
      <c r="B502" s="28"/>
      <c r="J502" s="15"/>
    </row>
    <row r="503" spans="2:10" ht="12.75">
      <c r="B503" s="28"/>
      <c r="J503" s="15"/>
    </row>
    <row r="504" spans="2:10" ht="12.75">
      <c r="B504" s="28"/>
      <c r="J504" s="15"/>
    </row>
    <row r="505" spans="2:10" ht="12.75">
      <c r="B505" s="28"/>
      <c r="J505" s="15"/>
    </row>
    <row r="506" spans="2:10" ht="12.75">
      <c r="B506" s="28"/>
      <c r="J506" s="15"/>
    </row>
    <row r="507" spans="2:10" ht="12.75">
      <c r="B507" s="28"/>
      <c r="J507" s="15"/>
    </row>
    <row r="508" spans="2:10" ht="12.75">
      <c r="B508" s="28"/>
      <c r="J508" s="15"/>
    </row>
    <row r="509" spans="2:10" ht="12.75">
      <c r="B509" s="28"/>
      <c r="J509" s="15"/>
    </row>
    <row r="510" spans="2:10" ht="12.75">
      <c r="B510" s="28"/>
      <c r="J510" s="15"/>
    </row>
    <row r="511" spans="2:10" ht="12.75">
      <c r="B511" s="28"/>
      <c r="J511" s="15"/>
    </row>
    <row r="512" spans="2:10" ht="12.75">
      <c r="B512" s="28"/>
      <c r="J512" s="15"/>
    </row>
    <row r="513" spans="2:10" ht="12.75">
      <c r="B513" s="28"/>
      <c r="J513" s="15"/>
    </row>
    <row r="514" spans="2:10" ht="12.75">
      <c r="B514" s="28"/>
      <c r="J514" s="15"/>
    </row>
    <row r="515" spans="2:10" ht="12.75">
      <c r="B515" s="28"/>
      <c r="J515" s="15"/>
    </row>
    <row r="516" spans="2:10" ht="12.75">
      <c r="B516" s="28"/>
      <c r="J516" s="15"/>
    </row>
    <row r="517" spans="2:10" ht="12.75">
      <c r="B517" s="28"/>
      <c r="J517" s="15"/>
    </row>
    <row r="518" spans="2:10" ht="12.75">
      <c r="B518" s="28"/>
      <c r="J518" s="15"/>
    </row>
    <row r="519" spans="2:10" ht="12.75">
      <c r="B519" s="28"/>
      <c r="J519" s="15"/>
    </row>
    <row r="520" spans="2:10" ht="12.75">
      <c r="B520" s="28"/>
      <c r="J520" s="15"/>
    </row>
    <row r="521" spans="2:10" ht="12.75">
      <c r="B521" s="28"/>
      <c r="J521" s="15"/>
    </row>
    <row r="522" spans="2:10" ht="12.75">
      <c r="B522" s="28"/>
      <c r="J522" s="15"/>
    </row>
    <row r="523" spans="2:10" ht="12.75">
      <c r="B523" s="28"/>
      <c r="J523" s="15"/>
    </row>
    <row r="524" spans="2:10" ht="12.75">
      <c r="B524" s="28"/>
      <c r="J524" s="15"/>
    </row>
    <row r="525" spans="2:10" ht="12.75">
      <c r="B525" s="28"/>
      <c r="J525" s="15"/>
    </row>
    <row r="526" spans="2:10" ht="12.75">
      <c r="B526" s="28"/>
      <c r="J526" s="15"/>
    </row>
    <row r="527" spans="2:10" ht="12.75">
      <c r="B527" s="28"/>
      <c r="J527" s="15"/>
    </row>
    <row r="528" spans="2:10" ht="12.75">
      <c r="B528" s="28"/>
      <c r="J528" s="15"/>
    </row>
    <row r="529" spans="2:10" ht="12.75">
      <c r="B529" s="28"/>
      <c r="J529" s="15"/>
    </row>
    <row r="530" spans="2:10" ht="12.75">
      <c r="B530" s="28"/>
      <c r="J530" s="15"/>
    </row>
    <row r="531" spans="2:10" ht="12.75">
      <c r="B531" s="28"/>
      <c r="J531" s="15"/>
    </row>
    <row r="532" spans="2:10" ht="12.75">
      <c r="B532" s="28"/>
      <c r="J532" s="15"/>
    </row>
    <row r="533" spans="2:10" ht="12.75">
      <c r="B533" s="28"/>
      <c r="J533" s="15"/>
    </row>
    <row r="534" spans="2:10" ht="12.75">
      <c r="B534" s="28"/>
      <c r="J534" s="15"/>
    </row>
    <row r="535" spans="2:10" ht="12.75">
      <c r="B535" s="28"/>
      <c r="J535" s="15"/>
    </row>
    <row r="536" spans="2:10" ht="12.75">
      <c r="B536" s="28"/>
      <c r="J536" s="15"/>
    </row>
    <row r="537" spans="2:10" ht="12.75">
      <c r="B537" s="28"/>
      <c r="J537" s="15"/>
    </row>
    <row r="538" spans="2:10" ht="12.75">
      <c r="B538" s="28"/>
      <c r="J538" s="15"/>
    </row>
    <row r="539" spans="2:10" ht="12.75">
      <c r="B539" s="28"/>
      <c r="J539" s="15"/>
    </row>
    <row r="540" spans="2:10" ht="12.75">
      <c r="B540" s="28"/>
      <c r="J540" s="15"/>
    </row>
    <row r="541" spans="2:10" ht="12.75">
      <c r="B541" s="28"/>
      <c r="J541" s="15"/>
    </row>
    <row r="542" spans="2:10" ht="12.75">
      <c r="B542" s="28"/>
      <c r="J542" s="15"/>
    </row>
    <row r="543" spans="2:10" ht="12.75">
      <c r="B543" s="28"/>
      <c r="J543" s="15"/>
    </row>
    <row r="544" spans="2:10" ht="12.75">
      <c r="B544" s="28"/>
      <c r="J544" s="15"/>
    </row>
    <row r="545" spans="2:10" ht="12.75">
      <c r="B545" s="28"/>
      <c r="J545" s="15"/>
    </row>
    <row r="546" spans="2:10" ht="12.75">
      <c r="B546" s="28"/>
      <c r="J546" s="15"/>
    </row>
    <row r="547" spans="2:10" ht="12.75">
      <c r="B547" s="28"/>
      <c r="J547" s="15"/>
    </row>
    <row r="548" spans="2:10" ht="12.75">
      <c r="B548" s="28"/>
      <c r="J548" s="15"/>
    </row>
    <row r="549" spans="2:10" ht="12.75">
      <c r="B549" s="28"/>
      <c r="J549" s="15"/>
    </row>
    <row r="550" spans="2:10" ht="12.75">
      <c r="B550" s="28"/>
      <c r="J550" s="15"/>
    </row>
    <row r="551" spans="2:10" ht="12.75">
      <c r="B551" s="28"/>
      <c r="J551" s="15"/>
    </row>
    <row r="552" spans="2:10" ht="12.75">
      <c r="B552" s="28"/>
      <c r="J552" s="15"/>
    </row>
    <row r="553" spans="2:10" ht="12.75">
      <c r="B553" s="28"/>
      <c r="J553" s="15"/>
    </row>
    <row r="554" spans="2:10" ht="12.75">
      <c r="B554" s="28"/>
      <c r="J554" s="15"/>
    </row>
    <row r="555" spans="2:10" ht="12.75">
      <c r="B555" s="28"/>
      <c r="J555" s="15"/>
    </row>
    <row r="556" spans="2:10" ht="12.75">
      <c r="B556" s="28"/>
      <c r="J556" s="15"/>
    </row>
    <row r="557" spans="2:10" ht="12.75">
      <c r="B557" s="28"/>
      <c r="J557" s="15"/>
    </row>
    <row r="558" spans="2:10" ht="12.75">
      <c r="B558" s="28"/>
      <c r="J558" s="15"/>
    </row>
    <row r="559" spans="2:10" ht="12.75">
      <c r="B559" s="28"/>
      <c r="J559" s="15"/>
    </row>
    <row r="560" spans="2:10" ht="12.75">
      <c r="B560" s="28"/>
      <c r="J560" s="15"/>
    </row>
    <row r="561" spans="2:10" ht="12.75">
      <c r="B561" s="28"/>
      <c r="J561" s="15"/>
    </row>
    <row r="562" spans="2:10" ht="12.75">
      <c r="B562" s="28"/>
      <c r="J562" s="15"/>
    </row>
    <row r="563" spans="2:10" ht="12.75">
      <c r="B563" s="28"/>
      <c r="J563" s="15"/>
    </row>
    <row r="564" spans="2:10" ht="12.75">
      <c r="B564" s="28"/>
      <c r="J564" s="15"/>
    </row>
    <row r="565" spans="2:10" ht="12.75">
      <c r="B565" s="28"/>
      <c r="J565" s="15"/>
    </row>
    <row r="566" spans="2:10" ht="12.75">
      <c r="B566" s="28"/>
      <c r="J566" s="15"/>
    </row>
    <row r="567" spans="2:10" ht="12.75">
      <c r="B567" s="28"/>
      <c r="J567" s="15"/>
    </row>
    <row r="568" spans="2:10" ht="12.75">
      <c r="B568" s="28"/>
      <c r="J568" s="15"/>
    </row>
    <row r="569" spans="2:10" ht="12.75">
      <c r="B569" s="28"/>
      <c r="J569" s="15"/>
    </row>
    <row r="570" spans="2:10" ht="12.75">
      <c r="B570" s="28"/>
      <c r="J570" s="15"/>
    </row>
    <row r="571" spans="2:10" ht="12.75">
      <c r="B571" s="28"/>
      <c r="J571" s="15"/>
    </row>
    <row r="572" spans="2:10" ht="12.75">
      <c r="B572" s="28"/>
      <c r="J572" s="15"/>
    </row>
    <row r="573" spans="2:10" ht="12.75">
      <c r="B573" s="28"/>
      <c r="J573" s="15"/>
    </row>
    <row r="574" spans="2:10" ht="12.75">
      <c r="B574" s="28"/>
      <c r="J574" s="15"/>
    </row>
    <row r="575" spans="2:10" ht="12.75">
      <c r="B575" s="28"/>
      <c r="J575" s="15"/>
    </row>
    <row r="576" spans="2:10" ht="12.75">
      <c r="B576" s="28"/>
      <c r="J576" s="15"/>
    </row>
    <row r="577" spans="2:10" ht="12.75">
      <c r="B577" s="28"/>
      <c r="J577" s="15"/>
    </row>
    <row r="578" spans="2:10" ht="12.75">
      <c r="B578" s="28"/>
      <c r="J578" s="15"/>
    </row>
    <row r="579" spans="2:10" ht="12.75">
      <c r="B579" s="28"/>
      <c r="J579" s="15"/>
    </row>
    <row r="580" spans="2:10" ht="12.75">
      <c r="B580" s="28"/>
      <c r="J580" s="15"/>
    </row>
    <row r="581" spans="2:10" ht="12.75">
      <c r="B581" s="28"/>
      <c r="J581" s="15"/>
    </row>
    <row r="582" spans="2:10" ht="12.75">
      <c r="B582" s="28"/>
      <c r="J582" s="15"/>
    </row>
    <row r="583" spans="2:10" ht="12.75">
      <c r="B583" s="28"/>
      <c r="J583" s="15"/>
    </row>
    <row r="584" spans="2:10" ht="12.75">
      <c r="B584" s="28"/>
      <c r="J584" s="15"/>
    </row>
    <row r="585" spans="2:10" ht="12.75">
      <c r="B585" s="28"/>
      <c r="J585" s="15"/>
    </row>
    <row r="586" spans="2:10" ht="12.75">
      <c r="B586" s="28"/>
      <c r="J586" s="15"/>
    </row>
    <row r="587" spans="2:10" ht="12.75">
      <c r="B587" s="28"/>
      <c r="J587" s="15"/>
    </row>
    <row r="588" spans="2:10" ht="12.75">
      <c r="B588" s="28"/>
      <c r="J588" s="15"/>
    </row>
    <row r="589" spans="2:10" ht="12.75">
      <c r="B589" s="28"/>
      <c r="J589" s="15"/>
    </row>
    <row r="590" spans="2:10" ht="12.75">
      <c r="B590" s="28"/>
      <c r="J590" s="15"/>
    </row>
    <row r="591" spans="2:10" ht="12.75">
      <c r="B591" s="28"/>
      <c r="J591" s="15"/>
    </row>
    <row r="592" spans="2:10" ht="12.75">
      <c r="B592" s="28"/>
      <c r="J592" s="15"/>
    </row>
    <row r="593" spans="2:10" ht="12.75">
      <c r="B593" s="28"/>
      <c r="J593" s="15"/>
    </row>
    <row r="594" spans="2:10" ht="12.75">
      <c r="B594" s="28"/>
      <c r="J594" s="15"/>
    </row>
    <row r="595" spans="2:10" ht="12.75">
      <c r="B595" s="28"/>
      <c r="J595" s="15"/>
    </row>
    <row r="596" spans="2:10" ht="12.75">
      <c r="B596" s="28"/>
      <c r="J596" s="15"/>
    </row>
    <row r="597" spans="2:10" ht="12.75">
      <c r="B597" s="28"/>
      <c r="J597" s="15"/>
    </row>
    <row r="598" spans="2:10" ht="12.75">
      <c r="B598" s="28"/>
      <c r="J598" s="15"/>
    </row>
    <row r="599" spans="2:10" ht="12.75">
      <c r="B599" s="28"/>
      <c r="J599" s="15"/>
    </row>
    <row r="600" spans="2:10" ht="12.75">
      <c r="B600" s="28"/>
      <c r="J600" s="15"/>
    </row>
    <row r="601" spans="2:10" ht="12.75">
      <c r="B601" s="28"/>
      <c r="J601" s="15"/>
    </row>
    <row r="602" spans="2:10" ht="12.75">
      <c r="B602" s="28"/>
      <c r="J602" s="15"/>
    </row>
    <row r="603" spans="2:10" ht="12.75">
      <c r="B603" s="28"/>
      <c r="J603" s="15"/>
    </row>
    <row r="604" spans="2:10" ht="12.75">
      <c r="B604" s="28"/>
      <c r="J604" s="15"/>
    </row>
    <row r="605" spans="2:10" ht="12.75">
      <c r="B605" s="28"/>
      <c r="J605" s="15"/>
    </row>
    <row r="606" spans="2:10" ht="12.75">
      <c r="B606" s="28"/>
      <c r="J606" s="15"/>
    </row>
    <row r="607" spans="2:10" ht="12.75">
      <c r="B607" s="28"/>
      <c r="J607" s="15"/>
    </row>
    <row r="608" spans="2:10" ht="12.75">
      <c r="B608" s="28"/>
      <c r="J608" s="15"/>
    </row>
    <row r="609" spans="2:10" ht="12.75">
      <c r="B609" s="28"/>
      <c r="J609" s="15"/>
    </row>
    <row r="610" spans="2:10" ht="12.75">
      <c r="B610" s="28"/>
      <c r="J610" s="15"/>
    </row>
    <row r="611" spans="2:10" ht="12.75">
      <c r="B611" s="28"/>
      <c r="J611" s="15"/>
    </row>
    <row r="612" spans="2:10" ht="12.75">
      <c r="B612" s="28"/>
      <c r="J612" s="15"/>
    </row>
    <row r="613" spans="2:10" ht="12.75">
      <c r="B613" s="28"/>
      <c r="J613" s="15"/>
    </row>
    <row r="614" spans="2:10" ht="12.75">
      <c r="B614" s="28"/>
      <c r="J614" s="15"/>
    </row>
    <row r="615" spans="2:10" ht="12.75">
      <c r="B615" s="28"/>
      <c r="J615" s="15"/>
    </row>
    <row r="616" spans="2:10" ht="12.75">
      <c r="B616" s="28"/>
      <c r="J616" s="15"/>
    </row>
    <row r="617" spans="2:10" ht="12.75">
      <c r="B617" s="28"/>
      <c r="J617" s="15"/>
    </row>
    <row r="618" spans="2:10" ht="12.75">
      <c r="B618" s="28"/>
      <c r="J618" s="15"/>
    </row>
    <row r="619" spans="2:10" ht="12.75">
      <c r="B619" s="28"/>
      <c r="J619" s="15"/>
    </row>
    <row r="620" spans="2:10" ht="12.75">
      <c r="B620" s="28"/>
      <c r="J620" s="15"/>
    </row>
    <row r="621" spans="2:10" ht="12.75">
      <c r="B621" s="28"/>
      <c r="J621" s="15"/>
    </row>
    <row r="622" spans="2:10" ht="12.75">
      <c r="B622" s="28"/>
      <c r="J622" s="15"/>
    </row>
    <row r="623" spans="2:10" ht="12.75">
      <c r="B623" s="28"/>
      <c r="J623" s="15"/>
    </row>
    <row r="624" spans="2:10" ht="12.75">
      <c r="B624" s="28"/>
      <c r="J624" s="15"/>
    </row>
    <row r="625" spans="2:10" ht="12.75">
      <c r="B625" s="28"/>
      <c r="J625" s="15"/>
    </row>
    <row r="626" spans="2:10" ht="12.75">
      <c r="B626" s="28"/>
      <c r="J626" s="15"/>
    </row>
    <row r="627" spans="2:10" ht="12.75">
      <c r="B627" s="28"/>
      <c r="J627" s="15"/>
    </row>
    <row r="628" spans="2:10" ht="12.75">
      <c r="B628" s="28"/>
      <c r="J628" s="15"/>
    </row>
    <row r="629" spans="2:10" ht="12.75">
      <c r="B629" s="28"/>
      <c r="J629" s="15"/>
    </row>
    <row r="630" spans="2:10" ht="12.75">
      <c r="B630" s="28"/>
      <c r="J630" s="15"/>
    </row>
    <row r="631" spans="2:10" ht="12.75">
      <c r="B631" s="28"/>
      <c r="J631" s="15"/>
    </row>
    <row r="632" spans="2:10" ht="12.75">
      <c r="B632" s="28"/>
      <c r="J632" s="15"/>
    </row>
    <row r="633" spans="2:10" ht="12.75">
      <c r="B633" s="28"/>
      <c r="J633" s="15"/>
    </row>
    <row r="634" spans="2:10" ht="12.75">
      <c r="B634" s="28"/>
      <c r="J634" s="15"/>
    </row>
    <row r="635" spans="2:10" ht="12.75">
      <c r="B635" s="28"/>
      <c r="J635" s="15"/>
    </row>
    <row r="636" spans="2:10" ht="12.75">
      <c r="B636" s="28"/>
      <c r="J636" s="15"/>
    </row>
    <row r="637" spans="2:10" ht="12.75">
      <c r="B637" s="28"/>
      <c r="J637" s="15"/>
    </row>
    <row r="638" spans="2:10" ht="12.75">
      <c r="B638" s="28"/>
      <c r="J638" s="15"/>
    </row>
    <row r="639" spans="2:10" ht="12.75">
      <c r="B639" s="28"/>
      <c r="J639" s="15"/>
    </row>
    <row r="640" spans="2:10" ht="12.75">
      <c r="B640" s="28"/>
      <c r="J640" s="15"/>
    </row>
    <row r="641" spans="2:10" ht="12.75">
      <c r="B641" s="28"/>
      <c r="J641" s="15"/>
    </row>
    <row r="642" spans="2:10" ht="12.75">
      <c r="B642" s="28"/>
      <c r="J642" s="15"/>
    </row>
    <row r="643" spans="2:10" ht="12.75">
      <c r="B643" s="28"/>
      <c r="J643" s="15"/>
    </row>
    <row r="644" spans="2:10" ht="12.75">
      <c r="B644" s="28"/>
      <c r="J644" s="15"/>
    </row>
    <row r="645" spans="2:10" ht="12.75">
      <c r="B645" s="28"/>
      <c r="J645" s="15"/>
    </row>
    <row r="646" spans="2:10" ht="12.75">
      <c r="B646" s="28"/>
      <c r="J646" s="15"/>
    </row>
    <row r="647" spans="2:10" ht="12.75">
      <c r="B647" s="28"/>
      <c r="J647" s="15"/>
    </row>
    <row r="648" spans="2:10" ht="12.75">
      <c r="B648" s="28"/>
      <c r="J648" s="15"/>
    </row>
    <row r="649" spans="2:10" ht="12.75">
      <c r="B649" s="28"/>
      <c r="J649" s="15"/>
    </row>
    <row r="650" spans="2:10" ht="12.75">
      <c r="B650" s="28"/>
      <c r="J650" s="15"/>
    </row>
    <row r="651" spans="2:10" ht="12.75">
      <c r="B651" s="28"/>
      <c r="J651" s="15"/>
    </row>
    <row r="652" spans="2:10" ht="12.75">
      <c r="B652" s="28"/>
      <c r="J652" s="15"/>
    </row>
    <row r="653" spans="2:10" ht="12.75">
      <c r="B653" s="28"/>
      <c r="J653" s="15"/>
    </row>
    <row r="654" spans="2:10" ht="12.75">
      <c r="B654" s="28"/>
      <c r="J654" s="15"/>
    </row>
    <row r="655" spans="2:10" ht="12.75">
      <c r="B655" s="28"/>
      <c r="J655" s="15"/>
    </row>
    <row r="656" spans="2:10" ht="12.75">
      <c r="B656" s="28"/>
      <c r="J656" s="15"/>
    </row>
    <row r="657" spans="2:10" ht="12.75">
      <c r="B657" s="28"/>
      <c r="J657" s="15"/>
    </row>
    <row r="658" spans="2:10" ht="12.75">
      <c r="B658" s="28"/>
      <c r="J658" s="15"/>
    </row>
    <row r="659" spans="2:10" ht="12.75">
      <c r="B659" s="28"/>
      <c r="J659" s="15"/>
    </row>
    <row r="660" spans="2:10" ht="12.75">
      <c r="B660" s="28"/>
      <c r="J660" s="15"/>
    </row>
    <row r="661" spans="2:10" ht="12.75">
      <c r="B661" s="28"/>
      <c r="J661" s="15"/>
    </row>
    <row r="662" spans="2:10" ht="12.75">
      <c r="B662" s="28"/>
      <c r="J662" s="15"/>
    </row>
    <row r="663" spans="2:10" ht="12.75">
      <c r="B663" s="28"/>
      <c r="J663" s="15"/>
    </row>
    <row r="664" spans="2:10" ht="12.75">
      <c r="B664" s="28"/>
      <c r="J664" s="15"/>
    </row>
    <row r="665" spans="2:10" ht="12.75">
      <c r="B665" s="28"/>
      <c r="J665" s="15"/>
    </row>
    <row r="666" spans="2:10" ht="12.75">
      <c r="B666" s="28"/>
      <c r="J666" s="15"/>
    </row>
    <row r="667" spans="2:10" ht="12.75">
      <c r="B667" s="28"/>
      <c r="J667" s="15"/>
    </row>
    <row r="668" spans="2:10" ht="12.75">
      <c r="B668" s="28"/>
      <c r="J668" s="15"/>
    </row>
    <row r="669" spans="2:10" ht="12.75">
      <c r="B669" s="28"/>
      <c r="J669" s="15"/>
    </row>
    <row r="670" spans="2:10" ht="12.75">
      <c r="B670" s="28"/>
      <c r="J670" s="15"/>
    </row>
    <row r="671" spans="2:10" ht="12.75">
      <c r="B671" s="28"/>
      <c r="J671" s="15"/>
    </row>
    <row r="672" spans="2:10" ht="12.75">
      <c r="B672" s="28"/>
      <c r="J672" s="15"/>
    </row>
    <row r="673" spans="2:10" ht="12.75">
      <c r="B673" s="28"/>
      <c r="J673" s="15"/>
    </row>
    <row r="674" spans="2:10" ht="12.75">
      <c r="B674" s="28"/>
      <c r="J674" s="15"/>
    </row>
    <row r="675" spans="2:10" ht="12.75">
      <c r="B675" s="28"/>
      <c r="J675" s="15"/>
    </row>
    <row r="676" spans="2:10" ht="12.75">
      <c r="B676" s="28"/>
      <c r="J676" s="15"/>
    </row>
    <row r="677" spans="2:10" ht="12.75">
      <c r="B677" s="28"/>
      <c r="J677" s="15"/>
    </row>
    <row r="678" spans="2:10" ht="12.75">
      <c r="B678" s="28"/>
      <c r="J678" s="15"/>
    </row>
    <row r="679" spans="2:10" ht="12.75">
      <c r="B679" s="28"/>
      <c r="J679" s="15"/>
    </row>
    <row r="680" spans="2:10" ht="12.75">
      <c r="B680" s="28"/>
      <c r="J680" s="15"/>
    </row>
    <row r="681" spans="2:10" ht="12.75">
      <c r="B681" s="28"/>
      <c r="J681" s="15"/>
    </row>
    <row r="682" spans="2:10" ht="12.75">
      <c r="B682" s="28"/>
      <c r="J682" s="15"/>
    </row>
    <row r="683" spans="2:10" ht="12.75">
      <c r="B683" s="28"/>
      <c r="J683" s="15"/>
    </row>
    <row r="684" spans="2:10" ht="12.75">
      <c r="B684" s="28"/>
      <c r="J684" s="15"/>
    </row>
    <row r="685" spans="2:10" ht="12.75">
      <c r="B685" s="28"/>
      <c r="J685" s="15"/>
    </row>
    <row r="686" spans="2:10" ht="12.75">
      <c r="B686" s="28"/>
      <c r="J686" s="15"/>
    </row>
    <row r="687" spans="2:10" ht="12.75">
      <c r="B687" s="28"/>
      <c r="J687" s="15"/>
    </row>
    <row r="688" spans="2:10" ht="12.75">
      <c r="B688" s="28"/>
      <c r="J688" s="15"/>
    </row>
    <row r="689" spans="2:10" ht="12.75">
      <c r="B689" s="28"/>
      <c r="J689" s="15"/>
    </row>
    <row r="690" spans="2:10" ht="12.75">
      <c r="B690" s="28"/>
      <c r="J690" s="15"/>
    </row>
    <row r="691" spans="2:10" ht="12.75">
      <c r="B691" s="28"/>
      <c r="J691" s="15"/>
    </row>
    <row r="692" spans="2:10" ht="12.75">
      <c r="B692" s="28"/>
      <c r="J692" s="15"/>
    </row>
    <row r="693" spans="2:10" ht="12.75">
      <c r="B693" s="28"/>
      <c r="J693" s="15"/>
    </row>
    <row r="694" spans="2:10" ht="12.75">
      <c r="B694" s="28"/>
      <c r="J694" s="15"/>
    </row>
    <row r="695" spans="2:10" ht="12.75">
      <c r="B695" s="28"/>
      <c r="J695" s="15"/>
    </row>
    <row r="696" spans="2:10" ht="12.75">
      <c r="B696" s="28"/>
      <c r="J696" s="15"/>
    </row>
    <row r="697" spans="2:10" ht="12.75">
      <c r="B697" s="28"/>
      <c r="J697" s="15"/>
    </row>
    <row r="698" spans="2:10" ht="12.75">
      <c r="B698" s="28"/>
      <c r="J698" s="15"/>
    </row>
    <row r="699" spans="2:10" ht="12.75">
      <c r="B699" s="28"/>
      <c r="J699" s="15"/>
    </row>
    <row r="700" spans="2:10" ht="12.75">
      <c r="B700" s="28"/>
      <c r="J700" s="15"/>
    </row>
    <row r="701" spans="2:10" ht="12.75">
      <c r="B701" s="28"/>
      <c r="J701" s="15"/>
    </row>
    <row r="702" spans="2:10" ht="12.75">
      <c r="B702" s="28"/>
      <c r="J702" s="15"/>
    </row>
    <row r="703" spans="2:10" ht="12.75">
      <c r="B703" s="28"/>
      <c r="J703" s="15"/>
    </row>
    <row r="704" spans="2:10" ht="12.75">
      <c r="B704" s="28"/>
      <c r="J704" s="15"/>
    </row>
    <row r="705" spans="2:10" ht="12.75">
      <c r="B705" s="28"/>
      <c r="J705" s="15"/>
    </row>
    <row r="706" spans="2:10" ht="12.75">
      <c r="B706" s="28"/>
      <c r="J706" s="15"/>
    </row>
    <row r="707" spans="2:10" ht="12.75">
      <c r="B707" s="28"/>
      <c r="J707" s="15"/>
    </row>
    <row r="708" spans="2:10" ht="12.75">
      <c r="B708" s="28"/>
      <c r="J708" s="15"/>
    </row>
    <row r="709" spans="2:10" ht="12.75">
      <c r="B709" s="28"/>
      <c r="J709" s="15"/>
    </row>
    <row r="710" spans="2:10" ht="12.75">
      <c r="B710" s="28"/>
      <c r="J710" s="15"/>
    </row>
    <row r="711" spans="2:10" ht="12.75">
      <c r="B711" s="28"/>
      <c r="J711" s="15"/>
    </row>
    <row r="712" spans="2:10" ht="12.75">
      <c r="B712" s="28"/>
      <c r="J712" s="15"/>
    </row>
    <row r="713" spans="2:10" ht="12.75">
      <c r="B713" s="28"/>
      <c r="J713" s="15"/>
    </row>
    <row r="714" spans="2:10" ht="12.75">
      <c r="B714" s="28"/>
      <c r="J714" s="15"/>
    </row>
    <row r="715" spans="2:10" ht="12.75">
      <c r="B715" s="28"/>
      <c r="J715" s="15"/>
    </row>
    <row r="716" spans="2:10" ht="12.75">
      <c r="B716" s="28"/>
      <c r="J716" s="15"/>
    </row>
    <row r="717" spans="2:10" ht="12.75">
      <c r="B717" s="28"/>
      <c r="J717" s="15"/>
    </row>
    <row r="718" spans="2:10" ht="12.75">
      <c r="B718" s="28"/>
      <c r="J718" s="15"/>
    </row>
    <row r="719" spans="2:10" ht="12.75">
      <c r="B719" s="28"/>
      <c r="J719" s="15"/>
    </row>
    <row r="720" spans="2:10" ht="12.75">
      <c r="B720" s="28"/>
      <c r="J720" s="15"/>
    </row>
    <row r="721" spans="2:10" ht="12.75">
      <c r="B721" s="28"/>
      <c r="J721" s="15"/>
    </row>
    <row r="722" spans="2:10" ht="12.75">
      <c r="B722" s="28"/>
      <c r="J722" s="15"/>
    </row>
    <row r="723" spans="2:10" ht="12.75">
      <c r="B723" s="28"/>
      <c r="J723" s="15"/>
    </row>
    <row r="724" spans="2:10" ht="12.75">
      <c r="B724" s="28"/>
      <c r="J724" s="15"/>
    </row>
    <row r="725" spans="2:10" ht="12.75">
      <c r="B725" s="28"/>
      <c r="J725" s="15"/>
    </row>
    <row r="726" spans="2:10" ht="12.75">
      <c r="B726" s="28"/>
      <c r="J726" s="15"/>
    </row>
    <row r="727" spans="2:10" ht="12.75">
      <c r="B727" s="28"/>
      <c r="J727" s="15"/>
    </row>
    <row r="728" spans="2:10" ht="12.75">
      <c r="B728" s="28"/>
      <c r="J728" s="15"/>
    </row>
    <row r="729" spans="2:10" ht="12.75">
      <c r="B729" s="28"/>
      <c r="J729" s="15"/>
    </row>
    <row r="730" spans="2:10" ht="12.75">
      <c r="B730" s="28"/>
      <c r="J730" s="15"/>
    </row>
    <row r="731" spans="2:10" ht="12.75">
      <c r="B731" s="28"/>
      <c r="J731" s="15"/>
    </row>
    <row r="732" spans="2:10" ht="12.75">
      <c r="B732" s="28"/>
      <c r="J732" s="15"/>
    </row>
    <row r="733" spans="2:10" ht="12.75">
      <c r="B733" s="28"/>
      <c r="J733" s="15"/>
    </row>
    <row r="734" spans="2:10" ht="12.75">
      <c r="B734" s="28"/>
      <c r="J734" s="15"/>
    </row>
    <row r="735" spans="2:10" ht="12.75">
      <c r="B735" s="28"/>
      <c r="J735" s="15"/>
    </row>
    <row r="736" spans="2:10" ht="12.75">
      <c r="B736" s="28"/>
      <c r="J736" s="15"/>
    </row>
    <row r="737" spans="2:10" ht="12.75">
      <c r="B737" s="28"/>
      <c r="J737" s="15"/>
    </row>
    <row r="738" spans="2:10" ht="12.75">
      <c r="B738" s="28"/>
      <c r="J738" s="15"/>
    </row>
    <row r="739" spans="2:10" ht="12.75">
      <c r="B739" s="28"/>
      <c r="J739" s="15"/>
    </row>
    <row r="740" spans="2:10" ht="12.75">
      <c r="B740" s="28"/>
      <c r="J740" s="15"/>
    </row>
    <row r="741" spans="2:10" ht="12.75">
      <c r="B741" s="28"/>
      <c r="J741" s="15"/>
    </row>
    <row r="742" spans="2:10" ht="12.75">
      <c r="B742" s="28"/>
      <c r="J742" s="15"/>
    </row>
    <row r="743" spans="2:10" ht="12.75">
      <c r="B743" s="28"/>
      <c r="J743" s="15"/>
    </row>
    <row r="744" spans="2:10" ht="12.75">
      <c r="B744" s="28"/>
      <c r="J744" s="15"/>
    </row>
    <row r="745" spans="2:10" ht="12.75">
      <c r="B745" s="28"/>
      <c r="J745" s="15"/>
    </row>
    <row r="746" spans="2:10" ht="12.75">
      <c r="B746" s="28"/>
      <c r="J746" s="15"/>
    </row>
    <row r="747" spans="2:10" ht="12.75">
      <c r="B747" s="28"/>
      <c r="J747" s="15"/>
    </row>
    <row r="748" spans="2:10" ht="12.75">
      <c r="B748" s="28"/>
      <c r="J748" s="15"/>
    </row>
    <row r="749" spans="2:10" ht="12.75">
      <c r="B749" s="28"/>
      <c r="J749" s="15"/>
    </row>
    <row r="750" spans="2:10" ht="12.75">
      <c r="B750" s="28"/>
      <c r="J750" s="15"/>
    </row>
    <row r="751" spans="2:10" ht="12.75">
      <c r="B751" s="28"/>
      <c r="J751" s="15"/>
    </row>
    <row r="752" spans="2:10" ht="12.75">
      <c r="B752" s="28"/>
      <c r="J752" s="15"/>
    </row>
    <row r="753" spans="2:10" ht="12.75">
      <c r="B753" s="28"/>
      <c r="J753" s="15"/>
    </row>
    <row r="754" spans="2:10" ht="12.75">
      <c r="B754" s="28"/>
      <c r="J754" s="15"/>
    </row>
    <row r="755" spans="2:10" ht="12.75">
      <c r="B755" s="28"/>
      <c r="J755" s="15"/>
    </row>
    <row r="756" spans="2:10" ht="12.75">
      <c r="B756" s="28"/>
      <c r="J756" s="15"/>
    </row>
    <row r="757" spans="2:10" ht="12.75">
      <c r="B757" s="28"/>
      <c r="J757" s="15"/>
    </row>
    <row r="758" spans="2:10" ht="12.75">
      <c r="B758" s="28"/>
      <c r="J758" s="15"/>
    </row>
    <row r="759" spans="2:10" ht="12.75">
      <c r="B759" s="28"/>
      <c r="J759" s="15"/>
    </row>
    <row r="760" spans="2:10" ht="12.75">
      <c r="B760" s="28"/>
      <c r="J760" s="15"/>
    </row>
    <row r="761" spans="2:10" ht="12.75">
      <c r="B761" s="28"/>
      <c r="J761" s="15"/>
    </row>
    <row r="762" spans="2:10" ht="12.75">
      <c r="B762" s="28"/>
      <c r="J762" s="15"/>
    </row>
    <row r="763" spans="2:10" ht="12.75">
      <c r="B763" s="28"/>
      <c r="J763" s="15"/>
    </row>
    <row r="764" spans="2:10" ht="12.75">
      <c r="B764" s="28"/>
      <c r="J764" s="15"/>
    </row>
    <row r="765" spans="2:10" ht="12.75">
      <c r="B765" s="28"/>
      <c r="J765" s="15"/>
    </row>
    <row r="766" spans="2:10" ht="12.75">
      <c r="B766" s="28"/>
      <c r="J766" s="15"/>
    </row>
    <row r="767" spans="2:10" ht="12.75">
      <c r="B767" s="28"/>
      <c r="J767" s="15"/>
    </row>
    <row r="768" spans="2:10" ht="12.75">
      <c r="B768" s="28"/>
      <c r="J768" s="15"/>
    </row>
    <row r="769" spans="2:10" ht="12.75">
      <c r="B769" s="28"/>
      <c r="J769" s="15"/>
    </row>
    <row r="770" spans="2:10" ht="12.75">
      <c r="B770" s="28"/>
      <c r="J770" s="15"/>
    </row>
    <row r="771" spans="2:10" ht="12.75">
      <c r="B771" s="28"/>
      <c r="J771" s="15"/>
    </row>
    <row r="772" spans="2:10" ht="12.75">
      <c r="B772" s="28"/>
      <c r="J772" s="15"/>
    </row>
    <row r="773" spans="2:10" ht="12.75">
      <c r="B773" s="28"/>
      <c r="J773" s="15"/>
    </row>
    <row r="774" spans="2:10" ht="12.75">
      <c r="B774" s="28"/>
      <c r="J774" s="15"/>
    </row>
    <row r="775" spans="2:10" ht="12.75">
      <c r="B775" s="28"/>
      <c r="J775" s="15"/>
    </row>
    <row r="776" spans="2:10" ht="12.75">
      <c r="B776" s="28"/>
      <c r="J776" s="15"/>
    </row>
    <row r="777" spans="2:10" ht="12.75">
      <c r="B777" s="28"/>
      <c r="J777" s="15"/>
    </row>
    <row r="778" spans="2:10" ht="12.75">
      <c r="B778" s="28"/>
      <c r="J778" s="15"/>
    </row>
    <row r="779" spans="2:10" ht="12.75">
      <c r="B779" s="28"/>
      <c r="J779" s="15"/>
    </row>
    <row r="780" spans="2:10" ht="12.75">
      <c r="B780" s="28"/>
      <c r="J780" s="15"/>
    </row>
    <row r="781" spans="2:10" ht="12.75">
      <c r="B781" s="28"/>
      <c r="J781" s="15"/>
    </row>
    <row r="782" spans="2:10" ht="12.75">
      <c r="B782" s="28"/>
      <c r="J782" s="15"/>
    </row>
    <row r="783" spans="2:10" ht="12.75">
      <c r="B783" s="28"/>
      <c r="J783" s="15"/>
    </row>
    <row r="784" spans="2:10" ht="12.75">
      <c r="B784" s="28"/>
      <c r="J784" s="15"/>
    </row>
    <row r="785" spans="2:10" ht="12.75">
      <c r="B785" s="28"/>
      <c r="J785" s="15"/>
    </row>
    <row r="786" spans="2:10" ht="12.75">
      <c r="B786" s="28"/>
      <c r="J786" s="15"/>
    </row>
    <row r="787" spans="2:10" ht="12.75">
      <c r="B787" s="28"/>
      <c r="J787" s="15"/>
    </row>
    <row r="788" spans="2:10" ht="12.75">
      <c r="B788" s="28"/>
      <c r="J788" s="15"/>
    </row>
    <row r="789" spans="2:10" ht="12.75">
      <c r="B789" s="28"/>
      <c r="J789" s="15"/>
    </row>
    <row r="790" spans="2:10" ht="12.75">
      <c r="B790" s="28"/>
      <c r="J790" s="15"/>
    </row>
    <row r="791" spans="2:10" ht="12.75">
      <c r="B791" s="28"/>
      <c r="J791" s="15"/>
    </row>
    <row r="792" spans="2:10" ht="12.75">
      <c r="B792" s="28"/>
      <c r="J792" s="15"/>
    </row>
    <row r="793" spans="2:10" ht="12.75">
      <c r="B793" s="28"/>
      <c r="J793" s="15"/>
    </row>
    <row r="794" spans="2:10" ht="12.75">
      <c r="B794" s="28"/>
      <c r="J794" s="15"/>
    </row>
    <row r="795" spans="2:10" ht="12.75">
      <c r="B795" s="28"/>
      <c r="J795" s="15"/>
    </row>
    <row r="796" spans="2:10" ht="12.75">
      <c r="B796" s="28"/>
      <c r="J796" s="15"/>
    </row>
    <row r="797" spans="2:10" ht="12.75">
      <c r="B797" s="28"/>
      <c r="J797" s="15"/>
    </row>
    <row r="798" spans="2:10" ht="12.75">
      <c r="B798" s="28"/>
      <c r="J798" s="15"/>
    </row>
    <row r="799" spans="2:10" ht="12.75">
      <c r="B799" s="28"/>
      <c r="J799" s="15"/>
    </row>
    <row r="800" spans="2:10" ht="12.75">
      <c r="B800" s="28"/>
      <c r="J800" s="15"/>
    </row>
    <row r="801" spans="2:10" ht="12.75">
      <c r="B801" s="28"/>
      <c r="J801" s="15"/>
    </row>
    <row r="802" spans="2:10" ht="12.75">
      <c r="B802" s="28"/>
      <c r="J802" s="15"/>
    </row>
    <row r="803" spans="2:10" ht="12.75">
      <c r="B803" s="28"/>
      <c r="J803" s="15"/>
    </row>
    <row r="804" spans="2:10" ht="12.75">
      <c r="B804" s="28"/>
      <c r="J804" s="15"/>
    </row>
    <row r="805" spans="2:10" ht="12.75">
      <c r="B805" s="28"/>
      <c r="J805" s="15"/>
    </row>
    <row r="806" spans="2:10" ht="12.75">
      <c r="B806" s="28"/>
      <c r="J806" s="15"/>
    </row>
    <row r="807" spans="2:10" ht="12.75">
      <c r="B807" s="28"/>
      <c r="J807" s="15"/>
    </row>
    <row r="808" spans="2:10" ht="12.75">
      <c r="B808" s="28"/>
      <c r="J808" s="15"/>
    </row>
    <row r="809" spans="2:10" ht="12.75">
      <c r="B809" s="28"/>
      <c r="J809" s="15"/>
    </row>
    <row r="810" spans="2:10" ht="12.75">
      <c r="B810" s="28"/>
      <c r="J810" s="15"/>
    </row>
    <row r="811" spans="2:10" ht="12.75">
      <c r="B811" s="28"/>
      <c r="J811" s="15"/>
    </row>
    <row r="812" spans="2:10" ht="12.75">
      <c r="B812" s="28"/>
      <c r="J812" s="15"/>
    </row>
    <row r="813" spans="2:10" ht="12.75">
      <c r="B813" s="28"/>
      <c r="J813" s="15"/>
    </row>
    <row r="814" spans="2:10" ht="12.75">
      <c r="B814" s="28"/>
      <c r="J814" s="15"/>
    </row>
    <row r="815" spans="2:10" ht="12.75">
      <c r="B815" s="28"/>
      <c r="J815" s="15"/>
    </row>
    <row r="816" spans="2:10" ht="12.75">
      <c r="B816" s="28"/>
      <c r="J816" s="15"/>
    </row>
    <row r="817" spans="2:10" ht="12.75">
      <c r="B817" s="28"/>
      <c r="J817" s="15"/>
    </row>
    <row r="818" spans="2:10" ht="12.75">
      <c r="B818" s="28"/>
      <c r="J818" s="15"/>
    </row>
    <row r="819" spans="2:10" ht="12.75">
      <c r="B819" s="28"/>
      <c r="J819" s="15"/>
    </row>
    <row r="820" spans="2:10" ht="12.75">
      <c r="B820" s="28"/>
      <c r="J820" s="15"/>
    </row>
    <row r="821" spans="2:10" ht="12.75">
      <c r="B821" s="28"/>
      <c r="J821" s="15"/>
    </row>
    <row r="822" spans="2:10" ht="12.75">
      <c r="B822" s="28"/>
      <c r="J822" s="15"/>
    </row>
    <row r="823" spans="2:10" ht="12.75">
      <c r="B823" s="28"/>
      <c r="J823" s="15"/>
    </row>
    <row r="824" spans="2:10" ht="12.75">
      <c r="B824" s="28"/>
      <c r="J824" s="15"/>
    </row>
    <row r="825" spans="2:10" ht="12.75">
      <c r="B825" s="28"/>
      <c r="J825" s="15"/>
    </row>
    <row r="826" spans="2:10" ht="12.75">
      <c r="B826" s="28"/>
      <c r="J826" s="15"/>
    </row>
    <row r="827" spans="2:10" ht="12.75">
      <c r="B827" s="28"/>
      <c r="J827" s="15"/>
    </row>
    <row r="828" spans="2:10" ht="12.75">
      <c r="B828" s="28"/>
      <c r="J828" s="15"/>
    </row>
    <row r="829" spans="2:10" ht="12.75">
      <c r="B829" s="28"/>
      <c r="J829" s="15"/>
    </row>
    <row r="830" spans="2:10" ht="12.75">
      <c r="B830" s="28"/>
      <c r="J830" s="15"/>
    </row>
    <row r="831" spans="2:10" ht="12.75">
      <c r="B831" s="28"/>
      <c r="J831" s="15"/>
    </row>
    <row r="832" spans="2:10" ht="12.75">
      <c r="B832" s="28"/>
      <c r="J832" s="15"/>
    </row>
    <row r="833" spans="2:10" ht="12.75">
      <c r="B833" s="28"/>
      <c r="J833" s="15"/>
    </row>
    <row r="834" spans="2:10" ht="12.75">
      <c r="B834" s="28"/>
      <c r="J834" s="15"/>
    </row>
    <row r="835" spans="2:10" ht="12.75">
      <c r="B835" s="28"/>
      <c r="J835" s="15"/>
    </row>
    <row r="836" spans="2:10" ht="12.75">
      <c r="B836" s="28"/>
      <c r="J836" s="15"/>
    </row>
    <row r="837" spans="2:10" ht="12.75">
      <c r="B837" s="28"/>
      <c r="J837" s="15"/>
    </row>
    <row r="838" spans="2:10" ht="12.75">
      <c r="B838" s="28"/>
      <c r="J838" s="15"/>
    </row>
    <row r="839" spans="2:10" ht="12.75">
      <c r="B839" s="28"/>
      <c r="J839" s="15"/>
    </row>
    <row r="840" spans="2:10" ht="12.75">
      <c r="B840" s="28"/>
      <c r="J840" s="15"/>
    </row>
    <row r="841" spans="2:10" ht="12.75">
      <c r="B841" s="28"/>
      <c r="J841" s="15"/>
    </row>
    <row r="842" spans="2:10" ht="12.75">
      <c r="B842" s="28"/>
      <c r="J842" s="15"/>
    </row>
    <row r="843" spans="2:10" ht="12.75">
      <c r="B843" s="28"/>
      <c r="J843" s="15"/>
    </row>
    <row r="844" spans="2:10" ht="12.75">
      <c r="B844" s="28"/>
      <c r="J844" s="15"/>
    </row>
    <row r="845" spans="2:10" ht="12.75">
      <c r="B845" s="28"/>
      <c r="J845" s="15"/>
    </row>
    <row r="846" spans="2:10" ht="12.75">
      <c r="B846" s="28"/>
      <c r="J846" s="15"/>
    </row>
    <row r="847" spans="2:10" ht="12.75">
      <c r="B847" s="28"/>
      <c r="J847" s="15"/>
    </row>
    <row r="848" spans="2:10" ht="12.75">
      <c r="B848" s="28"/>
      <c r="J848" s="15"/>
    </row>
    <row r="849" spans="2:10" ht="12.75">
      <c r="B849" s="28"/>
      <c r="J849" s="15"/>
    </row>
    <row r="850" spans="2:10" ht="12.75">
      <c r="B850" s="28"/>
      <c r="J850" s="15"/>
    </row>
    <row r="851" spans="2:10" ht="12.75">
      <c r="B851" s="28"/>
      <c r="J851" s="15"/>
    </row>
    <row r="852" spans="2:10" ht="12.75">
      <c r="B852" s="28"/>
      <c r="J852" s="15"/>
    </row>
    <row r="853" spans="2:10" ht="12.75">
      <c r="B853" s="28"/>
      <c r="J853" s="15"/>
    </row>
    <row r="854" spans="2:10" ht="12.75">
      <c r="B854" s="28"/>
      <c r="J854" s="15"/>
    </row>
    <row r="855" spans="2:10" ht="12.75">
      <c r="B855" s="28"/>
      <c r="J855" s="15"/>
    </row>
    <row r="856" spans="2:10" ht="12.75">
      <c r="B856" s="28"/>
      <c r="J856" s="15"/>
    </row>
    <row r="857" spans="2:10" ht="12.75">
      <c r="B857" s="28"/>
      <c r="J857" s="15"/>
    </row>
    <row r="858" spans="2:10" ht="12.75">
      <c r="B858" s="28"/>
      <c r="J858" s="15"/>
    </row>
    <row r="859" spans="2:10" ht="12.75">
      <c r="B859" s="28"/>
      <c r="J859" s="15"/>
    </row>
    <row r="860" spans="2:10" ht="12.75">
      <c r="B860" s="28"/>
      <c r="J860" s="15"/>
    </row>
    <row r="861" spans="2:10" ht="12.75">
      <c r="B861" s="28"/>
      <c r="J861" s="15"/>
    </row>
    <row r="862" spans="2:10" ht="12.75">
      <c r="B862" s="28"/>
      <c r="J862" s="15"/>
    </row>
    <row r="863" spans="2:10" ht="12.75">
      <c r="B863" s="28"/>
      <c r="J863" s="15"/>
    </row>
    <row r="864" spans="2:10" ht="12.75">
      <c r="B864" s="28"/>
      <c r="J864" s="15"/>
    </row>
    <row r="865" spans="2:10" ht="12.75">
      <c r="B865" s="28"/>
      <c r="J865" s="15"/>
    </row>
    <row r="866" spans="2:10" ht="12.75">
      <c r="B866" s="28"/>
      <c r="J866" s="15"/>
    </row>
    <row r="867" spans="2:10" ht="12.75">
      <c r="B867" s="28"/>
      <c r="J867" s="15"/>
    </row>
    <row r="868" spans="2:10" ht="12.75">
      <c r="B868" s="28"/>
      <c r="J868" s="15"/>
    </row>
    <row r="869" spans="2:10" ht="12.75">
      <c r="B869" s="28"/>
      <c r="J869" s="15"/>
    </row>
    <row r="870" spans="2:10" ht="12.75">
      <c r="B870" s="28"/>
      <c r="J870" s="15"/>
    </row>
    <row r="871" spans="2:10" ht="12.75">
      <c r="B871" s="28"/>
      <c r="J871" s="15"/>
    </row>
    <row r="872" spans="2:10" ht="12.75">
      <c r="B872" s="28"/>
      <c r="J872" s="15"/>
    </row>
    <row r="873" spans="2:10" ht="12.75">
      <c r="B873" s="28"/>
      <c r="J873" s="15"/>
    </row>
    <row r="874" spans="2:10" ht="12.75">
      <c r="B874" s="28"/>
      <c r="J874" s="15"/>
    </row>
    <row r="875" spans="2:10" ht="12.75">
      <c r="B875" s="28"/>
      <c r="J875" s="15"/>
    </row>
    <row r="876" spans="2:10" ht="12.75">
      <c r="B876" s="28"/>
      <c r="J876" s="15"/>
    </row>
    <row r="877" spans="2:10" ht="12.75">
      <c r="B877" s="28"/>
      <c r="J877" s="15"/>
    </row>
    <row r="878" spans="2:10" ht="12.75">
      <c r="B878" s="28"/>
      <c r="J878" s="15"/>
    </row>
    <row r="879" spans="2:10" ht="12.75">
      <c r="B879" s="28"/>
      <c r="J879" s="15"/>
    </row>
    <row r="880" spans="2:10" ht="12.75">
      <c r="B880" s="28"/>
      <c r="J880" s="15"/>
    </row>
    <row r="881" spans="2:10" ht="12.75">
      <c r="B881" s="28"/>
      <c r="J881" s="15"/>
    </row>
    <row r="882" spans="2:10" ht="12.75">
      <c r="B882" s="28"/>
      <c r="J882" s="15"/>
    </row>
    <row r="883" spans="2:10" ht="12.75">
      <c r="B883" s="28"/>
      <c r="J883" s="15"/>
    </row>
    <row r="884" spans="2:10" ht="12.75">
      <c r="B884" s="28"/>
      <c r="J884" s="15"/>
    </row>
    <row r="885" spans="2:10" ht="12.75">
      <c r="B885" s="28"/>
      <c r="J885" s="15"/>
    </row>
    <row r="886" spans="2:10" ht="12.75">
      <c r="B886" s="28"/>
      <c r="J886" s="15"/>
    </row>
    <row r="887" spans="2:10" ht="12.75">
      <c r="B887" s="28"/>
      <c r="J887" s="15"/>
    </row>
    <row r="888" spans="2:10" ht="12.75">
      <c r="B888" s="28"/>
      <c r="J888" s="15"/>
    </row>
    <row r="889" spans="2:10" ht="12.75">
      <c r="B889" s="28"/>
      <c r="J889" s="15"/>
    </row>
    <row r="890" spans="2:10" ht="12.75">
      <c r="B890" s="28"/>
      <c r="J890" s="15"/>
    </row>
    <row r="891" spans="2:10" ht="12.75">
      <c r="B891" s="28"/>
      <c r="J891" s="15"/>
    </row>
    <row r="892" spans="2:10" ht="12.75">
      <c r="B892" s="28"/>
      <c r="J892" s="15"/>
    </row>
    <row r="893" spans="2:10" ht="12.75">
      <c r="B893" s="28"/>
      <c r="J893" s="15"/>
    </row>
    <row r="894" spans="2:10" ht="12.75">
      <c r="B894" s="28"/>
      <c r="J894" s="15"/>
    </row>
    <row r="895" spans="2:10" ht="12.75">
      <c r="B895" s="28"/>
      <c r="J895" s="15"/>
    </row>
    <row r="896" spans="2:10" ht="12.75">
      <c r="B896" s="28"/>
      <c r="J896" s="15"/>
    </row>
    <row r="897" spans="2:10" ht="12.75">
      <c r="B897" s="28"/>
      <c r="J897" s="15"/>
    </row>
    <row r="898" spans="2:10" ht="12.75">
      <c r="B898" s="28"/>
      <c r="J898" s="15"/>
    </row>
    <row r="899" spans="2:10" ht="12.75">
      <c r="B899" s="28"/>
      <c r="J899" s="15"/>
    </row>
    <row r="900" spans="2:10" ht="12.75">
      <c r="B900" s="28"/>
      <c r="J900" s="15"/>
    </row>
    <row r="901" spans="2:10" ht="12.75">
      <c r="B901" s="28"/>
      <c r="J901" s="15"/>
    </row>
    <row r="902" spans="2:10" ht="12.75">
      <c r="B902" s="28"/>
      <c r="J902" s="15"/>
    </row>
    <row r="903" spans="2:10" ht="12.75">
      <c r="B903" s="28"/>
      <c r="J903" s="15"/>
    </row>
    <row r="904" spans="2:10" ht="12.75">
      <c r="B904" s="28"/>
      <c r="J904" s="15"/>
    </row>
    <row r="905" spans="2:10" ht="12.75">
      <c r="B905" s="28"/>
      <c r="J905" s="15"/>
    </row>
    <row r="906" spans="2:10" ht="12.75">
      <c r="B906" s="28"/>
      <c r="J906" s="15"/>
    </row>
    <row r="907" spans="2:10" ht="12.75">
      <c r="B907" s="28"/>
      <c r="J907" s="15"/>
    </row>
    <row r="908" spans="2:10" ht="12.75">
      <c r="B908" s="28"/>
      <c r="J908" s="15"/>
    </row>
    <row r="909" spans="2:10" ht="12.75">
      <c r="B909" s="28"/>
      <c r="J909" s="15"/>
    </row>
    <row r="910" spans="2:10" ht="12.75">
      <c r="B910" s="28"/>
      <c r="J910" s="15"/>
    </row>
    <row r="911" spans="2:10" ht="12.75">
      <c r="B911" s="28"/>
      <c r="J911" s="15"/>
    </row>
    <row r="912" spans="2:10" ht="12.75">
      <c r="B912" s="28"/>
      <c r="J912" s="15"/>
    </row>
    <row r="913" spans="2:10" ht="12.75">
      <c r="B913" s="28"/>
      <c r="J913" s="15"/>
    </row>
    <row r="914" spans="2:10" ht="12.75">
      <c r="B914" s="28"/>
      <c r="J914" s="15"/>
    </row>
    <row r="915" spans="2:10" ht="12.75">
      <c r="B915" s="28"/>
      <c r="J915" s="15"/>
    </row>
    <row r="916" spans="2:10" ht="12.75">
      <c r="B916" s="28"/>
      <c r="J916" s="15"/>
    </row>
    <row r="917" spans="2:10" ht="12.75">
      <c r="B917" s="28"/>
      <c r="J917" s="15"/>
    </row>
    <row r="918" spans="2:10" ht="12.75">
      <c r="B918" s="28"/>
      <c r="J918" s="15"/>
    </row>
    <row r="919" spans="2:10" ht="12.75">
      <c r="B919" s="28"/>
      <c r="J919" s="15"/>
    </row>
    <row r="920" spans="2:10" ht="12.75">
      <c r="B920" s="28"/>
      <c r="J920" s="15"/>
    </row>
    <row r="921" spans="2:10" ht="12.75">
      <c r="B921" s="28"/>
      <c r="J921" s="15"/>
    </row>
    <row r="922" spans="2:10" ht="12.75">
      <c r="B922" s="28"/>
      <c r="J922" s="15"/>
    </row>
    <row r="923" spans="2:10" ht="12.75">
      <c r="B923" s="28"/>
      <c r="J923" s="15"/>
    </row>
    <row r="924" spans="2:10" ht="12.75">
      <c r="B924" s="28"/>
      <c r="J924" s="15"/>
    </row>
    <row r="925" spans="2:10" ht="12.75">
      <c r="B925" s="28"/>
      <c r="J925" s="15"/>
    </row>
    <row r="926" spans="2:10" ht="12.75">
      <c r="B926" s="28"/>
      <c r="J926" s="15"/>
    </row>
    <row r="927" spans="2:10" ht="12.75">
      <c r="B927" s="28"/>
      <c r="J927" s="15"/>
    </row>
    <row r="928" spans="2:10" ht="12.75">
      <c r="B928" s="28"/>
      <c r="J928" s="15"/>
    </row>
    <row r="929" spans="2:10" ht="12.75">
      <c r="B929" s="28"/>
      <c r="J929" s="15"/>
    </row>
    <row r="930" spans="2:10" ht="12.75">
      <c r="B930" s="28"/>
      <c r="J930" s="15"/>
    </row>
    <row r="931" spans="2:10" ht="12.75">
      <c r="B931" s="28"/>
      <c r="J931" s="15"/>
    </row>
    <row r="932" spans="2:10" ht="12.75">
      <c r="B932" s="28"/>
      <c r="J932" s="15"/>
    </row>
    <row r="933" spans="2:10" ht="12.75">
      <c r="B933" s="28"/>
      <c r="J933" s="15"/>
    </row>
    <row r="934" spans="2:10" ht="12.75">
      <c r="B934" s="28"/>
      <c r="J934" s="15"/>
    </row>
    <row r="935" spans="2:10" ht="12.75">
      <c r="B935" s="28"/>
      <c r="J935" s="15"/>
    </row>
    <row r="936" spans="2:10" ht="12.75">
      <c r="B936" s="28"/>
      <c r="J936" s="15"/>
    </row>
    <row r="937" spans="2:10" ht="12.75">
      <c r="B937" s="28"/>
      <c r="J937" s="15"/>
    </row>
    <row r="938" spans="2:10" ht="12.75">
      <c r="B938" s="28"/>
      <c r="J938" s="15"/>
    </row>
    <row r="939" spans="2:10" ht="12.75">
      <c r="B939" s="28"/>
      <c r="J939" s="15"/>
    </row>
    <row r="940" spans="2:10" ht="12.75">
      <c r="B940" s="28"/>
      <c r="J940" s="15"/>
    </row>
    <row r="941" spans="2:10" ht="12.75">
      <c r="B941" s="28"/>
      <c r="J941" s="15"/>
    </row>
    <row r="942" spans="2:10" ht="12.75">
      <c r="B942" s="28"/>
      <c r="J942" s="15"/>
    </row>
    <row r="943" spans="2:10" ht="12.75">
      <c r="B943" s="28"/>
      <c r="J943" s="15"/>
    </row>
    <row r="944" spans="2:10" ht="12.75">
      <c r="B944" s="28"/>
      <c r="J944" s="15"/>
    </row>
    <row r="945" spans="2:10" ht="12.75">
      <c r="B945" s="28"/>
      <c r="J945" s="15"/>
    </row>
    <row r="946" spans="2:10" ht="12.75">
      <c r="B946" s="28"/>
      <c r="J946" s="15"/>
    </row>
    <row r="947" spans="2:10" ht="12.75">
      <c r="B947" s="28"/>
      <c r="J947" s="15"/>
    </row>
    <row r="948" spans="2:10" ht="12.75">
      <c r="B948" s="28"/>
      <c r="J948" s="15"/>
    </row>
    <row r="949" spans="2:10" ht="12.75">
      <c r="B949" s="28"/>
      <c r="J949" s="15"/>
    </row>
    <row r="950" spans="2:10" ht="12.75">
      <c r="B950" s="28"/>
      <c r="J950" s="15"/>
    </row>
    <row r="951" spans="2:10" ht="12.75">
      <c r="B951" s="28"/>
      <c r="J951" s="15"/>
    </row>
    <row r="952" spans="2:10" ht="12.75">
      <c r="B952" s="28"/>
      <c r="J952" s="15"/>
    </row>
    <row r="953" spans="2:10" ht="12.75">
      <c r="B953" s="28"/>
      <c r="J953" s="15"/>
    </row>
    <row r="954" spans="2:10" ht="12.75">
      <c r="B954" s="28"/>
      <c r="J954" s="15"/>
    </row>
    <row r="955" spans="2:10" ht="12.75">
      <c r="B955" s="28"/>
      <c r="J955" s="15"/>
    </row>
    <row r="956" spans="2:10" ht="12.75">
      <c r="B956" s="28"/>
      <c r="J956" s="15"/>
    </row>
    <row r="957" spans="2:10" ht="12.75">
      <c r="B957" s="28"/>
      <c r="J957" s="15"/>
    </row>
    <row r="958" spans="2:10" ht="12.75">
      <c r="B958" s="28"/>
      <c r="J958" s="15"/>
    </row>
    <row r="959" spans="2:10" ht="12.75">
      <c r="B959" s="28"/>
      <c r="J959" s="15"/>
    </row>
    <row r="960" spans="2:10" ht="12.75">
      <c r="B960" s="28"/>
      <c r="J960" s="15"/>
    </row>
    <row r="961" spans="2:10" ht="12.75">
      <c r="B961" s="28"/>
      <c r="J961" s="15"/>
    </row>
    <row r="962" spans="2:10" ht="12.75">
      <c r="B962" s="28"/>
      <c r="J962" s="15"/>
    </row>
    <row r="963" spans="2:10" ht="12.75">
      <c r="B963" s="28"/>
      <c r="J963" s="15"/>
    </row>
    <row r="964" spans="2:10" ht="12.75">
      <c r="B964" s="28"/>
      <c r="J964" s="15"/>
    </row>
    <row r="965" spans="2:10" ht="12.75">
      <c r="B965" s="28"/>
      <c r="J965" s="15"/>
    </row>
    <row r="966" spans="2:10" ht="12.75">
      <c r="B966" s="28"/>
      <c r="J966" s="15"/>
    </row>
    <row r="967" spans="2:10" ht="12.75">
      <c r="B967" s="28"/>
      <c r="J967" s="15"/>
    </row>
    <row r="968" spans="2:10" ht="12.75">
      <c r="B968" s="28"/>
      <c r="J968" s="15"/>
    </row>
    <row r="969" spans="2:10" ht="12.75">
      <c r="B969" s="28"/>
      <c r="J969" s="15"/>
    </row>
    <row r="970" spans="2:10" ht="12.75">
      <c r="B970" s="28"/>
      <c r="J970" s="15"/>
    </row>
    <row r="971" spans="2:10" ht="12.75">
      <c r="B971" s="28"/>
      <c r="J971" s="15"/>
    </row>
    <row r="972" spans="2:10" ht="12.75">
      <c r="B972" s="28"/>
      <c r="J972" s="15"/>
    </row>
    <row r="973" spans="2:10" ht="12.75">
      <c r="B973" s="28"/>
      <c r="J973" s="15"/>
    </row>
    <row r="974" spans="2:10" ht="12.75">
      <c r="B974" s="28"/>
      <c r="J974" s="15"/>
    </row>
    <row r="975" spans="2:10" ht="12.75">
      <c r="B975" s="28"/>
      <c r="J975" s="15"/>
    </row>
    <row r="976" spans="2:10" ht="12.75">
      <c r="B976" s="28"/>
      <c r="J976" s="15"/>
    </row>
    <row r="977" spans="2:10" ht="12.75">
      <c r="B977" s="28"/>
      <c r="J977" s="15"/>
    </row>
    <row r="978" spans="2:10" ht="12.75">
      <c r="B978" s="28"/>
      <c r="J978" s="15"/>
    </row>
    <row r="979" spans="2:10" ht="12.75">
      <c r="B979" s="28"/>
      <c r="J979" s="15"/>
    </row>
    <row r="980" spans="2:10" ht="12.75">
      <c r="B980" s="28"/>
      <c r="J980" s="15"/>
    </row>
    <row r="981" spans="2:10" ht="12.75">
      <c r="B981" s="28"/>
      <c r="J981" s="15"/>
    </row>
    <row r="982" spans="2:10" ht="12.75">
      <c r="B982" s="28"/>
      <c r="J982" s="15"/>
    </row>
    <row r="983" spans="2:10" ht="12.75">
      <c r="B983" s="28"/>
      <c r="J983" s="15"/>
    </row>
    <row r="984" spans="2:10" ht="12.75">
      <c r="B984" s="28"/>
      <c r="J984" s="15"/>
    </row>
    <row r="985" spans="2:10" ht="12.75">
      <c r="B985" s="28"/>
      <c r="J985" s="15"/>
    </row>
    <row r="986" spans="2:10" ht="12.75">
      <c r="B986" s="28"/>
      <c r="J986" s="15"/>
    </row>
    <row r="987" spans="2:10" ht="12.75">
      <c r="B987" s="28"/>
      <c r="J987" s="15"/>
    </row>
    <row r="988" spans="2:10" ht="12.75">
      <c r="B988" s="28"/>
      <c r="J988" s="15"/>
    </row>
    <row r="989" spans="2:10" ht="12.75">
      <c r="B989" s="28"/>
      <c r="J989" s="15"/>
    </row>
    <row r="990" spans="2:10" ht="12.75">
      <c r="B990" s="28"/>
      <c r="J990" s="15"/>
    </row>
    <row r="991" spans="2:10" ht="12.75">
      <c r="B991" s="28"/>
      <c r="J991" s="15"/>
    </row>
    <row r="992" spans="2:10" ht="12.75">
      <c r="B992" s="28"/>
      <c r="J992" s="15"/>
    </row>
  </sheetData>
  <mergeCells count="1">
    <mergeCell ref="C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1003"/>
  <sheetViews>
    <sheetView showGridLines="0" workbookViewId="0"/>
  </sheetViews>
  <sheetFormatPr defaultColWidth="12.5703125" defaultRowHeight="15.75" customHeight="1"/>
  <cols>
    <col min="2" max="2" width="19.7109375" customWidth="1"/>
    <col min="3" max="3" width="13" customWidth="1"/>
    <col min="4" max="4" width="21.7109375" customWidth="1"/>
    <col min="5" max="5" width="10.5703125" customWidth="1"/>
    <col min="6" max="6" width="13.7109375" customWidth="1"/>
    <col min="7" max="7" width="13.5703125" customWidth="1"/>
    <col min="8" max="8" width="12.7109375" customWidth="1"/>
    <col min="9" max="9" width="13.42578125" customWidth="1"/>
    <col min="10" max="10" width="11.8554687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1018</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57</v>
      </c>
      <c r="D4" s="36" t="s">
        <v>48</v>
      </c>
      <c r="E4" s="36" t="s">
        <v>113</v>
      </c>
      <c r="F4" s="36" t="s">
        <v>26</v>
      </c>
      <c r="G4" s="36" t="s">
        <v>116</v>
      </c>
      <c r="H4" s="36" t="s">
        <v>101</v>
      </c>
      <c r="I4" s="36" t="s">
        <v>98</v>
      </c>
      <c r="J4" s="36" t="s">
        <v>103</v>
      </c>
      <c r="K4" s="3"/>
      <c r="L4" s="5"/>
      <c r="M4" s="5"/>
      <c r="N4" s="5"/>
      <c r="O4" s="5"/>
      <c r="P4" s="5"/>
      <c r="Q4" s="5"/>
      <c r="R4" s="5"/>
      <c r="S4" s="5"/>
      <c r="T4" s="5"/>
      <c r="U4" s="5"/>
      <c r="V4" s="5"/>
      <c r="W4" s="5"/>
      <c r="X4" s="5"/>
      <c r="Y4" s="5"/>
      <c r="Z4" s="5"/>
      <c r="AA4" s="5"/>
    </row>
    <row r="5" spans="1:27" ht="15.75" customHeight="1">
      <c r="A5" s="10"/>
      <c r="B5" s="42" t="s">
        <v>8</v>
      </c>
      <c r="C5" s="42" t="s">
        <v>191</v>
      </c>
      <c r="D5" s="42" t="s">
        <v>192</v>
      </c>
      <c r="E5" s="42" t="s">
        <v>193</v>
      </c>
      <c r="F5" s="42" t="s">
        <v>194</v>
      </c>
      <c r="G5" s="42" t="s">
        <v>195</v>
      </c>
      <c r="H5" s="42" t="s">
        <v>196</v>
      </c>
      <c r="I5" s="42" t="s">
        <v>197</v>
      </c>
      <c r="J5" s="42" t="s">
        <v>198</v>
      </c>
      <c r="K5" s="13"/>
      <c r="L5" s="15"/>
      <c r="M5" s="15"/>
      <c r="N5" s="15"/>
      <c r="O5" s="15"/>
      <c r="P5" s="15"/>
      <c r="Q5" s="15"/>
      <c r="R5" s="15"/>
      <c r="S5" s="15"/>
      <c r="T5" s="15"/>
      <c r="U5" s="15"/>
      <c r="V5" s="15"/>
      <c r="W5" s="15"/>
      <c r="X5" s="15"/>
      <c r="Y5" s="15"/>
      <c r="Z5" s="15"/>
      <c r="AA5" s="15"/>
    </row>
    <row r="6" spans="1:27">
      <c r="A6" s="16"/>
      <c r="B6" s="38" t="s">
        <v>14</v>
      </c>
      <c r="C6" s="19"/>
      <c r="D6" s="18">
        <v>8.1999999999999993</v>
      </c>
      <c r="E6" s="19"/>
      <c r="F6" s="19"/>
      <c r="G6" s="18">
        <v>8.4</v>
      </c>
      <c r="H6" s="18">
        <v>7.7</v>
      </c>
      <c r="I6" s="18">
        <v>7.9</v>
      </c>
      <c r="J6" s="18">
        <v>7.2</v>
      </c>
    </row>
    <row r="7" spans="1:27">
      <c r="A7" s="16"/>
      <c r="B7" s="38" t="s">
        <v>236</v>
      </c>
      <c r="C7" s="19"/>
      <c r="D7" s="19"/>
      <c r="E7" s="19"/>
      <c r="F7" s="19"/>
      <c r="G7" s="18">
        <v>8.5</v>
      </c>
      <c r="H7" s="19"/>
      <c r="I7" s="18">
        <v>7</v>
      </c>
      <c r="J7" s="18">
        <v>7</v>
      </c>
    </row>
    <row r="8" spans="1:27">
      <c r="A8" s="16"/>
      <c r="B8" s="38" t="s">
        <v>16</v>
      </c>
      <c r="C8" s="18">
        <v>7.7</v>
      </c>
      <c r="D8" s="18">
        <v>8.1999999999999993</v>
      </c>
      <c r="E8" s="18">
        <v>8.4</v>
      </c>
      <c r="F8" s="18">
        <v>8.8000000000000007</v>
      </c>
      <c r="G8" s="18">
        <v>8.5</v>
      </c>
      <c r="H8" s="18">
        <v>7.2</v>
      </c>
      <c r="I8" s="18">
        <v>8</v>
      </c>
      <c r="J8" s="18">
        <v>6.9</v>
      </c>
    </row>
    <row r="9" spans="1:27">
      <c r="A9" s="16"/>
      <c r="B9" s="38" t="s">
        <v>17</v>
      </c>
      <c r="C9" s="18">
        <v>6</v>
      </c>
      <c r="D9" s="18">
        <v>8.5</v>
      </c>
      <c r="E9" s="18">
        <v>8</v>
      </c>
      <c r="F9" s="18">
        <v>9</v>
      </c>
      <c r="G9" s="18">
        <v>9</v>
      </c>
      <c r="H9" s="18">
        <v>10</v>
      </c>
      <c r="I9" s="18">
        <v>10</v>
      </c>
      <c r="J9" s="18">
        <v>8</v>
      </c>
    </row>
    <row r="10" spans="1:27">
      <c r="A10" s="16"/>
      <c r="B10" s="38" t="s">
        <v>18</v>
      </c>
      <c r="C10" s="19"/>
      <c r="D10" s="19"/>
      <c r="E10" s="18">
        <v>7.4</v>
      </c>
      <c r="F10" s="18">
        <v>7.9</v>
      </c>
      <c r="G10" s="18">
        <v>8.5</v>
      </c>
      <c r="H10" s="19"/>
      <c r="I10" s="18">
        <v>8</v>
      </c>
      <c r="J10" s="18">
        <v>7</v>
      </c>
    </row>
    <row r="11" spans="1:27">
      <c r="A11" s="16"/>
      <c r="B11" s="38" t="s">
        <v>19</v>
      </c>
      <c r="C11" s="19"/>
      <c r="D11" s="19"/>
      <c r="E11" s="19"/>
      <c r="F11" s="19"/>
      <c r="G11" s="19"/>
      <c r="H11" s="19"/>
      <c r="I11" s="19"/>
      <c r="J11" s="19"/>
    </row>
    <row r="12" spans="1:27">
      <c r="A12" s="16"/>
      <c r="B12" s="38" t="s">
        <v>20</v>
      </c>
      <c r="C12" s="18">
        <v>7.6</v>
      </c>
      <c r="D12" s="18">
        <v>8.6999999999999993</v>
      </c>
      <c r="E12" s="18">
        <v>7.7</v>
      </c>
      <c r="F12" s="18">
        <v>8.1999999999999993</v>
      </c>
      <c r="G12" s="18">
        <v>8.5</v>
      </c>
      <c r="H12" s="18">
        <v>7</v>
      </c>
      <c r="I12" s="18">
        <v>8</v>
      </c>
      <c r="J12" s="18">
        <v>6.6</v>
      </c>
    </row>
    <row r="13" spans="1:27">
      <c r="A13" s="16"/>
      <c r="B13" s="38" t="s">
        <v>21</v>
      </c>
      <c r="C13" s="18">
        <v>7.6</v>
      </c>
      <c r="D13" s="30">
        <v>8.5</v>
      </c>
      <c r="E13" s="30">
        <v>7.2</v>
      </c>
      <c r="F13" s="18">
        <v>8.1</v>
      </c>
      <c r="G13" s="18">
        <v>9.4</v>
      </c>
      <c r="H13" s="61">
        <v>7.5</v>
      </c>
      <c r="I13" s="19"/>
      <c r="J13" s="30">
        <v>6.7</v>
      </c>
    </row>
    <row r="14" spans="1:27" ht="15.75" customHeight="1">
      <c r="A14" s="23"/>
      <c r="B14" s="24" t="s">
        <v>22</v>
      </c>
      <c r="C14" s="25">
        <f t="shared" ref="C14:J14" si="0">AVERAGE(C6:C13)</f>
        <v>7.2249999999999996</v>
      </c>
      <c r="D14" s="25">
        <f t="shared" si="0"/>
        <v>8.4199999999999982</v>
      </c>
      <c r="E14" s="25">
        <f t="shared" si="0"/>
        <v>7.7399999999999993</v>
      </c>
      <c r="F14" s="25">
        <f t="shared" si="0"/>
        <v>8.4000000000000021</v>
      </c>
      <c r="G14" s="25">
        <f t="shared" si="0"/>
        <v>8.6857142857142851</v>
      </c>
      <c r="H14" s="25">
        <f t="shared" si="0"/>
        <v>7.88</v>
      </c>
      <c r="I14" s="25">
        <f t="shared" si="0"/>
        <v>8.15</v>
      </c>
      <c r="J14" s="25">
        <f t="shared" si="0"/>
        <v>7.0571428571428578</v>
      </c>
      <c r="L14" s="78">
        <f>AVERAGE(C14:J14)</f>
        <v>7.9447321428571431</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1003"/>
  <sheetViews>
    <sheetView showGridLines="0" workbookViewId="0"/>
  </sheetViews>
  <sheetFormatPr defaultColWidth="12.5703125" defaultRowHeight="15.75" customHeight="1"/>
  <cols>
    <col min="2" max="2" width="19.7109375" customWidth="1"/>
    <col min="3" max="3" width="17.7109375" customWidth="1"/>
    <col min="4" max="4" width="21.42578125" customWidth="1"/>
    <col min="5" max="5" width="11" customWidth="1"/>
    <col min="6" max="6" width="15" customWidth="1"/>
    <col min="7" max="7" width="11" customWidth="1"/>
    <col min="8" max="8" width="14.42578125" customWidth="1"/>
    <col min="9" max="9" width="12.7109375" customWidth="1"/>
    <col min="10" max="10" width="11.8554687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1019</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35</v>
      </c>
      <c r="D4" s="36" t="s">
        <v>115</v>
      </c>
      <c r="E4" s="36" t="s">
        <v>108</v>
      </c>
      <c r="F4" s="36" t="s">
        <v>38</v>
      </c>
      <c r="G4" s="36" t="s">
        <v>70</v>
      </c>
      <c r="H4" s="36" t="s">
        <v>114</v>
      </c>
      <c r="I4" s="36" t="s">
        <v>110</v>
      </c>
      <c r="J4" s="36" t="s">
        <v>103</v>
      </c>
      <c r="K4" s="3"/>
      <c r="L4" s="5"/>
      <c r="M4" s="5"/>
      <c r="N4" s="5"/>
      <c r="O4" s="5"/>
      <c r="P4" s="5"/>
      <c r="Q4" s="5"/>
      <c r="R4" s="5"/>
      <c r="S4" s="5"/>
      <c r="T4" s="5"/>
      <c r="U4" s="5"/>
      <c r="V4" s="5"/>
      <c r="W4" s="5"/>
      <c r="X4" s="5"/>
      <c r="Y4" s="5"/>
      <c r="Z4" s="5"/>
      <c r="AA4" s="5"/>
    </row>
    <row r="5" spans="1:27" ht="15.75" customHeight="1">
      <c r="A5" s="10"/>
      <c r="B5" s="42" t="s">
        <v>8</v>
      </c>
      <c r="C5" s="42" t="s">
        <v>183</v>
      </c>
      <c r="D5" s="43" t="s">
        <v>184</v>
      </c>
      <c r="E5" s="42" t="s">
        <v>185</v>
      </c>
      <c r="F5" s="42" t="s">
        <v>186</v>
      </c>
      <c r="G5" s="42" t="s">
        <v>187</v>
      </c>
      <c r="H5" s="42" t="s">
        <v>188</v>
      </c>
      <c r="I5" s="42" t="s">
        <v>189</v>
      </c>
      <c r="J5" s="42" t="s">
        <v>190</v>
      </c>
      <c r="K5" s="13"/>
      <c r="L5" s="15"/>
      <c r="M5" s="15"/>
      <c r="N5" s="15"/>
      <c r="O5" s="15"/>
      <c r="P5" s="15"/>
      <c r="Q5" s="15"/>
      <c r="R5" s="15"/>
      <c r="S5" s="15"/>
      <c r="T5" s="15"/>
      <c r="U5" s="15"/>
      <c r="V5" s="15"/>
      <c r="W5" s="15"/>
      <c r="X5" s="15"/>
      <c r="Y5" s="15"/>
      <c r="Z5" s="15"/>
      <c r="AA5" s="15"/>
    </row>
    <row r="6" spans="1:27">
      <c r="A6" s="16"/>
      <c r="B6" s="38" t="s">
        <v>14</v>
      </c>
      <c r="C6" s="18">
        <v>7.7</v>
      </c>
      <c r="D6" s="19"/>
      <c r="E6" s="18">
        <v>8.1</v>
      </c>
      <c r="F6" s="18">
        <v>8.1</v>
      </c>
      <c r="G6" s="19"/>
      <c r="H6" s="19"/>
      <c r="I6" s="18">
        <v>6.6</v>
      </c>
      <c r="J6" s="18">
        <v>8.8000000000000007</v>
      </c>
    </row>
    <row r="7" spans="1:27">
      <c r="A7" s="16"/>
      <c r="B7" s="38" t="s">
        <v>236</v>
      </c>
      <c r="C7" s="18">
        <v>7.1</v>
      </c>
      <c r="D7" s="19"/>
      <c r="E7" s="18">
        <v>7.5</v>
      </c>
      <c r="F7" s="18">
        <v>7.9</v>
      </c>
      <c r="G7" s="19"/>
      <c r="H7" s="19"/>
      <c r="I7" s="19"/>
      <c r="J7" s="18">
        <v>8</v>
      </c>
    </row>
    <row r="8" spans="1:27">
      <c r="A8" s="16"/>
      <c r="B8" s="38" t="s">
        <v>16</v>
      </c>
      <c r="C8" s="18">
        <v>7.4</v>
      </c>
      <c r="D8" s="18">
        <v>8.1999999999999993</v>
      </c>
      <c r="E8" s="18">
        <v>8.4</v>
      </c>
      <c r="F8" s="18">
        <v>6.4</v>
      </c>
      <c r="G8" s="18">
        <v>7.9</v>
      </c>
      <c r="H8" s="19"/>
      <c r="I8" s="18">
        <v>6.9</v>
      </c>
      <c r="J8" s="18">
        <v>7.4</v>
      </c>
    </row>
    <row r="9" spans="1:27">
      <c r="A9" s="16"/>
      <c r="B9" s="38" t="s">
        <v>17</v>
      </c>
      <c r="C9" s="18">
        <v>10</v>
      </c>
      <c r="D9" s="18">
        <v>5</v>
      </c>
      <c r="E9" s="18">
        <v>9</v>
      </c>
      <c r="F9" s="18">
        <v>9.5</v>
      </c>
      <c r="G9" s="18">
        <v>8</v>
      </c>
      <c r="H9" s="18">
        <v>6</v>
      </c>
      <c r="I9" s="18">
        <v>10</v>
      </c>
      <c r="J9" s="18">
        <v>10</v>
      </c>
    </row>
    <row r="10" spans="1:27">
      <c r="A10" s="16"/>
      <c r="B10" s="38" t="s">
        <v>18</v>
      </c>
      <c r="C10" s="18">
        <v>7.1</v>
      </c>
      <c r="D10" s="18">
        <v>7.5</v>
      </c>
      <c r="E10" s="18">
        <v>8.1</v>
      </c>
      <c r="F10" s="19"/>
      <c r="G10" s="18">
        <v>7.9</v>
      </c>
      <c r="H10" s="19"/>
      <c r="I10" s="18">
        <v>7</v>
      </c>
      <c r="J10" s="18">
        <v>7.5</v>
      </c>
    </row>
    <row r="11" spans="1:27">
      <c r="A11" s="16"/>
      <c r="B11" s="38" t="s">
        <v>19</v>
      </c>
      <c r="C11" s="18">
        <v>7.2</v>
      </c>
      <c r="D11" s="18">
        <v>7</v>
      </c>
      <c r="E11" s="18">
        <v>8</v>
      </c>
      <c r="F11" s="19"/>
      <c r="G11" s="19"/>
      <c r="H11" s="19"/>
      <c r="I11" s="19"/>
      <c r="J11" s="19"/>
    </row>
    <row r="12" spans="1:27">
      <c r="A12" s="16"/>
      <c r="B12" s="38" t="s">
        <v>20</v>
      </c>
      <c r="C12" s="18">
        <v>7.6</v>
      </c>
      <c r="D12" s="18">
        <v>7.4</v>
      </c>
      <c r="E12" s="18">
        <v>8</v>
      </c>
      <c r="F12" s="18">
        <v>7.8</v>
      </c>
      <c r="G12" s="18">
        <v>9.1</v>
      </c>
      <c r="H12" s="18">
        <v>7.5</v>
      </c>
      <c r="I12" s="18">
        <v>6.9</v>
      </c>
      <c r="J12" s="18">
        <v>7</v>
      </c>
    </row>
    <row r="13" spans="1:27">
      <c r="A13" s="16"/>
      <c r="B13" s="38" t="s">
        <v>21</v>
      </c>
      <c r="C13" s="19"/>
      <c r="D13" s="30">
        <v>7.9</v>
      </c>
      <c r="E13" s="19"/>
      <c r="F13" s="30">
        <v>7.5</v>
      </c>
      <c r="G13" s="30">
        <v>7.8</v>
      </c>
      <c r="H13" s="37">
        <v>7.3</v>
      </c>
      <c r="I13" s="30">
        <v>6.8</v>
      </c>
      <c r="J13" s="30">
        <v>7.8</v>
      </c>
    </row>
    <row r="14" spans="1:27" ht="15.75" customHeight="1">
      <c r="A14" s="23"/>
      <c r="B14" s="24" t="s">
        <v>22</v>
      </c>
      <c r="C14" s="25">
        <f t="shared" ref="C14:J14" si="0">AVERAGE(C6:C13)</f>
        <v>7.7285714285714295</v>
      </c>
      <c r="D14" s="25">
        <f t="shared" si="0"/>
        <v>7.166666666666667</v>
      </c>
      <c r="E14" s="25">
        <f t="shared" si="0"/>
        <v>8.1571428571428566</v>
      </c>
      <c r="F14" s="25">
        <f t="shared" si="0"/>
        <v>7.8666666666666663</v>
      </c>
      <c r="G14" s="25">
        <f t="shared" si="0"/>
        <v>8.1399999999999988</v>
      </c>
      <c r="H14" s="25">
        <f t="shared" si="0"/>
        <v>6.9333333333333336</v>
      </c>
      <c r="I14" s="25">
        <f t="shared" si="0"/>
        <v>7.3666666666666663</v>
      </c>
      <c r="J14" s="25">
        <f t="shared" si="0"/>
        <v>8.0714285714285712</v>
      </c>
      <c r="L14" s="78">
        <f>AVERAGE(C14:J14)</f>
        <v>7.678809523809524</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A1003"/>
  <sheetViews>
    <sheetView showGridLines="0" workbookViewId="0"/>
  </sheetViews>
  <sheetFormatPr defaultColWidth="12.5703125" defaultRowHeight="15.75" customHeight="1"/>
  <cols>
    <col min="1" max="1" width="10.85546875" customWidth="1"/>
    <col min="2" max="2" width="16.140625" customWidth="1"/>
    <col min="3" max="3" width="12.28515625" customWidth="1"/>
    <col min="4" max="4" width="12.7109375" customWidth="1"/>
    <col min="5" max="5" width="14.42578125" customWidth="1"/>
    <col min="6" max="6" width="11.42578125" customWidth="1"/>
    <col min="7" max="7" width="17.140625" customWidth="1"/>
    <col min="8" max="8" width="13" customWidth="1"/>
    <col min="9" max="9" width="15.42578125" customWidth="1"/>
    <col min="10" max="10" width="14" customWidth="1"/>
    <col min="11" max="27" width="7.14062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1020</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2</v>
      </c>
      <c r="D4" s="36" t="s">
        <v>3</v>
      </c>
      <c r="E4" s="36" t="s">
        <v>95</v>
      </c>
      <c r="F4" s="36" t="s">
        <v>26</v>
      </c>
      <c r="G4" s="36" t="s">
        <v>59</v>
      </c>
      <c r="H4" s="36" t="s">
        <v>114</v>
      </c>
      <c r="I4" s="36" t="s">
        <v>107</v>
      </c>
      <c r="J4" s="36" t="s">
        <v>111</v>
      </c>
      <c r="K4" s="3"/>
      <c r="L4" s="5"/>
      <c r="M4" s="5"/>
      <c r="N4" s="5"/>
      <c r="O4" s="5"/>
      <c r="P4" s="5"/>
      <c r="Q4" s="5"/>
      <c r="R4" s="5"/>
      <c r="S4" s="5"/>
      <c r="T4" s="5"/>
      <c r="U4" s="5"/>
      <c r="V4" s="5"/>
      <c r="W4" s="5"/>
      <c r="X4" s="5"/>
      <c r="Y4" s="5"/>
      <c r="Z4" s="5"/>
      <c r="AA4" s="5"/>
    </row>
    <row r="5" spans="1:27" ht="15.75" customHeight="1">
      <c r="A5" s="10"/>
      <c r="B5" s="42" t="s">
        <v>8</v>
      </c>
      <c r="C5" s="42" t="s">
        <v>175</v>
      </c>
      <c r="D5" s="43" t="s">
        <v>176</v>
      </c>
      <c r="E5" s="42" t="s">
        <v>177</v>
      </c>
      <c r="F5" s="42" t="s">
        <v>178</v>
      </c>
      <c r="G5" s="42" t="s">
        <v>179</v>
      </c>
      <c r="H5" s="42" t="s">
        <v>180</v>
      </c>
      <c r="I5" s="42" t="s">
        <v>181</v>
      </c>
      <c r="J5" s="42" t="s">
        <v>182</v>
      </c>
      <c r="K5" s="13"/>
      <c r="L5" s="15"/>
      <c r="M5" s="15"/>
      <c r="N5" s="15"/>
      <c r="O5" s="15"/>
      <c r="P5" s="15"/>
      <c r="Q5" s="15"/>
      <c r="R5" s="15"/>
      <c r="S5" s="15"/>
      <c r="T5" s="15"/>
      <c r="U5" s="15"/>
      <c r="V5" s="15"/>
      <c r="W5" s="15"/>
      <c r="X5" s="15"/>
      <c r="Y5" s="15"/>
      <c r="Z5" s="15"/>
      <c r="AA5" s="15"/>
    </row>
    <row r="6" spans="1:27">
      <c r="A6" s="16"/>
      <c r="B6" s="38" t="s">
        <v>14</v>
      </c>
      <c r="C6" s="47">
        <v>6.4</v>
      </c>
      <c r="D6" s="18">
        <v>7.6</v>
      </c>
      <c r="E6" s="18">
        <v>8</v>
      </c>
      <c r="F6" s="48">
        <v>7.7</v>
      </c>
      <c r="G6" s="48">
        <v>6.3</v>
      </c>
      <c r="H6" s="48">
        <v>8.3000000000000007</v>
      </c>
      <c r="I6" s="18">
        <v>6.5</v>
      </c>
      <c r="J6" s="48">
        <v>7.9</v>
      </c>
    </row>
    <row r="7" spans="1:27">
      <c r="A7" s="16"/>
      <c r="B7" s="38" t="s">
        <v>236</v>
      </c>
      <c r="C7" s="47">
        <v>6.1</v>
      </c>
      <c r="D7" s="18">
        <v>8</v>
      </c>
      <c r="E7" s="18">
        <v>8.3000000000000007</v>
      </c>
      <c r="F7" s="48">
        <v>7.5</v>
      </c>
      <c r="G7" s="48">
        <v>6.1</v>
      </c>
      <c r="H7" s="48">
        <v>8.5</v>
      </c>
      <c r="I7" s="48">
        <v>7</v>
      </c>
      <c r="J7" s="48">
        <v>7.6</v>
      </c>
    </row>
    <row r="8" spans="1:27">
      <c r="A8" s="16"/>
      <c r="B8" s="38" t="s">
        <v>16</v>
      </c>
      <c r="C8" s="48">
        <v>7</v>
      </c>
      <c r="D8" s="48">
        <v>7.8</v>
      </c>
      <c r="E8" s="48">
        <v>8.6999999999999993</v>
      </c>
      <c r="F8" s="48">
        <v>8.6999999999999993</v>
      </c>
      <c r="G8" s="48">
        <v>6.3</v>
      </c>
      <c r="H8" s="48">
        <v>8.3000000000000007</v>
      </c>
      <c r="I8" s="48">
        <v>6.8</v>
      </c>
      <c r="J8" s="48">
        <v>8.6999999999999993</v>
      </c>
    </row>
    <row r="9" spans="1:27">
      <c r="A9" s="16"/>
      <c r="B9" s="38" t="s">
        <v>17</v>
      </c>
      <c r="C9" s="18">
        <v>6.5</v>
      </c>
      <c r="D9" s="18">
        <v>8</v>
      </c>
      <c r="E9" s="18">
        <v>10</v>
      </c>
      <c r="F9" s="18">
        <v>6</v>
      </c>
      <c r="G9" s="18">
        <v>7.5</v>
      </c>
      <c r="H9" s="18">
        <v>8</v>
      </c>
      <c r="I9" s="18">
        <v>7</v>
      </c>
      <c r="J9" s="18">
        <v>10</v>
      </c>
    </row>
    <row r="10" spans="1:27">
      <c r="A10" s="16"/>
      <c r="B10" s="38" t="s">
        <v>18</v>
      </c>
      <c r="C10" s="18">
        <v>6.8</v>
      </c>
      <c r="D10" s="48">
        <v>7.8</v>
      </c>
      <c r="E10" s="48">
        <v>8.5</v>
      </c>
      <c r="F10" s="18">
        <v>8</v>
      </c>
      <c r="G10" s="18">
        <v>6.2</v>
      </c>
      <c r="H10" s="18">
        <v>8</v>
      </c>
      <c r="I10" s="48">
        <v>7.4</v>
      </c>
      <c r="J10" s="18">
        <v>8.8000000000000007</v>
      </c>
    </row>
    <row r="11" spans="1:27">
      <c r="A11" s="16"/>
      <c r="B11" s="38" t="s">
        <v>19</v>
      </c>
      <c r="C11" s="19"/>
      <c r="D11" s="48">
        <v>8.5</v>
      </c>
      <c r="E11" s="48">
        <v>8.6999999999999993</v>
      </c>
      <c r="F11" s="48">
        <v>9.5</v>
      </c>
      <c r="G11" s="18">
        <v>7</v>
      </c>
      <c r="H11" s="19"/>
      <c r="I11" s="19"/>
      <c r="J11" s="19"/>
    </row>
    <row r="12" spans="1:27">
      <c r="A12" s="16"/>
      <c r="B12" s="38" t="s">
        <v>20</v>
      </c>
      <c r="C12" s="48">
        <v>7.2</v>
      </c>
      <c r="D12" s="48">
        <v>7.4</v>
      </c>
      <c r="E12" s="48">
        <v>9.1</v>
      </c>
      <c r="F12" s="48">
        <v>8.6999999999999993</v>
      </c>
      <c r="G12" s="48">
        <v>6.8</v>
      </c>
      <c r="H12" s="48">
        <v>8.8000000000000007</v>
      </c>
      <c r="I12" s="48">
        <v>6.9</v>
      </c>
      <c r="J12" s="48">
        <v>8.8000000000000007</v>
      </c>
    </row>
    <row r="13" spans="1:27">
      <c r="A13" s="16"/>
      <c r="B13" s="38" t="s">
        <v>21</v>
      </c>
      <c r="C13" s="19"/>
      <c r="D13" s="19"/>
      <c r="E13" s="30">
        <v>8.6</v>
      </c>
      <c r="F13" s="48">
        <v>8.8000000000000007</v>
      </c>
      <c r="G13" s="48">
        <v>6.7</v>
      </c>
      <c r="H13" s="60">
        <v>9.1</v>
      </c>
      <c r="I13" s="30">
        <v>6.5</v>
      </c>
      <c r="J13" s="48">
        <v>8.6999999999999993</v>
      </c>
    </row>
    <row r="14" spans="1:27" ht="15.75" customHeight="1">
      <c r="A14" s="23"/>
      <c r="B14" s="24" t="s">
        <v>22</v>
      </c>
      <c r="C14" s="25">
        <f t="shared" ref="C14:J14" si="0">AVERAGE(C6:C13)</f>
        <v>6.666666666666667</v>
      </c>
      <c r="D14" s="25">
        <f t="shared" si="0"/>
        <v>7.871428571428571</v>
      </c>
      <c r="E14" s="25">
        <f t="shared" si="0"/>
        <v>8.7375000000000007</v>
      </c>
      <c r="F14" s="25">
        <f t="shared" si="0"/>
        <v>8.1124999999999989</v>
      </c>
      <c r="G14" s="25">
        <f t="shared" si="0"/>
        <v>6.6124999999999998</v>
      </c>
      <c r="H14" s="25">
        <f t="shared" si="0"/>
        <v>8.4285714285714288</v>
      </c>
      <c r="I14" s="25">
        <f t="shared" si="0"/>
        <v>6.8714285714285719</v>
      </c>
      <c r="J14" s="25">
        <f t="shared" si="0"/>
        <v>8.6428571428571423</v>
      </c>
      <c r="L14" s="78">
        <f>AVERAGE(C14:J14)</f>
        <v>7.7429315476190474</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A1003"/>
  <sheetViews>
    <sheetView showGridLines="0" workbookViewId="0"/>
  </sheetViews>
  <sheetFormatPr defaultColWidth="12.5703125" defaultRowHeight="15.75" customHeight="1"/>
  <cols>
    <col min="1" max="1" width="10.85546875" customWidth="1"/>
    <col min="2" max="2" width="15.7109375" customWidth="1"/>
    <col min="3" max="3" width="15.5703125" customWidth="1"/>
    <col min="4" max="4" width="19" customWidth="1"/>
    <col min="5" max="5" width="21.42578125" customWidth="1"/>
    <col min="6" max="6" width="13.7109375" customWidth="1"/>
    <col min="7" max="7" width="22.28515625" customWidth="1"/>
    <col min="8" max="8" width="22" customWidth="1"/>
    <col min="9" max="9" width="12.28515625" customWidth="1"/>
    <col min="10" max="10" width="19.5703125" customWidth="1"/>
    <col min="11" max="27" width="7.14062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1</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35</v>
      </c>
      <c r="D4" s="36" t="s">
        <v>112</v>
      </c>
      <c r="E4" s="36" t="s">
        <v>113</v>
      </c>
      <c r="F4" s="36" t="s">
        <v>105</v>
      </c>
      <c r="G4" s="36" t="s">
        <v>39</v>
      </c>
      <c r="H4" s="36" t="s">
        <v>109</v>
      </c>
      <c r="I4" s="36" t="s">
        <v>72</v>
      </c>
      <c r="J4" s="36" t="s">
        <v>93</v>
      </c>
      <c r="K4" s="3"/>
      <c r="L4" s="5"/>
      <c r="M4" s="5"/>
      <c r="N4" s="5"/>
      <c r="O4" s="5"/>
      <c r="P4" s="5"/>
      <c r="Q4" s="5"/>
      <c r="R4" s="5"/>
      <c r="S4" s="5"/>
      <c r="T4" s="5"/>
      <c r="U4" s="5"/>
      <c r="V4" s="5"/>
      <c r="W4" s="5"/>
      <c r="X4" s="5"/>
      <c r="Y4" s="5"/>
      <c r="Z4" s="5"/>
      <c r="AA4" s="5"/>
    </row>
    <row r="5" spans="1:27" ht="15.75" customHeight="1">
      <c r="A5" s="10"/>
      <c r="B5" s="42" t="s">
        <v>8</v>
      </c>
      <c r="C5" s="42" t="s">
        <v>159</v>
      </c>
      <c r="D5" s="43" t="s">
        <v>168</v>
      </c>
      <c r="E5" s="42" t="s">
        <v>169</v>
      </c>
      <c r="F5" s="42" t="s">
        <v>170</v>
      </c>
      <c r="G5" s="42" t="s">
        <v>171</v>
      </c>
      <c r="H5" s="42" t="s">
        <v>172</v>
      </c>
      <c r="I5" s="42" t="s">
        <v>173</v>
      </c>
      <c r="J5" s="42" t="s">
        <v>174</v>
      </c>
      <c r="K5" s="13"/>
      <c r="L5" s="15"/>
      <c r="M5" s="15"/>
      <c r="N5" s="15"/>
      <c r="O5" s="15"/>
      <c r="P5" s="15"/>
      <c r="Q5" s="15"/>
      <c r="R5" s="15"/>
      <c r="S5" s="15"/>
      <c r="T5" s="15"/>
      <c r="U5" s="15"/>
      <c r="V5" s="15"/>
      <c r="W5" s="15"/>
      <c r="X5" s="15"/>
      <c r="Y5" s="15"/>
      <c r="Z5" s="15"/>
      <c r="AA5" s="15"/>
    </row>
    <row r="6" spans="1:27">
      <c r="A6" s="16"/>
      <c r="B6" s="38" t="s">
        <v>14</v>
      </c>
      <c r="C6" s="47">
        <v>6.4</v>
      </c>
      <c r="D6" s="48">
        <v>7.5</v>
      </c>
      <c r="E6" s="19"/>
      <c r="F6" s="18">
        <v>7.9</v>
      </c>
      <c r="G6" s="18">
        <v>7.7</v>
      </c>
      <c r="H6" s="19"/>
      <c r="I6" s="18">
        <v>6.8</v>
      </c>
      <c r="J6" s="19"/>
    </row>
    <row r="7" spans="1:27">
      <c r="A7" s="16"/>
      <c r="B7" s="38" t="s">
        <v>236</v>
      </c>
      <c r="C7" s="47">
        <v>6</v>
      </c>
      <c r="D7" s="48">
        <v>7.8</v>
      </c>
      <c r="E7" s="19"/>
      <c r="F7" s="18">
        <v>7.6</v>
      </c>
      <c r="G7" s="19"/>
      <c r="H7" s="19"/>
      <c r="I7" s="18">
        <v>6.6</v>
      </c>
      <c r="J7" s="19"/>
    </row>
    <row r="8" spans="1:27">
      <c r="A8" s="16"/>
      <c r="B8" s="38" t="s">
        <v>16</v>
      </c>
      <c r="C8" s="48">
        <v>6.7</v>
      </c>
      <c r="D8" s="48">
        <v>8.3000000000000007</v>
      </c>
      <c r="E8" s="48">
        <v>6.9</v>
      </c>
      <c r="F8" s="48">
        <v>7.9</v>
      </c>
      <c r="G8" s="48">
        <v>7.9</v>
      </c>
      <c r="H8" s="19"/>
      <c r="I8" s="48">
        <v>7</v>
      </c>
      <c r="J8" s="48">
        <v>8.3000000000000007</v>
      </c>
    </row>
    <row r="9" spans="1:27">
      <c r="A9" s="16"/>
      <c r="B9" s="38" t="s">
        <v>17</v>
      </c>
      <c r="C9" s="47">
        <v>10</v>
      </c>
      <c r="D9" s="48">
        <v>7</v>
      </c>
      <c r="E9" s="18">
        <v>6</v>
      </c>
      <c r="F9" s="18">
        <v>7</v>
      </c>
      <c r="G9" s="18">
        <v>8</v>
      </c>
      <c r="H9" s="18">
        <v>8</v>
      </c>
      <c r="I9" s="18">
        <v>8</v>
      </c>
      <c r="J9" s="18">
        <v>8.5</v>
      </c>
    </row>
    <row r="10" spans="1:27">
      <c r="A10" s="16"/>
      <c r="B10" s="38" t="s">
        <v>18</v>
      </c>
      <c r="C10" s="18">
        <v>6.6</v>
      </c>
      <c r="D10" s="48">
        <v>7.4</v>
      </c>
      <c r="E10" s="48">
        <v>6.9</v>
      </c>
      <c r="F10" s="48">
        <v>7.7</v>
      </c>
      <c r="G10" s="48">
        <v>7.6</v>
      </c>
      <c r="H10" s="48">
        <v>7.2</v>
      </c>
      <c r="I10" s="48">
        <v>6.9</v>
      </c>
      <c r="J10" s="48">
        <v>7.7</v>
      </c>
    </row>
    <row r="11" spans="1:27">
      <c r="A11" s="16"/>
      <c r="B11" s="38" t="s">
        <v>19</v>
      </c>
      <c r="C11" s="48">
        <v>6.1</v>
      </c>
      <c r="D11" s="48">
        <v>8</v>
      </c>
      <c r="E11" s="48">
        <v>7.9</v>
      </c>
      <c r="F11" s="48">
        <v>7.5</v>
      </c>
      <c r="G11" s="48">
        <v>7.8</v>
      </c>
      <c r="H11" s="19"/>
      <c r="I11" s="48">
        <v>7</v>
      </c>
      <c r="J11" s="18">
        <v>8</v>
      </c>
    </row>
    <row r="12" spans="1:27">
      <c r="A12" s="16"/>
      <c r="B12" s="38" t="s">
        <v>20</v>
      </c>
      <c r="C12" s="48">
        <v>6.3</v>
      </c>
      <c r="D12" s="48">
        <v>8.3000000000000007</v>
      </c>
      <c r="E12" s="48">
        <v>7</v>
      </c>
      <c r="F12" s="48">
        <v>7.5</v>
      </c>
      <c r="G12" s="48">
        <v>7.7</v>
      </c>
      <c r="H12" s="48">
        <v>7.4</v>
      </c>
      <c r="I12" s="48">
        <v>7.2</v>
      </c>
      <c r="J12" s="48">
        <v>9</v>
      </c>
    </row>
    <row r="13" spans="1:27">
      <c r="A13" s="16"/>
      <c r="B13" s="38" t="s">
        <v>21</v>
      </c>
      <c r="C13" s="48">
        <v>7</v>
      </c>
      <c r="D13" s="48">
        <v>8.4</v>
      </c>
      <c r="E13" s="48">
        <v>7</v>
      </c>
      <c r="F13" s="48">
        <v>7.6</v>
      </c>
      <c r="G13" s="48">
        <v>7.7</v>
      </c>
      <c r="H13" s="59"/>
      <c r="I13" s="47">
        <v>6.9</v>
      </c>
      <c r="J13" s="30">
        <v>8.1</v>
      </c>
    </row>
    <row r="14" spans="1:27" ht="15.75" customHeight="1">
      <c r="A14" s="23"/>
      <c r="B14" s="24" t="s">
        <v>22</v>
      </c>
      <c r="C14" s="25">
        <f t="shared" ref="C14:J14" si="0">AVERAGE(C6:C13)</f>
        <v>6.8875000000000002</v>
      </c>
      <c r="D14" s="25">
        <f t="shared" si="0"/>
        <v>7.8374999999999995</v>
      </c>
      <c r="E14" s="25">
        <f t="shared" si="0"/>
        <v>6.95</v>
      </c>
      <c r="F14" s="25">
        <f t="shared" si="0"/>
        <v>7.5875000000000004</v>
      </c>
      <c r="G14" s="25">
        <f t="shared" si="0"/>
        <v>7.7714285714285722</v>
      </c>
      <c r="H14" s="25">
        <f t="shared" si="0"/>
        <v>7.5333333333333341</v>
      </c>
      <c r="I14" s="25">
        <f t="shared" si="0"/>
        <v>7.05</v>
      </c>
      <c r="J14" s="25">
        <f t="shared" si="0"/>
        <v>8.2666666666666675</v>
      </c>
      <c r="L14" s="78">
        <f>AVERAGE(C14:J14)</f>
        <v>7.4854910714285712</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A1003"/>
  <sheetViews>
    <sheetView showGridLines="0" workbookViewId="0"/>
  </sheetViews>
  <sheetFormatPr defaultColWidth="12.5703125" defaultRowHeight="15.75" customHeight="1"/>
  <cols>
    <col min="1" max="1" width="10.85546875" customWidth="1"/>
    <col min="2" max="2" width="27.28515625" customWidth="1"/>
    <col min="3" max="3" width="13" customWidth="1"/>
    <col min="4" max="4" width="12.42578125" customWidth="1"/>
    <col min="5" max="5" width="23.42578125" customWidth="1"/>
    <col min="6" max="6" width="12.7109375" customWidth="1"/>
    <col min="7" max="7" width="24.42578125" customWidth="1"/>
    <col min="8" max="8" width="14.7109375" customWidth="1"/>
    <col min="9" max="9" width="13.5703125" customWidth="1"/>
    <col min="10" max="10" width="13.42578125" customWidth="1"/>
    <col min="11" max="27" width="7.14062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24</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57</v>
      </c>
      <c r="D4" s="36" t="s">
        <v>104</v>
      </c>
      <c r="E4" s="36" t="s">
        <v>108</v>
      </c>
      <c r="F4" s="36" t="s">
        <v>5</v>
      </c>
      <c r="G4" s="36" t="s">
        <v>97</v>
      </c>
      <c r="H4" s="36" t="s">
        <v>109</v>
      </c>
      <c r="I4" s="36" t="s">
        <v>110</v>
      </c>
      <c r="J4" s="36" t="s">
        <v>111</v>
      </c>
      <c r="K4" s="3"/>
      <c r="L4" s="5"/>
      <c r="M4" s="5"/>
      <c r="N4" s="5"/>
      <c r="O4" s="5"/>
      <c r="P4" s="5"/>
      <c r="Q4" s="5"/>
      <c r="R4" s="5"/>
      <c r="S4" s="5"/>
      <c r="T4" s="5"/>
      <c r="U4" s="5"/>
      <c r="V4" s="5"/>
      <c r="W4" s="5"/>
      <c r="X4" s="5"/>
      <c r="Y4" s="5"/>
      <c r="Z4" s="5"/>
      <c r="AA4" s="5"/>
    </row>
    <row r="5" spans="1:27" ht="15.75" customHeight="1">
      <c r="A5" s="10"/>
      <c r="B5" s="42" t="s">
        <v>8</v>
      </c>
      <c r="C5" s="42" t="s">
        <v>160</v>
      </c>
      <c r="D5" s="43" t="s">
        <v>161</v>
      </c>
      <c r="E5" s="42" t="s">
        <v>162</v>
      </c>
      <c r="F5" s="42" t="s">
        <v>163</v>
      </c>
      <c r="G5" s="42" t="s">
        <v>164</v>
      </c>
      <c r="H5" s="42" t="s">
        <v>165</v>
      </c>
      <c r="I5" s="42" t="s">
        <v>166</v>
      </c>
      <c r="J5" s="42" t="s">
        <v>167</v>
      </c>
      <c r="K5" s="13"/>
      <c r="L5" s="15"/>
      <c r="M5" s="15"/>
      <c r="N5" s="15"/>
      <c r="O5" s="15"/>
      <c r="P5" s="15"/>
      <c r="Q5" s="15"/>
      <c r="R5" s="15"/>
      <c r="S5" s="15"/>
      <c r="T5" s="15"/>
      <c r="U5" s="15"/>
      <c r="V5" s="15"/>
      <c r="W5" s="15"/>
      <c r="X5" s="15"/>
      <c r="Y5" s="15"/>
      <c r="Z5" s="15"/>
      <c r="AA5" s="15"/>
    </row>
    <row r="6" spans="1:27">
      <c r="A6" s="16"/>
      <c r="B6" s="38" t="s">
        <v>14</v>
      </c>
      <c r="C6" s="18">
        <v>7.7</v>
      </c>
      <c r="D6" s="18">
        <v>8.4</v>
      </c>
      <c r="E6" s="19"/>
      <c r="F6" s="18">
        <v>8.1</v>
      </c>
      <c r="G6" s="19"/>
      <c r="H6" s="18">
        <v>7.7</v>
      </c>
      <c r="I6" s="18">
        <v>7.2</v>
      </c>
      <c r="J6" s="18">
        <v>7.1</v>
      </c>
    </row>
    <row r="7" spans="1:27">
      <c r="A7" s="16"/>
      <c r="B7" s="38" t="s">
        <v>236</v>
      </c>
      <c r="C7" s="18">
        <v>7.8</v>
      </c>
      <c r="D7" s="48">
        <v>9.1</v>
      </c>
      <c r="E7" s="19"/>
      <c r="F7" s="18">
        <v>8.8000000000000007</v>
      </c>
      <c r="G7" s="19"/>
      <c r="H7" s="18">
        <v>8</v>
      </c>
      <c r="I7" s="18">
        <v>6.5</v>
      </c>
      <c r="J7" s="18">
        <v>7</v>
      </c>
    </row>
    <row r="8" spans="1:27">
      <c r="A8" s="16"/>
      <c r="B8" s="38" t="s">
        <v>16</v>
      </c>
      <c r="C8" s="18">
        <v>7.9</v>
      </c>
      <c r="D8" s="48">
        <v>8.3000000000000007</v>
      </c>
      <c r="E8" s="18">
        <v>8.1</v>
      </c>
      <c r="F8" s="18">
        <v>8.3000000000000007</v>
      </c>
      <c r="G8" s="18">
        <v>8.5</v>
      </c>
      <c r="H8" s="18">
        <v>7.8</v>
      </c>
      <c r="I8" s="18">
        <v>7.1</v>
      </c>
      <c r="J8" s="30">
        <v>7.6</v>
      </c>
    </row>
    <row r="9" spans="1:27">
      <c r="A9" s="16"/>
      <c r="B9" s="38" t="s">
        <v>17</v>
      </c>
      <c r="C9" s="30">
        <v>9</v>
      </c>
      <c r="D9" s="30">
        <v>10</v>
      </c>
      <c r="E9" s="30">
        <v>8</v>
      </c>
      <c r="F9" s="30">
        <v>9</v>
      </c>
      <c r="G9" s="30">
        <v>10</v>
      </c>
      <c r="H9" s="30">
        <v>5</v>
      </c>
      <c r="I9" s="30">
        <v>8</v>
      </c>
      <c r="J9" s="30">
        <v>8</v>
      </c>
    </row>
    <row r="10" spans="1:27">
      <c r="A10" s="16"/>
      <c r="B10" s="38" t="s">
        <v>18</v>
      </c>
      <c r="C10" s="18">
        <v>7.7</v>
      </c>
      <c r="D10" s="48">
        <v>8.1</v>
      </c>
      <c r="E10" s="18">
        <v>7.9</v>
      </c>
      <c r="F10" s="18">
        <v>8.1</v>
      </c>
      <c r="G10" s="18">
        <v>8.3000000000000007</v>
      </c>
      <c r="H10" s="18">
        <v>7.4</v>
      </c>
      <c r="I10" s="18">
        <v>7.2</v>
      </c>
      <c r="J10" s="18">
        <v>7.6</v>
      </c>
    </row>
    <row r="11" spans="1:27">
      <c r="A11" s="16"/>
      <c r="B11" s="38" t="s">
        <v>19</v>
      </c>
      <c r="C11" s="19"/>
      <c r="D11" s="19"/>
      <c r="E11" s="19"/>
      <c r="F11" s="19"/>
      <c r="G11" s="19"/>
      <c r="H11" s="19"/>
      <c r="I11" s="18">
        <v>8.5</v>
      </c>
      <c r="J11" s="19"/>
    </row>
    <row r="12" spans="1:27">
      <c r="A12" s="16"/>
      <c r="B12" s="38" t="s">
        <v>20</v>
      </c>
      <c r="C12" s="18">
        <v>7.7</v>
      </c>
      <c r="D12" s="18">
        <v>8.1999999999999993</v>
      </c>
      <c r="E12" s="18">
        <v>8.1999999999999993</v>
      </c>
      <c r="F12" s="18">
        <v>8.4</v>
      </c>
      <c r="G12" s="18">
        <v>8.6</v>
      </c>
      <c r="H12" s="18">
        <v>7.5</v>
      </c>
      <c r="I12" s="18">
        <v>7.2</v>
      </c>
      <c r="J12" s="18">
        <v>7.4</v>
      </c>
    </row>
    <row r="13" spans="1:27">
      <c r="A13" s="16"/>
      <c r="B13" s="38" t="s">
        <v>21</v>
      </c>
      <c r="C13" s="18">
        <v>8</v>
      </c>
      <c r="D13" s="18">
        <v>9.1</v>
      </c>
      <c r="E13" s="18">
        <v>7.9</v>
      </c>
      <c r="F13" s="18">
        <v>8.3000000000000007</v>
      </c>
      <c r="G13" s="18">
        <v>8.4</v>
      </c>
      <c r="H13" s="37">
        <v>7.2</v>
      </c>
      <c r="I13" s="18">
        <v>7</v>
      </c>
      <c r="J13" s="18">
        <v>7</v>
      </c>
    </row>
    <row r="14" spans="1:27" ht="15.75" customHeight="1">
      <c r="A14" s="23"/>
      <c r="B14" s="24" t="s">
        <v>22</v>
      </c>
      <c r="C14" s="25">
        <f t="shared" ref="C14:J14" si="0">AVERAGE(C6:C13)</f>
        <v>7.9714285714285724</v>
      </c>
      <c r="D14" s="25">
        <f t="shared" si="0"/>
        <v>8.742857142857142</v>
      </c>
      <c r="E14" s="25">
        <f t="shared" si="0"/>
        <v>8.02</v>
      </c>
      <c r="F14" s="25">
        <f t="shared" si="0"/>
        <v>8.4285714285714288</v>
      </c>
      <c r="G14" s="25">
        <f t="shared" si="0"/>
        <v>8.76</v>
      </c>
      <c r="H14" s="25">
        <f t="shared" si="0"/>
        <v>7.2285714285714286</v>
      </c>
      <c r="I14" s="25">
        <f t="shared" si="0"/>
        <v>7.3375000000000004</v>
      </c>
      <c r="J14" s="25">
        <f t="shared" si="0"/>
        <v>7.3857142857142852</v>
      </c>
      <c r="L14" s="78">
        <f>AVERAGE(C14:J14)</f>
        <v>7.9843303571428565</v>
      </c>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H22" s="1"/>
    </row>
    <row r="23" spans="1:8" ht="12.75">
      <c r="A23" s="28"/>
      <c r="C23" s="88" t="s">
        <v>250</v>
      </c>
      <c r="D23" s="101" t="s">
        <v>251</v>
      </c>
    </row>
    <row r="24" spans="1:8" ht="12.75">
      <c r="A24" s="28"/>
    </row>
    <row r="25" spans="1:8" ht="12.75">
      <c r="A25" s="28"/>
      <c r="G25" s="1"/>
    </row>
    <row r="26" spans="1:8" ht="12.75">
      <c r="A26" s="28"/>
    </row>
    <row r="27" spans="1:8" ht="12.75">
      <c r="A27" s="28"/>
    </row>
    <row r="28" spans="1:8" ht="12.75">
      <c r="A28" s="28"/>
    </row>
    <row r="29" spans="1:8" ht="12.75">
      <c r="A29" s="28"/>
    </row>
    <row r="30" spans="1:8" ht="12.75">
      <c r="A30" s="28"/>
    </row>
    <row r="31" spans="1:8" ht="12.75">
      <c r="A31" s="28"/>
    </row>
    <row r="32" spans="1:8" ht="12.75">
      <c r="A32" s="28"/>
    </row>
    <row r="33" spans="1:7" ht="12.75">
      <c r="A33" s="28"/>
      <c r="C33" s="1"/>
    </row>
    <row r="34" spans="1:7" ht="12.75">
      <c r="A34" s="28"/>
      <c r="C34" s="1"/>
    </row>
    <row r="35" spans="1:7" ht="12.75">
      <c r="A35" s="28"/>
    </row>
    <row r="36" spans="1:7" ht="12.75">
      <c r="A36" s="28"/>
    </row>
    <row r="37" spans="1:7" ht="12.75">
      <c r="A37" s="28"/>
    </row>
    <row r="38" spans="1:7" ht="12.75">
      <c r="A38" s="28"/>
    </row>
    <row r="39" spans="1:7" ht="12.75">
      <c r="A39" s="28"/>
    </row>
    <row r="40" spans="1:7" ht="12.75">
      <c r="A40" s="28"/>
    </row>
    <row r="41" spans="1:7" ht="12.75">
      <c r="A41" s="28"/>
    </row>
    <row r="42" spans="1:7" ht="12.75">
      <c r="A42" s="28"/>
    </row>
    <row r="43" spans="1:7" ht="12.75">
      <c r="A43" s="28"/>
    </row>
    <row r="44" spans="1:7" ht="12.75">
      <c r="A44" s="28"/>
    </row>
    <row r="45" spans="1:7" ht="12.75">
      <c r="A45" s="28"/>
    </row>
    <row r="46" spans="1:7" ht="12.75">
      <c r="A46" s="28"/>
    </row>
    <row r="47" spans="1:7" ht="12.75">
      <c r="A47" s="28"/>
    </row>
    <row r="48" spans="1:7" ht="12.75">
      <c r="A48" s="28"/>
      <c r="G48" s="29"/>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A1003"/>
  <sheetViews>
    <sheetView showGridLines="0" workbookViewId="0"/>
  </sheetViews>
  <sheetFormatPr defaultColWidth="12.5703125" defaultRowHeight="15.75" customHeight="1"/>
  <cols>
    <col min="1" max="1" width="10.85546875" customWidth="1"/>
    <col min="2" max="2" width="25.28515625" customWidth="1"/>
    <col min="3" max="3" width="17.5703125" customWidth="1"/>
    <col min="4" max="4" width="34.42578125" customWidth="1"/>
    <col min="5" max="5" width="13" customWidth="1"/>
    <col min="6" max="6" width="20" customWidth="1"/>
    <col min="7" max="7" width="24.28515625" customWidth="1"/>
    <col min="8" max="8" width="10.5703125" customWidth="1"/>
    <col min="9" max="9" width="10.85546875" customWidth="1"/>
    <col min="10" max="10" width="11" customWidth="1"/>
    <col min="11" max="27" width="7.140625" customWidth="1"/>
  </cols>
  <sheetData>
    <row r="1" spans="1:27">
      <c r="A1" s="2"/>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34</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57</v>
      </c>
      <c r="D4" s="36" t="s">
        <v>104</v>
      </c>
      <c r="E4" s="36" t="s">
        <v>92</v>
      </c>
      <c r="F4" s="36" t="s">
        <v>105</v>
      </c>
      <c r="G4" s="36" t="s">
        <v>39</v>
      </c>
      <c r="H4" s="36" t="s">
        <v>106</v>
      </c>
      <c r="I4" s="36" t="s">
        <v>107</v>
      </c>
      <c r="J4" s="36" t="s">
        <v>93</v>
      </c>
      <c r="K4" s="3"/>
      <c r="L4" s="5"/>
      <c r="M4" s="5"/>
      <c r="N4" s="5"/>
      <c r="O4" s="5"/>
      <c r="P4" s="5"/>
      <c r="Q4" s="5"/>
      <c r="R4" s="5"/>
      <c r="S4" s="5"/>
      <c r="T4" s="5"/>
      <c r="U4" s="5"/>
      <c r="V4" s="5"/>
      <c r="W4" s="5"/>
      <c r="X4" s="5"/>
      <c r="Y4" s="5"/>
      <c r="Z4" s="5"/>
      <c r="AA4" s="5"/>
    </row>
    <row r="5" spans="1:27" ht="15.75" customHeight="1">
      <c r="A5" s="10"/>
      <c r="B5" s="42" t="s">
        <v>8</v>
      </c>
      <c r="C5" s="42" t="s">
        <v>151</v>
      </c>
      <c r="D5" s="43" t="s">
        <v>152</v>
      </c>
      <c r="E5" s="42" t="s">
        <v>153</v>
      </c>
      <c r="F5" s="42" t="s">
        <v>154</v>
      </c>
      <c r="G5" s="42" t="s">
        <v>155</v>
      </c>
      <c r="H5" s="42" t="s">
        <v>156</v>
      </c>
      <c r="I5" s="42" t="s">
        <v>157</v>
      </c>
      <c r="J5" s="42" t="s">
        <v>158</v>
      </c>
      <c r="K5" s="13"/>
      <c r="L5" s="31"/>
      <c r="M5" s="103"/>
      <c r="N5" s="103"/>
      <c r="O5" s="103"/>
      <c r="P5" s="103"/>
      <c r="Q5" s="103"/>
      <c r="R5" s="103"/>
      <c r="S5" s="103"/>
      <c r="T5" s="103"/>
      <c r="U5" s="15"/>
      <c r="V5" s="15"/>
      <c r="W5" s="15"/>
      <c r="X5" s="15"/>
      <c r="Y5" s="15"/>
      <c r="Z5" s="15"/>
      <c r="AA5" s="15"/>
    </row>
    <row r="6" spans="1:27" ht="15.75" customHeight="1">
      <c r="A6" s="16"/>
      <c r="B6" s="38" t="s">
        <v>14</v>
      </c>
      <c r="C6" s="18">
        <v>8.3000000000000007</v>
      </c>
      <c r="D6" s="18">
        <v>7.8</v>
      </c>
      <c r="E6" s="18">
        <v>7.4</v>
      </c>
      <c r="F6" s="18">
        <v>7</v>
      </c>
      <c r="G6" s="18">
        <v>7.1</v>
      </c>
      <c r="H6" s="18">
        <v>6.8</v>
      </c>
      <c r="I6" s="18">
        <v>7.2</v>
      </c>
      <c r="J6" s="18">
        <v>8.1</v>
      </c>
      <c r="L6" s="104"/>
      <c r="M6" s="103"/>
      <c r="N6" s="5"/>
      <c r="O6" s="5"/>
      <c r="P6" s="5"/>
      <c r="Q6" s="5"/>
      <c r="R6" s="5"/>
      <c r="S6" s="5"/>
      <c r="T6" s="5"/>
    </row>
    <row r="7" spans="1:27" ht="15.75" customHeight="1">
      <c r="A7" s="16"/>
      <c r="B7" s="38" t="s">
        <v>236</v>
      </c>
      <c r="C7" s="18">
        <v>8.4</v>
      </c>
      <c r="D7" s="48">
        <v>7.9</v>
      </c>
      <c r="E7" s="18">
        <v>7.8</v>
      </c>
      <c r="F7" s="18">
        <v>6.9</v>
      </c>
      <c r="G7" s="48">
        <v>7</v>
      </c>
      <c r="H7" s="48">
        <v>7.5</v>
      </c>
      <c r="I7" s="48">
        <v>7.1</v>
      </c>
      <c r="J7" s="48">
        <v>8</v>
      </c>
      <c r="L7" s="31"/>
      <c r="M7" s="103"/>
      <c r="N7" s="5"/>
      <c r="O7" s="5"/>
      <c r="P7" s="5"/>
      <c r="Q7" s="5"/>
      <c r="R7" s="5"/>
      <c r="S7" s="5"/>
      <c r="T7" s="5"/>
    </row>
    <row r="8" spans="1:27" ht="15.75" customHeight="1">
      <c r="A8" s="16"/>
      <c r="B8" s="38" t="s">
        <v>16</v>
      </c>
      <c r="C8" s="18">
        <v>8.6</v>
      </c>
      <c r="D8" s="48">
        <v>8.3000000000000007</v>
      </c>
      <c r="E8" s="18">
        <v>7.8</v>
      </c>
      <c r="F8" s="18">
        <v>7</v>
      </c>
      <c r="G8" s="18">
        <v>7.5</v>
      </c>
      <c r="H8" s="18">
        <v>8.3000000000000007</v>
      </c>
      <c r="I8" s="18">
        <v>7.1</v>
      </c>
      <c r="J8" s="18">
        <v>8.6999999999999993</v>
      </c>
      <c r="L8" s="31"/>
      <c r="M8" s="103"/>
      <c r="N8" s="5"/>
      <c r="O8" s="5"/>
      <c r="P8" s="5"/>
      <c r="Q8" s="5"/>
      <c r="R8" s="5"/>
      <c r="S8" s="5"/>
      <c r="T8" s="5"/>
    </row>
    <row r="9" spans="1:27" ht="15.75" customHeight="1">
      <c r="A9" s="16"/>
      <c r="B9" s="38" t="s">
        <v>17</v>
      </c>
      <c r="C9" s="18">
        <v>6</v>
      </c>
      <c r="D9" s="48">
        <v>9</v>
      </c>
      <c r="E9" s="30">
        <v>10</v>
      </c>
      <c r="F9" s="30">
        <v>7</v>
      </c>
      <c r="G9" s="30">
        <v>8</v>
      </c>
      <c r="H9" s="30">
        <v>2</v>
      </c>
      <c r="I9" s="30">
        <v>9</v>
      </c>
      <c r="J9" s="30">
        <v>10</v>
      </c>
      <c r="L9" s="31"/>
      <c r="M9" s="103"/>
      <c r="N9" s="5"/>
      <c r="O9" s="5"/>
      <c r="P9" s="5"/>
      <c r="Q9" s="5"/>
      <c r="R9" s="5"/>
      <c r="S9" s="5"/>
      <c r="T9" s="5"/>
    </row>
    <row r="10" spans="1:27" ht="15.75" customHeight="1">
      <c r="A10" s="16"/>
      <c r="B10" s="38" t="s">
        <v>18</v>
      </c>
      <c r="C10" s="18">
        <v>8.3000000000000007</v>
      </c>
      <c r="D10" s="18">
        <v>8</v>
      </c>
      <c r="E10" s="18">
        <v>7.9</v>
      </c>
      <c r="F10" s="18">
        <v>7.5</v>
      </c>
      <c r="G10" s="18">
        <v>7.2</v>
      </c>
      <c r="H10" s="18">
        <v>7.2</v>
      </c>
      <c r="I10" s="18">
        <v>7.3</v>
      </c>
      <c r="J10" s="18">
        <v>8</v>
      </c>
      <c r="L10" s="31"/>
      <c r="M10" s="103"/>
      <c r="N10" s="5"/>
      <c r="O10" s="5"/>
      <c r="P10" s="5"/>
      <c r="Q10" s="5"/>
      <c r="R10" s="5"/>
      <c r="S10" s="5"/>
      <c r="T10" s="5"/>
    </row>
    <row r="11" spans="1:27" ht="15.75" customHeight="1">
      <c r="A11" s="16"/>
      <c r="B11" s="38" t="s">
        <v>19</v>
      </c>
      <c r="C11" s="18">
        <v>8.5</v>
      </c>
      <c r="D11" s="19"/>
      <c r="E11" s="18">
        <v>8</v>
      </c>
      <c r="F11" s="30">
        <v>6.9</v>
      </c>
      <c r="G11" s="30">
        <v>7</v>
      </c>
      <c r="H11" s="30">
        <v>8</v>
      </c>
      <c r="I11" s="30">
        <v>7.2</v>
      </c>
      <c r="J11" s="30">
        <v>8</v>
      </c>
      <c r="L11" s="31"/>
      <c r="M11" s="103"/>
      <c r="N11" s="5"/>
      <c r="O11" s="5"/>
      <c r="P11" s="5"/>
      <c r="Q11" s="5"/>
      <c r="R11" s="5"/>
      <c r="S11" s="5"/>
      <c r="T11" s="5"/>
    </row>
    <row r="12" spans="1:27" ht="15.75" customHeight="1">
      <c r="A12" s="16"/>
      <c r="B12" s="38" t="s">
        <v>20</v>
      </c>
      <c r="C12" s="18">
        <v>8.5</v>
      </c>
      <c r="D12" s="18">
        <v>8.6</v>
      </c>
      <c r="E12" s="18">
        <v>8</v>
      </c>
      <c r="F12" s="18">
        <v>6.6</v>
      </c>
      <c r="G12" s="18">
        <v>7</v>
      </c>
      <c r="H12" s="18">
        <v>8</v>
      </c>
      <c r="I12" s="18">
        <v>7.1</v>
      </c>
      <c r="J12" s="18">
        <v>8.1999999999999993</v>
      </c>
      <c r="L12" s="31"/>
      <c r="M12" s="103"/>
      <c r="N12" s="5"/>
      <c r="O12" s="5"/>
      <c r="P12" s="5"/>
      <c r="Q12" s="5"/>
      <c r="R12" s="5"/>
      <c r="S12" s="5"/>
      <c r="T12" s="5"/>
    </row>
    <row r="13" spans="1:27">
      <c r="A13" s="16"/>
      <c r="B13" s="38" t="s">
        <v>21</v>
      </c>
      <c r="C13" s="18">
        <v>8.6</v>
      </c>
      <c r="D13" s="18">
        <v>7.9</v>
      </c>
      <c r="E13" s="18">
        <v>7.6</v>
      </c>
      <c r="F13" s="18">
        <v>7</v>
      </c>
      <c r="G13" s="18">
        <v>7.1</v>
      </c>
      <c r="H13" s="37">
        <v>8.1</v>
      </c>
      <c r="I13" s="18">
        <v>7.3</v>
      </c>
      <c r="J13" s="18">
        <v>8</v>
      </c>
      <c r="L13" s="5"/>
      <c r="M13" s="5"/>
      <c r="N13" s="5"/>
      <c r="O13" s="5"/>
      <c r="P13" s="5"/>
      <c r="Q13" s="5"/>
      <c r="R13" s="5"/>
      <c r="S13" s="5"/>
      <c r="T13" s="5"/>
    </row>
    <row r="14" spans="1:27" ht="15.75" customHeight="1">
      <c r="A14" s="23"/>
      <c r="B14" s="24" t="s">
        <v>22</v>
      </c>
      <c r="C14" s="25">
        <f t="shared" ref="C14:J14" si="0">AVERAGE(C6:C13)</f>
        <v>8.15</v>
      </c>
      <c r="D14" s="25">
        <f t="shared" si="0"/>
        <v>8.2142857142857135</v>
      </c>
      <c r="E14" s="25">
        <f t="shared" si="0"/>
        <v>8.0625</v>
      </c>
      <c r="F14" s="25">
        <f t="shared" si="0"/>
        <v>6.9874999999999998</v>
      </c>
      <c r="G14" s="25">
        <f t="shared" si="0"/>
        <v>7.2375000000000007</v>
      </c>
      <c r="H14" s="25">
        <f t="shared" si="0"/>
        <v>6.9874999999999998</v>
      </c>
      <c r="I14" s="25">
        <f t="shared" si="0"/>
        <v>7.4124999999999996</v>
      </c>
      <c r="J14" s="25">
        <f t="shared" si="0"/>
        <v>8.375</v>
      </c>
      <c r="L14" s="78">
        <f>AVERAGE(C14:J14)</f>
        <v>7.6783482142857142</v>
      </c>
      <c r="M14" s="5"/>
      <c r="N14" s="5"/>
      <c r="O14" s="5"/>
      <c r="P14" s="5"/>
      <c r="Q14" s="5"/>
      <c r="R14" s="5"/>
      <c r="S14" s="5"/>
      <c r="T14" s="5"/>
    </row>
    <row r="15" spans="1:27">
      <c r="A15" s="28"/>
      <c r="L15" s="5"/>
      <c r="M15" s="5"/>
      <c r="N15" s="5"/>
      <c r="O15" s="5"/>
      <c r="P15" s="5"/>
      <c r="Q15" s="5"/>
      <c r="R15" s="5"/>
      <c r="S15" s="5"/>
      <c r="T15" s="5"/>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G22" s="1"/>
      <c r="H22" s="1"/>
    </row>
    <row r="23" spans="1:8" ht="12.75">
      <c r="A23" s="28"/>
      <c r="C23" s="88" t="s">
        <v>250</v>
      </c>
      <c r="D23" s="101" t="s">
        <v>251</v>
      </c>
      <c r="G23" s="1"/>
    </row>
    <row r="24" spans="1:8" ht="12.75">
      <c r="A24" s="28"/>
    </row>
    <row r="25" spans="1:8" ht="12.75">
      <c r="A25" s="28"/>
      <c r="G25" s="1"/>
    </row>
    <row r="26" spans="1:8" ht="12.75">
      <c r="A26" s="28"/>
      <c r="G26" s="1"/>
    </row>
    <row r="27" spans="1:8" ht="12.75">
      <c r="A27" s="28"/>
    </row>
    <row r="28" spans="1:8" ht="12.75">
      <c r="A28" s="28"/>
    </row>
    <row r="29" spans="1:8" ht="12.75">
      <c r="A29" s="28"/>
    </row>
    <row r="30" spans="1:8" ht="12.75">
      <c r="A30" s="28"/>
    </row>
    <row r="31" spans="1:8" ht="12.75">
      <c r="A31" s="28"/>
    </row>
    <row r="32" spans="1:8" ht="12.75">
      <c r="A32" s="28"/>
    </row>
    <row r="33" spans="1:4" ht="12.75">
      <c r="A33" s="28"/>
      <c r="C33" s="1"/>
    </row>
    <row r="34" spans="1:4" ht="12.75">
      <c r="A34" s="28"/>
      <c r="C34" s="1"/>
    </row>
    <row r="35" spans="1:4" ht="12.75">
      <c r="A35" s="28"/>
    </row>
    <row r="36" spans="1:4" ht="12.75">
      <c r="A36" s="28"/>
    </row>
    <row r="37" spans="1:4" ht="12.75">
      <c r="A37" s="28"/>
    </row>
    <row r="38" spans="1:4" ht="12.75">
      <c r="A38" s="28"/>
    </row>
    <row r="39" spans="1:4" ht="12.75">
      <c r="A39" s="28"/>
    </row>
    <row r="40" spans="1:4" ht="12.75">
      <c r="A40" s="28"/>
    </row>
    <row r="41" spans="1:4" ht="12.75">
      <c r="A41" s="28"/>
    </row>
    <row r="42" spans="1:4" ht="12.75">
      <c r="A42" s="28"/>
      <c r="D42" s="1"/>
    </row>
    <row r="43" spans="1:4" ht="12.75">
      <c r="A43" s="28"/>
    </row>
    <row r="44" spans="1:4" ht="12.75">
      <c r="A44" s="28"/>
    </row>
    <row r="45" spans="1:4" ht="12.75">
      <c r="A45" s="28"/>
    </row>
    <row r="46" spans="1:4" ht="12.75">
      <c r="A46" s="28"/>
    </row>
    <row r="47" spans="1:4" ht="12.75">
      <c r="A47" s="28"/>
    </row>
    <row r="48" spans="1:4" ht="12.75">
      <c r="A48" s="28"/>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A1003"/>
  <sheetViews>
    <sheetView showGridLines="0" workbookViewId="0"/>
  </sheetViews>
  <sheetFormatPr defaultColWidth="12.5703125" defaultRowHeight="15.75" customHeight="1"/>
  <cols>
    <col min="1" max="1" width="10.85546875" customWidth="1"/>
    <col min="2" max="2" width="25.28515625" customWidth="1"/>
    <col min="3" max="3" width="18" customWidth="1"/>
    <col min="4" max="4" width="14" customWidth="1"/>
    <col min="5" max="5" width="24.42578125" customWidth="1"/>
    <col min="6" max="6" width="18.7109375" customWidth="1"/>
    <col min="7" max="7" width="16.85546875" customWidth="1"/>
    <col min="8" max="8" width="18.5703125" customWidth="1"/>
    <col min="9" max="9" width="14.7109375" customWidth="1"/>
    <col min="10" max="10" width="19.7109375" customWidth="1"/>
    <col min="11" max="27" width="7.140625" customWidth="1"/>
  </cols>
  <sheetData>
    <row r="1" spans="1:27">
      <c r="A1" s="2">
        <f>A34</f>
        <v>0</v>
      </c>
      <c r="B1" s="3"/>
      <c r="C1" s="3"/>
      <c r="D1" s="3"/>
      <c r="E1" s="3"/>
      <c r="F1" s="3"/>
      <c r="G1" s="3"/>
      <c r="H1" s="3"/>
      <c r="I1" s="3"/>
      <c r="J1" s="3"/>
      <c r="K1" s="3"/>
      <c r="L1" s="5"/>
      <c r="M1" s="5"/>
      <c r="N1" s="5"/>
      <c r="O1" s="5"/>
      <c r="P1" s="5"/>
      <c r="Q1" s="5"/>
      <c r="R1" s="5"/>
      <c r="S1" s="5"/>
      <c r="T1" s="5"/>
      <c r="U1" s="5"/>
      <c r="V1" s="5"/>
      <c r="W1" s="5"/>
      <c r="X1" s="5"/>
      <c r="Y1" s="5"/>
      <c r="Z1" s="5"/>
      <c r="AA1" s="5"/>
    </row>
    <row r="2" spans="1:27" ht="15.75" customHeight="1">
      <c r="A2" s="6"/>
      <c r="B2" s="137" t="s">
        <v>47</v>
      </c>
      <c r="C2" s="138"/>
      <c r="D2" s="138"/>
      <c r="E2" s="138"/>
      <c r="F2" s="138"/>
      <c r="G2" s="138"/>
      <c r="H2" s="138"/>
      <c r="I2" s="138"/>
      <c r="J2" s="138"/>
      <c r="K2" s="3"/>
      <c r="L2" s="5"/>
      <c r="M2" s="5"/>
      <c r="N2" s="5"/>
      <c r="O2" s="5"/>
      <c r="P2" s="5"/>
      <c r="Q2" s="5"/>
      <c r="R2" s="5"/>
      <c r="S2" s="5"/>
      <c r="T2" s="5"/>
      <c r="U2" s="5"/>
      <c r="V2" s="5"/>
      <c r="W2" s="5"/>
      <c r="X2" s="5"/>
      <c r="Y2" s="5"/>
      <c r="Z2" s="5"/>
      <c r="AA2" s="5"/>
    </row>
    <row r="3" spans="1:27">
      <c r="A3" s="2"/>
      <c r="B3" s="3"/>
      <c r="C3" s="3"/>
      <c r="D3" s="3"/>
      <c r="E3" s="3"/>
      <c r="F3" s="3"/>
      <c r="G3" s="3"/>
      <c r="H3" s="3"/>
      <c r="I3" s="3"/>
      <c r="J3" s="3"/>
      <c r="K3" s="3"/>
      <c r="L3" s="5"/>
      <c r="M3" s="5"/>
      <c r="N3" s="5"/>
      <c r="O3" s="5"/>
      <c r="P3" s="5"/>
      <c r="Q3" s="5"/>
      <c r="R3" s="5"/>
      <c r="S3" s="5"/>
      <c r="T3" s="5"/>
      <c r="U3" s="5"/>
      <c r="V3" s="5"/>
      <c r="W3" s="5"/>
      <c r="X3" s="5"/>
      <c r="Y3" s="5"/>
      <c r="Z3" s="5"/>
      <c r="AA3" s="5"/>
    </row>
    <row r="4" spans="1:27">
      <c r="A4" s="2"/>
      <c r="B4" s="3"/>
      <c r="C4" s="36" t="s">
        <v>2</v>
      </c>
      <c r="D4" s="36" t="s">
        <v>99</v>
      </c>
      <c r="E4" s="36" t="s">
        <v>100</v>
      </c>
      <c r="F4" s="36" t="s">
        <v>69</v>
      </c>
      <c r="G4" s="36" t="s">
        <v>6</v>
      </c>
      <c r="H4" s="36" t="s">
        <v>101</v>
      </c>
      <c r="I4" s="36" t="s">
        <v>102</v>
      </c>
      <c r="J4" s="36" t="s">
        <v>103</v>
      </c>
      <c r="K4" s="3"/>
      <c r="L4" s="5"/>
      <c r="M4" s="5"/>
      <c r="N4" s="5"/>
      <c r="O4" s="5"/>
      <c r="P4" s="5"/>
      <c r="Q4" s="5"/>
      <c r="R4" s="5"/>
      <c r="S4" s="5"/>
      <c r="T4" s="5"/>
      <c r="U4" s="5"/>
      <c r="V4" s="5"/>
      <c r="W4" s="5"/>
      <c r="X4" s="5"/>
      <c r="Y4" s="5"/>
      <c r="Z4" s="5"/>
      <c r="AA4" s="5"/>
    </row>
    <row r="5" spans="1:27" ht="15.75" customHeight="1">
      <c r="A5" s="23"/>
      <c r="B5" s="24" t="s">
        <v>8</v>
      </c>
      <c r="C5" s="42" t="s">
        <v>143</v>
      </c>
      <c r="D5" s="42" t="s">
        <v>144</v>
      </c>
      <c r="E5" s="42" t="s">
        <v>145</v>
      </c>
      <c r="F5" s="42" t="s">
        <v>146</v>
      </c>
      <c r="G5" s="42" t="s">
        <v>147</v>
      </c>
      <c r="H5" s="42" t="s">
        <v>148</v>
      </c>
      <c r="I5" s="42" t="s">
        <v>149</v>
      </c>
      <c r="J5" s="42" t="s">
        <v>150</v>
      </c>
      <c r="K5" s="29"/>
      <c r="L5" s="31"/>
      <c r="M5" s="5"/>
    </row>
    <row r="6" spans="1:27" ht="15.75" customHeight="1">
      <c r="A6" s="16"/>
      <c r="B6" s="38" t="s">
        <v>14</v>
      </c>
      <c r="C6" s="18">
        <v>7.6</v>
      </c>
      <c r="D6" s="18">
        <v>8.1</v>
      </c>
      <c r="E6" s="18">
        <v>7.5</v>
      </c>
      <c r="F6" s="18">
        <v>8.1</v>
      </c>
      <c r="G6" s="18">
        <v>7.4</v>
      </c>
      <c r="H6" s="18">
        <v>7.5</v>
      </c>
      <c r="I6" s="18">
        <v>7.9</v>
      </c>
      <c r="J6" s="18">
        <v>8</v>
      </c>
      <c r="L6" s="31"/>
      <c r="M6" s="5"/>
    </row>
    <row r="7" spans="1:27" ht="15.75" customHeight="1">
      <c r="A7" s="16"/>
      <c r="B7" s="38" t="s">
        <v>236</v>
      </c>
      <c r="C7" s="18">
        <v>7.6</v>
      </c>
      <c r="D7" s="48">
        <v>7.8</v>
      </c>
      <c r="E7" s="18">
        <v>7.6</v>
      </c>
      <c r="F7" s="18">
        <v>8.1999999999999993</v>
      </c>
      <c r="G7" s="18">
        <v>7.2</v>
      </c>
      <c r="H7" s="18">
        <v>7</v>
      </c>
      <c r="I7" s="18">
        <v>8.1</v>
      </c>
      <c r="J7" s="18">
        <v>8.4</v>
      </c>
      <c r="L7" s="31"/>
      <c r="M7" s="5"/>
    </row>
    <row r="8" spans="1:27" ht="15.75" customHeight="1">
      <c r="A8" s="16"/>
      <c r="B8" s="38" t="s">
        <v>16</v>
      </c>
      <c r="C8" s="18">
        <v>7.4</v>
      </c>
      <c r="D8" s="48">
        <v>9</v>
      </c>
      <c r="E8" s="18">
        <v>8.4</v>
      </c>
      <c r="F8" s="18">
        <v>8.4</v>
      </c>
      <c r="G8" s="18">
        <v>8</v>
      </c>
      <c r="H8" s="18">
        <v>7.2</v>
      </c>
      <c r="I8" s="18">
        <v>8</v>
      </c>
      <c r="J8" s="18">
        <v>8.3000000000000007</v>
      </c>
      <c r="L8" s="31"/>
      <c r="M8" s="5"/>
    </row>
    <row r="9" spans="1:27" ht="15.75" customHeight="1">
      <c r="A9" s="16"/>
      <c r="B9" s="38" t="s">
        <v>17</v>
      </c>
      <c r="C9" s="18">
        <v>7</v>
      </c>
      <c r="D9" s="48">
        <v>10</v>
      </c>
      <c r="E9" s="18">
        <v>10</v>
      </c>
      <c r="F9" s="18">
        <v>10</v>
      </c>
      <c r="G9" s="18">
        <v>10</v>
      </c>
      <c r="H9" s="18">
        <v>10</v>
      </c>
      <c r="I9" s="18">
        <v>8.5</v>
      </c>
      <c r="J9" s="30">
        <v>4</v>
      </c>
      <c r="L9" s="31"/>
      <c r="M9" s="5"/>
    </row>
    <row r="10" spans="1:27" ht="15.75" customHeight="1">
      <c r="A10" s="16"/>
      <c r="B10" s="38" t="s">
        <v>18</v>
      </c>
      <c r="C10" s="18">
        <v>6.9</v>
      </c>
      <c r="D10" s="48">
        <v>8.1999999999999993</v>
      </c>
      <c r="E10" s="18">
        <v>8.5</v>
      </c>
      <c r="F10" s="18">
        <v>8.6</v>
      </c>
      <c r="G10" s="18">
        <v>8</v>
      </c>
      <c r="H10" s="18">
        <v>10</v>
      </c>
      <c r="I10" s="18">
        <v>8</v>
      </c>
      <c r="J10" s="18">
        <v>8</v>
      </c>
      <c r="L10" s="31"/>
      <c r="M10" s="5"/>
    </row>
    <row r="11" spans="1:27" ht="15.75" customHeight="1">
      <c r="A11" s="16"/>
      <c r="B11" s="38" t="s">
        <v>19</v>
      </c>
      <c r="C11" s="18">
        <v>7</v>
      </c>
      <c r="D11" s="48">
        <v>9</v>
      </c>
      <c r="E11" s="18">
        <v>8.5</v>
      </c>
      <c r="F11" s="18">
        <v>8.6999999999999993</v>
      </c>
      <c r="G11" s="18">
        <v>8</v>
      </c>
      <c r="H11" s="18">
        <v>7.3</v>
      </c>
      <c r="I11" s="18">
        <v>8.5</v>
      </c>
      <c r="J11" s="18">
        <v>8.1999999999999993</v>
      </c>
      <c r="L11" s="31"/>
      <c r="M11" s="5"/>
    </row>
    <row r="12" spans="1:27" ht="15.75" customHeight="1">
      <c r="A12" s="16"/>
      <c r="B12" s="38" t="s">
        <v>20</v>
      </c>
      <c r="C12" s="18">
        <v>7.3</v>
      </c>
      <c r="D12" s="18">
        <v>8.4</v>
      </c>
      <c r="E12" s="18">
        <v>7.8</v>
      </c>
      <c r="F12" s="18">
        <v>8</v>
      </c>
      <c r="G12" s="18">
        <v>8.1</v>
      </c>
      <c r="H12" s="18">
        <v>7</v>
      </c>
      <c r="I12" s="18">
        <v>8.6999999999999993</v>
      </c>
      <c r="J12" s="18">
        <v>7.5</v>
      </c>
      <c r="L12" s="31"/>
      <c r="M12" s="5"/>
    </row>
    <row r="13" spans="1:27">
      <c r="A13" s="16"/>
      <c r="B13" s="38" t="s">
        <v>21</v>
      </c>
      <c r="C13" s="18">
        <v>7.1</v>
      </c>
      <c r="D13" s="18">
        <v>9.1</v>
      </c>
      <c r="E13" s="18">
        <v>7.2</v>
      </c>
      <c r="F13" s="18">
        <v>8.1</v>
      </c>
      <c r="G13" s="18">
        <v>7.9</v>
      </c>
      <c r="H13" s="37">
        <v>7.2</v>
      </c>
      <c r="I13" s="18">
        <v>8.6999999999999993</v>
      </c>
      <c r="J13" s="18">
        <v>7.2</v>
      </c>
      <c r="L13" s="5"/>
      <c r="M13" s="5"/>
    </row>
    <row r="14" spans="1:27" ht="15.75" customHeight="1">
      <c r="A14" s="23"/>
      <c r="B14" s="24" t="s">
        <v>22</v>
      </c>
      <c r="C14" s="25">
        <f t="shared" ref="C14:J14" si="0">AVERAGE(C6:C13)</f>
        <v>7.2374999999999998</v>
      </c>
      <c r="D14" s="25">
        <f t="shared" si="0"/>
        <v>8.6999999999999993</v>
      </c>
      <c r="E14" s="25">
        <f t="shared" si="0"/>
        <v>8.1875</v>
      </c>
      <c r="F14" s="25">
        <f t="shared" si="0"/>
        <v>8.5124999999999993</v>
      </c>
      <c r="G14" s="25">
        <f t="shared" si="0"/>
        <v>8.0750000000000011</v>
      </c>
      <c r="H14" s="25">
        <f t="shared" si="0"/>
        <v>7.9</v>
      </c>
      <c r="I14" s="25">
        <f t="shared" si="0"/>
        <v>8.3000000000000007</v>
      </c>
      <c r="J14" s="25">
        <f t="shared" si="0"/>
        <v>7.4500000000000011</v>
      </c>
      <c r="L14" s="78">
        <f>AVERAGE(C14:J14)</f>
        <v>8.0453125000000014</v>
      </c>
      <c r="M14" s="5"/>
    </row>
    <row r="15" spans="1:27">
      <c r="A15" s="28"/>
    </row>
    <row r="16" spans="1:27">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G22" s="1"/>
      <c r="H22" s="1"/>
    </row>
    <row r="23" spans="1:8" ht="12.75">
      <c r="A23" s="28"/>
      <c r="C23" s="88" t="s">
        <v>250</v>
      </c>
      <c r="D23" s="101" t="s">
        <v>251</v>
      </c>
      <c r="G23" s="1"/>
    </row>
    <row r="24" spans="1:8" ht="12.75">
      <c r="A24" s="28"/>
    </row>
    <row r="25" spans="1:8" ht="12.75">
      <c r="A25" s="28"/>
      <c r="G25" s="1"/>
    </row>
    <row r="26" spans="1:8" ht="12.75">
      <c r="A26" s="28"/>
      <c r="G26" s="1"/>
    </row>
    <row r="27" spans="1:8" ht="12.75">
      <c r="A27" s="28"/>
    </row>
    <row r="28" spans="1:8" ht="12.75">
      <c r="A28" s="28"/>
    </row>
    <row r="29" spans="1:8" ht="12.75">
      <c r="A29" s="28"/>
    </row>
    <row r="30" spans="1:8" ht="12.75">
      <c r="A30" s="28"/>
    </row>
    <row r="31" spans="1:8" ht="12.75">
      <c r="A31" s="28"/>
    </row>
    <row r="32" spans="1:8" ht="12.75">
      <c r="A32" s="28"/>
    </row>
    <row r="33" spans="1:3" ht="12.75">
      <c r="A33" s="28"/>
      <c r="C33" s="1"/>
    </row>
    <row r="34" spans="1:3" ht="12.75">
      <c r="A34" s="28"/>
      <c r="C34" s="1"/>
    </row>
    <row r="35" spans="1:3" ht="12.75">
      <c r="A35" s="28"/>
    </row>
    <row r="36" spans="1:3" ht="12.75">
      <c r="A36" s="28"/>
    </row>
    <row r="37" spans="1:3" ht="12.75">
      <c r="A37" s="28"/>
    </row>
    <row r="38" spans="1:3" ht="12.75">
      <c r="A38" s="28"/>
    </row>
    <row r="39" spans="1:3" ht="12.75">
      <c r="A39" s="28"/>
    </row>
    <row r="40" spans="1:3" ht="12.75">
      <c r="A40" s="28"/>
    </row>
    <row r="41" spans="1:3" ht="12.75">
      <c r="A41" s="28"/>
    </row>
    <row r="42" spans="1:3" ht="12.75">
      <c r="A42" s="28"/>
    </row>
    <row r="43" spans="1:3" ht="12.75">
      <c r="A43" s="28"/>
    </row>
    <row r="44" spans="1:3" ht="12.75">
      <c r="A44" s="28"/>
    </row>
    <row r="45" spans="1:3" ht="12.75">
      <c r="A45" s="28"/>
    </row>
    <row r="46" spans="1:3" ht="12.75">
      <c r="A46" s="28"/>
    </row>
    <row r="47" spans="1:3" ht="12.75">
      <c r="A47" s="28"/>
    </row>
    <row r="48" spans="1:3" ht="12.75">
      <c r="A48" s="28"/>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Y1003"/>
  <sheetViews>
    <sheetView showGridLines="0" workbookViewId="0"/>
  </sheetViews>
  <sheetFormatPr defaultColWidth="12.5703125" defaultRowHeight="15.75" customHeight="1"/>
  <cols>
    <col min="1" max="1" width="10.85546875" customWidth="1"/>
    <col min="2" max="2" width="25.28515625" customWidth="1"/>
    <col min="3" max="3" width="13.42578125" customWidth="1"/>
    <col min="4" max="4" width="14" customWidth="1"/>
    <col min="5" max="5" width="13" customWidth="1"/>
    <col min="6" max="6" width="16.5703125" customWidth="1"/>
    <col min="7" max="7" width="20.42578125" customWidth="1"/>
    <col min="8" max="8" width="18.5703125" customWidth="1"/>
    <col min="9" max="9" width="14.7109375" customWidth="1"/>
    <col min="10" max="10" width="19.7109375" customWidth="1"/>
    <col min="11" max="25" width="7.140625" customWidth="1"/>
  </cols>
  <sheetData>
    <row r="1" spans="1:25">
      <c r="A1" s="2">
        <f>A34</f>
        <v>0</v>
      </c>
      <c r="B1" s="3"/>
      <c r="C1" s="3"/>
      <c r="D1" s="3"/>
      <c r="E1" s="3"/>
      <c r="F1" s="3"/>
      <c r="G1" s="3"/>
      <c r="H1" s="3"/>
      <c r="I1" s="3"/>
      <c r="J1" s="3"/>
      <c r="K1" s="3"/>
      <c r="L1" s="5"/>
      <c r="M1" s="5"/>
      <c r="N1" s="5"/>
      <c r="O1" s="5"/>
      <c r="P1" s="5"/>
      <c r="Q1" s="5"/>
      <c r="R1" s="5"/>
      <c r="S1" s="5"/>
      <c r="T1" s="5"/>
      <c r="U1" s="5"/>
      <c r="V1" s="5"/>
      <c r="W1" s="5"/>
      <c r="X1" s="5"/>
      <c r="Y1" s="5"/>
    </row>
    <row r="2" spans="1:25" ht="15.75" customHeight="1">
      <c r="A2" s="6"/>
      <c r="B2" s="137" t="s">
        <v>56</v>
      </c>
      <c r="C2" s="138"/>
      <c r="D2" s="138"/>
      <c r="E2" s="138"/>
      <c r="F2" s="138"/>
      <c r="G2" s="138"/>
      <c r="H2" s="138"/>
      <c r="I2" s="138"/>
      <c r="J2" s="138"/>
      <c r="K2" s="3"/>
      <c r="L2" s="5"/>
      <c r="M2" s="5"/>
      <c r="N2" s="5"/>
      <c r="O2" s="5"/>
      <c r="P2" s="5"/>
      <c r="Q2" s="5"/>
      <c r="R2" s="5"/>
      <c r="S2" s="5"/>
      <c r="T2" s="5"/>
      <c r="U2" s="5"/>
      <c r="V2" s="5"/>
      <c r="W2" s="5"/>
      <c r="X2" s="5"/>
      <c r="Y2" s="5"/>
    </row>
    <row r="3" spans="1:25">
      <c r="A3" s="2"/>
      <c r="B3" s="3"/>
      <c r="C3" s="3"/>
      <c r="D3" s="3"/>
      <c r="E3" s="3"/>
      <c r="F3" s="3"/>
      <c r="G3" s="3"/>
      <c r="H3" s="3"/>
      <c r="I3" s="3"/>
      <c r="J3" s="3"/>
      <c r="K3" s="3"/>
      <c r="L3" s="5"/>
      <c r="M3" s="5"/>
      <c r="N3" s="5"/>
      <c r="O3" s="5"/>
      <c r="P3" s="5"/>
      <c r="Q3" s="5"/>
      <c r="R3" s="5"/>
      <c r="S3" s="5"/>
      <c r="T3" s="5"/>
      <c r="U3" s="5"/>
      <c r="V3" s="5"/>
      <c r="W3" s="5"/>
      <c r="X3" s="5"/>
      <c r="Y3" s="5"/>
    </row>
    <row r="4" spans="1:25">
      <c r="A4" s="2"/>
      <c r="B4" s="3"/>
      <c r="C4" s="36" t="s">
        <v>57</v>
      </c>
      <c r="D4" s="36" t="s">
        <v>94</v>
      </c>
      <c r="E4" s="36" t="s">
        <v>95</v>
      </c>
      <c r="F4" s="36" t="s">
        <v>96</v>
      </c>
      <c r="G4" s="36" t="s">
        <v>97</v>
      </c>
      <c r="H4" s="36" t="s">
        <v>27</v>
      </c>
      <c r="I4" s="36" t="s">
        <v>98</v>
      </c>
      <c r="J4" s="36" t="s">
        <v>73</v>
      </c>
      <c r="K4" s="3"/>
      <c r="L4" s="5"/>
      <c r="M4" s="5"/>
      <c r="N4" s="5"/>
      <c r="O4" s="5"/>
      <c r="P4" s="5"/>
      <c r="Q4" s="5"/>
      <c r="R4" s="5"/>
      <c r="S4" s="5"/>
      <c r="T4" s="5"/>
      <c r="U4" s="5"/>
      <c r="V4" s="5"/>
      <c r="W4" s="5"/>
      <c r="X4" s="5"/>
      <c r="Y4" s="5"/>
    </row>
    <row r="5" spans="1:25" ht="15.75" customHeight="1">
      <c r="A5" s="23"/>
      <c r="B5" s="24" t="s">
        <v>8</v>
      </c>
      <c r="C5" s="42" t="s">
        <v>135</v>
      </c>
      <c r="D5" s="42" t="s">
        <v>136</v>
      </c>
      <c r="E5" s="42" t="s">
        <v>137</v>
      </c>
      <c r="F5" s="42" t="s">
        <v>138</v>
      </c>
      <c r="G5" s="42" t="s">
        <v>139</v>
      </c>
      <c r="H5" s="42" t="s">
        <v>140</v>
      </c>
      <c r="I5" s="42" t="s">
        <v>141</v>
      </c>
      <c r="J5" s="42" t="s">
        <v>142</v>
      </c>
      <c r="K5" s="29"/>
    </row>
    <row r="6" spans="1:25">
      <c r="A6" s="16"/>
      <c r="B6" s="38" t="s">
        <v>14</v>
      </c>
      <c r="C6" s="18">
        <v>8.1999999999999993</v>
      </c>
      <c r="D6" s="18">
        <v>7.3</v>
      </c>
      <c r="E6" s="18">
        <v>8.4</v>
      </c>
      <c r="F6" s="18">
        <v>8.3000000000000007</v>
      </c>
      <c r="G6" s="47">
        <v>7</v>
      </c>
      <c r="H6" s="18">
        <v>7.7</v>
      </c>
      <c r="I6" s="18">
        <v>8</v>
      </c>
      <c r="J6" s="18">
        <v>7.2</v>
      </c>
    </row>
    <row r="7" spans="1:25">
      <c r="A7" s="16"/>
      <c r="B7" s="38" t="s">
        <v>236</v>
      </c>
      <c r="C7" s="18">
        <v>7.1</v>
      </c>
      <c r="D7" s="48">
        <v>7.4</v>
      </c>
      <c r="E7" s="18">
        <v>8</v>
      </c>
      <c r="F7" s="18">
        <v>8.3000000000000007</v>
      </c>
      <c r="G7" s="47">
        <v>6.8</v>
      </c>
      <c r="H7" s="18">
        <v>7.8</v>
      </c>
      <c r="I7" s="18">
        <v>8.1999999999999993</v>
      </c>
      <c r="J7" s="18">
        <v>6.9</v>
      </c>
    </row>
    <row r="8" spans="1:25">
      <c r="A8" s="16"/>
      <c r="B8" s="38" t="s">
        <v>16</v>
      </c>
      <c r="C8" s="18">
        <v>8.6</v>
      </c>
      <c r="D8" s="48">
        <v>7.6</v>
      </c>
      <c r="E8" s="18">
        <v>8</v>
      </c>
      <c r="F8" s="18">
        <v>7.2</v>
      </c>
      <c r="G8" s="18">
        <v>7.1</v>
      </c>
      <c r="H8" s="18">
        <v>7.7</v>
      </c>
      <c r="I8" s="18">
        <v>8.5</v>
      </c>
      <c r="J8" s="18">
        <v>8.4</v>
      </c>
    </row>
    <row r="9" spans="1:25">
      <c r="A9" s="16"/>
      <c r="B9" s="38" t="s">
        <v>17</v>
      </c>
      <c r="C9" s="18">
        <v>4</v>
      </c>
      <c r="D9" s="48">
        <v>10</v>
      </c>
      <c r="E9" s="18">
        <v>10</v>
      </c>
      <c r="F9" s="18">
        <v>7</v>
      </c>
      <c r="G9" s="18">
        <v>10</v>
      </c>
      <c r="H9" s="18">
        <v>8</v>
      </c>
      <c r="I9" s="18">
        <v>10</v>
      </c>
      <c r="J9" s="18">
        <v>7</v>
      </c>
    </row>
    <row r="10" spans="1:25">
      <c r="A10" s="16"/>
      <c r="B10" s="38" t="s">
        <v>18</v>
      </c>
      <c r="C10" s="18">
        <v>7.2</v>
      </c>
      <c r="D10" s="48">
        <v>8.5</v>
      </c>
      <c r="E10" s="18">
        <v>8.3000000000000007</v>
      </c>
      <c r="F10" s="18">
        <v>7.4</v>
      </c>
      <c r="G10" s="18">
        <v>7.3</v>
      </c>
      <c r="H10" s="18">
        <v>6.9</v>
      </c>
      <c r="I10" s="18">
        <v>8.1</v>
      </c>
      <c r="J10" s="18">
        <v>7.8</v>
      </c>
    </row>
    <row r="11" spans="1:25">
      <c r="A11" s="16"/>
      <c r="B11" s="38" t="s">
        <v>19</v>
      </c>
      <c r="C11" s="19"/>
      <c r="D11" s="48">
        <v>8</v>
      </c>
      <c r="E11" s="18">
        <v>8.3000000000000007</v>
      </c>
      <c r="F11" s="30">
        <v>7.6</v>
      </c>
      <c r="G11" s="30">
        <v>6</v>
      </c>
      <c r="H11" s="30">
        <v>7.9</v>
      </c>
      <c r="I11" s="30">
        <v>8</v>
      </c>
      <c r="J11" s="18">
        <v>8.1999999999999993</v>
      </c>
    </row>
    <row r="12" spans="1:25">
      <c r="A12" s="16"/>
      <c r="B12" s="38" t="s">
        <v>20</v>
      </c>
      <c r="C12" s="18">
        <v>8.3000000000000007</v>
      </c>
      <c r="D12" s="18">
        <v>7.5</v>
      </c>
      <c r="E12" s="18">
        <v>8.8000000000000007</v>
      </c>
      <c r="F12" s="18">
        <v>7.9</v>
      </c>
      <c r="G12" s="18">
        <v>7.2</v>
      </c>
      <c r="H12" s="18">
        <v>7.8</v>
      </c>
      <c r="I12" s="18">
        <v>7.9</v>
      </c>
      <c r="J12" s="18">
        <v>8.4</v>
      </c>
    </row>
    <row r="13" spans="1:25">
      <c r="A13" s="16"/>
      <c r="B13" s="38" t="s">
        <v>21</v>
      </c>
      <c r="C13" s="18">
        <v>9.1</v>
      </c>
      <c r="D13" s="18">
        <v>7.5</v>
      </c>
      <c r="E13" s="18">
        <v>8.1</v>
      </c>
      <c r="F13" s="18">
        <v>8.1</v>
      </c>
      <c r="G13" s="18">
        <v>7.1</v>
      </c>
      <c r="H13" s="18">
        <v>7.9</v>
      </c>
      <c r="I13" s="18">
        <v>8.1</v>
      </c>
      <c r="J13" s="18">
        <v>7.9</v>
      </c>
    </row>
    <row r="14" spans="1:25" ht="15.75" customHeight="1">
      <c r="A14" s="23"/>
      <c r="B14" s="24" t="s">
        <v>22</v>
      </c>
      <c r="C14" s="25">
        <f t="shared" ref="C14:J14" si="0">AVERAGE(C6:C13)</f>
        <v>7.5000000000000009</v>
      </c>
      <c r="D14" s="25">
        <f t="shared" si="0"/>
        <v>7.9749999999999996</v>
      </c>
      <c r="E14" s="25">
        <f t="shared" si="0"/>
        <v>8.4874999999999989</v>
      </c>
      <c r="F14" s="25">
        <f t="shared" si="0"/>
        <v>7.7250000000000005</v>
      </c>
      <c r="G14" s="25">
        <f t="shared" si="0"/>
        <v>7.3125</v>
      </c>
      <c r="H14" s="25">
        <f t="shared" si="0"/>
        <v>7.7124999999999995</v>
      </c>
      <c r="I14" s="25">
        <f t="shared" si="0"/>
        <v>8.35</v>
      </c>
      <c r="J14" s="25">
        <f t="shared" si="0"/>
        <v>7.7249999999999996</v>
      </c>
      <c r="L14" s="78">
        <f>AVERAGE(C14:J14)</f>
        <v>7.8484375000000002</v>
      </c>
    </row>
    <row r="15" spans="1:25">
      <c r="A15" s="28"/>
    </row>
    <row r="16" spans="1:25">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H19" s="1"/>
    </row>
    <row r="20" spans="1:8" ht="12.75">
      <c r="A20" s="28"/>
      <c r="C20" s="88" t="s">
        <v>238</v>
      </c>
      <c r="D20" s="101" t="s">
        <v>239</v>
      </c>
    </row>
    <row r="21" spans="1:8" ht="12.75">
      <c r="A21" s="28"/>
      <c r="C21" s="88" t="s">
        <v>242</v>
      </c>
      <c r="D21" s="101" t="s">
        <v>243</v>
      </c>
    </row>
    <row r="22" spans="1:8" ht="12.75">
      <c r="A22" s="28"/>
      <c r="C22" s="88" t="s">
        <v>247</v>
      </c>
      <c r="D22" s="101" t="s">
        <v>248</v>
      </c>
      <c r="G22" s="1"/>
      <c r="H22" s="1"/>
    </row>
    <row r="23" spans="1:8" ht="12.75">
      <c r="A23" s="28"/>
      <c r="C23" s="88" t="s">
        <v>250</v>
      </c>
      <c r="D23" s="101" t="s">
        <v>251</v>
      </c>
      <c r="G23" s="1"/>
    </row>
    <row r="24" spans="1:8" ht="12.75">
      <c r="A24" s="28"/>
    </row>
    <row r="25" spans="1:8" ht="12.75">
      <c r="A25" s="28"/>
      <c r="G25" s="1"/>
    </row>
    <row r="26" spans="1:8" ht="12.75">
      <c r="A26" s="28"/>
    </row>
    <row r="27" spans="1:8" ht="12.75">
      <c r="A27" s="28"/>
    </row>
    <row r="28" spans="1:8" ht="12.75">
      <c r="A28" s="28"/>
      <c r="C28" s="15"/>
    </row>
    <row r="29" spans="1:8" ht="12.75">
      <c r="A29" s="28"/>
    </row>
    <row r="30" spans="1:8" ht="12.75">
      <c r="A30" s="28"/>
    </row>
    <row r="31" spans="1:8" ht="12.75">
      <c r="A31" s="28"/>
    </row>
    <row r="32" spans="1:8" ht="12.75">
      <c r="A32" s="28"/>
    </row>
    <row r="33" spans="1:3" ht="12.75">
      <c r="A33" s="28"/>
      <c r="C33" s="1"/>
    </row>
    <row r="34" spans="1:3" ht="12.75">
      <c r="A34" s="28"/>
      <c r="C34" s="1"/>
    </row>
    <row r="35" spans="1:3" ht="12.75">
      <c r="A35" s="28"/>
    </row>
    <row r="36" spans="1:3" ht="12.75">
      <c r="A36" s="28"/>
    </row>
    <row r="37" spans="1:3" ht="12.75">
      <c r="A37" s="28"/>
    </row>
    <row r="38" spans="1:3" ht="12.75">
      <c r="A38" s="28"/>
    </row>
    <row r="39" spans="1:3" ht="12.75">
      <c r="A39" s="28"/>
    </row>
    <row r="40" spans="1:3" ht="12.75">
      <c r="A40" s="28"/>
    </row>
    <row r="41" spans="1:3" ht="12.75">
      <c r="A41" s="28"/>
    </row>
    <row r="42" spans="1:3" ht="12.75">
      <c r="A42" s="28"/>
    </row>
    <row r="43" spans="1:3" ht="12.75">
      <c r="A43" s="28"/>
    </row>
    <row r="44" spans="1:3" ht="12.75">
      <c r="A44" s="28"/>
    </row>
    <row r="45" spans="1:3" ht="12.75">
      <c r="A45" s="28"/>
    </row>
    <row r="46" spans="1:3" ht="12.75">
      <c r="A46" s="28"/>
    </row>
    <row r="47" spans="1:3" ht="12.75">
      <c r="A47" s="28"/>
    </row>
    <row r="48" spans="1:3" ht="12.75">
      <c r="A48" s="28"/>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Z1003"/>
  <sheetViews>
    <sheetView showGridLines="0" workbookViewId="0"/>
  </sheetViews>
  <sheetFormatPr defaultColWidth="12.5703125" defaultRowHeight="15.75" customHeight="1"/>
  <cols>
    <col min="1" max="1" width="9.42578125" customWidth="1"/>
    <col min="2" max="2" width="25.28515625" customWidth="1"/>
    <col min="3" max="7" width="19.140625" customWidth="1"/>
    <col min="8" max="8" width="24.140625" customWidth="1"/>
    <col min="9" max="10" width="19.140625" customWidth="1"/>
    <col min="11" max="26" width="7.140625" customWidth="1"/>
  </cols>
  <sheetData>
    <row r="1" spans="1:26">
      <c r="A1" s="2"/>
      <c r="B1" s="3"/>
      <c r="C1" s="3"/>
      <c r="D1" s="3"/>
      <c r="E1" s="3"/>
      <c r="F1" s="3"/>
      <c r="G1" s="3"/>
      <c r="H1" s="3"/>
      <c r="I1" s="3"/>
      <c r="J1" s="3"/>
      <c r="K1" s="3"/>
      <c r="L1" s="5"/>
      <c r="M1" s="5"/>
      <c r="N1" s="5"/>
      <c r="O1" s="5"/>
      <c r="P1" s="5"/>
      <c r="Q1" s="5"/>
      <c r="R1" s="5"/>
      <c r="S1" s="5"/>
      <c r="T1" s="5"/>
      <c r="U1" s="5"/>
      <c r="V1" s="5"/>
      <c r="W1" s="5"/>
      <c r="X1" s="5"/>
      <c r="Y1" s="5"/>
      <c r="Z1" s="5"/>
    </row>
    <row r="2" spans="1:26" ht="15.75" customHeight="1">
      <c r="A2" s="6"/>
      <c r="B2" s="137" t="s">
        <v>68</v>
      </c>
      <c r="C2" s="138"/>
      <c r="D2" s="138"/>
      <c r="E2" s="138"/>
      <c r="F2" s="138"/>
      <c r="G2" s="138"/>
      <c r="H2" s="138"/>
      <c r="I2" s="138"/>
      <c r="J2" s="138"/>
      <c r="K2" s="3"/>
      <c r="L2" s="5"/>
      <c r="M2" s="5"/>
      <c r="N2" s="5"/>
      <c r="O2" s="5"/>
      <c r="P2" s="5"/>
      <c r="Q2" s="5"/>
      <c r="R2" s="5"/>
      <c r="S2" s="5"/>
      <c r="T2" s="5"/>
      <c r="U2" s="5"/>
      <c r="V2" s="5"/>
      <c r="W2" s="5"/>
      <c r="X2" s="5"/>
      <c r="Y2" s="5"/>
      <c r="Z2" s="5"/>
    </row>
    <row r="3" spans="1:26">
      <c r="A3" s="2"/>
      <c r="B3" s="3"/>
      <c r="C3" s="3"/>
      <c r="D3" s="3"/>
      <c r="E3" s="3"/>
      <c r="F3" s="3"/>
      <c r="G3" s="3"/>
      <c r="H3" s="3"/>
      <c r="I3" s="3"/>
      <c r="J3" s="3"/>
      <c r="K3" s="3"/>
      <c r="L3" s="5"/>
      <c r="M3" s="5"/>
      <c r="N3" s="5"/>
      <c r="O3" s="5"/>
      <c r="P3" s="5"/>
      <c r="Q3" s="5"/>
      <c r="R3" s="5"/>
      <c r="S3" s="5"/>
      <c r="T3" s="5"/>
      <c r="U3" s="5"/>
      <c r="V3" s="5"/>
      <c r="W3" s="5"/>
      <c r="X3" s="5"/>
      <c r="Y3" s="5"/>
      <c r="Z3" s="5"/>
    </row>
    <row r="4" spans="1:26">
      <c r="A4" s="2"/>
      <c r="B4" s="3"/>
      <c r="C4" s="36" t="s">
        <v>90</v>
      </c>
      <c r="D4" s="36" t="s">
        <v>91</v>
      </c>
      <c r="E4" s="36" t="s">
        <v>92</v>
      </c>
      <c r="F4" s="36" t="s">
        <v>26</v>
      </c>
      <c r="G4" s="36" t="s">
        <v>6</v>
      </c>
      <c r="H4" s="36" t="s">
        <v>71</v>
      </c>
      <c r="I4" s="36" t="s">
        <v>72</v>
      </c>
      <c r="J4" s="36" t="s">
        <v>93</v>
      </c>
      <c r="K4" s="3"/>
      <c r="L4" s="5"/>
      <c r="M4" s="5"/>
      <c r="N4" s="5"/>
      <c r="O4" s="5"/>
      <c r="P4" s="5"/>
      <c r="Q4" s="5"/>
      <c r="R4" s="5"/>
      <c r="S4" s="5"/>
      <c r="T4" s="5"/>
      <c r="U4" s="5"/>
      <c r="V4" s="5"/>
      <c r="W4" s="5"/>
      <c r="X4" s="5"/>
      <c r="Y4" s="5"/>
      <c r="Z4" s="5"/>
    </row>
    <row r="5" spans="1:26" ht="15.75" customHeight="1">
      <c r="A5" s="23"/>
      <c r="B5" s="24" t="s">
        <v>8</v>
      </c>
      <c r="C5" s="42" t="s">
        <v>127</v>
      </c>
      <c r="D5" s="42" t="s">
        <v>128</v>
      </c>
      <c r="E5" s="42" t="s">
        <v>129</v>
      </c>
      <c r="F5" s="42" t="s">
        <v>130</v>
      </c>
      <c r="G5" s="42" t="s">
        <v>131</v>
      </c>
      <c r="H5" s="42" t="s">
        <v>132</v>
      </c>
      <c r="I5" s="42" t="s">
        <v>133</v>
      </c>
      <c r="J5" s="42" t="s">
        <v>134</v>
      </c>
      <c r="K5" s="29"/>
    </row>
    <row r="6" spans="1:26">
      <c r="A6" s="16"/>
      <c r="B6" s="38" t="s">
        <v>14</v>
      </c>
      <c r="C6" s="18">
        <v>6.9</v>
      </c>
      <c r="D6" s="18">
        <v>6.7</v>
      </c>
      <c r="E6" s="18">
        <v>7.3</v>
      </c>
      <c r="F6" s="18">
        <v>7.3</v>
      </c>
      <c r="G6" s="18">
        <v>8.5</v>
      </c>
      <c r="H6" s="18">
        <v>7.6</v>
      </c>
      <c r="I6" s="18">
        <v>8.1</v>
      </c>
      <c r="J6" s="18">
        <v>8</v>
      </c>
    </row>
    <row r="7" spans="1:26">
      <c r="A7" s="16"/>
      <c r="B7" s="38" t="s">
        <v>236</v>
      </c>
      <c r="C7" s="18">
        <v>6.2</v>
      </c>
      <c r="D7" s="18">
        <v>7.3</v>
      </c>
      <c r="E7" s="18">
        <v>6.9</v>
      </c>
      <c r="F7" s="18">
        <v>6.1</v>
      </c>
      <c r="G7" s="18">
        <v>8.1</v>
      </c>
      <c r="H7" s="18">
        <v>7.9</v>
      </c>
      <c r="I7" s="18">
        <v>8.4</v>
      </c>
      <c r="J7" s="18">
        <v>7.8</v>
      </c>
    </row>
    <row r="8" spans="1:26">
      <c r="A8" s="16"/>
      <c r="B8" s="38" t="s">
        <v>16</v>
      </c>
      <c r="C8" s="18">
        <v>8.1</v>
      </c>
      <c r="D8" s="48">
        <v>6.9</v>
      </c>
      <c r="E8" s="18">
        <v>7.2</v>
      </c>
      <c r="F8" s="18">
        <v>8.3000000000000007</v>
      </c>
      <c r="G8" s="18">
        <v>8.9</v>
      </c>
      <c r="H8" s="18">
        <v>8</v>
      </c>
      <c r="I8" s="18">
        <v>8.1999999999999993</v>
      </c>
      <c r="J8" s="18">
        <v>8.5</v>
      </c>
    </row>
    <row r="9" spans="1:26">
      <c r="A9" s="16"/>
      <c r="B9" s="38" t="s">
        <v>17</v>
      </c>
      <c r="C9" s="18">
        <v>10</v>
      </c>
      <c r="D9" s="18">
        <v>8</v>
      </c>
      <c r="E9" s="18">
        <v>10</v>
      </c>
      <c r="F9" s="18">
        <v>10</v>
      </c>
      <c r="G9" s="18">
        <v>9.9</v>
      </c>
      <c r="H9" s="18">
        <v>10</v>
      </c>
      <c r="I9" s="48">
        <v>9</v>
      </c>
      <c r="J9" s="48">
        <v>10</v>
      </c>
    </row>
    <row r="10" spans="1:26">
      <c r="A10" s="16"/>
      <c r="B10" s="38" t="s">
        <v>18</v>
      </c>
      <c r="C10" s="18">
        <v>8.1999999999999993</v>
      </c>
      <c r="D10" s="18">
        <v>6.8</v>
      </c>
      <c r="E10" s="18">
        <v>7.7</v>
      </c>
      <c r="F10" s="18">
        <v>8.3000000000000007</v>
      </c>
      <c r="G10" s="18">
        <v>8.5</v>
      </c>
      <c r="H10" s="18">
        <v>8.6999999999999993</v>
      </c>
      <c r="I10" s="18">
        <v>7.5</v>
      </c>
      <c r="J10" s="18">
        <v>8.5</v>
      </c>
    </row>
    <row r="11" spans="1:26">
      <c r="A11" s="16"/>
      <c r="B11" s="38" t="s">
        <v>19</v>
      </c>
      <c r="C11" s="18">
        <v>8</v>
      </c>
      <c r="D11" s="47">
        <v>6.9</v>
      </c>
      <c r="E11" s="18">
        <v>6</v>
      </c>
      <c r="F11" s="18">
        <v>8.5</v>
      </c>
      <c r="G11" s="18">
        <v>9</v>
      </c>
      <c r="H11" s="18">
        <v>8.8000000000000007</v>
      </c>
      <c r="I11" s="18">
        <v>8</v>
      </c>
      <c r="J11" s="18">
        <v>8.5</v>
      </c>
    </row>
    <row r="12" spans="1:26">
      <c r="A12" s="16"/>
      <c r="B12" s="38" t="s">
        <v>20</v>
      </c>
      <c r="C12" s="18">
        <v>7.7</v>
      </c>
      <c r="D12" s="18">
        <v>7.1</v>
      </c>
      <c r="E12" s="18">
        <v>7.2</v>
      </c>
      <c r="F12" s="18">
        <v>7.4</v>
      </c>
      <c r="G12" s="18">
        <v>8.4</v>
      </c>
      <c r="H12" s="18">
        <v>7.7</v>
      </c>
      <c r="I12" s="18">
        <v>7</v>
      </c>
      <c r="J12" s="18">
        <v>9</v>
      </c>
    </row>
    <row r="13" spans="1:26">
      <c r="A13" s="16"/>
      <c r="B13" s="38" t="s">
        <v>21</v>
      </c>
      <c r="C13" s="18">
        <v>7.4</v>
      </c>
      <c r="D13" s="18">
        <v>6.5</v>
      </c>
      <c r="E13" s="18">
        <v>6.8</v>
      </c>
      <c r="F13" s="18">
        <v>7.9</v>
      </c>
      <c r="G13" s="18">
        <v>8.8000000000000007</v>
      </c>
      <c r="H13" s="18">
        <v>8.3000000000000007</v>
      </c>
      <c r="I13" s="18">
        <v>7.8</v>
      </c>
      <c r="J13" s="18">
        <v>8.6999999999999993</v>
      </c>
    </row>
    <row r="14" spans="1:26" ht="15.75" customHeight="1">
      <c r="A14" s="23"/>
      <c r="B14" s="24" t="s">
        <v>22</v>
      </c>
      <c r="C14" s="25">
        <f t="shared" ref="C14:J14" si="0">AVERAGE(C6:C13)</f>
        <v>7.8125000000000009</v>
      </c>
      <c r="D14" s="25">
        <f t="shared" si="0"/>
        <v>7.0249999999999995</v>
      </c>
      <c r="E14" s="25">
        <f t="shared" si="0"/>
        <v>7.3875000000000002</v>
      </c>
      <c r="F14" s="25">
        <f t="shared" si="0"/>
        <v>7.9749999999999996</v>
      </c>
      <c r="G14" s="25">
        <f t="shared" si="0"/>
        <v>8.7624999999999993</v>
      </c>
      <c r="H14" s="25">
        <f t="shared" si="0"/>
        <v>8.375</v>
      </c>
      <c r="I14" s="25">
        <f t="shared" si="0"/>
        <v>8</v>
      </c>
      <c r="J14" s="25">
        <f t="shared" si="0"/>
        <v>8.625</v>
      </c>
      <c r="L14" s="78">
        <f>AVERAGE(C14:J14)</f>
        <v>7.9953125000000007</v>
      </c>
    </row>
    <row r="15" spans="1:26">
      <c r="A15" s="28"/>
    </row>
    <row r="16" spans="1:26">
      <c r="A16" s="81"/>
      <c r="B16" s="13"/>
      <c r="C16" s="144" t="s">
        <v>89</v>
      </c>
      <c r="D16" s="140"/>
    </row>
    <row r="17" spans="1:8">
      <c r="A17" s="2"/>
      <c r="B17" s="29"/>
      <c r="C17" s="88" t="s">
        <v>125</v>
      </c>
      <c r="D17" s="101" t="s">
        <v>126</v>
      </c>
    </row>
    <row r="18" spans="1:8">
      <c r="A18" s="28"/>
      <c r="C18" s="88" t="s">
        <v>231</v>
      </c>
      <c r="D18" s="101" t="s">
        <v>232</v>
      </c>
    </row>
    <row r="19" spans="1:8">
      <c r="A19" s="28"/>
      <c r="C19" s="88" t="s">
        <v>234</v>
      </c>
      <c r="D19" s="101" t="s">
        <v>235</v>
      </c>
      <c r="G19" s="1"/>
      <c r="H19" s="1"/>
    </row>
    <row r="20" spans="1:8" ht="12.75">
      <c r="A20" s="28"/>
      <c r="C20" s="88" t="s">
        <v>238</v>
      </c>
      <c r="D20" s="101" t="s">
        <v>239</v>
      </c>
      <c r="G20" s="1"/>
    </row>
    <row r="21" spans="1:8" ht="12.75">
      <c r="A21" s="28"/>
      <c r="C21" s="88" t="s">
        <v>242</v>
      </c>
      <c r="D21" s="101" t="s">
        <v>243</v>
      </c>
      <c r="G21" s="1"/>
    </row>
    <row r="22" spans="1:8" ht="12.75">
      <c r="A22" s="28"/>
      <c r="C22" s="88" t="s">
        <v>247</v>
      </c>
      <c r="D22" s="101" t="s">
        <v>248</v>
      </c>
      <c r="G22" s="1"/>
      <c r="H22" s="1"/>
    </row>
    <row r="23" spans="1:8" ht="12.75">
      <c r="A23" s="28"/>
      <c r="C23" s="88" t="s">
        <v>250</v>
      </c>
      <c r="D23" s="101" t="s">
        <v>251</v>
      </c>
      <c r="G23" s="1"/>
    </row>
    <row r="24" spans="1:8" ht="12.75">
      <c r="A24" s="28"/>
    </row>
    <row r="25" spans="1:8" ht="12.75">
      <c r="A25" s="28"/>
      <c r="G25" s="1"/>
    </row>
    <row r="26" spans="1:8" ht="12.75">
      <c r="A26" s="28"/>
      <c r="G26" s="1"/>
    </row>
    <row r="27" spans="1:8" ht="12.75">
      <c r="A27" s="28"/>
    </row>
    <row r="28" spans="1:8" ht="12.75">
      <c r="A28" s="28"/>
    </row>
    <row r="29" spans="1:8" ht="12.75">
      <c r="A29" s="28"/>
    </row>
    <row r="30" spans="1:8" ht="12.75">
      <c r="A30" s="28"/>
    </row>
    <row r="31" spans="1:8" ht="12.75">
      <c r="A31" s="28"/>
    </row>
    <row r="32" spans="1:8" ht="12.75">
      <c r="A32" s="28"/>
    </row>
    <row r="33" spans="1:8" ht="12.75">
      <c r="A33" s="28"/>
      <c r="C33" s="1"/>
    </row>
    <row r="34" spans="1:8" ht="12.75">
      <c r="A34" s="28"/>
      <c r="C34" s="1"/>
    </row>
    <row r="35" spans="1:8" ht="12.75">
      <c r="A35" s="28"/>
    </row>
    <row r="36" spans="1:8" ht="12.75">
      <c r="A36" s="28"/>
    </row>
    <row r="37" spans="1:8" ht="12.75">
      <c r="A37" s="28"/>
    </row>
    <row r="38" spans="1:8" ht="12.75">
      <c r="A38" s="28"/>
      <c r="H38" s="1"/>
    </row>
    <row r="39" spans="1:8" ht="12.75">
      <c r="A39" s="28"/>
    </row>
    <row r="40" spans="1:8" ht="12.75">
      <c r="A40" s="28"/>
    </row>
    <row r="41" spans="1:8" ht="12.75">
      <c r="A41" s="28"/>
      <c r="E41" s="105"/>
    </row>
    <row r="42" spans="1:8" ht="12.75">
      <c r="A42" s="28"/>
      <c r="E42" s="105"/>
    </row>
    <row r="43" spans="1:8" ht="12.75">
      <c r="A43" s="28"/>
    </row>
    <row r="44" spans="1:8" ht="12.75">
      <c r="A44" s="28"/>
    </row>
    <row r="45" spans="1:8" ht="12.75">
      <c r="A45" s="28"/>
    </row>
    <row r="46" spans="1:8" ht="12.75">
      <c r="A46" s="28"/>
    </row>
    <row r="47" spans="1:8" ht="12.75">
      <c r="A47" s="28"/>
    </row>
    <row r="48" spans="1:8" ht="12.75">
      <c r="A48" s="28"/>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row r="992" spans="1:1" ht="12.75">
      <c r="A992" s="28"/>
    </row>
    <row r="993" spans="1:1" ht="12.75">
      <c r="A993" s="28"/>
    </row>
    <row r="994" spans="1:1" ht="12.75">
      <c r="A994" s="28"/>
    </row>
    <row r="995" spans="1:1" ht="12.75">
      <c r="A995" s="28"/>
    </row>
    <row r="996" spans="1:1" ht="12.75">
      <c r="A996" s="28"/>
    </row>
    <row r="997" spans="1:1" ht="12.75">
      <c r="A997" s="28"/>
    </row>
    <row r="998" spans="1:1" ht="12.75">
      <c r="A998" s="28"/>
    </row>
    <row r="999" spans="1:1" ht="12.75">
      <c r="A999" s="28"/>
    </row>
    <row r="1000" spans="1:1" ht="12.75">
      <c r="A1000" s="28"/>
    </row>
    <row r="1001" spans="1:1" ht="12.75">
      <c r="A1001" s="28"/>
    </row>
    <row r="1002" spans="1:1" ht="12.75">
      <c r="A1002" s="28"/>
    </row>
    <row r="1003" spans="1:1" ht="12.75">
      <c r="A1003" s="28"/>
    </row>
  </sheetData>
  <mergeCells count="2">
    <mergeCell ref="B2:J2"/>
    <mergeCell ref="C16:D16"/>
  </mergeCells>
  <conditionalFormatting sqref="A1">
    <cfRule type="notContainsBlanks" dxfId="0" priority="1">
      <formula>LEN(TRIM(A1))&gt;0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C1001"/>
  <sheetViews>
    <sheetView showGridLines="0" workbookViewId="0"/>
  </sheetViews>
  <sheetFormatPr defaultColWidth="12.5703125" defaultRowHeight="15.75" customHeight="1"/>
  <cols>
    <col min="2" max="2" width="5.7109375" customWidth="1"/>
    <col min="3" max="3" width="55.7109375" customWidth="1"/>
  </cols>
  <sheetData>
    <row r="1" spans="1:3">
      <c r="A1" s="106"/>
      <c r="C1" s="107"/>
    </row>
    <row r="2" spans="1:3" ht="15.75" customHeight="1">
      <c r="A2" s="106" t="str">
        <f ca="1">IFERROR(__xludf.DUMMYFUNCTION("QUERY(IMPORTRANGE(""https://docs.google.com/spreadsheets/d/1_mHHDNxYQuzUByz2pbfCDjjPR9wuReLfvviapmzespY/edit#gid=1459355645"", ""Film Master List!A:C""),""where Col1 = 0 order by Col2"")")," ")</f>
        <v xml:space="preserve"> </v>
      </c>
      <c r="B2" s="108" t="str">
        <f ca="1">IFERROR(__xludf.DUMMYFUNCTION("""COMPUTED_VALUE""")," Year")</f>
        <v xml:space="preserve"> Year</v>
      </c>
      <c r="C2" s="108" t="str">
        <f ca="1">IFERROR(__xludf.DUMMYFUNCTION("""COMPUTED_VALUE""")," Title")</f>
        <v xml:space="preserve"> Title</v>
      </c>
    </row>
    <row r="3" spans="1:3">
      <c r="A3" s="91">
        <f ca="1">IFERROR(__xludf.DUMMYFUNCTION("""COMPUTED_VALUE"""),0)</f>
        <v>0</v>
      </c>
      <c r="B3" s="64">
        <f ca="1">IFERROR(__xludf.DUMMYFUNCTION("""COMPUTED_VALUE"""),1916)</f>
        <v>1916</v>
      </c>
      <c r="C3" s="64" t="str">
        <f ca="1">IFERROR(__xludf.DUMMYFUNCTION("""COMPUTED_VALUE"""),"Intolerance: Love's Struggle Throughout the Ages")</f>
        <v>Intolerance: Love's Struggle Throughout the Ages</v>
      </c>
    </row>
    <row r="4" spans="1:3">
      <c r="A4" s="91">
        <f ca="1">IFERROR(__xludf.DUMMYFUNCTION("""COMPUTED_VALUE"""),0)</f>
        <v>0</v>
      </c>
      <c r="B4" s="64">
        <f ca="1">IFERROR(__xludf.DUMMYFUNCTION("""COMPUTED_VALUE"""),1920)</f>
        <v>1920</v>
      </c>
      <c r="C4" s="64" t="str">
        <f ca="1">IFERROR(__xludf.DUMMYFUNCTION("""COMPUTED_VALUE"""),"The Cabinet of Dr. Caligari")</f>
        <v>The Cabinet of Dr. Caligari</v>
      </c>
    </row>
    <row r="5" spans="1:3">
      <c r="A5" s="91">
        <f ca="1">IFERROR(__xludf.DUMMYFUNCTION("""COMPUTED_VALUE"""),0)</f>
        <v>0</v>
      </c>
      <c r="B5" s="64">
        <f ca="1">IFERROR(__xludf.DUMMYFUNCTION("""COMPUTED_VALUE"""),1921)</f>
        <v>1921</v>
      </c>
      <c r="C5" s="64" t="str">
        <f ca="1">IFERROR(__xludf.DUMMYFUNCTION("""COMPUTED_VALUE"""),"The Kid")</f>
        <v>The Kid</v>
      </c>
    </row>
    <row r="6" spans="1:3">
      <c r="A6" s="91">
        <f ca="1">IFERROR(__xludf.DUMMYFUNCTION("""COMPUTED_VALUE"""),0)</f>
        <v>0</v>
      </c>
      <c r="B6" s="64">
        <f ca="1">IFERROR(__xludf.DUMMYFUNCTION("""COMPUTED_VALUE"""),1921)</f>
        <v>1921</v>
      </c>
      <c r="C6" s="64" t="str">
        <f ca="1">IFERROR(__xludf.DUMMYFUNCTION("""COMPUTED_VALUE"""),"The Phantom Carriage")</f>
        <v>The Phantom Carriage</v>
      </c>
    </row>
    <row r="7" spans="1:3">
      <c r="A7" s="91">
        <f ca="1">IFERROR(__xludf.DUMMYFUNCTION("""COMPUTED_VALUE"""),0)</f>
        <v>0</v>
      </c>
      <c r="B7" s="64">
        <f ca="1">IFERROR(__xludf.DUMMYFUNCTION("""COMPUTED_VALUE"""),1922)</f>
        <v>1922</v>
      </c>
      <c r="C7" s="64" t="str">
        <f ca="1">IFERROR(__xludf.DUMMYFUNCTION("""COMPUTED_VALUE"""),"Dr. Mabuse the Gambler")</f>
        <v>Dr. Mabuse the Gambler</v>
      </c>
    </row>
    <row r="8" spans="1:3">
      <c r="A8" s="91">
        <f ca="1">IFERROR(__xludf.DUMMYFUNCTION("""COMPUTED_VALUE"""),0)</f>
        <v>0</v>
      </c>
      <c r="B8" s="64">
        <f ca="1">IFERROR(__xludf.DUMMYFUNCTION("""COMPUTED_VALUE"""),1923)</f>
        <v>1923</v>
      </c>
      <c r="C8" s="64" t="str">
        <f ca="1">IFERROR(__xludf.DUMMYFUNCTION("""COMPUTED_VALUE"""),"Our Hospitality")</f>
        <v>Our Hospitality</v>
      </c>
    </row>
    <row r="9" spans="1:3">
      <c r="A9" s="91">
        <f ca="1">IFERROR(__xludf.DUMMYFUNCTION("""COMPUTED_VALUE"""),0)</f>
        <v>0</v>
      </c>
      <c r="B9" s="64">
        <f ca="1">IFERROR(__xludf.DUMMYFUNCTION("""COMPUTED_VALUE"""),1923)</f>
        <v>1923</v>
      </c>
      <c r="C9" s="64" t="str">
        <f ca="1">IFERROR(__xludf.DUMMYFUNCTION("""COMPUTED_VALUE"""),"Safety Last!")</f>
        <v>Safety Last!</v>
      </c>
    </row>
    <row r="10" spans="1:3">
      <c r="A10" s="91">
        <f ca="1">IFERROR(__xludf.DUMMYFUNCTION("""COMPUTED_VALUE"""),0)</f>
        <v>0</v>
      </c>
      <c r="B10" s="64">
        <f ca="1">IFERROR(__xludf.DUMMYFUNCTION("""COMPUTED_VALUE"""),1924)</f>
        <v>1924</v>
      </c>
      <c r="C10" s="64" t="str">
        <f ca="1">IFERROR(__xludf.DUMMYFUNCTION("""COMPUTED_VALUE"""),"Greed")</f>
        <v>Greed</v>
      </c>
    </row>
    <row r="11" spans="1:3">
      <c r="A11" s="91">
        <f ca="1">IFERROR(__xludf.DUMMYFUNCTION("""COMPUTED_VALUE"""),0)</f>
        <v>0</v>
      </c>
      <c r="B11" s="64">
        <f ca="1">IFERROR(__xludf.DUMMYFUNCTION("""COMPUTED_VALUE"""),1924)</f>
        <v>1924</v>
      </c>
      <c r="C11" s="64" t="str">
        <f ca="1">IFERROR(__xludf.DUMMYFUNCTION("""COMPUTED_VALUE"""),"Sherlock Jr.")</f>
        <v>Sherlock Jr.</v>
      </c>
    </row>
    <row r="12" spans="1:3">
      <c r="A12" s="91">
        <f ca="1">IFERROR(__xludf.DUMMYFUNCTION("""COMPUTED_VALUE"""),0)</f>
        <v>0</v>
      </c>
      <c r="B12" s="64">
        <f ca="1">IFERROR(__xludf.DUMMYFUNCTION("""COMPUTED_VALUE"""),1924)</f>
        <v>1924</v>
      </c>
      <c r="C12" s="64" t="str">
        <f ca="1">IFERROR(__xludf.DUMMYFUNCTION("""COMPUTED_VALUE"""),"The Last Laugh")</f>
        <v>The Last Laugh</v>
      </c>
    </row>
    <row r="13" spans="1:3">
      <c r="A13" s="91">
        <f ca="1">IFERROR(__xludf.DUMMYFUNCTION("""COMPUTED_VALUE"""),0)</f>
        <v>0</v>
      </c>
      <c r="B13" s="64">
        <f ca="1">IFERROR(__xludf.DUMMYFUNCTION("""COMPUTED_VALUE"""),1925)</f>
        <v>1925</v>
      </c>
      <c r="C13" s="64" t="str">
        <f ca="1">IFERROR(__xludf.DUMMYFUNCTION("""COMPUTED_VALUE"""),"Battleship Potemkin")</f>
        <v>Battleship Potemkin</v>
      </c>
    </row>
    <row r="14" spans="1:3">
      <c r="A14" s="91">
        <f ca="1">IFERROR(__xludf.DUMMYFUNCTION("""COMPUTED_VALUE"""),0)</f>
        <v>0</v>
      </c>
      <c r="B14" s="64">
        <f ca="1">IFERROR(__xludf.DUMMYFUNCTION("""COMPUTED_VALUE"""),1925)</f>
        <v>1925</v>
      </c>
      <c r="C14" s="64" t="str">
        <f ca="1">IFERROR(__xludf.DUMMYFUNCTION("""COMPUTED_VALUE"""),"The Gold Rush")</f>
        <v>The Gold Rush</v>
      </c>
    </row>
    <row r="15" spans="1:3">
      <c r="A15" s="91">
        <f ca="1">IFERROR(__xludf.DUMMYFUNCTION("""COMPUTED_VALUE"""),0)</f>
        <v>0</v>
      </c>
      <c r="B15" s="64">
        <f ca="1">IFERROR(__xludf.DUMMYFUNCTION("""COMPUTED_VALUE"""),1926)</f>
        <v>1926</v>
      </c>
      <c r="C15" s="64" t="str">
        <f ca="1">IFERROR(__xludf.DUMMYFUNCTION("""COMPUTED_VALUE"""),"Faust")</f>
        <v>Faust</v>
      </c>
    </row>
    <row r="16" spans="1:3">
      <c r="A16" s="91">
        <f ca="1">IFERROR(__xludf.DUMMYFUNCTION("""COMPUTED_VALUE"""),0)</f>
        <v>0</v>
      </c>
      <c r="B16" s="64">
        <f ca="1">IFERROR(__xludf.DUMMYFUNCTION("""COMPUTED_VALUE"""),1926)</f>
        <v>1926</v>
      </c>
      <c r="C16" s="64" t="str">
        <f ca="1">IFERROR(__xludf.DUMMYFUNCTION("""COMPUTED_VALUE"""),"The General")</f>
        <v>The General</v>
      </c>
    </row>
    <row r="17" spans="1:3">
      <c r="A17" s="91">
        <f ca="1">IFERROR(__xludf.DUMMYFUNCTION("""COMPUTED_VALUE"""),0)</f>
        <v>0</v>
      </c>
      <c r="B17" s="64">
        <f ca="1">IFERROR(__xludf.DUMMYFUNCTION("""COMPUTED_VALUE"""),1927)</f>
        <v>1927</v>
      </c>
      <c r="C17" s="64" t="str">
        <f ca="1">IFERROR(__xludf.DUMMYFUNCTION("""COMPUTED_VALUE"""),"Metropolis")</f>
        <v>Metropolis</v>
      </c>
    </row>
    <row r="18" spans="1:3">
      <c r="A18" s="91">
        <f ca="1">IFERROR(__xludf.DUMMYFUNCTION("""COMPUTED_VALUE"""),0)</f>
        <v>0</v>
      </c>
      <c r="B18" s="64">
        <f ca="1">IFERROR(__xludf.DUMMYFUNCTION("""COMPUTED_VALUE"""),1927)</f>
        <v>1927</v>
      </c>
      <c r="C18" s="64" t="str">
        <f ca="1">IFERROR(__xludf.DUMMYFUNCTION("""COMPUTED_VALUE"""),"Napoleon")</f>
        <v>Napoleon</v>
      </c>
    </row>
    <row r="19" spans="1:3">
      <c r="A19" s="91">
        <f ca="1">IFERROR(__xludf.DUMMYFUNCTION("""COMPUTED_VALUE"""),0)</f>
        <v>0</v>
      </c>
      <c r="B19" s="64">
        <f ca="1">IFERROR(__xludf.DUMMYFUNCTION("""COMPUTED_VALUE"""),1927)</f>
        <v>1927</v>
      </c>
      <c r="C19" s="64" t="str">
        <f ca="1">IFERROR(__xludf.DUMMYFUNCTION("""COMPUTED_VALUE"""),"Sunrise: A Song of Two Humans")</f>
        <v>Sunrise: A Song of Two Humans</v>
      </c>
    </row>
    <row r="20" spans="1:3" ht="12.75">
      <c r="A20" s="91">
        <f ca="1">IFERROR(__xludf.DUMMYFUNCTION("""COMPUTED_VALUE"""),0)</f>
        <v>0</v>
      </c>
      <c r="B20" s="64">
        <f ca="1">IFERROR(__xludf.DUMMYFUNCTION("""COMPUTED_VALUE"""),1928)</f>
        <v>1928</v>
      </c>
      <c r="C20" s="64" t="str">
        <f ca="1">IFERROR(__xludf.DUMMYFUNCTION("""COMPUTED_VALUE"""),"Steamboat Bill, Jr.")</f>
        <v>Steamboat Bill, Jr.</v>
      </c>
    </row>
    <row r="21" spans="1:3" ht="12.75">
      <c r="A21" s="91">
        <f ca="1">IFERROR(__xludf.DUMMYFUNCTION("""COMPUTED_VALUE"""),0)</f>
        <v>0</v>
      </c>
      <c r="B21" s="64">
        <f ca="1">IFERROR(__xludf.DUMMYFUNCTION("""COMPUTED_VALUE"""),1928)</f>
        <v>1928</v>
      </c>
      <c r="C21" s="64" t="str">
        <f ca="1">IFERROR(__xludf.DUMMYFUNCTION("""COMPUTED_VALUE"""),"The Cameraman")</f>
        <v>The Cameraman</v>
      </c>
    </row>
    <row r="22" spans="1:3" ht="12.75">
      <c r="A22" s="91">
        <f ca="1">IFERROR(__xludf.DUMMYFUNCTION("""COMPUTED_VALUE"""),0)</f>
        <v>0</v>
      </c>
      <c r="B22" s="64">
        <f ca="1">IFERROR(__xludf.DUMMYFUNCTION("""COMPUTED_VALUE"""),1928)</f>
        <v>1928</v>
      </c>
      <c r="C22" s="64" t="str">
        <f ca="1">IFERROR(__xludf.DUMMYFUNCTION("""COMPUTED_VALUE"""),"The Circus")</f>
        <v>The Circus</v>
      </c>
    </row>
    <row r="23" spans="1:3" ht="12.75">
      <c r="A23" s="91">
        <f ca="1">IFERROR(__xludf.DUMMYFUNCTION("""COMPUTED_VALUE"""),0)</f>
        <v>0</v>
      </c>
      <c r="B23" s="64">
        <f ca="1">IFERROR(__xludf.DUMMYFUNCTION("""COMPUTED_VALUE"""),1928)</f>
        <v>1928</v>
      </c>
      <c r="C23" s="64" t="str">
        <f ca="1">IFERROR(__xludf.DUMMYFUNCTION("""COMPUTED_VALUE"""),"The Crowd")</f>
        <v>The Crowd</v>
      </c>
    </row>
    <row r="24" spans="1:3" ht="12.75">
      <c r="A24" s="91">
        <f ca="1">IFERROR(__xludf.DUMMYFUNCTION("""COMPUTED_VALUE"""),0)</f>
        <v>0</v>
      </c>
      <c r="B24" s="64">
        <f ca="1">IFERROR(__xludf.DUMMYFUNCTION("""COMPUTED_VALUE"""),1930)</f>
        <v>1930</v>
      </c>
      <c r="C24" s="64" t="str">
        <f ca="1">IFERROR(__xludf.DUMMYFUNCTION("""COMPUTED_VALUE"""),"All Quiet on the Western Front")</f>
        <v>All Quiet on the Western Front</v>
      </c>
    </row>
    <row r="25" spans="1:3" ht="12.75">
      <c r="A25" s="91">
        <f ca="1">IFERROR(__xludf.DUMMYFUNCTION("""COMPUTED_VALUE"""),0)</f>
        <v>0</v>
      </c>
      <c r="B25" s="64">
        <f ca="1">IFERROR(__xludf.DUMMYFUNCTION("""COMPUTED_VALUE"""),1931)</f>
        <v>1931</v>
      </c>
      <c r="C25" s="64" t="str">
        <f ca="1">IFERROR(__xludf.DUMMYFUNCTION("""COMPUTED_VALUE"""),"City Lights")</f>
        <v>City Lights</v>
      </c>
    </row>
    <row r="26" spans="1:3" ht="12.75">
      <c r="A26" s="91">
        <f ca="1">IFERROR(__xludf.DUMMYFUNCTION("""COMPUTED_VALUE"""),0)</f>
        <v>0</v>
      </c>
      <c r="B26" s="64">
        <f ca="1">IFERROR(__xludf.DUMMYFUNCTION("""COMPUTED_VALUE"""),1932)</f>
        <v>1932</v>
      </c>
      <c r="C26" s="64" t="str">
        <f ca="1">IFERROR(__xludf.DUMMYFUNCTION("""COMPUTED_VALUE"""),"Freaks")</f>
        <v>Freaks</v>
      </c>
    </row>
    <row r="27" spans="1:3" ht="12.75">
      <c r="A27" s="91">
        <f ca="1">IFERROR(__xludf.DUMMYFUNCTION("""COMPUTED_VALUE"""),0)</f>
        <v>0</v>
      </c>
      <c r="B27" s="64">
        <f ca="1">IFERROR(__xludf.DUMMYFUNCTION("""COMPUTED_VALUE"""),1932)</f>
        <v>1932</v>
      </c>
      <c r="C27" s="64" t="str">
        <f ca="1">IFERROR(__xludf.DUMMYFUNCTION("""COMPUTED_VALUE"""),"I Am a Fugitive from a Chain Gang")</f>
        <v>I Am a Fugitive from a Chain Gang</v>
      </c>
    </row>
    <row r="28" spans="1:3" ht="12.75">
      <c r="A28" s="91">
        <f ca="1">IFERROR(__xludf.DUMMYFUNCTION("""COMPUTED_VALUE"""),0)</f>
        <v>0</v>
      </c>
      <c r="B28" s="64">
        <f ca="1">IFERROR(__xludf.DUMMYFUNCTION("""COMPUTED_VALUE"""),1932)</f>
        <v>1932</v>
      </c>
      <c r="C28" s="64" t="str">
        <f ca="1">IFERROR(__xludf.DUMMYFUNCTION("""COMPUTED_VALUE"""),"Trouble in Paradise")</f>
        <v>Trouble in Paradise</v>
      </c>
    </row>
    <row r="29" spans="1:3" ht="12.75">
      <c r="A29" s="91">
        <f ca="1">IFERROR(__xludf.DUMMYFUNCTION("""COMPUTED_VALUE"""),0)</f>
        <v>0</v>
      </c>
      <c r="B29" s="64">
        <f ca="1">IFERROR(__xludf.DUMMYFUNCTION("""COMPUTED_VALUE"""),1932)</f>
        <v>1932</v>
      </c>
      <c r="C29" s="64" t="str">
        <f ca="1">IFERROR(__xludf.DUMMYFUNCTION("""COMPUTED_VALUE"""),"Scarface")</f>
        <v>Scarface</v>
      </c>
    </row>
    <row r="30" spans="1:3" ht="12.75">
      <c r="A30" s="91">
        <f ca="1">IFERROR(__xludf.DUMMYFUNCTION("""COMPUTED_VALUE"""),0)</f>
        <v>0</v>
      </c>
      <c r="B30" s="64">
        <f ca="1">IFERROR(__xludf.DUMMYFUNCTION("""COMPUTED_VALUE"""),1933)</f>
        <v>1933</v>
      </c>
      <c r="C30" s="64" t="str">
        <f ca="1">IFERROR(__xludf.DUMMYFUNCTION("""COMPUTED_VALUE"""),"The Testament of Dr. Mabuse")</f>
        <v>The Testament of Dr. Mabuse</v>
      </c>
    </row>
    <row r="31" spans="1:3" ht="12.75">
      <c r="A31" s="91">
        <f ca="1">IFERROR(__xludf.DUMMYFUNCTION("""COMPUTED_VALUE"""),0)</f>
        <v>0</v>
      </c>
      <c r="B31" s="64">
        <f ca="1">IFERROR(__xludf.DUMMYFUNCTION("""COMPUTED_VALUE"""),1934)</f>
        <v>1934</v>
      </c>
      <c r="C31" s="64" t="str">
        <f ca="1">IFERROR(__xludf.DUMMYFUNCTION("""COMPUTED_VALUE"""),"It Happened One Night")</f>
        <v>It Happened One Night</v>
      </c>
    </row>
    <row r="32" spans="1:3" ht="12.75">
      <c r="A32" s="91">
        <f ca="1">IFERROR(__xludf.DUMMYFUNCTION("""COMPUTED_VALUE"""),0)</f>
        <v>0</v>
      </c>
      <c r="B32" s="64">
        <f ca="1">IFERROR(__xludf.DUMMYFUNCTION("""COMPUTED_VALUE"""),1934)</f>
        <v>1934</v>
      </c>
      <c r="C32" s="64" t="str">
        <f ca="1">IFERROR(__xludf.DUMMYFUNCTION("""COMPUTED_VALUE"""),"L'Atalante")</f>
        <v>L'Atalante</v>
      </c>
    </row>
    <row r="33" spans="1:3" ht="12.75">
      <c r="A33" s="91">
        <f ca="1">IFERROR(__xludf.DUMMYFUNCTION("""COMPUTED_VALUE"""),0)</f>
        <v>0</v>
      </c>
      <c r="B33" s="64">
        <f ca="1">IFERROR(__xludf.DUMMYFUNCTION("""COMPUTED_VALUE"""),1936)</f>
        <v>1936</v>
      </c>
      <c r="C33" s="64" t="str">
        <f ca="1">IFERROR(__xludf.DUMMYFUNCTION("""COMPUTED_VALUE"""),"Modern Times")</f>
        <v>Modern Times</v>
      </c>
    </row>
    <row r="34" spans="1:3" ht="12.75">
      <c r="A34" s="91">
        <f ca="1">IFERROR(__xludf.DUMMYFUNCTION("""COMPUTED_VALUE"""),0)</f>
        <v>0</v>
      </c>
      <c r="B34" s="64">
        <f ca="1">IFERROR(__xludf.DUMMYFUNCTION("""COMPUTED_VALUE"""),1937)</f>
        <v>1937</v>
      </c>
      <c r="C34" s="64" t="str">
        <f ca="1">IFERROR(__xludf.DUMMYFUNCTION("""COMPUTED_VALUE"""),"Grand Illusion")</f>
        <v>Grand Illusion</v>
      </c>
    </row>
    <row r="35" spans="1:3" ht="12.75">
      <c r="A35" s="91">
        <f ca="1">IFERROR(__xludf.DUMMYFUNCTION("""COMPUTED_VALUE"""),0)</f>
        <v>0</v>
      </c>
      <c r="B35" s="64">
        <f ca="1">IFERROR(__xludf.DUMMYFUNCTION("""COMPUTED_VALUE"""),1937)</f>
        <v>1937</v>
      </c>
      <c r="C35" s="64" t="str">
        <f ca="1">IFERROR(__xludf.DUMMYFUNCTION("""COMPUTED_VALUE"""),"Make Way for Tomorrow")</f>
        <v>Make Way for Tomorrow</v>
      </c>
    </row>
    <row r="36" spans="1:3" ht="12.75">
      <c r="A36" s="91">
        <f ca="1">IFERROR(__xludf.DUMMYFUNCTION("""COMPUTED_VALUE"""),0)</f>
        <v>0</v>
      </c>
      <c r="B36" s="64">
        <f ca="1">IFERROR(__xludf.DUMMYFUNCTION("""COMPUTED_VALUE"""),1938)</f>
        <v>1938</v>
      </c>
      <c r="C36" s="64" t="str">
        <f ca="1">IFERROR(__xludf.DUMMYFUNCTION("""COMPUTED_VALUE"""),"Bringing Up Baby")</f>
        <v>Bringing Up Baby</v>
      </c>
    </row>
    <row r="37" spans="1:3" ht="12.75">
      <c r="A37" s="91">
        <f ca="1">IFERROR(__xludf.DUMMYFUNCTION("""COMPUTED_VALUE"""),0)</f>
        <v>0</v>
      </c>
      <c r="B37" s="64">
        <f ca="1">IFERROR(__xludf.DUMMYFUNCTION("""COMPUTED_VALUE"""),1939)</f>
        <v>1939</v>
      </c>
      <c r="C37" s="64" t="str">
        <f ca="1">IFERROR(__xludf.DUMMYFUNCTION("""COMPUTED_VALUE"""),"Ninotchka")</f>
        <v>Ninotchka</v>
      </c>
    </row>
    <row r="38" spans="1:3" ht="12.75">
      <c r="A38" s="91">
        <f ca="1">IFERROR(__xludf.DUMMYFUNCTION("""COMPUTED_VALUE"""),0)</f>
        <v>0</v>
      </c>
      <c r="B38" s="64">
        <f ca="1">IFERROR(__xludf.DUMMYFUNCTION("""COMPUTED_VALUE"""),1939)</f>
        <v>1939</v>
      </c>
      <c r="C38" s="64" t="str">
        <f ca="1">IFERROR(__xludf.DUMMYFUNCTION("""COMPUTED_VALUE"""),"Stagecoach")</f>
        <v>Stagecoach</v>
      </c>
    </row>
    <row r="39" spans="1:3" ht="12.75">
      <c r="A39" s="91">
        <f ca="1">IFERROR(__xludf.DUMMYFUNCTION("""COMPUTED_VALUE"""),0)</f>
        <v>0</v>
      </c>
      <c r="B39" s="64">
        <f ca="1">IFERROR(__xludf.DUMMYFUNCTION("""COMPUTED_VALUE"""),1939)</f>
        <v>1939</v>
      </c>
      <c r="C39" s="64" t="str">
        <f ca="1">IFERROR(__xludf.DUMMYFUNCTION("""COMPUTED_VALUE"""),"The Roaring Twenties")</f>
        <v>The Roaring Twenties</v>
      </c>
    </row>
    <row r="40" spans="1:3" ht="12.75">
      <c r="A40" s="91">
        <f ca="1">IFERROR(__xludf.DUMMYFUNCTION("""COMPUTED_VALUE"""),0)</f>
        <v>0</v>
      </c>
      <c r="B40" s="64">
        <f ca="1">IFERROR(__xludf.DUMMYFUNCTION("""COMPUTED_VALUE"""),1939)</f>
        <v>1939</v>
      </c>
      <c r="C40" s="64" t="str">
        <f ca="1">IFERROR(__xludf.DUMMYFUNCTION("""COMPUTED_VALUE"""),"The Rules of the Game")</f>
        <v>The Rules of the Game</v>
      </c>
    </row>
    <row r="41" spans="1:3" ht="12.75">
      <c r="A41" s="91">
        <f ca="1">IFERROR(__xludf.DUMMYFUNCTION("""COMPUTED_VALUE"""),0)</f>
        <v>0</v>
      </c>
      <c r="B41" s="64">
        <f ca="1">IFERROR(__xludf.DUMMYFUNCTION("""COMPUTED_VALUE"""),1940)</f>
        <v>1940</v>
      </c>
      <c r="C41" s="64" t="str">
        <f ca="1">IFERROR(__xludf.DUMMYFUNCTION("""COMPUTED_VALUE"""),"Rebecca")</f>
        <v>Rebecca</v>
      </c>
    </row>
    <row r="42" spans="1:3" ht="12.75">
      <c r="A42" s="91">
        <f ca="1">IFERROR(__xludf.DUMMYFUNCTION("""COMPUTED_VALUE"""),0)</f>
        <v>0</v>
      </c>
      <c r="B42" s="64">
        <f ca="1">IFERROR(__xludf.DUMMYFUNCTION("""COMPUTED_VALUE"""),1940)</f>
        <v>1940</v>
      </c>
      <c r="C42" s="64" t="str">
        <f ca="1">IFERROR(__xludf.DUMMYFUNCTION("""COMPUTED_VALUE"""),"The Great Dictator")</f>
        <v>The Great Dictator</v>
      </c>
    </row>
    <row r="43" spans="1:3" ht="12.75">
      <c r="A43" s="91">
        <f ca="1">IFERROR(__xludf.DUMMYFUNCTION("""COMPUTED_VALUE"""),0)</f>
        <v>0</v>
      </c>
      <c r="B43" s="64">
        <f ca="1">IFERROR(__xludf.DUMMYFUNCTION("""COMPUTED_VALUE"""),1940)</f>
        <v>1940</v>
      </c>
      <c r="C43" s="64" t="str">
        <f ca="1">IFERROR(__xludf.DUMMYFUNCTION("""COMPUTED_VALUE"""),"The Philadelphia Story")</f>
        <v>The Philadelphia Story</v>
      </c>
    </row>
    <row r="44" spans="1:3" ht="12.75">
      <c r="A44" s="91">
        <f ca="1">IFERROR(__xludf.DUMMYFUNCTION("""COMPUTED_VALUE"""),0)</f>
        <v>0</v>
      </c>
      <c r="B44" s="64">
        <f ca="1">IFERROR(__xludf.DUMMYFUNCTION("""COMPUTED_VALUE"""),1940)</f>
        <v>1940</v>
      </c>
      <c r="C44" s="64" t="str">
        <f ca="1">IFERROR(__xludf.DUMMYFUNCTION("""COMPUTED_VALUE"""),"The Shop Around the Corner")</f>
        <v>The Shop Around the Corner</v>
      </c>
    </row>
    <row r="45" spans="1:3" ht="12.75">
      <c r="A45" s="91">
        <f ca="1">IFERROR(__xludf.DUMMYFUNCTION("""COMPUTED_VALUE"""),0)</f>
        <v>0</v>
      </c>
      <c r="B45" s="64">
        <f ca="1">IFERROR(__xludf.DUMMYFUNCTION("""COMPUTED_VALUE"""),1941)</f>
        <v>1941</v>
      </c>
      <c r="C45" s="64" t="str">
        <f ca="1">IFERROR(__xludf.DUMMYFUNCTION("""COMPUTED_VALUE"""),"The Maltese Falcon")</f>
        <v>The Maltese Falcon</v>
      </c>
    </row>
    <row r="46" spans="1:3" ht="12.75">
      <c r="A46" s="91">
        <f ca="1">IFERROR(__xludf.DUMMYFUNCTION("""COMPUTED_VALUE"""),0)</f>
        <v>0</v>
      </c>
      <c r="B46" s="64">
        <f ca="1">IFERROR(__xludf.DUMMYFUNCTION("""COMPUTED_VALUE"""),1942)</f>
        <v>1942</v>
      </c>
      <c r="C46" s="64" t="str">
        <f ca="1">IFERROR(__xludf.DUMMYFUNCTION("""COMPUTED_VALUE"""),"To Be or Not to Be")</f>
        <v>To Be or Not to Be</v>
      </c>
    </row>
    <row r="47" spans="1:3" ht="12.75">
      <c r="A47" s="91">
        <f ca="1">IFERROR(__xludf.DUMMYFUNCTION("""COMPUTED_VALUE"""),0)</f>
        <v>0</v>
      </c>
      <c r="B47" s="64">
        <f ca="1">IFERROR(__xludf.DUMMYFUNCTION("""COMPUTED_VALUE"""),1943)</f>
        <v>1943</v>
      </c>
      <c r="C47" s="64" t="str">
        <f ca="1">IFERROR(__xludf.DUMMYFUNCTION("""COMPUTED_VALUE"""),"Day of Wrath")</f>
        <v>Day of Wrath</v>
      </c>
    </row>
    <row r="48" spans="1:3" ht="12.75">
      <c r="A48" s="91">
        <f ca="1">IFERROR(__xludf.DUMMYFUNCTION("""COMPUTED_VALUE"""),0)</f>
        <v>0</v>
      </c>
      <c r="B48" s="64">
        <f ca="1">IFERROR(__xludf.DUMMYFUNCTION("""COMPUTED_VALUE"""),1943)</f>
        <v>1943</v>
      </c>
      <c r="C48" s="64" t="str">
        <f ca="1">IFERROR(__xludf.DUMMYFUNCTION("""COMPUTED_VALUE"""),"Meshes of the Afternoon")</f>
        <v>Meshes of the Afternoon</v>
      </c>
    </row>
    <row r="49" spans="1:3" ht="12.75">
      <c r="A49" s="91">
        <f ca="1">IFERROR(__xludf.DUMMYFUNCTION("""COMPUTED_VALUE"""),0)</f>
        <v>0</v>
      </c>
      <c r="B49" s="64">
        <f ca="1">IFERROR(__xludf.DUMMYFUNCTION("""COMPUTED_VALUE"""),1943)</f>
        <v>1943</v>
      </c>
      <c r="C49" s="64" t="str">
        <f ca="1">IFERROR(__xludf.DUMMYFUNCTION("""COMPUTED_VALUE"""),"The Life and Death of Colonel Blimp")</f>
        <v>The Life and Death of Colonel Blimp</v>
      </c>
    </row>
    <row r="50" spans="1:3" ht="12.75">
      <c r="A50" s="91">
        <f ca="1">IFERROR(__xludf.DUMMYFUNCTION("""COMPUTED_VALUE"""),0)</f>
        <v>0</v>
      </c>
      <c r="B50" s="64">
        <f ca="1">IFERROR(__xludf.DUMMYFUNCTION("""COMPUTED_VALUE"""),1944)</f>
        <v>1944</v>
      </c>
      <c r="C50" s="64" t="str">
        <f ca="1">IFERROR(__xludf.DUMMYFUNCTION("""COMPUTED_VALUE"""),"Double Indemnity")</f>
        <v>Double Indemnity</v>
      </c>
    </row>
    <row r="51" spans="1:3" ht="12.75">
      <c r="A51" s="91">
        <f ca="1">IFERROR(__xludf.DUMMYFUNCTION("""COMPUTED_VALUE"""),0)</f>
        <v>0</v>
      </c>
      <c r="B51" s="64">
        <f ca="1">IFERROR(__xludf.DUMMYFUNCTION("""COMPUTED_VALUE"""),1944)</f>
        <v>1944</v>
      </c>
      <c r="C51" s="64" t="str">
        <f ca="1">IFERROR(__xludf.DUMMYFUNCTION("""COMPUTED_VALUE"""),"Laura")</f>
        <v>Laura</v>
      </c>
    </row>
    <row r="52" spans="1:3" ht="12.75">
      <c r="A52" s="91">
        <f ca="1">IFERROR(__xludf.DUMMYFUNCTION("""COMPUTED_VALUE"""),0)</f>
        <v>0</v>
      </c>
      <c r="B52" s="64">
        <f ca="1">IFERROR(__xludf.DUMMYFUNCTION("""COMPUTED_VALUE"""),1945)</f>
        <v>1945</v>
      </c>
      <c r="C52" s="64" t="str">
        <f ca="1">IFERROR(__xludf.DUMMYFUNCTION("""COMPUTED_VALUE"""),"Brief Encounter")</f>
        <v>Brief Encounter</v>
      </c>
    </row>
    <row r="53" spans="1:3" ht="12.75">
      <c r="A53" s="91">
        <f ca="1">IFERROR(__xludf.DUMMYFUNCTION("""COMPUTED_VALUE"""),0)</f>
        <v>0</v>
      </c>
      <c r="B53" s="64">
        <f ca="1">IFERROR(__xludf.DUMMYFUNCTION("""COMPUTED_VALUE"""),1945)</f>
        <v>1945</v>
      </c>
      <c r="C53" s="64" t="str">
        <f ca="1">IFERROR(__xludf.DUMMYFUNCTION("""COMPUTED_VALUE"""),"Children of Paradise")</f>
        <v>Children of Paradise</v>
      </c>
    </row>
    <row r="54" spans="1:3" ht="12.75">
      <c r="A54" s="91">
        <f ca="1">IFERROR(__xludf.DUMMYFUNCTION("""COMPUTED_VALUE"""),0)</f>
        <v>0</v>
      </c>
      <c r="B54" s="64">
        <f ca="1">IFERROR(__xludf.DUMMYFUNCTION("""COMPUTED_VALUE"""),1945)</f>
        <v>1945</v>
      </c>
      <c r="C54" s="64" t="str">
        <f ca="1">IFERROR(__xludf.DUMMYFUNCTION("""COMPUTED_VALUE"""),"Rome, Open City")</f>
        <v>Rome, Open City</v>
      </c>
    </row>
    <row r="55" spans="1:3" ht="12.75">
      <c r="A55" s="91">
        <f ca="1">IFERROR(__xludf.DUMMYFUNCTION("""COMPUTED_VALUE"""),0)</f>
        <v>0</v>
      </c>
      <c r="B55" s="64">
        <f ca="1">IFERROR(__xludf.DUMMYFUNCTION("""COMPUTED_VALUE"""),1946)</f>
        <v>1946</v>
      </c>
      <c r="C55" s="64" t="str">
        <f ca="1">IFERROR(__xludf.DUMMYFUNCTION("""COMPUTED_VALUE"""),"A Matter of Life and Death")</f>
        <v>A Matter of Life and Death</v>
      </c>
    </row>
    <row r="56" spans="1:3" ht="12.75">
      <c r="A56" s="91">
        <f ca="1">IFERROR(__xludf.DUMMYFUNCTION("""COMPUTED_VALUE"""),0)</f>
        <v>0</v>
      </c>
      <c r="B56" s="64">
        <f ca="1">IFERROR(__xludf.DUMMYFUNCTION("""COMPUTED_VALUE"""),1946)</f>
        <v>1946</v>
      </c>
      <c r="C56" s="64" t="str">
        <f ca="1">IFERROR(__xludf.DUMMYFUNCTION("""COMPUTED_VALUE"""),"Notorious")</f>
        <v>Notorious</v>
      </c>
    </row>
    <row r="57" spans="1:3" ht="12.75">
      <c r="A57" s="91">
        <f ca="1">IFERROR(__xludf.DUMMYFUNCTION("""COMPUTED_VALUE"""),0)</f>
        <v>0</v>
      </c>
      <c r="B57" s="64">
        <f ca="1">IFERROR(__xludf.DUMMYFUNCTION("""COMPUTED_VALUE"""),1946)</f>
        <v>1946</v>
      </c>
      <c r="C57" s="64" t="str">
        <f ca="1">IFERROR(__xludf.DUMMYFUNCTION("""COMPUTED_VALUE"""),"Shoeshine")</f>
        <v>Shoeshine</v>
      </c>
    </row>
    <row r="58" spans="1:3" ht="12.75">
      <c r="A58" s="91">
        <f ca="1">IFERROR(__xludf.DUMMYFUNCTION("""COMPUTED_VALUE"""),0)</f>
        <v>0</v>
      </c>
      <c r="B58" s="64">
        <f ca="1">IFERROR(__xludf.DUMMYFUNCTION("""COMPUTED_VALUE"""),1946)</f>
        <v>1946</v>
      </c>
      <c r="C58" s="64" t="str">
        <f ca="1">IFERROR(__xludf.DUMMYFUNCTION("""COMPUTED_VALUE"""),"The Best Years of Our Lives")</f>
        <v>The Best Years of Our Lives</v>
      </c>
    </row>
    <row r="59" spans="1:3" ht="12.75">
      <c r="A59" s="91">
        <f ca="1">IFERROR(__xludf.DUMMYFUNCTION("""COMPUTED_VALUE"""),0)</f>
        <v>0</v>
      </c>
      <c r="B59" s="64">
        <f ca="1">IFERROR(__xludf.DUMMYFUNCTION("""COMPUTED_VALUE"""),1947)</f>
        <v>1947</v>
      </c>
      <c r="C59" s="64" t="str">
        <f ca="1">IFERROR(__xludf.DUMMYFUNCTION("""COMPUTED_VALUE"""),"Monsieur Verdoux")</f>
        <v>Monsieur Verdoux</v>
      </c>
    </row>
    <row r="60" spans="1:3" ht="12.75">
      <c r="A60" s="91">
        <f ca="1">IFERROR(__xludf.DUMMYFUNCTION("""COMPUTED_VALUE"""),0)</f>
        <v>0</v>
      </c>
      <c r="B60" s="64">
        <f ca="1">IFERROR(__xludf.DUMMYFUNCTION("""COMPUTED_VALUE"""),1947)</f>
        <v>1947</v>
      </c>
      <c r="C60" s="64" t="str">
        <f ca="1">IFERROR(__xludf.DUMMYFUNCTION("""COMPUTED_VALUE"""),"Out of the Past")</f>
        <v>Out of the Past</v>
      </c>
    </row>
    <row r="61" spans="1:3" ht="12.75">
      <c r="A61" s="91">
        <f ca="1">IFERROR(__xludf.DUMMYFUNCTION("""COMPUTED_VALUE"""),0)</f>
        <v>0</v>
      </c>
      <c r="B61" s="64">
        <f ca="1">IFERROR(__xludf.DUMMYFUNCTION("""COMPUTED_VALUE"""),1948)</f>
        <v>1948</v>
      </c>
      <c r="C61" s="64" t="str">
        <f ca="1">IFERROR(__xludf.DUMMYFUNCTION("""COMPUTED_VALUE"""),"Bicycle Thieves")</f>
        <v>Bicycle Thieves</v>
      </c>
    </row>
    <row r="62" spans="1:3" ht="12.75">
      <c r="A62" s="91">
        <f ca="1">IFERROR(__xludf.DUMMYFUNCTION("""COMPUTED_VALUE"""),0)</f>
        <v>0</v>
      </c>
      <c r="B62" s="64">
        <f ca="1">IFERROR(__xludf.DUMMYFUNCTION("""COMPUTED_VALUE"""),1948)</f>
        <v>1948</v>
      </c>
      <c r="C62" s="64" t="str">
        <f ca="1">IFERROR(__xludf.DUMMYFUNCTION("""COMPUTED_VALUE"""),"Germany Year Zero")</f>
        <v>Germany Year Zero</v>
      </c>
    </row>
    <row r="63" spans="1:3" ht="12.75">
      <c r="A63" s="91">
        <f ca="1">IFERROR(__xludf.DUMMYFUNCTION("""COMPUTED_VALUE"""),0)</f>
        <v>0</v>
      </c>
      <c r="B63" s="64">
        <f ca="1">IFERROR(__xludf.DUMMYFUNCTION("""COMPUTED_VALUE"""),1948)</f>
        <v>1948</v>
      </c>
      <c r="C63" s="64" t="str">
        <f ca="1">IFERROR(__xludf.DUMMYFUNCTION("""COMPUTED_VALUE"""),"Letter from an Unknown Woman")</f>
        <v>Letter from an Unknown Woman</v>
      </c>
    </row>
    <row r="64" spans="1:3" ht="12.75">
      <c r="A64" s="91">
        <f ca="1">IFERROR(__xludf.DUMMYFUNCTION("""COMPUTED_VALUE"""),0)</f>
        <v>0</v>
      </c>
      <c r="B64" s="64">
        <f ca="1">IFERROR(__xludf.DUMMYFUNCTION("""COMPUTED_VALUE"""),1948)</f>
        <v>1948</v>
      </c>
      <c r="C64" s="64" t="str">
        <f ca="1">IFERROR(__xludf.DUMMYFUNCTION("""COMPUTED_VALUE"""),"The Red Shoes")</f>
        <v>The Red Shoes</v>
      </c>
    </row>
    <row r="65" spans="1:3" ht="12.75">
      <c r="A65" s="91">
        <f ca="1">IFERROR(__xludf.DUMMYFUNCTION("""COMPUTED_VALUE"""),0)</f>
        <v>0</v>
      </c>
      <c r="B65" s="64">
        <f ca="1">IFERROR(__xludf.DUMMYFUNCTION("""COMPUTED_VALUE"""),1948)</f>
        <v>1948</v>
      </c>
      <c r="C65" s="64" t="str">
        <f ca="1">IFERROR(__xludf.DUMMYFUNCTION("""COMPUTED_VALUE"""),"The Treasure of the Sierra Madre")</f>
        <v>The Treasure of the Sierra Madre</v>
      </c>
    </row>
    <row r="66" spans="1:3" ht="12.75">
      <c r="A66" s="91">
        <f ca="1">IFERROR(__xludf.DUMMYFUNCTION("""COMPUTED_VALUE"""),0)</f>
        <v>0</v>
      </c>
      <c r="B66" s="64">
        <f ca="1">IFERROR(__xludf.DUMMYFUNCTION("""COMPUTED_VALUE"""),1949)</f>
        <v>1949</v>
      </c>
      <c r="C66" s="64" t="str">
        <f ca="1">IFERROR(__xludf.DUMMYFUNCTION("""COMPUTED_VALUE"""),"Kind Hearts and Coronets")</f>
        <v>Kind Hearts and Coronets</v>
      </c>
    </row>
    <row r="67" spans="1:3" ht="12.75">
      <c r="A67" s="91">
        <f ca="1">IFERROR(__xludf.DUMMYFUNCTION("""COMPUTED_VALUE"""),0)</f>
        <v>0</v>
      </c>
      <c r="B67" s="64">
        <f ca="1">IFERROR(__xludf.DUMMYFUNCTION("""COMPUTED_VALUE"""),1949)</f>
        <v>1949</v>
      </c>
      <c r="C67" s="64" t="str">
        <f ca="1">IFERROR(__xludf.DUMMYFUNCTION("""COMPUTED_VALUE"""),"Late Spring")</f>
        <v>Late Spring</v>
      </c>
    </row>
    <row r="68" spans="1:3" ht="12.75">
      <c r="A68" s="91">
        <f ca="1">IFERROR(__xludf.DUMMYFUNCTION("""COMPUTED_VALUE"""),0)</f>
        <v>0</v>
      </c>
      <c r="B68" s="64">
        <f ca="1">IFERROR(__xludf.DUMMYFUNCTION("""COMPUTED_VALUE"""),1949)</f>
        <v>1949</v>
      </c>
      <c r="C68" s="64" t="str">
        <f ca="1">IFERROR(__xludf.DUMMYFUNCTION("""COMPUTED_VALUE"""),"The Heiress")</f>
        <v>The Heiress</v>
      </c>
    </row>
    <row r="69" spans="1:3" ht="12.75">
      <c r="A69" s="91">
        <f ca="1">IFERROR(__xludf.DUMMYFUNCTION("""COMPUTED_VALUE"""),0)</f>
        <v>0</v>
      </c>
      <c r="B69" s="64">
        <f ca="1">IFERROR(__xludf.DUMMYFUNCTION("""COMPUTED_VALUE"""),1949)</f>
        <v>1949</v>
      </c>
      <c r="C69" s="64" t="str">
        <f ca="1">IFERROR(__xludf.DUMMYFUNCTION("""COMPUTED_VALUE"""),"The Third Man")</f>
        <v>The Third Man</v>
      </c>
    </row>
    <row r="70" spans="1:3" ht="12.75">
      <c r="A70" s="91">
        <f ca="1">IFERROR(__xludf.DUMMYFUNCTION("""COMPUTED_VALUE"""),0)</f>
        <v>0</v>
      </c>
      <c r="B70" s="64">
        <f ca="1">IFERROR(__xludf.DUMMYFUNCTION("""COMPUTED_VALUE"""),1949)</f>
        <v>1949</v>
      </c>
      <c r="C70" s="64" t="str">
        <f ca="1">IFERROR(__xludf.DUMMYFUNCTION("""COMPUTED_VALUE"""),"White Heat")</f>
        <v>White Heat</v>
      </c>
    </row>
    <row r="71" spans="1:3" ht="12.75">
      <c r="A71" s="91">
        <f ca="1">IFERROR(__xludf.DUMMYFUNCTION("""COMPUTED_VALUE"""),0)</f>
        <v>0</v>
      </c>
      <c r="B71" s="64">
        <f ca="1">IFERROR(__xludf.DUMMYFUNCTION("""COMPUTED_VALUE"""),1950)</f>
        <v>1950</v>
      </c>
      <c r="C71" s="64" t="str">
        <f ca="1">IFERROR(__xludf.DUMMYFUNCTION("""COMPUTED_VALUE"""),"All About Eve")</f>
        <v>All About Eve</v>
      </c>
    </row>
    <row r="72" spans="1:3" ht="12.75">
      <c r="A72" s="91">
        <f ca="1">IFERROR(__xludf.DUMMYFUNCTION("""COMPUTED_VALUE"""),0)</f>
        <v>0</v>
      </c>
      <c r="B72" s="64">
        <f ca="1">IFERROR(__xludf.DUMMYFUNCTION("""COMPUTED_VALUE"""),1950)</f>
        <v>1950</v>
      </c>
      <c r="C72" s="64" t="str">
        <f ca="1">IFERROR(__xludf.DUMMYFUNCTION("""COMPUTED_VALUE"""),"In a Lonely Place")</f>
        <v>In a Lonely Place</v>
      </c>
    </row>
    <row r="73" spans="1:3" ht="12.75">
      <c r="A73" s="91">
        <f ca="1">IFERROR(__xludf.DUMMYFUNCTION("""COMPUTED_VALUE"""),0)</f>
        <v>0</v>
      </c>
      <c r="B73" s="64">
        <f ca="1">IFERROR(__xludf.DUMMYFUNCTION("""COMPUTED_VALUE"""),1950)</f>
        <v>1950</v>
      </c>
      <c r="C73" s="64" t="str">
        <f ca="1">IFERROR(__xludf.DUMMYFUNCTION("""COMPUTED_VALUE"""),"Orpheus")</f>
        <v>Orpheus</v>
      </c>
    </row>
    <row r="74" spans="1:3" ht="12.75">
      <c r="A74" s="91">
        <f ca="1">IFERROR(__xludf.DUMMYFUNCTION("""COMPUTED_VALUE"""),0)</f>
        <v>0</v>
      </c>
      <c r="B74" s="64">
        <f ca="1">IFERROR(__xludf.DUMMYFUNCTION("""COMPUTED_VALUE"""),1950)</f>
        <v>1950</v>
      </c>
      <c r="C74" s="64" t="str">
        <f ca="1">IFERROR(__xludf.DUMMYFUNCTION("""COMPUTED_VALUE"""),"The Young and the Damned")</f>
        <v>The Young and the Damned</v>
      </c>
    </row>
    <row r="75" spans="1:3" ht="12.75">
      <c r="A75" s="91">
        <f ca="1">IFERROR(__xludf.DUMMYFUNCTION("""COMPUTED_VALUE"""),0)</f>
        <v>0</v>
      </c>
      <c r="B75" s="64">
        <f ca="1">IFERROR(__xludf.DUMMYFUNCTION("""COMPUTED_VALUE"""),1951)</f>
        <v>1951</v>
      </c>
      <c r="C75" s="64" t="str">
        <f ca="1">IFERROR(__xludf.DUMMYFUNCTION("""COMPUTED_VALUE"""),"Ace in the Hole")</f>
        <v>Ace in the Hole</v>
      </c>
    </row>
    <row r="76" spans="1:3" ht="12.75">
      <c r="A76" s="91">
        <f ca="1">IFERROR(__xludf.DUMMYFUNCTION("""COMPUTED_VALUE"""),0)</f>
        <v>0</v>
      </c>
      <c r="B76" s="64">
        <f ca="1">IFERROR(__xludf.DUMMYFUNCTION("""COMPUTED_VALUE"""),1951)</f>
        <v>1951</v>
      </c>
      <c r="C76" s="64" t="str">
        <f ca="1">IFERROR(__xludf.DUMMYFUNCTION("""COMPUTED_VALUE"""),"Early Summer")</f>
        <v>Early Summer</v>
      </c>
    </row>
    <row r="77" spans="1:3" ht="12.75">
      <c r="A77" s="91">
        <f ca="1">IFERROR(__xludf.DUMMYFUNCTION("""COMPUTED_VALUE"""),0)</f>
        <v>0</v>
      </c>
      <c r="B77" s="64">
        <f ca="1">IFERROR(__xludf.DUMMYFUNCTION("""COMPUTED_VALUE"""),1951)</f>
        <v>1951</v>
      </c>
      <c r="C77" s="64" t="str">
        <f ca="1">IFERROR(__xludf.DUMMYFUNCTION("""COMPUTED_VALUE"""),"Strangers on a Train")</f>
        <v>Strangers on a Train</v>
      </c>
    </row>
    <row r="78" spans="1:3" ht="12.75">
      <c r="A78" s="91">
        <f ca="1">IFERROR(__xludf.DUMMYFUNCTION("""COMPUTED_VALUE"""),0)</f>
        <v>0</v>
      </c>
      <c r="B78" s="64">
        <f ca="1">IFERROR(__xludf.DUMMYFUNCTION("""COMPUTED_VALUE"""),1952)</f>
        <v>1952</v>
      </c>
      <c r="C78" s="64" t="str">
        <f ca="1">IFERROR(__xludf.DUMMYFUNCTION("""COMPUTED_VALUE"""),"Forbidden Games")</f>
        <v>Forbidden Games</v>
      </c>
    </row>
    <row r="79" spans="1:3" ht="12.75">
      <c r="A79" s="91">
        <f ca="1">IFERROR(__xludf.DUMMYFUNCTION("""COMPUTED_VALUE"""),0)</f>
        <v>0</v>
      </c>
      <c r="B79" s="64">
        <f ca="1">IFERROR(__xludf.DUMMYFUNCTION("""COMPUTED_VALUE"""),1952)</f>
        <v>1952</v>
      </c>
      <c r="C79" s="64" t="str">
        <f ca="1">IFERROR(__xludf.DUMMYFUNCTION("""COMPUTED_VALUE"""),"Ikiru")</f>
        <v>Ikiru</v>
      </c>
    </row>
    <row r="80" spans="1:3" ht="12.75">
      <c r="A80" s="91">
        <f ca="1">IFERROR(__xludf.DUMMYFUNCTION("""COMPUTED_VALUE"""),0)</f>
        <v>0</v>
      </c>
      <c r="B80" s="64">
        <f ca="1">IFERROR(__xludf.DUMMYFUNCTION("""COMPUTED_VALUE"""),1952)</f>
        <v>1952</v>
      </c>
      <c r="C80" s="64" t="str">
        <f ca="1">IFERROR(__xludf.DUMMYFUNCTION("""COMPUTED_VALUE"""),"Limelight")</f>
        <v>Limelight</v>
      </c>
    </row>
    <row r="81" spans="1:3" ht="12.75">
      <c r="A81" s="91">
        <f ca="1">IFERROR(__xludf.DUMMYFUNCTION("""COMPUTED_VALUE"""),0)</f>
        <v>0</v>
      </c>
      <c r="B81" s="64">
        <f ca="1">IFERROR(__xludf.DUMMYFUNCTION("""COMPUTED_VALUE"""),1952)</f>
        <v>1952</v>
      </c>
      <c r="C81" s="64" t="str">
        <f ca="1">IFERROR(__xludf.DUMMYFUNCTION("""COMPUTED_VALUE"""),"Umberto D.")</f>
        <v>Umberto D.</v>
      </c>
    </row>
    <row r="82" spans="1:3" ht="12.75">
      <c r="A82" s="91">
        <f ca="1">IFERROR(__xludf.DUMMYFUNCTION("""COMPUTED_VALUE"""),0)</f>
        <v>0</v>
      </c>
      <c r="B82" s="64">
        <f ca="1">IFERROR(__xludf.DUMMYFUNCTION("""COMPUTED_VALUE"""),1953)</f>
        <v>1953</v>
      </c>
      <c r="C82" s="64" t="str">
        <f ca="1">IFERROR(__xludf.DUMMYFUNCTION("""COMPUTED_VALUE"""),"I Vitelloni")</f>
        <v>I Vitelloni</v>
      </c>
    </row>
    <row r="83" spans="1:3" ht="12.75">
      <c r="A83" s="91">
        <f ca="1">IFERROR(__xludf.DUMMYFUNCTION("""COMPUTED_VALUE"""),0)</f>
        <v>0</v>
      </c>
      <c r="B83" s="64">
        <f ca="1">IFERROR(__xludf.DUMMYFUNCTION("""COMPUTED_VALUE"""),1953)</f>
        <v>1953</v>
      </c>
      <c r="C83" s="64" t="str">
        <f ca="1">IFERROR(__xludf.DUMMYFUNCTION("""COMPUTED_VALUE"""),"Roman Holiday")</f>
        <v>Roman Holiday</v>
      </c>
    </row>
    <row r="84" spans="1:3" ht="12.75">
      <c r="A84" s="91">
        <f ca="1">IFERROR(__xludf.DUMMYFUNCTION("""COMPUTED_VALUE"""),0)</f>
        <v>0</v>
      </c>
      <c r="B84" s="64">
        <f ca="1">IFERROR(__xludf.DUMMYFUNCTION("""COMPUTED_VALUE"""),1953)</f>
        <v>1953</v>
      </c>
      <c r="C84" s="64" t="str">
        <f ca="1">IFERROR(__xludf.DUMMYFUNCTION("""COMPUTED_VALUE"""),"Stalag 17")</f>
        <v>Stalag 17</v>
      </c>
    </row>
    <row r="85" spans="1:3" ht="12.75">
      <c r="A85" s="91">
        <f ca="1">IFERROR(__xludf.DUMMYFUNCTION("""COMPUTED_VALUE"""),0)</f>
        <v>0</v>
      </c>
      <c r="B85" s="64">
        <f ca="1">IFERROR(__xludf.DUMMYFUNCTION("""COMPUTED_VALUE"""),1953)</f>
        <v>1953</v>
      </c>
      <c r="C85" s="64" t="str">
        <f ca="1">IFERROR(__xludf.DUMMYFUNCTION("""COMPUTED_VALUE"""),"The Big Heat")</f>
        <v>The Big Heat</v>
      </c>
    </row>
    <row r="86" spans="1:3" ht="12.75">
      <c r="A86" s="91">
        <f ca="1">IFERROR(__xludf.DUMMYFUNCTION("""COMPUTED_VALUE"""),0)</f>
        <v>0</v>
      </c>
      <c r="B86" s="64">
        <f ca="1">IFERROR(__xludf.DUMMYFUNCTION("""COMPUTED_VALUE"""),1953)</f>
        <v>1953</v>
      </c>
      <c r="C86" s="64" t="str">
        <f ca="1">IFERROR(__xludf.DUMMYFUNCTION("""COMPUTED_VALUE"""),"The Earrings of Madame de…")</f>
        <v>The Earrings of Madame de…</v>
      </c>
    </row>
    <row r="87" spans="1:3" ht="12.75">
      <c r="A87" s="91">
        <f ca="1">IFERROR(__xludf.DUMMYFUNCTION("""COMPUTED_VALUE"""),0)</f>
        <v>0</v>
      </c>
      <c r="B87" s="64">
        <f ca="1">IFERROR(__xludf.DUMMYFUNCTION("""COMPUTED_VALUE"""),1953)</f>
        <v>1953</v>
      </c>
      <c r="C87" s="64" t="str">
        <f ca="1">IFERROR(__xludf.DUMMYFUNCTION("""COMPUTED_VALUE"""),"The Wages of Fear")</f>
        <v>The Wages of Fear</v>
      </c>
    </row>
    <row r="88" spans="1:3" ht="12.75">
      <c r="A88" s="91">
        <f ca="1">IFERROR(__xludf.DUMMYFUNCTION("""COMPUTED_VALUE"""),0)</f>
        <v>0</v>
      </c>
      <c r="B88" s="64">
        <f ca="1">IFERROR(__xludf.DUMMYFUNCTION("""COMPUTED_VALUE"""),1953)</f>
        <v>1953</v>
      </c>
      <c r="C88" s="64" t="str">
        <f ca="1">IFERROR(__xludf.DUMMYFUNCTION("""COMPUTED_VALUE"""),"Ugetsu")</f>
        <v>Ugetsu</v>
      </c>
    </row>
    <row r="89" spans="1:3" ht="12.75">
      <c r="A89" s="91">
        <f ca="1">IFERROR(__xludf.DUMMYFUNCTION("""COMPUTED_VALUE"""),0)</f>
        <v>0</v>
      </c>
      <c r="B89" s="64">
        <f ca="1">IFERROR(__xludf.DUMMYFUNCTION("""COMPUTED_VALUE"""),1954)</f>
        <v>1954</v>
      </c>
      <c r="C89" s="64" t="str">
        <f ca="1">IFERROR(__xludf.DUMMYFUNCTION("""COMPUTED_VALUE"""),"La Strada")</f>
        <v>La Strada</v>
      </c>
    </row>
    <row r="90" spans="1:3" ht="12.75">
      <c r="A90" s="91">
        <f ca="1">IFERROR(__xludf.DUMMYFUNCTION("""COMPUTED_VALUE"""),0)</f>
        <v>0</v>
      </c>
      <c r="B90" s="64">
        <f ca="1">IFERROR(__xludf.DUMMYFUNCTION("""COMPUTED_VALUE"""),1954)</f>
        <v>1954</v>
      </c>
      <c r="C90" s="64" t="str">
        <f ca="1">IFERROR(__xludf.DUMMYFUNCTION("""COMPUTED_VALUE"""),"Sansho the Bailiff")</f>
        <v>Sansho the Bailiff</v>
      </c>
    </row>
    <row r="91" spans="1:3" ht="12.75">
      <c r="A91" s="91">
        <f ca="1">IFERROR(__xludf.DUMMYFUNCTION("""COMPUTED_VALUE"""),0)</f>
        <v>0</v>
      </c>
      <c r="B91" s="64">
        <f ca="1">IFERROR(__xludf.DUMMYFUNCTION("""COMPUTED_VALUE"""),1955)</f>
        <v>1955</v>
      </c>
      <c r="C91" s="64" t="str">
        <f ca="1">IFERROR(__xludf.DUMMYFUNCTION("""COMPUTED_VALUE"""),"Diabolique")</f>
        <v>Diabolique</v>
      </c>
    </row>
    <row r="92" spans="1:3" ht="12.75">
      <c r="A92" s="91">
        <f ca="1">IFERROR(__xludf.DUMMYFUNCTION("""COMPUTED_VALUE"""),0)</f>
        <v>0</v>
      </c>
      <c r="B92" s="64">
        <f ca="1">IFERROR(__xludf.DUMMYFUNCTION("""COMPUTED_VALUE"""),1955)</f>
        <v>1955</v>
      </c>
      <c r="C92" s="64" t="str">
        <f ca="1">IFERROR(__xludf.DUMMYFUNCTION("""COMPUTED_VALUE"""),"Ordet")</f>
        <v>Ordet</v>
      </c>
    </row>
    <row r="93" spans="1:3" ht="12.75">
      <c r="A93" s="91">
        <f ca="1">IFERROR(__xludf.DUMMYFUNCTION("""COMPUTED_VALUE"""),0)</f>
        <v>0</v>
      </c>
      <c r="B93" s="64">
        <f ca="1">IFERROR(__xludf.DUMMYFUNCTION("""COMPUTED_VALUE"""),1955)</f>
        <v>1955</v>
      </c>
      <c r="C93" s="64" t="str">
        <f ca="1">IFERROR(__xludf.DUMMYFUNCTION("""COMPUTED_VALUE"""),"Pather Panchali")</f>
        <v>Pather Panchali</v>
      </c>
    </row>
    <row r="94" spans="1:3" ht="12.75">
      <c r="A94" s="91">
        <f ca="1">IFERROR(__xludf.DUMMYFUNCTION("""COMPUTED_VALUE"""),0)</f>
        <v>0</v>
      </c>
      <c r="B94" s="64">
        <f ca="1">IFERROR(__xludf.DUMMYFUNCTION("""COMPUTED_VALUE"""),1955)</f>
        <v>1955</v>
      </c>
      <c r="C94" s="64" t="str">
        <f ca="1">IFERROR(__xludf.DUMMYFUNCTION("""COMPUTED_VALUE"""),"Rififi")</f>
        <v>Rififi</v>
      </c>
    </row>
    <row r="95" spans="1:3" ht="12.75">
      <c r="A95" s="91">
        <f ca="1">IFERROR(__xludf.DUMMYFUNCTION("""COMPUTED_VALUE"""),0)</f>
        <v>0</v>
      </c>
      <c r="B95" s="64">
        <f ca="1">IFERROR(__xludf.DUMMYFUNCTION("""COMPUTED_VALUE"""),1956)</f>
        <v>1956</v>
      </c>
      <c r="C95" s="64" t="str">
        <f ca="1">IFERROR(__xludf.DUMMYFUNCTION("""COMPUTED_VALUE"""),"A Man Escaped")</f>
        <v>A Man Escaped</v>
      </c>
    </row>
    <row r="96" spans="1:3" ht="12.75">
      <c r="A96" s="91">
        <f ca="1">IFERROR(__xludf.DUMMYFUNCTION("""COMPUTED_VALUE"""),0)</f>
        <v>0</v>
      </c>
      <c r="B96" s="64">
        <f ca="1">IFERROR(__xludf.DUMMYFUNCTION("""COMPUTED_VALUE"""),1956)</f>
        <v>1956</v>
      </c>
      <c r="C96" s="64" t="str">
        <f ca="1">IFERROR(__xludf.DUMMYFUNCTION("""COMPUTED_VALUE"""),"Aparajito")</f>
        <v>Aparajito</v>
      </c>
    </row>
    <row r="97" spans="1:3" ht="12.75">
      <c r="A97" s="91">
        <f ca="1">IFERROR(__xludf.DUMMYFUNCTION("""COMPUTED_VALUE"""),0)</f>
        <v>0</v>
      </c>
      <c r="B97" s="64">
        <f ca="1">IFERROR(__xludf.DUMMYFUNCTION("""COMPUTED_VALUE"""),1956)</f>
        <v>1956</v>
      </c>
      <c r="C97" s="64" t="str">
        <f ca="1">IFERROR(__xludf.DUMMYFUNCTION("""COMPUTED_VALUE"""),"The Killing")</f>
        <v>The Killing</v>
      </c>
    </row>
    <row r="98" spans="1:3" ht="12.75">
      <c r="A98" s="91">
        <f ca="1">IFERROR(__xludf.DUMMYFUNCTION("""COMPUTED_VALUE"""),0)</f>
        <v>0</v>
      </c>
      <c r="B98" s="64">
        <f ca="1">IFERROR(__xludf.DUMMYFUNCTION("""COMPUTED_VALUE"""),1956)</f>
        <v>1956</v>
      </c>
      <c r="C98" s="64" t="str">
        <f ca="1">IFERROR(__xludf.DUMMYFUNCTION("""COMPUTED_VALUE"""),"The Red Balloon")</f>
        <v>The Red Balloon</v>
      </c>
    </row>
    <row r="99" spans="1:3" ht="12.75">
      <c r="A99" s="91">
        <f ca="1">IFERROR(__xludf.DUMMYFUNCTION("""COMPUTED_VALUE"""),0)</f>
        <v>0</v>
      </c>
      <c r="B99" s="64">
        <f ca="1">IFERROR(__xludf.DUMMYFUNCTION("""COMPUTED_VALUE"""),1957)</f>
        <v>1957</v>
      </c>
      <c r="C99" s="64" t="str">
        <f ca="1">IFERROR(__xludf.DUMMYFUNCTION("""COMPUTED_VALUE"""),"Sweet Smell of Success")</f>
        <v>Sweet Smell of Success</v>
      </c>
    </row>
    <row r="100" spans="1:3" ht="12.75">
      <c r="A100" s="91">
        <f ca="1">IFERROR(__xludf.DUMMYFUNCTION("""COMPUTED_VALUE"""),0)</f>
        <v>0</v>
      </c>
      <c r="B100" s="64">
        <f ca="1">IFERROR(__xludf.DUMMYFUNCTION("""COMPUTED_VALUE"""),1957)</f>
        <v>1957</v>
      </c>
      <c r="C100" s="64" t="str">
        <f ca="1">IFERROR(__xludf.DUMMYFUNCTION("""COMPUTED_VALUE"""),"The Bridge on the River Kwai")</f>
        <v>The Bridge on the River Kwai</v>
      </c>
    </row>
    <row r="101" spans="1:3" ht="12.75">
      <c r="A101" s="91">
        <f ca="1">IFERROR(__xludf.DUMMYFUNCTION("""COMPUTED_VALUE"""),0)</f>
        <v>0</v>
      </c>
      <c r="B101" s="64">
        <f ca="1">IFERROR(__xludf.DUMMYFUNCTION("""COMPUTED_VALUE"""),1957)</f>
        <v>1957</v>
      </c>
      <c r="C101" s="64" t="str">
        <f ca="1">IFERROR(__xludf.DUMMYFUNCTION("""COMPUTED_VALUE"""),"The Cranes Are Flying")</f>
        <v>The Cranes Are Flying</v>
      </c>
    </row>
    <row r="102" spans="1:3" ht="12.75">
      <c r="A102" s="91">
        <f ca="1">IFERROR(__xludf.DUMMYFUNCTION("""COMPUTED_VALUE"""),0)</f>
        <v>0</v>
      </c>
      <c r="B102" s="64">
        <f ca="1">IFERROR(__xludf.DUMMYFUNCTION("""COMPUTED_VALUE"""),1957)</f>
        <v>1957</v>
      </c>
      <c r="C102" s="64" t="str">
        <f ca="1">IFERROR(__xludf.DUMMYFUNCTION("""COMPUTED_VALUE"""),"Throne of Blood")</f>
        <v>Throne of Blood</v>
      </c>
    </row>
    <row r="103" spans="1:3" ht="12.75">
      <c r="A103" s="91">
        <f ca="1">IFERROR(__xludf.DUMMYFUNCTION("""COMPUTED_VALUE"""),0)</f>
        <v>0</v>
      </c>
      <c r="B103" s="64">
        <f ca="1">IFERROR(__xludf.DUMMYFUNCTION("""COMPUTED_VALUE"""),1958)</f>
        <v>1958</v>
      </c>
      <c r="C103" s="64" t="str">
        <f ca="1">IFERROR(__xludf.DUMMYFUNCTION("""COMPUTED_VALUE"""),"Cat on a Hot Tin Roof")</f>
        <v>Cat on a Hot Tin Roof</v>
      </c>
    </row>
    <row r="104" spans="1:3" ht="12.75">
      <c r="A104" s="91">
        <f ca="1">IFERROR(__xludf.DUMMYFUNCTION("""COMPUTED_VALUE"""),0)</f>
        <v>0</v>
      </c>
      <c r="B104" s="64">
        <f ca="1">IFERROR(__xludf.DUMMYFUNCTION("""COMPUTED_VALUE"""),1958)</f>
        <v>1958</v>
      </c>
      <c r="C104" s="64" t="str">
        <f ca="1">IFERROR(__xludf.DUMMYFUNCTION("""COMPUTED_VALUE"""),"Elevator to the Gallows")</f>
        <v>Elevator to the Gallows</v>
      </c>
    </row>
    <row r="105" spans="1:3" ht="12.75">
      <c r="A105" s="91">
        <f ca="1">IFERROR(__xludf.DUMMYFUNCTION("""COMPUTED_VALUE"""),0)</f>
        <v>0</v>
      </c>
      <c r="B105" s="64">
        <f ca="1">IFERROR(__xludf.DUMMYFUNCTION("""COMPUTED_VALUE"""),1958)</f>
        <v>1958</v>
      </c>
      <c r="C105" s="64" t="str">
        <f ca="1">IFERROR(__xludf.DUMMYFUNCTION("""COMPUTED_VALUE"""),"Mon Oncle")</f>
        <v>Mon Oncle</v>
      </c>
    </row>
    <row r="106" spans="1:3" ht="12.75">
      <c r="A106" s="91">
        <f ca="1">IFERROR(__xludf.DUMMYFUNCTION("""COMPUTED_VALUE"""),0)</f>
        <v>0</v>
      </c>
      <c r="B106" s="64">
        <f ca="1">IFERROR(__xludf.DUMMYFUNCTION("""COMPUTED_VALUE"""),1958)</f>
        <v>1958</v>
      </c>
      <c r="C106" s="64" t="str">
        <f ca="1">IFERROR(__xludf.DUMMYFUNCTION("""COMPUTED_VALUE"""),"The Hidden Fortress")</f>
        <v>The Hidden Fortress</v>
      </c>
    </row>
    <row r="107" spans="1:3" ht="12.75">
      <c r="A107" s="91">
        <f ca="1">IFERROR(__xludf.DUMMYFUNCTION("""COMPUTED_VALUE"""),0)</f>
        <v>0</v>
      </c>
      <c r="B107" s="64">
        <f ca="1">IFERROR(__xludf.DUMMYFUNCTION("""COMPUTED_VALUE"""),1958)</f>
        <v>1958</v>
      </c>
      <c r="C107" s="64" t="str">
        <f ca="1">IFERROR(__xludf.DUMMYFUNCTION("""COMPUTED_VALUE"""),"Touch of Evil")</f>
        <v>Touch of Evil</v>
      </c>
    </row>
    <row r="108" spans="1:3" ht="12.75">
      <c r="A108" s="91">
        <f ca="1">IFERROR(__xludf.DUMMYFUNCTION("""COMPUTED_VALUE"""),0)</f>
        <v>0</v>
      </c>
      <c r="B108" s="64">
        <f ca="1">IFERROR(__xludf.DUMMYFUNCTION("""COMPUTED_VALUE"""),1959)</f>
        <v>1959</v>
      </c>
      <c r="C108" s="64" t="str">
        <f ca="1">IFERROR(__xludf.DUMMYFUNCTION("""COMPUTED_VALUE"""),"Anatomy of a Murder")</f>
        <v>Anatomy of a Murder</v>
      </c>
    </row>
    <row r="109" spans="1:3" ht="12.75">
      <c r="A109" s="91">
        <f ca="1">IFERROR(__xludf.DUMMYFUNCTION("""COMPUTED_VALUE"""),0)</f>
        <v>0</v>
      </c>
      <c r="B109" s="64">
        <f ca="1">IFERROR(__xludf.DUMMYFUNCTION("""COMPUTED_VALUE"""),1959)</f>
        <v>1959</v>
      </c>
      <c r="C109" s="64" t="str">
        <f ca="1">IFERROR(__xludf.DUMMYFUNCTION("""COMPUTED_VALUE"""),"Ben-Hur")</f>
        <v>Ben-Hur</v>
      </c>
    </row>
    <row r="110" spans="1:3" ht="12.75">
      <c r="A110" s="91">
        <f ca="1">IFERROR(__xludf.DUMMYFUNCTION("""COMPUTED_VALUE"""),0)</f>
        <v>0</v>
      </c>
      <c r="B110" s="64">
        <f ca="1">IFERROR(__xludf.DUMMYFUNCTION("""COMPUTED_VALUE"""),1959)</f>
        <v>1959</v>
      </c>
      <c r="C110" s="64" t="str">
        <f ca="1">IFERROR(__xludf.DUMMYFUNCTION("""COMPUTED_VALUE"""),"Hiroshima Mon Amour")</f>
        <v>Hiroshima Mon Amour</v>
      </c>
    </row>
    <row r="111" spans="1:3" ht="12.75">
      <c r="A111" s="91">
        <f ca="1">IFERROR(__xludf.DUMMYFUNCTION("""COMPUTED_VALUE"""),0)</f>
        <v>0</v>
      </c>
      <c r="B111" s="64">
        <f ca="1">IFERROR(__xludf.DUMMYFUNCTION("""COMPUTED_VALUE"""),1959)</f>
        <v>1959</v>
      </c>
      <c r="C111" s="64" t="str">
        <f ca="1">IFERROR(__xludf.DUMMYFUNCTION("""COMPUTED_VALUE"""),"Pickpocket")</f>
        <v>Pickpocket</v>
      </c>
    </row>
    <row r="112" spans="1:3" ht="12.75">
      <c r="A112" s="91">
        <f ca="1">IFERROR(__xludf.DUMMYFUNCTION("""COMPUTED_VALUE"""),0)</f>
        <v>0</v>
      </c>
      <c r="B112" s="64">
        <f ca="1">IFERROR(__xludf.DUMMYFUNCTION("""COMPUTED_VALUE"""),1959)</f>
        <v>1959</v>
      </c>
      <c r="C112" s="64" t="str">
        <f ca="1">IFERROR(__xludf.DUMMYFUNCTION("""COMPUTED_VALUE"""),"Rio Bravo")</f>
        <v>Rio Bravo</v>
      </c>
    </row>
    <row r="113" spans="1:3" ht="12.75">
      <c r="A113" s="91">
        <f ca="1">IFERROR(__xludf.DUMMYFUNCTION("""COMPUTED_VALUE"""),0)</f>
        <v>0</v>
      </c>
      <c r="B113" s="64">
        <f ca="1">IFERROR(__xludf.DUMMYFUNCTION("""COMPUTED_VALUE"""),1959)</f>
        <v>1959</v>
      </c>
      <c r="C113" s="64" t="str">
        <f ca="1">IFERROR(__xludf.DUMMYFUNCTION("""COMPUTED_VALUE"""),"The 400 Blows")</f>
        <v>The 400 Blows</v>
      </c>
    </row>
    <row r="114" spans="1:3" ht="12.75">
      <c r="A114" s="91">
        <f ca="1">IFERROR(__xludf.DUMMYFUNCTION("""COMPUTED_VALUE"""),0)</f>
        <v>0</v>
      </c>
      <c r="B114" s="64">
        <f ca="1">IFERROR(__xludf.DUMMYFUNCTION("""COMPUTED_VALUE"""),1959)</f>
        <v>1959</v>
      </c>
      <c r="C114" s="64" t="str">
        <f ca="1">IFERROR(__xludf.DUMMYFUNCTION("""COMPUTED_VALUE"""),"The World of Apu")</f>
        <v>The World of Apu</v>
      </c>
    </row>
    <row r="115" spans="1:3" ht="12.75">
      <c r="A115" s="91">
        <f ca="1">IFERROR(__xludf.DUMMYFUNCTION("""COMPUTED_VALUE"""),0)</f>
        <v>0</v>
      </c>
      <c r="B115" s="64">
        <f ca="1">IFERROR(__xludf.DUMMYFUNCTION("""COMPUTED_VALUE"""),1960)</f>
        <v>1960</v>
      </c>
      <c r="C115" s="64" t="str">
        <f ca="1">IFERROR(__xludf.DUMMYFUNCTION("""COMPUTED_VALUE"""),"Breathless")</f>
        <v>Breathless</v>
      </c>
    </row>
    <row r="116" spans="1:3" ht="12.75">
      <c r="A116" s="91">
        <f ca="1">IFERROR(__xludf.DUMMYFUNCTION("""COMPUTED_VALUE"""),0)</f>
        <v>0</v>
      </c>
      <c r="B116" s="64">
        <f ca="1">IFERROR(__xludf.DUMMYFUNCTION("""COMPUTED_VALUE"""),1960)</f>
        <v>1960</v>
      </c>
      <c r="C116" s="64" t="str">
        <f ca="1">IFERROR(__xludf.DUMMYFUNCTION("""COMPUTED_VALUE"""),"L'Avventura")</f>
        <v>L'Avventura</v>
      </c>
    </row>
    <row r="117" spans="1:3" ht="12.75">
      <c r="A117" s="91">
        <f ca="1">IFERROR(__xludf.DUMMYFUNCTION("""COMPUTED_VALUE"""),0)</f>
        <v>0</v>
      </c>
      <c r="B117" s="64">
        <f ca="1">IFERROR(__xludf.DUMMYFUNCTION("""COMPUTED_VALUE"""),1960)</f>
        <v>1960</v>
      </c>
      <c r="C117" s="64" t="str">
        <f ca="1">IFERROR(__xludf.DUMMYFUNCTION("""COMPUTED_VALUE"""),"La Dolce Vita")</f>
        <v>La Dolce Vita</v>
      </c>
    </row>
    <row r="118" spans="1:3" ht="12.75">
      <c r="A118" s="91">
        <f ca="1">IFERROR(__xludf.DUMMYFUNCTION("""COMPUTED_VALUE"""),0)</f>
        <v>0</v>
      </c>
      <c r="B118" s="64">
        <f ca="1">IFERROR(__xludf.DUMMYFUNCTION("""COMPUTED_VALUE"""),1960)</f>
        <v>1960</v>
      </c>
      <c r="C118" s="64" t="str">
        <f ca="1">IFERROR(__xludf.DUMMYFUNCTION("""COMPUTED_VALUE"""),"Le Trou")</f>
        <v>Le Trou</v>
      </c>
    </row>
    <row r="119" spans="1:3" ht="12.75">
      <c r="A119" s="91">
        <f ca="1">IFERROR(__xludf.DUMMYFUNCTION("""COMPUTED_VALUE"""),0)</f>
        <v>0</v>
      </c>
      <c r="B119" s="64">
        <f ca="1">IFERROR(__xludf.DUMMYFUNCTION("""COMPUTED_VALUE"""),1960)</f>
        <v>1960</v>
      </c>
      <c r="C119" s="64" t="str">
        <f ca="1">IFERROR(__xludf.DUMMYFUNCTION("""COMPUTED_VALUE"""),"Rocco and His Brothers")</f>
        <v>Rocco and His Brothers</v>
      </c>
    </row>
    <row r="120" spans="1:3" ht="12.75">
      <c r="A120" s="91">
        <f ca="1">IFERROR(__xludf.DUMMYFUNCTION("""COMPUTED_VALUE"""),0)</f>
        <v>0</v>
      </c>
      <c r="B120" s="64">
        <f ca="1">IFERROR(__xludf.DUMMYFUNCTION("""COMPUTED_VALUE"""),1960)</f>
        <v>1960</v>
      </c>
      <c r="C120" s="64" t="str">
        <f ca="1">IFERROR(__xludf.DUMMYFUNCTION("""COMPUTED_VALUE"""),"The Virgin Spring")</f>
        <v>The Virgin Spring</v>
      </c>
    </row>
    <row r="121" spans="1:3" ht="12.75">
      <c r="A121" s="91">
        <f ca="1">IFERROR(__xludf.DUMMYFUNCTION("""COMPUTED_VALUE"""),0)</f>
        <v>0</v>
      </c>
      <c r="B121" s="64">
        <f ca="1">IFERROR(__xludf.DUMMYFUNCTION("""COMPUTED_VALUE"""),1961)</f>
        <v>1961</v>
      </c>
      <c r="C121" s="64" t="str">
        <f ca="1">IFERROR(__xludf.DUMMYFUNCTION("""COMPUTED_VALUE"""),"Divorce Italian Style")</f>
        <v>Divorce Italian Style</v>
      </c>
    </row>
    <row r="122" spans="1:3" ht="12.75">
      <c r="A122" s="91">
        <f ca="1">IFERROR(__xludf.DUMMYFUNCTION("""COMPUTED_VALUE"""),0)</f>
        <v>0</v>
      </c>
      <c r="B122" s="64">
        <f ca="1">IFERROR(__xludf.DUMMYFUNCTION("""COMPUTED_VALUE"""),1961)</f>
        <v>1961</v>
      </c>
      <c r="C122" s="64" t="str">
        <f ca="1">IFERROR(__xludf.DUMMYFUNCTION("""COMPUTED_VALUE"""),"Judgment at Nuremberg")</f>
        <v>Judgment at Nuremberg</v>
      </c>
    </row>
    <row r="123" spans="1:3" ht="12.75">
      <c r="A123" s="91">
        <f ca="1">IFERROR(__xludf.DUMMYFUNCTION("""COMPUTED_VALUE"""),0)</f>
        <v>0</v>
      </c>
      <c r="B123" s="64">
        <f ca="1">IFERROR(__xludf.DUMMYFUNCTION("""COMPUTED_VALUE"""),1961)</f>
        <v>1961</v>
      </c>
      <c r="C123" s="64" t="str">
        <f ca="1">IFERROR(__xludf.DUMMYFUNCTION("""COMPUTED_VALUE"""),"La Notte")</f>
        <v>La Notte</v>
      </c>
    </row>
    <row r="124" spans="1:3" ht="12.75">
      <c r="A124" s="91">
        <f ca="1">IFERROR(__xludf.DUMMYFUNCTION("""COMPUTED_VALUE"""),0)</f>
        <v>0</v>
      </c>
      <c r="B124" s="64">
        <f ca="1">IFERROR(__xludf.DUMMYFUNCTION("""COMPUTED_VALUE"""),1961)</f>
        <v>1961</v>
      </c>
      <c r="C124" s="64" t="str">
        <f ca="1">IFERROR(__xludf.DUMMYFUNCTION("""COMPUTED_VALUE"""),"Last Year at Marienbad")</f>
        <v>Last Year at Marienbad</v>
      </c>
    </row>
    <row r="125" spans="1:3" ht="12.75">
      <c r="A125" s="91">
        <f ca="1">IFERROR(__xludf.DUMMYFUNCTION("""COMPUTED_VALUE"""),0)</f>
        <v>0</v>
      </c>
      <c r="B125" s="64">
        <f ca="1">IFERROR(__xludf.DUMMYFUNCTION("""COMPUTED_VALUE"""),1961)</f>
        <v>1961</v>
      </c>
      <c r="C125" s="64" t="str">
        <f ca="1">IFERROR(__xludf.DUMMYFUNCTION("""COMPUTED_VALUE"""),"The Hustler")</f>
        <v>The Hustler</v>
      </c>
    </row>
    <row r="126" spans="1:3" ht="12.75">
      <c r="A126" s="91">
        <f ca="1">IFERROR(__xludf.DUMMYFUNCTION("""COMPUTED_VALUE"""),0)</f>
        <v>0</v>
      </c>
      <c r="B126" s="64">
        <f ca="1">IFERROR(__xludf.DUMMYFUNCTION("""COMPUTED_VALUE"""),1961)</f>
        <v>1961</v>
      </c>
      <c r="C126" s="64" t="str">
        <f ca="1">IFERROR(__xludf.DUMMYFUNCTION("""COMPUTED_VALUE"""),"Through a Glass Darkly")</f>
        <v>Through a Glass Darkly</v>
      </c>
    </row>
    <row r="127" spans="1:3" ht="12.75">
      <c r="A127" s="91">
        <f ca="1">IFERROR(__xludf.DUMMYFUNCTION("""COMPUTED_VALUE"""),0)</f>
        <v>0</v>
      </c>
      <c r="B127" s="64">
        <f ca="1">IFERROR(__xludf.DUMMYFUNCTION("""COMPUTED_VALUE"""),1961)</f>
        <v>1961</v>
      </c>
      <c r="C127" s="64" t="str">
        <f ca="1">IFERROR(__xludf.DUMMYFUNCTION("""COMPUTED_VALUE"""),"Viridiana")</f>
        <v>Viridiana</v>
      </c>
    </row>
    <row r="128" spans="1:3" ht="12.75">
      <c r="A128" s="91">
        <f ca="1">IFERROR(__xludf.DUMMYFUNCTION("""COMPUTED_VALUE"""),0)</f>
        <v>0</v>
      </c>
      <c r="B128" s="64">
        <f ca="1">IFERROR(__xludf.DUMMYFUNCTION("""COMPUTED_VALUE"""),1962)</f>
        <v>1962</v>
      </c>
      <c r="C128" s="64" t="str">
        <f ca="1">IFERROR(__xludf.DUMMYFUNCTION("""COMPUTED_VALUE"""),"An Autumn Afternoon")</f>
        <v>An Autumn Afternoon</v>
      </c>
    </row>
    <row r="129" spans="1:3" ht="12.75">
      <c r="A129" s="91">
        <f ca="1">IFERROR(__xludf.DUMMYFUNCTION("""COMPUTED_VALUE"""),0)</f>
        <v>0</v>
      </c>
      <c r="B129" s="64">
        <f ca="1">IFERROR(__xludf.DUMMYFUNCTION("""COMPUTED_VALUE"""),1962)</f>
        <v>1962</v>
      </c>
      <c r="C129" s="64" t="str">
        <f ca="1">IFERROR(__xludf.DUMMYFUNCTION("""COMPUTED_VALUE"""),"Cléo from 5 to 7")</f>
        <v>Cléo from 5 to 7</v>
      </c>
    </row>
    <row r="130" spans="1:3" ht="12.75">
      <c r="A130" s="91">
        <f ca="1">IFERROR(__xludf.DUMMYFUNCTION("""COMPUTED_VALUE"""),0)</f>
        <v>0</v>
      </c>
      <c r="B130" s="64">
        <f ca="1">IFERROR(__xludf.DUMMYFUNCTION("""COMPUTED_VALUE"""),1962)</f>
        <v>1962</v>
      </c>
      <c r="C130" s="64" t="str">
        <f ca="1">IFERROR(__xludf.DUMMYFUNCTION("""COMPUTED_VALUE"""),"Il Sorpasso")</f>
        <v>Il Sorpasso</v>
      </c>
    </row>
    <row r="131" spans="1:3" ht="12.75">
      <c r="A131" s="91">
        <f ca="1">IFERROR(__xludf.DUMMYFUNCTION("""COMPUTED_VALUE"""),0)</f>
        <v>0</v>
      </c>
      <c r="B131" s="64">
        <f ca="1">IFERROR(__xludf.DUMMYFUNCTION("""COMPUTED_VALUE"""),1962)</f>
        <v>1962</v>
      </c>
      <c r="C131" s="64" t="str">
        <f ca="1">IFERROR(__xludf.DUMMYFUNCTION("""COMPUTED_VALUE"""),"Ivan's Childhood")</f>
        <v>Ivan's Childhood</v>
      </c>
    </row>
    <row r="132" spans="1:3" ht="12.75">
      <c r="A132" s="91">
        <f ca="1">IFERROR(__xludf.DUMMYFUNCTION("""COMPUTED_VALUE"""),0)</f>
        <v>0</v>
      </c>
      <c r="B132" s="64">
        <f ca="1">IFERROR(__xludf.DUMMYFUNCTION("""COMPUTED_VALUE"""),1962)</f>
        <v>1962</v>
      </c>
      <c r="C132" s="64" t="str">
        <f ca="1">IFERROR(__xludf.DUMMYFUNCTION("""COMPUTED_VALUE"""),"Jules and Jim")</f>
        <v>Jules and Jim</v>
      </c>
    </row>
    <row r="133" spans="1:3" ht="12.75">
      <c r="A133" s="91">
        <f ca="1">IFERROR(__xludf.DUMMYFUNCTION("""COMPUTED_VALUE"""),0)</f>
        <v>0</v>
      </c>
      <c r="B133" s="64">
        <f ca="1">IFERROR(__xludf.DUMMYFUNCTION("""COMPUTED_VALUE"""),1962)</f>
        <v>1962</v>
      </c>
      <c r="C133" s="64" t="str">
        <f ca="1">IFERROR(__xludf.DUMMYFUNCTION("""COMPUTED_VALUE"""),"L'Eclisse")</f>
        <v>L'Eclisse</v>
      </c>
    </row>
    <row r="134" spans="1:3" ht="12.75">
      <c r="A134" s="91">
        <f ca="1">IFERROR(__xludf.DUMMYFUNCTION("""COMPUTED_VALUE"""),0)</f>
        <v>0</v>
      </c>
      <c r="B134" s="64">
        <f ca="1">IFERROR(__xludf.DUMMYFUNCTION("""COMPUTED_VALUE"""),1962)</f>
        <v>1962</v>
      </c>
      <c r="C134" s="64" t="str">
        <f ca="1">IFERROR(__xludf.DUMMYFUNCTION("""COMPUTED_VALUE"""),"La Jetée")</f>
        <v>La Jetée</v>
      </c>
    </row>
    <row r="135" spans="1:3" ht="12.75">
      <c r="A135" s="91">
        <f ca="1">IFERROR(__xludf.DUMMYFUNCTION("""COMPUTED_VALUE"""),0)</f>
        <v>0</v>
      </c>
      <c r="B135" s="64">
        <f ca="1">IFERROR(__xludf.DUMMYFUNCTION("""COMPUTED_VALUE"""),1962)</f>
        <v>1962</v>
      </c>
      <c r="C135" s="64" t="str">
        <f ca="1">IFERROR(__xludf.DUMMYFUNCTION("""COMPUTED_VALUE"""),"Sanjuro")</f>
        <v>Sanjuro</v>
      </c>
    </row>
    <row r="136" spans="1:3" ht="12.75">
      <c r="A136" s="91">
        <f ca="1">IFERROR(__xludf.DUMMYFUNCTION("""COMPUTED_VALUE"""),0)</f>
        <v>0</v>
      </c>
      <c r="B136" s="64">
        <f ca="1">IFERROR(__xludf.DUMMYFUNCTION("""COMPUTED_VALUE"""),1962)</f>
        <v>1962</v>
      </c>
      <c r="C136" s="64" t="str">
        <f ca="1">IFERROR(__xludf.DUMMYFUNCTION("""COMPUTED_VALUE"""),"The Exterminating Angel")</f>
        <v>The Exterminating Angel</v>
      </c>
    </row>
    <row r="137" spans="1:3" ht="12.75">
      <c r="A137" s="91">
        <f ca="1">IFERROR(__xludf.DUMMYFUNCTION("""COMPUTED_VALUE"""),0)</f>
        <v>0</v>
      </c>
      <c r="B137" s="64">
        <f ca="1">IFERROR(__xludf.DUMMYFUNCTION("""COMPUTED_VALUE"""),1962)</f>
        <v>1962</v>
      </c>
      <c r="C137" s="64" t="str">
        <f ca="1">IFERROR(__xludf.DUMMYFUNCTION("""COMPUTED_VALUE"""),"The Man Who Shot Liberty Valance")</f>
        <v>The Man Who Shot Liberty Valance</v>
      </c>
    </row>
    <row r="138" spans="1:3" ht="12.75">
      <c r="A138" s="91">
        <f ca="1">IFERROR(__xludf.DUMMYFUNCTION("""COMPUTED_VALUE"""),0)</f>
        <v>0</v>
      </c>
      <c r="B138" s="64">
        <f ca="1">IFERROR(__xludf.DUMMYFUNCTION("""COMPUTED_VALUE"""),1962)</f>
        <v>1962</v>
      </c>
      <c r="C138" s="64" t="str">
        <f ca="1">IFERROR(__xludf.DUMMYFUNCTION("""COMPUTED_VALUE"""),"What Ever Happened to Baby Jane?")</f>
        <v>What Ever Happened to Baby Jane?</v>
      </c>
    </row>
    <row r="139" spans="1:3" ht="12.75">
      <c r="A139" s="91">
        <f ca="1">IFERROR(__xludf.DUMMYFUNCTION("""COMPUTED_VALUE"""),0)</f>
        <v>0</v>
      </c>
      <c r="B139" s="64">
        <f ca="1">IFERROR(__xludf.DUMMYFUNCTION("""COMPUTED_VALUE"""),1963)</f>
        <v>1963</v>
      </c>
      <c r="C139" s="64" t="str">
        <f ca="1">IFERROR(__xludf.DUMMYFUNCTION("""COMPUTED_VALUE"""),"Charade")</f>
        <v>Charade</v>
      </c>
    </row>
    <row r="140" spans="1:3" ht="12.75">
      <c r="A140" s="91">
        <f ca="1">IFERROR(__xludf.DUMMYFUNCTION("""COMPUTED_VALUE"""),0)</f>
        <v>0</v>
      </c>
      <c r="B140" s="64">
        <f ca="1">IFERROR(__xludf.DUMMYFUNCTION("""COMPUTED_VALUE"""),1963)</f>
        <v>1963</v>
      </c>
      <c r="C140" s="64" t="str">
        <f ca="1">IFERROR(__xludf.DUMMYFUNCTION("""COMPUTED_VALUE"""),"The Leopard")</f>
        <v>The Leopard</v>
      </c>
    </row>
    <row r="141" spans="1:3" ht="12.75">
      <c r="A141" s="91">
        <f ca="1">IFERROR(__xludf.DUMMYFUNCTION("""COMPUTED_VALUE"""),0)</f>
        <v>0</v>
      </c>
      <c r="B141" s="64">
        <f ca="1">IFERROR(__xludf.DUMMYFUNCTION("""COMPUTED_VALUE"""),1963)</f>
        <v>1963</v>
      </c>
      <c r="C141" s="64" t="str">
        <f ca="1">IFERROR(__xludf.DUMMYFUNCTION("""COMPUTED_VALUE"""),"The Servant")</f>
        <v>The Servant</v>
      </c>
    </row>
    <row r="142" spans="1:3" ht="12.75">
      <c r="A142" s="91">
        <f ca="1">IFERROR(__xludf.DUMMYFUNCTION("""COMPUTED_VALUE"""),0)</f>
        <v>0</v>
      </c>
      <c r="B142" s="64">
        <f ca="1">IFERROR(__xludf.DUMMYFUNCTION("""COMPUTED_VALUE"""),1963)</f>
        <v>1963</v>
      </c>
      <c r="C142" s="64" t="str">
        <f ca="1">IFERROR(__xludf.DUMMYFUNCTION("""COMPUTED_VALUE"""),"Winter Light")</f>
        <v>Winter Light</v>
      </c>
    </row>
    <row r="143" spans="1:3" ht="12.75">
      <c r="A143" s="91">
        <f ca="1">IFERROR(__xludf.DUMMYFUNCTION("""COMPUTED_VALUE"""),0)</f>
        <v>0</v>
      </c>
      <c r="B143" s="64">
        <f ca="1">IFERROR(__xludf.DUMMYFUNCTION("""COMPUTED_VALUE"""),1964)</f>
        <v>1964</v>
      </c>
      <c r="C143" s="64" t="str">
        <f ca="1">IFERROR(__xludf.DUMMYFUNCTION("""COMPUTED_VALUE"""),"I Am Cuba")</f>
        <v>I Am Cuba</v>
      </c>
    </row>
    <row r="144" spans="1:3" ht="12.75">
      <c r="A144" s="91">
        <f ca="1">IFERROR(__xludf.DUMMYFUNCTION("""COMPUTED_VALUE"""),0)</f>
        <v>0</v>
      </c>
      <c r="B144" s="64">
        <f ca="1">IFERROR(__xludf.DUMMYFUNCTION("""COMPUTED_VALUE"""),1964)</f>
        <v>1964</v>
      </c>
      <c r="C144" s="64" t="str">
        <f ca="1">IFERROR(__xludf.DUMMYFUNCTION("""COMPUTED_VALUE"""),"Kwaidan")</f>
        <v>Kwaidan</v>
      </c>
    </row>
    <row r="145" spans="1:3" ht="12.75">
      <c r="A145" s="91">
        <f ca="1">IFERROR(__xludf.DUMMYFUNCTION("""COMPUTED_VALUE"""),0)</f>
        <v>0</v>
      </c>
      <c r="B145" s="64">
        <f ca="1">IFERROR(__xludf.DUMMYFUNCTION("""COMPUTED_VALUE"""),1964)</f>
        <v>1964</v>
      </c>
      <c r="C145" s="64" t="str">
        <f ca="1">IFERROR(__xludf.DUMMYFUNCTION("""COMPUTED_VALUE"""),"Onibaba")</f>
        <v>Onibaba</v>
      </c>
    </row>
    <row r="146" spans="1:3" ht="12.75">
      <c r="A146" s="91">
        <f ca="1">IFERROR(__xludf.DUMMYFUNCTION("""COMPUTED_VALUE"""),0)</f>
        <v>0</v>
      </c>
      <c r="B146" s="64">
        <f ca="1">IFERROR(__xludf.DUMMYFUNCTION("""COMPUTED_VALUE"""),1964)</f>
        <v>1964</v>
      </c>
      <c r="C146" s="64" t="str">
        <f ca="1">IFERROR(__xludf.DUMMYFUNCTION("""COMPUTED_VALUE"""),"The Gospel According to Matthew")</f>
        <v>The Gospel According to Matthew</v>
      </c>
    </row>
    <row r="147" spans="1:3" ht="12.75">
      <c r="A147" s="91">
        <f ca="1">IFERROR(__xludf.DUMMYFUNCTION("""COMPUTED_VALUE"""),0)</f>
        <v>0</v>
      </c>
      <c r="B147" s="64">
        <f ca="1">IFERROR(__xludf.DUMMYFUNCTION("""COMPUTED_VALUE"""),1965)</f>
        <v>1965</v>
      </c>
      <c r="C147" s="64" t="str">
        <f ca="1">IFERROR(__xludf.DUMMYFUNCTION("""COMPUTED_VALUE"""),"For a Few Dollars More")</f>
        <v>For a Few Dollars More</v>
      </c>
    </row>
    <row r="148" spans="1:3" ht="12.75">
      <c r="A148" s="91">
        <f ca="1">IFERROR(__xludf.DUMMYFUNCTION("""COMPUTED_VALUE"""),0)</f>
        <v>0</v>
      </c>
      <c r="B148" s="64">
        <f ca="1">IFERROR(__xludf.DUMMYFUNCTION("""COMPUTED_VALUE"""),1965)</f>
        <v>1965</v>
      </c>
      <c r="C148" s="64" t="str">
        <f ca="1">IFERROR(__xludf.DUMMYFUNCTION("""COMPUTED_VALUE"""),"Pierrot le Fou")</f>
        <v>Pierrot le Fou</v>
      </c>
    </row>
    <row r="149" spans="1:3" ht="12.75">
      <c r="A149" s="91">
        <f ca="1">IFERROR(__xludf.DUMMYFUNCTION("""COMPUTED_VALUE"""),0)</f>
        <v>0</v>
      </c>
      <c r="B149" s="64">
        <f ca="1">IFERROR(__xludf.DUMMYFUNCTION("""COMPUTED_VALUE"""),1965)</f>
        <v>1965</v>
      </c>
      <c r="C149" s="64" t="str">
        <f ca="1">IFERROR(__xludf.DUMMYFUNCTION("""COMPUTED_VALUE"""),"Red Beard")</f>
        <v>Red Beard</v>
      </c>
    </row>
    <row r="150" spans="1:3" ht="12.75">
      <c r="A150" s="91">
        <f ca="1">IFERROR(__xludf.DUMMYFUNCTION("""COMPUTED_VALUE"""),0)</f>
        <v>0</v>
      </c>
      <c r="B150" s="64">
        <f ca="1">IFERROR(__xludf.DUMMYFUNCTION("""COMPUTED_VALUE"""),1965)</f>
        <v>1965</v>
      </c>
      <c r="C150" s="64" t="str">
        <f ca="1">IFERROR(__xludf.DUMMYFUNCTION("""COMPUTED_VALUE"""),"The Shop on Main Street")</f>
        <v>The Shop on Main Street</v>
      </c>
    </row>
    <row r="151" spans="1:3" ht="12.75">
      <c r="A151" s="91">
        <f ca="1">IFERROR(__xludf.DUMMYFUNCTION("""COMPUTED_VALUE"""),0)</f>
        <v>0</v>
      </c>
      <c r="B151" s="64">
        <f ca="1">IFERROR(__xludf.DUMMYFUNCTION("""COMPUTED_VALUE"""),1966)</f>
        <v>1966</v>
      </c>
      <c r="C151" s="64" t="str">
        <f ca="1">IFERROR(__xludf.DUMMYFUNCTION("""COMPUTED_VALUE"""),"Andrei Rublev")</f>
        <v>Andrei Rublev</v>
      </c>
    </row>
    <row r="152" spans="1:3" ht="12.75">
      <c r="A152" s="91">
        <f ca="1">IFERROR(__xludf.DUMMYFUNCTION("""COMPUTED_VALUE"""),0)</f>
        <v>0</v>
      </c>
      <c r="B152" s="64">
        <f ca="1">IFERROR(__xludf.DUMMYFUNCTION("""COMPUTED_VALUE"""),1966)</f>
        <v>1966</v>
      </c>
      <c r="C152" s="64" t="str">
        <f ca="1">IFERROR(__xludf.DUMMYFUNCTION("""COMPUTED_VALUE"""),"Au Hasard Balthazar")</f>
        <v>Au Hasard Balthazar</v>
      </c>
    </row>
    <row r="153" spans="1:3" ht="12.75">
      <c r="A153" s="91">
        <f ca="1">IFERROR(__xludf.DUMMYFUNCTION("""COMPUTED_VALUE"""),0)</f>
        <v>0</v>
      </c>
      <c r="B153" s="64">
        <f ca="1">IFERROR(__xludf.DUMMYFUNCTION("""COMPUTED_VALUE"""),1966)</f>
        <v>1966</v>
      </c>
      <c r="C153" s="64" t="str">
        <f ca="1">IFERROR(__xludf.DUMMYFUNCTION("""COMPUTED_VALUE"""),"The Battle of Algiers")</f>
        <v>The Battle of Algiers</v>
      </c>
    </row>
    <row r="154" spans="1:3" ht="12.75">
      <c r="A154" s="91">
        <f ca="1">IFERROR(__xludf.DUMMYFUNCTION("""COMPUTED_VALUE"""),0)</f>
        <v>0</v>
      </c>
      <c r="B154" s="64">
        <f ca="1">IFERROR(__xludf.DUMMYFUNCTION("""COMPUTED_VALUE"""),1966)</f>
        <v>1966</v>
      </c>
      <c r="C154" s="64" t="str">
        <f ca="1">IFERROR(__xludf.DUMMYFUNCTION("""COMPUTED_VALUE"""),"The Face of Another")</f>
        <v>The Face of Another</v>
      </c>
    </row>
    <row r="155" spans="1:3" ht="12.75">
      <c r="A155" s="91">
        <f ca="1">IFERROR(__xludf.DUMMYFUNCTION("""COMPUTED_VALUE"""),0)</f>
        <v>0</v>
      </c>
      <c r="B155" s="64">
        <f ca="1">IFERROR(__xludf.DUMMYFUNCTION("""COMPUTED_VALUE"""),1966)</f>
        <v>1966</v>
      </c>
      <c r="C155" s="64" t="str">
        <f ca="1">IFERROR(__xludf.DUMMYFUNCTION("""COMPUTED_VALUE"""),"Who's Afraid of Virginia Woolf?")</f>
        <v>Who's Afraid of Virginia Woolf?</v>
      </c>
    </row>
    <row r="156" spans="1:3" ht="12.75">
      <c r="A156" s="91">
        <f ca="1">IFERROR(__xludf.DUMMYFUNCTION("""COMPUTED_VALUE"""),0)</f>
        <v>0</v>
      </c>
      <c r="B156" s="64">
        <f ca="1">IFERROR(__xludf.DUMMYFUNCTION("""COMPUTED_VALUE"""),1967)</f>
        <v>1967</v>
      </c>
      <c r="C156" s="64" t="str">
        <f ca="1">IFERROR(__xludf.DUMMYFUNCTION("""COMPUTED_VALUE"""),"Le Samouraï")</f>
        <v>Le Samouraï</v>
      </c>
    </row>
    <row r="157" spans="1:3" ht="12.75">
      <c r="A157" s="91">
        <f ca="1">IFERROR(__xludf.DUMMYFUNCTION("""COMPUTED_VALUE"""),0)</f>
        <v>0</v>
      </c>
      <c r="B157" s="64">
        <f ca="1">IFERROR(__xludf.DUMMYFUNCTION("""COMPUTED_VALUE"""),1967)</f>
        <v>1967</v>
      </c>
      <c r="C157" s="64" t="str">
        <f ca="1">IFERROR(__xludf.DUMMYFUNCTION("""COMPUTED_VALUE"""),"PlayTime")</f>
        <v>PlayTime</v>
      </c>
    </row>
    <row r="158" spans="1:3" ht="12.75">
      <c r="A158" s="91">
        <f ca="1">IFERROR(__xludf.DUMMYFUNCTION("""COMPUTED_VALUE"""),0)</f>
        <v>0</v>
      </c>
      <c r="B158" s="64">
        <f ca="1">IFERROR(__xludf.DUMMYFUNCTION("""COMPUTED_VALUE"""),1967)</f>
        <v>1967</v>
      </c>
      <c r="C158" s="64" t="str">
        <f ca="1">IFERROR(__xludf.DUMMYFUNCTION("""COMPUTED_VALUE"""),"Samurai Rebellion")</f>
        <v>Samurai Rebellion</v>
      </c>
    </row>
    <row r="159" spans="1:3" ht="12.75">
      <c r="A159" s="91">
        <f ca="1">IFERROR(__xludf.DUMMYFUNCTION("""COMPUTED_VALUE"""),0)</f>
        <v>0</v>
      </c>
      <c r="B159" s="64">
        <f ca="1">IFERROR(__xludf.DUMMYFUNCTION("""COMPUTED_VALUE"""),1968)</f>
        <v>1968</v>
      </c>
      <c r="C159" s="64" t="str">
        <f ca="1">IFERROR(__xludf.DUMMYFUNCTION("""COMPUTED_VALUE"""),"Once Upon a Time in the West")</f>
        <v>Once Upon a Time in the West</v>
      </c>
    </row>
    <row r="160" spans="1:3" ht="12.75">
      <c r="A160" s="91">
        <f ca="1">IFERROR(__xludf.DUMMYFUNCTION("""COMPUTED_VALUE"""),0)</f>
        <v>0</v>
      </c>
      <c r="B160" s="64">
        <f ca="1">IFERROR(__xludf.DUMMYFUNCTION("""COMPUTED_VALUE"""),1969)</f>
        <v>1969</v>
      </c>
      <c r="C160" s="64" t="str">
        <f ca="1">IFERROR(__xludf.DUMMYFUNCTION("""COMPUTED_VALUE"""),"Army of Shadows")</f>
        <v>Army of Shadows</v>
      </c>
    </row>
    <row r="161" spans="1:3" ht="12.75">
      <c r="A161" s="91">
        <f ca="1">IFERROR(__xludf.DUMMYFUNCTION("""COMPUTED_VALUE"""),0)</f>
        <v>0</v>
      </c>
      <c r="B161" s="64">
        <f ca="1">IFERROR(__xludf.DUMMYFUNCTION("""COMPUTED_VALUE"""),1969)</f>
        <v>1969</v>
      </c>
      <c r="C161" s="64" t="str">
        <f ca="1">IFERROR(__xludf.DUMMYFUNCTION("""COMPUTED_VALUE"""),"Kes")</f>
        <v>Kes</v>
      </c>
    </row>
    <row r="162" spans="1:3" ht="12.75">
      <c r="A162" s="91">
        <f ca="1">IFERROR(__xludf.DUMMYFUNCTION("""COMPUTED_VALUE"""),0)</f>
        <v>0</v>
      </c>
      <c r="B162" s="64">
        <f ca="1">IFERROR(__xludf.DUMMYFUNCTION("""COMPUTED_VALUE"""),1969)</f>
        <v>1969</v>
      </c>
      <c r="C162" s="64" t="str">
        <f ca="1">IFERROR(__xludf.DUMMYFUNCTION("""COMPUTED_VALUE"""),"My Night at Maud's")</f>
        <v>My Night at Maud's</v>
      </c>
    </row>
    <row r="163" spans="1:3" ht="12.75">
      <c r="A163" s="91">
        <f ca="1">IFERROR(__xludf.DUMMYFUNCTION("""COMPUTED_VALUE"""),0)</f>
        <v>0</v>
      </c>
      <c r="B163" s="64">
        <f ca="1">IFERROR(__xludf.DUMMYFUNCTION("""COMPUTED_VALUE"""),1969)</f>
        <v>1969</v>
      </c>
      <c r="C163" s="64" t="str">
        <f ca="1">IFERROR(__xludf.DUMMYFUNCTION("""COMPUTED_VALUE"""),"The Wild Bunch")</f>
        <v>The Wild Bunch</v>
      </c>
    </row>
    <row r="164" spans="1:3" ht="12.75">
      <c r="A164" s="91">
        <f ca="1">IFERROR(__xludf.DUMMYFUNCTION("""COMPUTED_VALUE"""),0)</f>
        <v>0</v>
      </c>
      <c r="B164" s="64">
        <f ca="1">IFERROR(__xludf.DUMMYFUNCTION("""COMPUTED_VALUE"""),1970)</f>
        <v>1970</v>
      </c>
      <c r="C164" s="64" t="str">
        <f ca="1">IFERROR(__xludf.DUMMYFUNCTION("""COMPUTED_VALUE"""),"Le Cercle Rouge")</f>
        <v>Le Cercle Rouge</v>
      </c>
    </row>
    <row r="165" spans="1:3" ht="12.75">
      <c r="A165" s="91">
        <f ca="1">IFERROR(__xludf.DUMMYFUNCTION("""COMPUTED_VALUE"""),0)</f>
        <v>0</v>
      </c>
      <c r="B165" s="64">
        <f ca="1">IFERROR(__xludf.DUMMYFUNCTION("""COMPUTED_VALUE"""),1970)</f>
        <v>1970</v>
      </c>
      <c r="C165" s="64" t="str">
        <f ca="1">IFERROR(__xludf.DUMMYFUNCTION("""COMPUTED_VALUE"""),"The Conformist")</f>
        <v>The Conformist</v>
      </c>
    </row>
    <row r="166" spans="1:3" ht="12.75">
      <c r="A166" s="91">
        <f ca="1">IFERROR(__xludf.DUMMYFUNCTION("""COMPUTED_VALUE"""),0)</f>
        <v>0</v>
      </c>
      <c r="B166" s="64">
        <f ca="1">IFERROR(__xludf.DUMMYFUNCTION("""COMPUTED_VALUE"""),1971)</f>
        <v>1971</v>
      </c>
      <c r="C166" s="64" t="str">
        <f ca="1">IFERROR(__xludf.DUMMYFUNCTION("""COMPUTED_VALUE"""),"The Last Picture Show")</f>
        <v>The Last Picture Show</v>
      </c>
    </row>
    <row r="167" spans="1:3" ht="12.75">
      <c r="A167" s="91">
        <f ca="1">IFERROR(__xludf.DUMMYFUNCTION("""COMPUTED_VALUE"""),0)</f>
        <v>0</v>
      </c>
      <c r="B167" s="64">
        <f ca="1">IFERROR(__xludf.DUMMYFUNCTION("""COMPUTED_VALUE"""),1972)</f>
        <v>1972</v>
      </c>
      <c r="C167" s="64" t="str">
        <f ca="1">IFERROR(__xludf.DUMMYFUNCTION("""COMPUTED_VALUE"""),"Aguirre: The Wrath of God")</f>
        <v>Aguirre: The Wrath of God</v>
      </c>
    </row>
    <row r="168" spans="1:3" ht="12.75">
      <c r="A168" s="91">
        <f ca="1">IFERROR(__xludf.DUMMYFUNCTION("""COMPUTED_VALUE"""),0)</f>
        <v>0</v>
      </c>
      <c r="B168" s="64">
        <f ca="1">IFERROR(__xludf.DUMMYFUNCTION("""COMPUTED_VALUE"""),1972)</f>
        <v>1972</v>
      </c>
      <c r="C168" s="64" t="str">
        <f ca="1">IFERROR(__xludf.DUMMYFUNCTION("""COMPUTED_VALUE"""),"Cries and Whispers")</f>
        <v>Cries and Whispers</v>
      </c>
    </row>
    <row r="169" spans="1:3" ht="12.75">
      <c r="A169" s="91">
        <f ca="1">IFERROR(__xludf.DUMMYFUNCTION("""COMPUTED_VALUE"""),0)</f>
        <v>0</v>
      </c>
      <c r="B169" s="64">
        <f ca="1">IFERROR(__xludf.DUMMYFUNCTION("""COMPUTED_VALUE"""),1972)</f>
        <v>1972</v>
      </c>
      <c r="C169" s="64" t="str">
        <f ca="1">IFERROR(__xludf.DUMMYFUNCTION("""COMPUTED_VALUE"""),"Sleuth")</f>
        <v>Sleuth</v>
      </c>
    </row>
    <row r="170" spans="1:3" ht="12.75">
      <c r="A170" s="91">
        <f ca="1">IFERROR(__xludf.DUMMYFUNCTION("""COMPUTED_VALUE"""),0)</f>
        <v>0</v>
      </c>
      <c r="B170" s="64">
        <f ca="1">IFERROR(__xludf.DUMMYFUNCTION("""COMPUTED_VALUE"""),1972)</f>
        <v>1972</v>
      </c>
      <c r="C170" s="64" t="str">
        <f ca="1">IFERROR(__xludf.DUMMYFUNCTION("""COMPUTED_VALUE"""),"The Discreet Charm of the Bourgeoisie")</f>
        <v>The Discreet Charm of the Bourgeoisie</v>
      </c>
    </row>
    <row r="171" spans="1:3" ht="12.75">
      <c r="A171" s="91">
        <f ca="1">IFERROR(__xludf.DUMMYFUNCTION("""COMPUTED_VALUE"""),0)</f>
        <v>0</v>
      </c>
      <c r="B171" s="64">
        <f ca="1">IFERROR(__xludf.DUMMYFUNCTION("""COMPUTED_VALUE"""),1973)</f>
        <v>1973</v>
      </c>
      <c r="C171" s="64" t="str">
        <f ca="1">IFERROR(__xludf.DUMMYFUNCTION("""COMPUTED_VALUE"""),"Amarcord")</f>
        <v>Amarcord</v>
      </c>
    </row>
    <row r="172" spans="1:3" ht="12.75">
      <c r="A172" s="91">
        <f ca="1">IFERROR(__xludf.DUMMYFUNCTION("""COMPUTED_VALUE"""),0)</f>
        <v>0</v>
      </c>
      <c r="B172" s="64">
        <f ca="1">IFERROR(__xludf.DUMMYFUNCTION("""COMPUTED_VALUE"""),1973)</f>
        <v>1973</v>
      </c>
      <c r="C172" s="64" t="str">
        <f ca="1">IFERROR(__xludf.DUMMYFUNCTION("""COMPUTED_VALUE"""),"Badlands")</f>
        <v>Badlands</v>
      </c>
    </row>
    <row r="173" spans="1:3" ht="12.75">
      <c r="A173" s="91">
        <f ca="1">IFERROR(__xludf.DUMMYFUNCTION("""COMPUTED_VALUE"""),0)</f>
        <v>0</v>
      </c>
      <c r="B173" s="64">
        <f ca="1">IFERROR(__xludf.DUMMYFUNCTION("""COMPUTED_VALUE"""),1973)</f>
        <v>1973</v>
      </c>
      <c r="C173" s="64" t="str">
        <f ca="1">IFERROR(__xludf.DUMMYFUNCTION("""COMPUTED_VALUE"""),"Day for Night")</f>
        <v>Day for Night</v>
      </c>
    </row>
    <row r="174" spans="1:3" ht="12.75">
      <c r="A174" s="91">
        <f ca="1">IFERROR(__xludf.DUMMYFUNCTION("""COMPUTED_VALUE"""),0)</f>
        <v>0</v>
      </c>
      <c r="B174" s="64">
        <f ca="1">IFERROR(__xludf.DUMMYFUNCTION("""COMPUTED_VALUE"""),1973)</f>
        <v>1973</v>
      </c>
      <c r="C174" s="64" t="str">
        <f ca="1">IFERROR(__xludf.DUMMYFUNCTION("""COMPUTED_VALUE"""),"The Mother and the Whore")</f>
        <v>The Mother and the Whore</v>
      </c>
    </row>
    <row r="175" spans="1:3" ht="12.75">
      <c r="A175" s="91">
        <f ca="1">IFERROR(__xludf.DUMMYFUNCTION("""COMPUTED_VALUE"""),0)</f>
        <v>0</v>
      </c>
      <c r="B175" s="64">
        <f ca="1">IFERROR(__xludf.DUMMYFUNCTION("""COMPUTED_VALUE"""),1973)</f>
        <v>1973</v>
      </c>
      <c r="C175" s="64" t="str">
        <f ca="1">IFERROR(__xludf.DUMMYFUNCTION("""COMPUTED_VALUE"""),"The Spirit of the Beehive")</f>
        <v>The Spirit of the Beehive</v>
      </c>
    </row>
    <row r="176" spans="1:3" ht="12.75">
      <c r="A176" s="91">
        <f ca="1">IFERROR(__xludf.DUMMYFUNCTION("""COMPUTED_VALUE"""),0)</f>
        <v>0</v>
      </c>
      <c r="B176" s="64">
        <f ca="1">IFERROR(__xludf.DUMMYFUNCTION("""COMPUTED_VALUE"""),1974)</f>
        <v>1974</v>
      </c>
      <c r="C176" s="64" t="str">
        <f ca="1">IFERROR(__xludf.DUMMYFUNCTION("""COMPUTED_VALUE"""),"A Woman Under the Influence")</f>
        <v>A Woman Under the Influence</v>
      </c>
    </row>
    <row r="177" spans="1:3" ht="12.75">
      <c r="A177" s="91">
        <f ca="1">IFERROR(__xludf.DUMMYFUNCTION("""COMPUTED_VALUE"""),0)</f>
        <v>0</v>
      </c>
      <c r="B177" s="64">
        <f ca="1">IFERROR(__xludf.DUMMYFUNCTION("""COMPUTED_VALUE"""),1974)</f>
        <v>1974</v>
      </c>
      <c r="C177" s="64" t="str">
        <f ca="1">IFERROR(__xludf.DUMMYFUNCTION("""COMPUTED_VALUE"""),"Ali: Fear Eats the Soul")</f>
        <v>Ali: Fear Eats the Soul</v>
      </c>
    </row>
    <row r="178" spans="1:3" ht="12.75">
      <c r="A178" s="91">
        <f ca="1">IFERROR(__xludf.DUMMYFUNCTION("""COMPUTED_VALUE"""),0)</f>
        <v>0</v>
      </c>
      <c r="B178" s="64">
        <f ca="1">IFERROR(__xludf.DUMMYFUNCTION("""COMPUTED_VALUE"""),1974)</f>
        <v>1974</v>
      </c>
      <c r="C178" s="64" t="str">
        <f ca="1">IFERROR(__xludf.DUMMYFUNCTION("""COMPUTED_VALUE"""),"Alice in the Cities")</f>
        <v>Alice in the Cities</v>
      </c>
    </row>
    <row r="179" spans="1:3" ht="12.75">
      <c r="A179" s="91">
        <f ca="1">IFERROR(__xludf.DUMMYFUNCTION("""COMPUTED_VALUE"""),0)</f>
        <v>0</v>
      </c>
      <c r="B179" s="64">
        <f ca="1">IFERROR(__xludf.DUMMYFUNCTION("""COMPUTED_VALUE"""),1974)</f>
        <v>1974</v>
      </c>
      <c r="C179" s="64" t="str">
        <f ca="1">IFERROR(__xludf.DUMMYFUNCTION("""COMPUTED_VALUE"""),"Scenes from a Marriage")</f>
        <v>Scenes from a Marriage</v>
      </c>
    </row>
    <row r="180" spans="1:3" ht="12.75">
      <c r="A180" s="91">
        <f ca="1">IFERROR(__xludf.DUMMYFUNCTION("""COMPUTED_VALUE"""),0)</f>
        <v>0</v>
      </c>
      <c r="B180" s="64">
        <f ca="1">IFERROR(__xludf.DUMMYFUNCTION("""COMPUTED_VALUE"""),1974)</f>
        <v>1974</v>
      </c>
      <c r="C180" s="64" t="str">
        <f ca="1">IFERROR(__xludf.DUMMYFUNCTION("""COMPUTED_VALUE"""),"The Enigma of Kaspar Hauser")</f>
        <v>The Enigma of Kaspar Hauser</v>
      </c>
    </row>
    <row r="181" spans="1:3" ht="12.75">
      <c r="A181" s="91">
        <f ca="1">IFERROR(__xludf.DUMMYFUNCTION("""COMPUTED_VALUE"""),0)</f>
        <v>0</v>
      </c>
      <c r="B181" s="64">
        <f ca="1">IFERROR(__xludf.DUMMYFUNCTION("""COMPUTED_VALUE"""),1974)</f>
        <v>1974</v>
      </c>
      <c r="C181" s="64" t="str">
        <f ca="1">IFERROR(__xludf.DUMMYFUNCTION("""COMPUTED_VALUE"""),"The Phantom of Liberty")</f>
        <v>The Phantom of Liberty</v>
      </c>
    </row>
    <row r="182" spans="1:3" ht="12.75">
      <c r="A182" s="91">
        <f ca="1">IFERROR(__xludf.DUMMYFUNCTION("""COMPUTED_VALUE"""),0)</f>
        <v>0</v>
      </c>
      <c r="B182" s="64">
        <f ca="1">IFERROR(__xludf.DUMMYFUNCTION("""COMPUTED_VALUE"""),1975)</f>
        <v>1975</v>
      </c>
      <c r="C182" s="64" t="str">
        <f ca="1">IFERROR(__xludf.DUMMYFUNCTION("""COMPUTED_VALUE"""),"Dersu Uzala")</f>
        <v>Dersu Uzala</v>
      </c>
    </row>
    <row r="183" spans="1:3" ht="12.75">
      <c r="A183" s="91">
        <f ca="1">IFERROR(__xludf.DUMMYFUNCTION("""COMPUTED_VALUE"""),0)</f>
        <v>0</v>
      </c>
      <c r="B183" s="64">
        <f ca="1">IFERROR(__xludf.DUMMYFUNCTION("""COMPUTED_VALUE"""),1975)</f>
        <v>1975</v>
      </c>
      <c r="C183" s="64" t="str">
        <f ca="1">IFERROR(__xludf.DUMMYFUNCTION("""COMPUTED_VALUE"""),"Jeanne Dielman, 23 Commerce Quay, 1080 Brussels")</f>
        <v>Jeanne Dielman, 23 Commerce Quay, 1080 Brussels</v>
      </c>
    </row>
    <row r="184" spans="1:3" ht="12.75">
      <c r="A184" s="91">
        <f ca="1">IFERROR(__xludf.DUMMYFUNCTION("""COMPUTED_VALUE"""),0)</f>
        <v>0</v>
      </c>
      <c r="B184" s="64">
        <f ca="1">IFERROR(__xludf.DUMMYFUNCTION("""COMPUTED_VALUE"""),1975)</f>
        <v>1975</v>
      </c>
      <c r="C184" s="64" t="str">
        <f ca="1">IFERROR(__xludf.DUMMYFUNCTION("""COMPUTED_VALUE"""),"Love and Death")</f>
        <v>Love and Death</v>
      </c>
    </row>
    <row r="185" spans="1:3" ht="12.75">
      <c r="A185" s="91">
        <f ca="1">IFERROR(__xludf.DUMMYFUNCTION("""COMPUTED_VALUE"""),0)</f>
        <v>0</v>
      </c>
      <c r="B185" s="64">
        <f ca="1">IFERROR(__xludf.DUMMYFUNCTION("""COMPUTED_VALUE"""),1975)</f>
        <v>1975</v>
      </c>
      <c r="C185" s="64" t="str">
        <f ca="1">IFERROR(__xludf.DUMMYFUNCTION("""COMPUTED_VALUE"""),"Mirror")</f>
        <v>Mirror</v>
      </c>
    </row>
    <row r="186" spans="1:3" ht="12.75">
      <c r="A186" s="91">
        <f ca="1">IFERROR(__xludf.DUMMYFUNCTION("""COMPUTED_VALUE"""),0)</f>
        <v>0</v>
      </c>
      <c r="B186" s="64">
        <f ca="1">IFERROR(__xludf.DUMMYFUNCTION("""COMPUTED_VALUE"""),1975)</f>
        <v>1975</v>
      </c>
      <c r="C186" s="64" t="str">
        <f ca="1">IFERROR(__xludf.DUMMYFUNCTION("""COMPUTED_VALUE"""),"The Man Who Would Be King")</f>
        <v>The Man Who Would Be King</v>
      </c>
    </row>
    <row r="187" spans="1:3" ht="12.75">
      <c r="A187" s="91">
        <f ca="1">IFERROR(__xludf.DUMMYFUNCTION("""COMPUTED_VALUE"""),0)</f>
        <v>0</v>
      </c>
      <c r="B187" s="64">
        <f ca="1">IFERROR(__xludf.DUMMYFUNCTION("""COMPUTED_VALUE"""),1977)</f>
        <v>1977</v>
      </c>
      <c r="C187" s="64" t="str">
        <f ca="1">IFERROR(__xludf.DUMMYFUNCTION("""COMPUTED_VALUE"""),"A Special Day")</f>
        <v>A Special Day</v>
      </c>
    </row>
    <row r="188" spans="1:3" ht="12.75">
      <c r="A188" s="91">
        <f ca="1">IFERROR(__xludf.DUMMYFUNCTION("""COMPUTED_VALUE"""),0)</f>
        <v>0</v>
      </c>
      <c r="B188" s="64">
        <f ca="1">IFERROR(__xludf.DUMMYFUNCTION("""COMPUTED_VALUE"""),1977)</f>
        <v>1977</v>
      </c>
      <c r="C188" s="64" t="str">
        <f ca="1">IFERROR(__xludf.DUMMYFUNCTION("""COMPUTED_VALUE"""),"Opening Night")</f>
        <v>Opening Night</v>
      </c>
    </row>
    <row r="189" spans="1:3" ht="12.75">
      <c r="A189" s="91">
        <f ca="1">IFERROR(__xludf.DUMMYFUNCTION("""COMPUTED_VALUE"""),0)</f>
        <v>0</v>
      </c>
      <c r="B189" s="64">
        <f ca="1">IFERROR(__xludf.DUMMYFUNCTION("""COMPUTED_VALUE"""),1977)</f>
        <v>1977</v>
      </c>
      <c r="C189" s="64" t="str">
        <f ca="1">IFERROR(__xludf.DUMMYFUNCTION("""COMPUTED_VALUE"""),"Stroszek")</f>
        <v>Stroszek</v>
      </c>
    </row>
    <row r="190" spans="1:3" ht="12.75">
      <c r="A190" s="91">
        <f ca="1">IFERROR(__xludf.DUMMYFUNCTION("""COMPUTED_VALUE"""),0)</f>
        <v>0</v>
      </c>
      <c r="B190" s="64">
        <f ca="1">IFERROR(__xludf.DUMMYFUNCTION("""COMPUTED_VALUE"""),1977)</f>
        <v>1977</v>
      </c>
      <c r="C190" s="64" t="str">
        <f ca="1">IFERROR(__xludf.DUMMYFUNCTION("""COMPUTED_VALUE"""),"That Obscure Object of Desire")</f>
        <v>That Obscure Object of Desire</v>
      </c>
    </row>
    <row r="191" spans="1:3" ht="12.75">
      <c r="A191" s="91">
        <f ca="1">IFERROR(__xludf.DUMMYFUNCTION("""COMPUTED_VALUE"""),0)</f>
        <v>0</v>
      </c>
      <c r="B191" s="64">
        <f ca="1">IFERROR(__xludf.DUMMYFUNCTION("""COMPUTED_VALUE"""),1978)</f>
        <v>1978</v>
      </c>
      <c r="C191" s="64" t="str">
        <f ca="1">IFERROR(__xludf.DUMMYFUNCTION("""COMPUTED_VALUE"""),"Autumn Sonata")</f>
        <v>Autumn Sonata</v>
      </c>
    </row>
    <row r="192" spans="1:3" ht="12.75">
      <c r="A192" s="91">
        <f ca="1">IFERROR(__xludf.DUMMYFUNCTION("""COMPUTED_VALUE"""),0)</f>
        <v>0</v>
      </c>
      <c r="B192" s="64">
        <f ca="1">IFERROR(__xludf.DUMMYFUNCTION("""COMPUTED_VALUE"""),1979)</f>
        <v>1979</v>
      </c>
      <c r="C192" s="64" t="str">
        <f ca="1">IFERROR(__xludf.DUMMYFUNCTION("""COMPUTED_VALUE"""),"Being There")</f>
        <v>Being There</v>
      </c>
    </row>
    <row r="193" spans="1:3" ht="12.75">
      <c r="A193" s="91">
        <f ca="1">IFERROR(__xludf.DUMMYFUNCTION("""COMPUTED_VALUE"""),0)</f>
        <v>0</v>
      </c>
      <c r="B193" s="64">
        <f ca="1">IFERROR(__xludf.DUMMYFUNCTION("""COMPUTED_VALUE"""),1980)</f>
        <v>1980</v>
      </c>
      <c r="C193" s="64" t="str">
        <f ca="1">IFERROR(__xludf.DUMMYFUNCTION("""COMPUTED_VALUE"""),"Kagemusha")</f>
        <v>Kagemusha</v>
      </c>
    </row>
    <row r="194" spans="1:3" ht="12.75">
      <c r="A194" s="91">
        <f ca="1">IFERROR(__xludf.DUMMYFUNCTION("""COMPUTED_VALUE"""),0)</f>
        <v>0</v>
      </c>
      <c r="B194" s="64">
        <f ca="1">IFERROR(__xludf.DUMMYFUNCTION("""COMPUTED_VALUE"""),1981)</f>
        <v>1981</v>
      </c>
      <c r="C194" s="64" t="str">
        <f ca="1">IFERROR(__xludf.DUMMYFUNCTION("""COMPUTED_VALUE"""),"Das Boot")</f>
        <v>Das Boot</v>
      </c>
    </row>
    <row r="195" spans="1:3" ht="12.75">
      <c r="A195" s="91">
        <f ca="1">IFERROR(__xludf.DUMMYFUNCTION("""COMPUTED_VALUE"""),0)</f>
        <v>0</v>
      </c>
      <c r="B195" s="64">
        <f ca="1">IFERROR(__xludf.DUMMYFUNCTION("""COMPUTED_VALUE"""),1982)</f>
        <v>1982</v>
      </c>
      <c r="C195" s="64" t="str">
        <f ca="1">IFERROR(__xludf.DUMMYFUNCTION("""COMPUTED_VALUE"""),"Fanny and Alexander")</f>
        <v>Fanny and Alexander</v>
      </c>
    </row>
    <row r="196" spans="1:3" ht="12.75">
      <c r="A196" s="91">
        <f ca="1">IFERROR(__xludf.DUMMYFUNCTION("""COMPUTED_VALUE"""),0)</f>
        <v>0</v>
      </c>
      <c r="B196" s="64">
        <f ca="1">IFERROR(__xludf.DUMMYFUNCTION("""COMPUTED_VALUE"""),1982)</f>
        <v>1982</v>
      </c>
      <c r="C196" s="64" t="str">
        <f ca="1">IFERROR(__xludf.DUMMYFUNCTION("""COMPUTED_VALUE"""),"Fitzcarraldo")</f>
        <v>Fitzcarraldo</v>
      </c>
    </row>
    <row r="197" spans="1:3" ht="12.75">
      <c r="A197" s="91">
        <f ca="1">IFERROR(__xludf.DUMMYFUNCTION("""COMPUTED_VALUE"""),0)</f>
        <v>0</v>
      </c>
      <c r="B197" s="64">
        <f ca="1">IFERROR(__xludf.DUMMYFUNCTION("""COMPUTED_VALUE"""),1983)</f>
        <v>1983</v>
      </c>
      <c r="C197" s="64" t="str">
        <f ca="1">IFERROR(__xludf.DUMMYFUNCTION("""COMPUTED_VALUE"""),"Nostalghia")</f>
        <v>Nostalghia</v>
      </c>
    </row>
    <row r="198" spans="1:3" ht="12.75">
      <c r="A198" s="91">
        <f ca="1">IFERROR(__xludf.DUMMYFUNCTION("""COMPUTED_VALUE"""),0)</f>
        <v>0</v>
      </c>
      <c r="B198" s="64">
        <f ca="1">IFERROR(__xludf.DUMMYFUNCTION("""COMPUTED_VALUE"""),1983)</f>
        <v>1983</v>
      </c>
      <c r="C198" s="64" t="str">
        <f ca="1">IFERROR(__xludf.DUMMYFUNCTION("""COMPUTED_VALUE"""),"Sans Soleil")</f>
        <v>Sans Soleil</v>
      </c>
    </row>
    <row r="199" spans="1:3" ht="12.75">
      <c r="A199" s="91">
        <f ca="1">IFERROR(__xludf.DUMMYFUNCTION("""COMPUTED_VALUE"""),0)</f>
        <v>0</v>
      </c>
      <c r="B199" s="64">
        <f ca="1">IFERROR(__xludf.DUMMYFUNCTION("""COMPUTED_VALUE"""),1984)</f>
        <v>1984</v>
      </c>
      <c r="C199" s="64" t="str">
        <f ca="1">IFERROR(__xludf.DUMMYFUNCTION("""COMPUTED_VALUE"""),"Nausicaä of the Valley of the Wind")</f>
        <v>Nausicaä of the Valley of the Wind</v>
      </c>
    </row>
    <row r="200" spans="1:3" ht="12.75">
      <c r="A200" s="91">
        <f ca="1">IFERROR(__xludf.DUMMYFUNCTION("""COMPUTED_VALUE"""),0)</f>
        <v>0</v>
      </c>
      <c r="B200" s="64">
        <f ca="1">IFERROR(__xludf.DUMMYFUNCTION("""COMPUTED_VALUE"""),1985)</f>
        <v>1985</v>
      </c>
      <c r="C200" s="64" t="str">
        <f ca="1">IFERROR(__xludf.DUMMYFUNCTION("""COMPUTED_VALUE"""),"Come and See")</f>
        <v>Come and See</v>
      </c>
    </row>
    <row r="201" spans="1:3" ht="12.75">
      <c r="A201" s="91">
        <f ca="1">IFERROR(__xludf.DUMMYFUNCTION("""COMPUTED_VALUE"""),0)</f>
        <v>0</v>
      </c>
      <c r="B201" s="64">
        <f ca="1">IFERROR(__xludf.DUMMYFUNCTION("""COMPUTED_VALUE"""),1985)</f>
        <v>1985</v>
      </c>
      <c r="C201" s="64" t="str">
        <f ca="1">IFERROR(__xludf.DUMMYFUNCTION("""COMPUTED_VALUE"""),"Ran")</f>
        <v>Ran</v>
      </c>
    </row>
    <row r="202" spans="1:3" ht="12.75">
      <c r="A202" s="91">
        <f ca="1">IFERROR(__xludf.DUMMYFUNCTION("""COMPUTED_VALUE"""),0)</f>
        <v>0</v>
      </c>
      <c r="B202" s="64">
        <f ca="1">IFERROR(__xludf.DUMMYFUNCTION("""COMPUTED_VALUE"""),1985)</f>
        <v>1985</v>
      </c>
      <c r="C202" s="64" t="str">
        <f ca="1">IFERROR(__xludf.DUMMYFUNCTION("""COMPUTED_VALUE"""),"Tampopo")</f>
        <v>Tampopo</v>
      </c>
    </row>
    <row r="203" spans="1:3" ht="12.75">
      <c r="A203" s="91">
        <f ca="1">IFERROR(__xludf.DUMMYFUNCTION("""COMPUTED_VALUE"""),0)</f>
        <v>0</v>
      </c>
      <c r="B203" s="64">
        <f ca="1">IFERROR(__xludf.DUMMYFUNCTION("""COMPUTED_VALUE"""),1986)</f>
        <v>1986</v>
      </c>
      <c r="C203" s="64" t="str">
        <f ca="1">IFERROR(__xludf.DUMMYFUNCTION("""COMPUTED_VALUE"""),"Castle in the Sky")</f>
        <v>Castle in the Sky</v>
      </c>
    </row>
    <row r="204" spans="1:3" ht="12.75">
      <c r="A204" s="91">
        <f ca="1">IFERROR(__xludf.DUMMYFUNCTION("""COMPUTED_VALUE"""),0)</f>
        <v>0</v>
      </c>
      <c r="B204" s="64">
        <f ca="1">IFERROR(__xludf.DUMMYFUNCTION("""COMPUTED_VALUE"""),1986)</f>
        <v>1986</v>
      </c>
      <c r="C204" s="64" t="str">
        <f ca="1">IFERROR(__xludf.DUMMYFUNCTION("""COMPUTED_VALUE"""),"Down by Law")</f>
        <v>Down by Law</v>
      </c>
    </row>
    <row r="205" spans="1:3" ht="12.75">
      <c r="A205" s="91">
        <f ca="1">IFERROR(__xludf.DUMMYFUNCTION("""COMPUTED_VALUE"""),0)</f>
        <v>0</v>
      </c>
      <c r="B205" s="64">
        <f ca="1">IFERROR(__xludf.DUMMYFUNCTION("""COMPUTED_VALUE"""),1986)</f>
        <v>1986</v>
      </c>
      <c r="C205" s="64" t="str">
        <f ca="1">IFERROR(__xludf.DUMMYFUNCTION("""COMPUTED_VALUE"""),"Hannah and Her Sisters")</f>
        <v>Hannah and Her Sisters</v>
      </c>
    </row>
    <row r="206" spans="1:3" ht="12.75">
      <c r="A206" s="91">
        <f ca="1">IFERROR(__xludf.DUMMYFUNCTION("""COMPUTED_VALUE"""),0)</f>
        <v>0</v>
      </c>
      <c r="B206" s="64">
        <f ca="1">IFERROR(__xludf.DUMMYFUNCTION("""COMPUTED_VALUE"""),1986)</f>
        <v>1986</v>
      </c>
      <c r="C206" s="64" t="str">
        <f ca="1">IFERROR(__xludf.DUMMYFUNCTION("""COMPUTED_VALUE"""),"Jean de Florette")</f>
        <v>Jean de Florette</v>
      </c>
    </row>
    <row r="207" spans="1:3" ht="12.75">
      <c r="A207" s="91">
        <f ca="1">IFERROR(__xludf.DUMMYFUNCTION("""COMPUTED_VALUE"""),0)</f>
        <v>0</v>
      </c>
      <c r="B207" s="64">
        <f ca="1">IFERROR(__xludf.DUMMYFUNCTION("""COMPUTED_VALUE"""),1986)</f>
        <v>1986</v>
      </c>
      <c r="C207" s="64" t="str">
        <f ca="1">IFERROR(__xludf.DUMMYFUNCTION("""COMPUTED_VALUE"""),"The Sacrifice")</f>
        <v>The Sacrifice</v>
      </c>
    </row>
    <row r="208" spans="1:3" ht="12.75">
      <c r="A208" s="91">
        <f ca="1">IFERROR(__xludf.DUMMYFUNCTION("""COMPUTED_VALUE"""),0)</f>
        <v>0</v>
      </c>
      <c r="B208" s="64">
        <f ca="1">IFERROR(__xludf.DUMMYFUNCTION("""COMPUTED_VALUE"""),1987)</f>
        <v>1987</v>
      </c>
      <c r="C208" s="64" t="str">
        <f ca="1">IFERROR(__xludf.DUMMYFUNCTION("""COMPUTED_VALUE"""),"Au Revoir les Enfants")</f>
        <v>Au Revoir les Enfants</v>
      </c>
    </row>
    <row r="209" spans="1:3" ht="12.75">
      <c r="A209" s="91">
        <f ca="1">IFERROR(__xludf.DUMMYFUNCTION("""COMPUTED_VALUE"""),0)</f>
        <v>0</v>
      </c>
      <c r="B209" s="64">
        <f ca="1">IFERROR(__xludf.DUMMYFUNCTION("""COMPUTED_VALUE"""),1987)</f>
        <v>1987</v>
      </c>
      <c r="C209" s="64" t="str">
        <f ca="1">IFERROR(__xludf.DUMMYFUNCTION("""COMPUTED_VALUE"""),"Where is the Friend's Home?")</f>
        <v>Where is the Friend's Home?</v>
      </c>
    </row>
    <row r="210" spans="1:3" ht="12.75">
      <c r="A210" s="91">
        <f ca="1">IFERROR(__xludf.DUMMYFUNCTION("""COMPUTED_VALUE"""),0)</f>
        <v>0</v>
      </c>
      <c r="B210" s="64">
        <f ca="1">IFERROR(__xludf.DUMMYFUNCTION("""COMPUTED_VALUE"""),1987)</f>
        <v>1987</v>
      </c>
      <c r="C210" s="64" t="str">
        <f ca="1">IFERROR(__xludf.DUMMYFUNCTION("""COMPUTED_VALUE"""),"Wings of Desire")</f>
        <v>Wings of Desire</v>
      </c>
    </row>
    <row r="211" spans="1:3" ht="12.75">
      <c r="A211" s="91">
        <f ca="1">IFERROR(__xludf.DUMMYFUNCTION("""COMPUTED_VALUE"""),0)</f>
        <v>0</v>
      </c>
      <c r="B211" s="64">
        <f ca="1">IFERROR(__xludf.DUMMYFUNCTION("""COMPUTED_VALUE"""),1988)</f>
        <v>1988</v>
      </c>
      <c r="C211" s="64" t="str">
        <f ca="1">IFERROR(__xludf.DUMMYFUNCTION("""COMPUTED_VALUE"""),"A Short Film About Killing")</f>
        <v>A Short Film About Killing</v>
      </c>
    </row>
    <row r="212" spans="1:3" ht="12.75">
      <c r="A212" s="91">
        <f ca="1">IFERROR(__xludf.DUMMYFUNCTION("""COMPUTED_VALUE"""),0)</f>
        <v>0</v>
      </c>
      <c r="B212" s="64">
        <f ca="1">IFERROR(__xludf.DUMMYFUNCTION("""COMPUTED_VALUE"""),1988)</f>
        <v>1988</v>
      </c>
      <c r="C212" s="64" t="str">
        <f ca="1">IFERROR(__xludf.DUMMYFUNCTION("""COMPUTED_VALUE"""),"A Short Film About Love")</f>
        <v>A Short Film About Love</v>
      </c>
    </row>
    <row r="213" spans="1:3" ht="12.75">
      <c r="A213" s="91">
        <f ca="1">IFERROR(__xludf.DUMMYFUNCTION("""COMPUTED_VALUE"""),0)</f>
        <v>0</v>
      </c>
      <c r="B213" s="64">
        <f ca="1">IFERROR(__xludf.DUMMYFUNCTION("""COMPUTED_VALUE"""),1988)</f>
        <v>1988</v>
      </c>
      <c r="C213" s="64" t="str">
        <f ca="1">IFERROR(__xludf.DUMMYFUNCTION("""COMPUTED_VALUE"""),"Grave of the Fireflies")</f>
        <v>Grave of the Fireflies</v>
      </c>
    </row>
    <row r="214" spans="1:3" ht="12.75">
      <c r="A214" s="91">
        <f ca="1">IFERROR(__xludf.DUMMYFUNCTION("""COMPUTED_VALUE"""),0)</f>
        <v>0</v>
      </c>
      <c r="B214" s="64">
        <f ca="1">IFERROR(__xludf.DUMMYFUNCTION("""COMPUTED_VALUE"""),1988)</f>
        <v>1988</v>
      </c>
      <c r="C214" s="64" t="str">
        <f ca="1">IFERROR(__xludf.DUMMYFUNCTION("""COMPUTED_VALUE"""),"Landscape in the Mist")</f>
        <v>Landscape in the Mist</v>
      </c>
    </row>
    <row r="215" spans="1:3" ht="12.75">
      <c r="A215" s="91">
        <f ca="1">IFERROR(__xludf.DUMMYFUNCTION("""COMPUTED_VALUE"""),0)</f>
        <v>0</v>
      </c>
      <c r="B215" s="64">
        <f ca="1">IFERROR(__xludf.DUMMYFUNCTION("""COMPUTED_VALUE"""),1988)</f>
        <v>1988</v>
      </c>
      <c r="C215" s="64" t="str">
        <f ca="1">IFERROR(__xludf.DUMMYFUNCTION("""COMPUTED_VALUE"""),"Time of the Gypsies")</f>
        <v>Time of the Gypsies</v>
      </c>
    </row>
    <row r="216" spans="1:3" ht="12.75">
      <c r="A216" s="91">
        <f ca="1">IFERROR(__xludf.DUMMYFUNCTION("""COMPUTED_VALUE"""),0)</f>
        <v>0</v>
      </c>
      <c r="B216" s="64">
        <f ca="1">IFERROR(__xludf.DUMMYFUNCTION("""COMPUTED_VALUE"""),1989)</f>
        <v>1989</v>
      </c>
      <c r="C216" s="64" t="str">
        <f ca="1">IFERROR(__xludf.DUMMYFUNCTION("""COMPUTED_VALUE"""),"Kiki's Delivery Service")</f>
        <v>Kiki's Delivery Service</v>
      </c>
    </row>
    <row r="217" spans="1:3" ht="12.75">
      <c r="A217" s="91">
        <f ca="1">IFERROR(__xludf.DUMMYFUNCTION("""COMPUTED_VALUE"""),0)</f>
        <v>0</v>
      </c>
      <c r="B217" s="64">
        <f ca="1">IFERROR(__xludf.DUMMYFUNCTION("""COMPUTED_VALUE"""),1989)</f>
        <v>1989</v>
      </c>
      <c r="C217" s="64" t="str">
        <f ca="1">IFERROR(__xludf.DUMMYFUNCTION("""COMPUTED_VALUE"""),"The Killer")</f>
        <v>The Killer</v>
      </c>
    </row>
    <row r="218" spans="1:3" ht="12.75">
      <c r="A218" s="91">
        <f ca="1">IFERROR(__xludf.DUMMYFUNCTION("""COMPUTED_VALUE"""),0)</f>
        <v>0</v>
      </c>
      <c r="B218" s="64">
        <f ca="1">IFERROR(__xludf.DUMMYFUNCTION("""COMPUTED_VALUE"""),1990)</f>
        <v>1990</v>
      </c>
      <c r="C218" s="64" t="str">
        <f ca="1">IFERROR(__xludf.DUMMYFUNCTION("""COMPUTED_VALUE"""),"Close-Up")</f>
        <v>Close-Up</v>
      </c>
    </row>
    <row r="219" spans="1:3" ht="12.75">
      <c r="A219" s="91">
        <f ca="1">IFERROR(__xludf.DUMMYFUNCTION("""COMPUTED_VALUE"""),0)</f>
        <v>0</v>
      </c>
      <c r="B219" s="64">
        <f ca="1">IFERROR(__xludf.DUMMYFUNCTION("""COMPUTED_VALUE"""),1990)</f>
        <v>1990</v>
      </c>
      <c r="C219" s="64" t="str">
        <f ca="1">IFERROR(__xludf.DUMMYFUNCTION("""COMPUTED_VALUE"""),"Henry: Portrait of a Serial Killer")</f>
        <v>Henry: Portrait of a Serial Killer</v>
      </c>
    </row>
    <row r="220" spans="1:3" ht="12.75">
      <c r="A220" s="91">
        <f ca="1">IFERROR(__xludf.DUMMYFUNCTION("""COMPUTED_VALUE"""),0)</f>
        <v>0</v>
      </c>
      <c r="B220" s="64">
        <f ca="1">IFERROR(__xludf.DUMMYFUNCTION("""COMPUTED_VALUE"""),1991)</f>
        <v>1991</v>
      </c>
      <c r="C220" s="64" t="str">
        <f ca="1">IFERROR(__xludf.DUMMYFUNCTION("""COMPUTED_VALUE"""),"A Brighter Summer Day")</f>
        <v>A Brighter Summer Day</v>
      </c>
    </row>
    <row r="221" spans="1:3" ht="12.75">
      <c r="A221" s="91">
        <f ca="1">IFERROR(__xludf.DUMMYFUNCTION("""COMPUTED_VALUE"""),0)</f>
        <v>0</v>
      </c>
      <c r="B221" s="64">
        <f ca="1">IFERROR(__xludf.DUMMYFUNCTION("""COMPUTED_VALUE"""),1991)</f>
        <v>1991</v>
      </c>
      <c r="C221" s="64" t="str">
        <f ca="1">IFERROR(__xludf.DUMMYFUNCTION("""COMPUTED_VALUE"""),"Raise the Red Lantern")</f>
        <v>Raise the Red Lantern</v>
      </c>
    </row>
    <row r="222" spans="1:3" ht="12.75">
      <c r="A222" s="91">
        <f ca="1">IFERROR(__xludf.DUMMYFUNCTION("""COMPUTED_VALUE"""),0)</f>
        <v>0</v>
      </c>
      <c r="B222" s="64">
        <f ca="1">IFERROR(__xludf.DUMMYFUNCTION("""COMPUTED_VALUE"""),1991)</f>
        <v>1991</v>
      </c>
      <c r="C222" s="64" t="str">
        <f ca="1">IFERROR(__xludf.DUMMYFUNCTION("""COMPUTED_VALUE"""),"The Double Life of Véronique")</f>
        <v>The Double Life of Véronique</v>
      </c>
    </row>
    <row r="223" spans="1:3" ht="12.75">
      <c r="A223" s="91">
        <f ca="1">IFERROR(__xludf.DUMMYFUNCTION("""COMPUTED_VALUE"""),0)</f>
        <v>0</v>
      </c>
      <c r="B223" s="64">
        <f ca="1">IFERROR(__xludf.DUMMYFUNCTION("""COMPUTED_VALUE"""),1991)</f>
        <v>1991</v>
      </c>
      <c r="C223" s="64" t="str">
        <f ca="1">IFERROR(__xludf.DUMMYFUNCTION("""COMPUTED_VALUE"""),"Hearts of Darkness: A Filmmaker's Apocalypse")</f>
        <v>Hearts of Darkness: A Filmmaker's Apocalypse</v>
      </c>
    </row>
    <row r="224" spans="1:3" ht="12.75">
      <c r="A224" s="91">
        <f ca="1">IFERROR(__xludf.DUMMYFUNCTION("""COMPUTED_VALUE"""),0)</f>
        <v>0</v>
      </c>
      <c r="B224" s="64">
        <f ca="1">IFERROR(__xludf.DUMMYFUNCTION("""COMPUTED_VALUE"""),1992)</f>
        <v>1992</v>
      </c>
      <c r="C224" s="64" t="str">
        <f ca="1">IFERROR(__xludf.DUMMYFUNCTION("""COMPUTED_VALUE"""),"Man Bites Dog (C'est Arrivé Près de Chez Vous)")</f>
        <v>Man Bites Dog (C'est Arrivé Près de Chez Vous)</v>
      </c>
    </row>
    <row r="225" spans="1:3" ht="12.75">
      <c r="A225" s="91">
        <f ca="1">IFERROR(__xludf.DUMMYFUNCTION("""COMPUTED_VALUE"""),0)</f>
        <v>0</v>
      </c>
      <c r="B225" s="64">
        <f ca="1">IFERROR(__xludf.DUMMYFUNCTION("""COMPUTED_VALUE"""),1992)</f>
        <v>1992</v>
      </c>
      <c r="C225" s="64" t="str">
        <f ca="1">IFERROR(__xludf.DUMMYFUNCTION("""COMPUTED_VALUE"""),"Aileen Wuornos: The Selling of a Serial Killer")</f>
        <v>Aileen Wuornos: The Selling of a Serial Killer</v>
      </c>
    </row>
    <row r="226" spans="1:3" ht="12.75">
      <c r="A226" s="91">
        <f ca="1">IFERROR(__xludf.DUMMYFUNCTION("""COMPUTED_VALUE"""),0)</f>
        <v>0</v>
      </c>
      <c r="B226" s="64">
        <f ca="1">IFERROR(__xludf.DUMMYFUNCTION("""COMPUTED_VALUE"""),1993)</f>
        <v>1993</v>
      </c>
      <c r="C226" s="64" t="str">
        <f ca="1">IFERROR(__xludf.DUMMYFUNCTION("""COMPUTED_VALUE"""),"Carlito's Way")</f>
        <v>Carlito's Way</v>
      </c>
    </row>
    <row r="227" spans="1:3" ht="12.75">
      <c r="A227" s="91">
        <f ca="1">IFERROR(__xludf.DUMMYFUNCTION("""COMPUTED_VALUE"""),0)</f>
        <v>0</v>
      </c>
      <c r="B227" s="64">
        <f ca="1">IFERROR(__xludf.DUMMYFUNCTION("""COMPUTED_VALUE"""),1993)</f>
        <v>1993</v>
      </c>
      <c r="C227" s="64" t="str">
        <f ca="1">IFERROR(__xludf.DUMMYFUNCTION("""COMPUTED_VALUE"""),"Farewell My Concubine")</f>
        <v>Farewell My Concubine</v>
      </c>
    </row>
    <row r="228" spans="1:3" ht="12.75">
      <c r="A228" s="91">
        <f ca="1">IFERROR(__xludf.DUMMYFUNCTION("""COMPUTED_VALUE"""),0)</f>
        <v>0</v>
      </c>
      <c r="B228" s="64">
        <f ca="1">IFERROR(__xludf.DUMMYFUNCTION("""COMPUTED_VALUE"""),1993)</f>
        <v>1993</v>
      </c>
      <c r="C228" s="64" t="str">
        <f ca="1">IFERROR(__xludf.DUMMYFUNCTION("""COMPUTED_VALUE"""),"Naked")</f>
        <v>Naked</v>
      </c>
    </row>
    <row r="229" spans="1:3" ht="12.75">
      <c r="A229" s="91">
        <f ca="1">IFERROR(__xludf.DUMMYFUNCTION("""COMPUTED_VALUE"""),0)</f>
        <v>0</v>
      </c>
      <c r="B229" s="64">
        <f ca="1">IFERROR(__xludf.DUMMYFUNCTION("""COMPUTED_VALUE"""),1993)</f>
        <v>1993</v>
      </c>
      <c r="C229" s="64" t="str">
        <f ca="1">IFERROR(__xludf.DUMMYFUNCTION("""COMPUTED_VALUE"""),"Three Colors: Blue")</f>
        <v>Three Colors: Blue</v>
      </c>
    </row>
    <row r="230" spans="1:3" ht="12.75">
      <c r="A230" s="91">
        <f ca="1">IFERROR(__xludf.DUMMYFUNCTION("""COMPUTED_VALUE"""),0)</f>
        <v>0</v>
      </c>
      <c r="B230" s="64">
        <f ca="1">IFERROR(__xludf.DUMMYFUNCTION("""COMPUTED_VALUE"""),1994)</f>
        <v>1994</v>
      </c>
      <c r="C230" s="64" t="str">
        <f ca="1">IFERROR(__xludf.DUMMYFUNCTION("""COMPUTED_VALUE"""),"Satantango")</f>
        <v>Satantango</v>
      </c>
    </row>
    <row r="231" spans="1:3" ht="12.75">
      <c r="A231" s="91">
        <f ca="1">IFERROR(__xludf.DUMMYFUNCTION("""COMPUTED_VALUE"""),0)</f>
        <v>0</v>
      </c>
      <c r="B231" s="64">
        <f ca="1">IFERROR(__xludf.DUMMYFUNCTION("""COMPUTED_VALUE"""),1994)</f>
        <v>1994</v>
      </c>
      <c r="C231" s="64" t="str">
        <f ca="1">IFERROR(__xludf.DUMMYFUNCTION("""COMPUTED_VALUE"""),"Three Colors: Red")</f>
        <v>Three Colors: Red</v>
      </c>
    </row>
    <row r="232" spans="1:3" ht="12.75">
      <c r="A232" s="91">
        <f ca="1">IFERROR(__xludf.DUMMYFUNCTION("""COMPUTED_VALUE"""),0)</f>
        <v>0</v>
      </c>
      <c r="B232" s="64">
        <f ca="1">IFERROR(__xludf.DUMMYFUNCTION("""COMPUTED_VALUE"""),1994)</f>
        <v>1994</v>
      </c>
      <c r="C232" s="64" t="str">
        <f ca="1">IFERROR(__xludf.DUMMYFUNCTION("""COMPUTED_VALUE"""),"To Live")</f>
        <v>To Live</v>
      </c>
    </row>
    <row r="233" spans="1:3" ht="12.75">
      <c r="A233" s="91">
        <f ca="1">IFERROR(__xludf.DUMMYFUNCTION("""COMPUTED_VALUE"""),0)</f>
        <v>0</v>
      </c>
      <c r="B233" s="64">
        <f ca="1">IFERROR(__xludf.DUMMYFUNCTION("""COMPUTED_VALUE"""),1994)</f>
        <v>1994</v>
      </c>
      <c r="C233" s="64" t="str">
        <f ca="1">IFERROR(__xludf.DUMMYFUNCTION("""COMPUTED_VALUE"""),"The Adventures of Priscilla, Queen of the Desert")</f>
        <v>The Adventures of Priscilla, Queen of the Desert</v>
      </c>
    </row>
    <row r="234" spans="1:3" ht="12.75">
      <c r="A234" s="91">
        <f ca="1">IFERROR(__xludf.DUMMYFUNCTION("""COMPUTED_VALUE"""),0)</f>
        <v>0</v>
      </c>
      <c r="B234" s="64">
        <f ca="1">IFERROR(__xludf.DUMMYFUNCTION("""COMPUTED_VALUE"""),1994)</f>
        <v>1994</v>
      </c>
      <c r="C234" s="64" t="str">
        <f ca="1">IFERROR(__xludf.DUMMYFUNCTION("""COMPUTED_VALUE"""),"Four Weddings and a Funeral")</f>
        <v>Four Weddings and a Funeral</v>
      </c>
    </row>
    <row r="235" spans="1:3" ht="12.75">
      <c r="A235" s="91">
        <f ca="1">IFERROR(__xludf.DUMMYFUNCTION("""COMPUTED_VALUE"""),0)</f>
        <v>0</v>
      </c>
      <c r="B235" s="64">
        <f ca="1">IFERROR(__xludf.DUMMYFUNCTION("""COMPUTED_VALUE"""),1995)</f>
        <v>1995</v>
      </c>
      <c r="C235" s="64" t="str">
        <f ca="1">IFERROR(__xludf.DUMMYFUNCTION("""COMPUTED_VALUE"""),"Underground")</f>
        <v>Underground</v>
      </c>
    </row>
    <row r="236" spans="1:3" ht="12.75">
      <c r="A236" s="91">
        <f ca="1">IFERROR(__xludf.DUMMYFUNCTION("""COMPUTED_VALUE"""),0)</f>
        <v>0</v>
      </c>
      <c r="B236" s="64">
        <f ca="1">IFERROR(__xludf.DUMMYFUNCTION("""COMPUTED_VALUE"""),1995)</f>
        <v>1995</v>
      </c>
      <c r="C236" s="64" t="str">
        <f ca="1">IFERROR(__xludf.DUMMYFUNCTION("""COMPUTED_VALUE"""),"Whisper of the Heart")</f>
        <v>Whisper of the Heart</v>
      </c>
    </row>
    <row r="237" spans="1:3" ht="12.75">
      <c r="A237" s="91">
        <f ca="1">IFERROR(__xludf.DUMMYFUNCTION("""COMPUTED_VALUE"""),0)</f>
        <v>0</v>
      </c>
      <c r="B237" s="64">
        <f ca="1">IFERROR(__xludf.DUMMYFUNCTION("""COMPUTED_VALUE"""),1996)</f>
        <v>1996</v>
      </c>
      <c r="C237" s="64" t="str">
        <f ca="1">IFERROR(__xludf.DUMMYFUNCTION("""COMPUTED_VALUE"""),"Breaking the Waves")</f>
        <v>Breaking the Waves</v>
      </c>
    </row>
    <row r="238" spans="1:3" ht="12.75">
      <c r="A238" s="91">
        <f ca="1">IFERROR(__xludf.DUMMYFUNCTION("""COMPUTED_VALUE"""),0)</f>
        <v>0</v>
      </c>
      <c r="B238" s="64">
        <f ca="1">IFERROR(__xludf.DUMMYFUNCTION("""COMPUTED_VALUE"""),1996)</f>
        <v>1996</v>
      </c>
      <c r="C238" s="64" t="str">
        <f ca="1">IFERROR(__xludf.DUMMYFUNCTION("""COMPUTED_VALUE"""),"Secrets &amp; Lies")</f>
        <v>Secrets &amp; Lies</v>
      </c>
    </row>
    <row r="239" spans="1:3" ht="12.75">
      <c r="A239" s="91">
        <f ca="1">IFERROR(__xludf.DUMMYFUNCTION("""COMPUTED_VALUE"""),0)</f>
        <v>0</v>
      </c>
      <c r="B239" s="64">
        <f ca="1">IFERROR(__xludf.DUMMYFUNCTION("""COMPUTED_VALUE"""),1996)</f>
        <v>1996</v>
      </c>
      <c r="C239" s="64" t="str">
        <f ca="1">IFERROR(__xludf.DUMMYFUNCTION("""COMPUTED_VALUE"""),"The English Patient")</f>
        <v>The English Patient</v>
      </c>
    </row>
    <row r="240" spans="1:3" ht="12.75">
      <c r="A240" s="91">
        <f ca="1">IFERROR(__xludf.DUMMYFUNCTION("""COMPUTED_VALUE"""),0)</f>
        <v>0</v>
      </c>
      <c r="B240" s="64">
        <f ca="1">IFERROR(__xludf.DUMMYFUNCTION("""COMPUTED_VALUE"""),1996)</f>
        <v>1996</v>
      </c>
      <c r="C240" s="64" t="str">
        <f ca="1">IFERROR(__xludf.DUMMYFUNCTION("""COMPUTED_VALUE"""),"Lone Star")</f>
        <v>Lone Star</v>
      </c>
    </row>
    <row r="241" spans="1:3" ht="12.75">
      <c r="A241" s="91">
        <f ca="1">IFERROR(__xludf.DUMMYFUNCTION("""COMPUTED_VALUE"""),0)</f>
        <v>0</v>
      </c>
      <c r="B241" s="64">
        <f ca="1">IFERROR(__xludf.DUMMYFUNCTION("""COMPUTED_VALUE"""),1997)</f>
        <v>1997</v>
      </c>
      <c r="C241" s="64" t="str">
        <f ca="1">IFERROR(__xludf.DUMMYFUNCTION("""COMPUTED_VALUE"""),"Children of Heaven")</f>
        <v>Children of Heaven</v>
      </c>
    </row>
    <row r="242" spans="1:3" ht="12.75">
      <c r="A242" s="91">
        <f ca="1">IFERROR(__xludf.DUMMYFUNCTION("""COMPUTED_VALUE"""),0)</f>
        <v>0</v>
      </c>
      <c r="B242" s="64">
        <f ca="1">IFERROR(__xludf.DUMMYFUNCTION("""COMPUTED_VALUE"""),1997)</f>
        <v>1997</v>
      </c>
      <c r="C242" s="64" t="str">
        <f ca="1">IFERROR(__xludf.DUMMYFUNCTION("""COMPUTED_VALUE"""),"Fireworks")</f>
        <v>Fireworks</v>
      </c>
    </row>
    <row r="243" spans="1:3" ht="12.75">
      <c r="A243" s="91">
        <f ca="1">IFERROR(__xludf.DUMMYFUNCTION("""COMPUTED_VALUE"""),0)</f>
        <v>0</v>
      </c>
      <c r="B243" s="64">
        <f ca="1">IFERROR(__xludf.DUMMYFUNCTION("""COMPUTED_VALUE"""),1998)</f>
        <v>1998</v>
      </c>
      <c r="C243" s="64" t="str">
        <f ca="1">IFERROR(__xludf.DUMMYFUNCTION("""COMPUTED_VALUE"""),"Central Station")</f>
        <v>Central Station</v>
      </c>
    </row>
    <row r="244" spans="1:3" ht="12.75">
      <c r="A244" s="91">
        <f ca="1">IFERROR(__xludf.DUMMYFUNCTION("""COMPUTED_VALUE"""),0)</f>
        <v>0</v>
      </c>
      <c r="B244" s="64">
        <f ca="1">IFERROR(__xludf.DUMMYFUNCTION("""COMPUTED_VALUE"""),1998)</f>
        <v>1998</v>
      </c>
      <c r="C244" s="64" t="str">
        <f ca="1">IFERROR(__xludf.DUMMYFUNCTION("""COMPUTED_VALUE"""),"The Celebration")</f>
        <v>The Celebration</v>
      </c>
    </row>
    <row r="245" spans="1:3" ht="12.75">
      <c r="A245" s="91">
        <f ca="1">IFERROR(__xludf.DUMMYFUNCTION("""COMPUTED_VALUE"""),0)</f>
        <v>0</v>
      </c>
      <c r="B245" s="64">
        <f ca="1">IFERROR(__xludf.DUMMYFUNCTION("""COMPUTED_VALUE"""),1999)</f>
        <v>1999</v>
      </c>
      <c r="C245" s="64" t="str">
        <f ca="1">IFERROR(__xludf.DUMMYFUNCTION("""COMPUTED_VALUE"""),"All About My Mother")</f>
        <v>All About My Mother</v>
      </c>
    </row>
    <row r="246" spans="1:3" ht="12.75">
      <c r="A246" s="91">
        <f ca="1">IFERROR(__xludf.DUMMYFUNCTION("""COMPUTED_VALUE"""),0)</f>
        <v>0</v>
      </c>
      <c r="B246" s="64">
        <f ca="1">IFERROR(__xludf.DUMMYFUNCTION("""COMPUTED_VALUE"""),2000)</f>
        <v>2000</v>
      </c>
      <c r="C246" s="64" t="str">
        <f ca="1">IFERROR(__xludf.DUMMYFUNCTION("""COMPUTED_VALUE"""),"Werckmeister Harmonies")</f>
        <v>Werckmeister Harmonies</v>
      </c>
    </row>
    <row r="247" spans="1:3" ht="12.75">
      <c r="A247" s="91">
        <f ca="1">IFERROR(__xludf.DUMMYFUNCTION("""COMPUTED_VALUE"""),0)</f>
        <v>0</v>
      </c>
      <c r="B247" s="64">
        <f ca="1">IFERROR(__xludf.DUMMYFUNCTION("""COMPUTED_VALUE"""),2002)</f>
        <v>2002</v>
      </c>
      <c r="C247" s="64" t="str">
        <f ca="1">IFERROR(__xludf.DUMMYFUNCTION("""COMPUTED_VALUE"""),"Infernal Affairs")</f>
        <v>Infernal Affairs</v>
      </c>
    </row>
    <row r="248" spans="1:3" ht="12.75">
      <c r="A248" s="91">
        <f ca="1">IFERROR(__xludf.DUMMYFUNCTION("""COMPUTED_VALUE"""),0)</f>
        <v>0</v>
      </c>
      <c r="B248" s="64">
        <f ca="1">IFERROR(__xludf.DUMMYFUNCTION("""COMPUTED_VALUE"""),2002)</f>
        <v>2002</v>
      </c>
      <c r="C248" s="64" t="str">
        <f ca="1">IFERROR(__xludf.DUMMYFUNCTION("""COMPUTED_VALUE"""),"Talk to Her")</f>
        <v>Talk to Her</v>
      </c>
    </row>
    <row r="249" spans="1:3" ht="12.75">
      <c r="A249" s="91">
        <f ca="1">IFERROR(__xludf.DUMMYFUNCTION("""COMPUTED_VALUE"""),0)</f>
        <v>0</v>
      </c>
      <c r="B249" s="64">
        <f ca="1">IFERROR(__xludf.DUMMYFUNCTION("""COMPUTED_VALUE"""),2002)</f>
        <v>2002</v>
      </c>
      <c r="C249" s="64" t="str">
        <f ca="1">IFERROR(__xludf.DUMMYFUNCTION("""COMPUTED_VALUE"""),"The Twilight Samurai")</f>
        <v>The Twilight Samurai</v>
      </c>
    </row>
    <row r="250" spans="1:3" ht="12.75">
      <c r="A250" s="91">
        <f ca="1">IFERROR(__xludf.DUMMYFUNCTION("""COMPUTED_VALUE"""),0)</f>
        <v>0</v>
      </c>
      <c r="B250" s="64">
        <f ca="1">IFERROR(__xludf.DUMMYFUNCTION("""COMPUTED_VALUE"""),2003)</f>
        <v>2003</v>
      </c>
      <c r="C250" s="64" t="str">
        <f ca="1">IFERROR(__xludf.DUMMYFUNCTION("""COMPUTED_VALUE"""),"Spring, Summer, Fall, Winter... and Spring")</f>
        <v>Spring, Summer, Fall, Winter... and Spring</v>
      </c>
    </row>
    <row r="251" spans="1:3" ht="12.75">
      <c r="A251" s="91">
        <f ca="1">IFERROR(__xludf.DUMMYFUNCTION("""COMPUTED_VALUE"""),0)</f>
        <v>0</v>
      </c>
      <c r="B251" s="64">
        <f ca="1">IFERROR(__xludf.DUMMYFUNCTION("""COMPUTED_VALUE"""),2003)</f>
        <v>2003</v>
      </c>
      <c r="C251" s="64" t="str">
        <f ca="1">IFERROR(__xludf.DUMMYFUNCTION("""COMPUTED_VALUE"""),"The Best of Youth")</f>
        <v>The Best of Youth</v>
      </c>
    </row>
    <row r="252" spans="1:3" ht="12.75">
      <c r="A252" s="91">
        <f ca="1">IFERROR(__xludf.DUMMYFUNCTION("""COMPUTED_VALUE"""),0)</f>
        <v>0</v>
      </c>
      <c r="B252" s="64">
        <f ca="1">IFERROR(__xludf.DUMMYFUNCTION("""COMPUTED_VALUE"""),2003)</f>
        <v>2003</v>
      </c>
      <c r="C252" s="64" t="str">
        <f ca="1">IFERROR(__xludf.DUMMYFUNCTION("""COMPUTED_VALUE"""),"The Return")</f>
        <v>The Return</v>
      </c>
    </row>
    <row r="253" spans="1:3" ht="12.75">
      <c r="A253" s="91">
        <f ca="1">IFERROR(__xludf.DUMMYFUNCTION("""COMPUTED_VALUE"""),0)</f>
        <v>0</v>
      </c>
      <c r="B253" s="64">
        <f ca="1">IFERROR(__xludf.DUMMYFUNCTION("""COMPUTED_VALUE"""),2003)</f>
        <v>2003</v>
      </c>
      <c r="C253" s="64" t="str">
        <f ca="1">IFERROR(__xludf.DUMMYFUNCTION("""COMPUTED_VALUE"""),"The Triplets of Belleville")</f>
        <v>The Triplets of Belleville</v>
      </c>
    </row>
    <row r="254" spans="1:3" ht="12.75">
      <c r="A254" s="91">
        <f ca="1">IFERROR(__xludf.DUMMYFUNCTION("""COMPUTED_VALUE"""),0)</f>
        <v>0</v>
      </c>
      <c r="B254" s="64">
        <f ca="1">IFERROR(__xludf.DUMMYFUNCTION("""COMPUTED_VALUE"""),2004)</f>
        <v>2004</v>
      </c>
      <c r="C254" s="64" t="str">
        <f ca="1">IFERROR(__xludf.DUMMYFUNCTION("""COMPUTED_VALUE"""),"Amélie")</f>
        <v>Amélie</v>
      </c>
    </row>
    <row r="255" spans="1:3" ht="12.75">
      <c r="A255" s="91">
        <f ca="1">IFERROR(__xludf.DUMMYFUNCTION("""COMPUTED_VALUE"""),0)</f>
        <v>0</v>
      </c>
      <c r="B255" s="64">
        <f ca="1">IFERROR(__xludf.DUMMYFUNCTION("""COMPUTED_VALUE"""),2004)</f>
        <v>2004</v>
      </c>
      <c r="C255" s="64" t="str">
        <f ca="1">IFERROR(__xludf.DUMMYFUNCTION("""COMPUTED_VALUE"""),"Before Sunset")</f>
        <v>Before Sunset</v>
      </c>
    </row>
    <row r="256" spans="1:3" ht="12.75">
      <c r="A256" s="91">
        <f ca="1">IFERROR(__xludf.DUMMYFUNCTION("""COMPUTED_VALUE"""),0)</f>
        <v>0</v>
      </c>
      <c r="B256" s="64">
        <f ca="1">IFERROR(__xludf.DUMMYFUNCTION("""COMPUTED_VALUE"""),2004)</f>
        <v>2004</v>
      </c>
      <c r="C256" s="64" t="str">
        <f ca="1">IFERROR(__xludf.DUMMYFUNCTION("""COMPUTED_VALUE"""),"Downfall")</f>
        <v>Downfall</v>
      </c>
    </row>
    <row r="257" spans="1:3" ht="12.75">
      <c r="A257" s="91">
        <f ca="1">IFERROR(__xludf.DUMMYFUNCTION("""COMPUTED_VALUE"""),0)</f>
        <v>0</v>
      </c>
      <c r="B257" s="64">
        <f ca="1">IFERROR(__xludf.DUMMYFUNCTION("""COMPUTED_VALUE"""),2004)</f>
        <v>2004</v>
      </c>
      <c r="C257" s="64" t="str">
        <f ca="1">IFERROR(__xludf.DUMMYFUNCTION("""COMPUTED_VALUE"""),"Howl's Moving Castle")</f>
        <v>Howl's Moving Castle</v>
      </c>
    </row>
    <row r="258" spans="1:3" ht="12.75">
      <c r="A258" s="91">
        <f ca="1">IFERROR(__xludf.DUMMYFUNCTION("""COMPUTED_VALUE"""),0)</f>
        <v>0</v>
      </c>
      <c r="B258" s="64">
        <f ca="1">IFERROR(__xludf.DUMMYFUNCTION("""COMPUTED_VALUE"""),2004)</f>
        <v>2004</v>
      </c>
      <c r="C258" s="64" t="str">
        <f ca="1">IFERROR(__xludf.DUMMYFUNCTION("""COMPUTED_VALUE"""),"Million Dollar Baby")</f>
        <v>Million Dollar Baby</v>
      </c>
    </row>
    <row r="259" spans="1:3" ht="12.75">
      <c r="A259" s="91">
        <f ca="1">IFERROR(__xludf.DUMMYFUNCTION("""COMPUTED_VALUE"""),0)</f>
        <v>0</v>
      </c>
      <c r="B259" s="64">
        <f ca="1">IFERROR(__xludf.DUMMYFUNCTION("""COMPUTED_VALUE"""),2004)</f>
        <v>2004</v>
      </c>
      <c r="C259" s="64" t="str">
        <f ca="1">IFERROR(__xludf.DUMMYFUNCTION("""COMPUTED_VALUE"""),"Nobody Knows")</f>
        <v>Nobody Knows</v>
      </c>
    </row>
    <row r="260" spans="1:3" ht="12.75">
      <c r="A260" s="91">
        <f ca="1">IFERROR(__xludf.DUMMYFUNCTION("""COMPUTED_VALUE"""),0)</f>
        <v>0</v>
      </c>
      <c r="B260" s="64">
        <f ca="1">IFERROR(__xludf.DUMMYFUNCTION("""COMPUTED_VALUE"""),2004)</f>
        <v>2004</v>
      </c>
      <c r="C260" s="64" t="str">
        <f ca="1">IFERROR(__xludf.DUMMYFUNCTION("""COMPUTED_VALUE"""),"The Consequences of Love (Le Conseguenze dell’Amore)")</f>
        <v>The Consequences of Love (Le Conseguenze dell’Amore)</v>
      </c>
    </row>
    <row r="261" spans="1:3" ht="12.75">
      <c r="A261" s="91">
        <f ca="1">IFERROR(__xludf.DUMMYFUNCTION("""COMPUTED_VALUE"""),0)</f>
        <v>0</v>
      </c>
      <c r="B261" s="64">
        <f ca="1">IFERROR(__xludf.DUMMYFUNCTION("""COMPUTED_VALUE"""),2004)</f>
        <v>2004</v>
      </c>
      <c r="C261" s="64" t="str">
        <f ca="1">IFERROR(__xludf.DUMMYFUNCTION("""COMPUTED_VALUE"""),"Downfall (Der Untergang)")</f>
        <v>Downfall (Der Untergang)</v>
      </c>
    </row>
    <row r="262" spans="1:3" ht="12.75">
      <c r="A262" s="91">
        <f ca="1">IFERROR(__xludf.DUMMYFUNCTION("""COMPUTED_VALUE"""),0)</f>
        <v>0</v>
      </c>
      <c r="B262" s="64">
        <f ca="1">IFERROR(__xludf.DUMMYFUNCTION("""COMPUTED_VALUE"""),2006)</f>
        <v>2006</v>
      </c>
      <c r="C262" s="64" t="str">
        <f ca="1">IFERROR(__xludf.DUMMYFUNCTION("""COMPUTED_VALUE"""),"Once")</f>
        <v>Once</v>
      </c>
    </row>
    <row r="263" spans="1:3" ht="12.75">
      <c r="A263" s="91">
        <f ca="1">IFERROR(__xludf.DUMMYFUNCTION("""COMPUTED_VALUE"""),0)</f>
        <v>0</v>
      </c>
      <c r="B263" s="64">
        <f ca="1">IFERROR(__xludf.DUMMYFUNCTION("""COMPUTED_VALUE"""),2006)</f>
        <v>2006</v>
      </c>
      <c r="C263" s="64" t="str">
        <f ca="1">IFERROR(__xludf.DUMMYFUNCTION("""COMPUTED_VALUE"""),"United 93")</f>
        <v>United 93</v>
      </c>
    </row>
    <row r="264" spans="1:3" ht="12.75">
      <c r="A264" s="91">
        <f ca="1">IFERROR(__xludf.DUMMYFUNCTION("""COMPUTED_VALUE"""),0)</f>
        <v>0</v>
      </c>
      <c r="B264" s="64">
        <f ca="1">IFERROR(__xludf.DUMMYFUNCTION("""COMPUTED_VALUE"""),2006)</f>
        <v>2006</v>
      </c>
      <c r="C264" s="64" t="str">
        <f ca="1">IFERROR(__xludf.DUMMYFUNCTION("""COMPUTED_VALUE"""),"The Last King of Scotland")</f>
        <v>The Last King of Scotland</v>
      </c>
    </row>
    <row r="265" spans="1:3" ht="12.75">
      <c r="A265" s="91">
        <f ca="1">IFERROR(__xludf.DUMMYFUNCTION("""COMPUTED_VALUE"""),0)</f>
        <v>0</v>
      </c>
      <c r="B265" s="64">
        <f ca="1">IFERROR(__xludf.DUMMYFUNCTION("""COMPUTED_VALUE"""),2007)</f>
        <v>2007</v>
      </c>
      <c r="C265" s="64" t="str">
        <f ca="1">IFERROR(__xludf.DUMMYFUNCTION("""COMPUTED_VALUE"""),"4 Months, 3 Weeks and 2 Days")</f>
        <v>4 Months, 3 Weeks and 2 Days</v>
      </c>
    </row>
    <row r="266" spans="1:3" ht="12.75">
      <c r="A266" s="91">
        <f ca="1">IFERROR(__xludf.DUMMYFUNCTION("""COMPUTED_VALUE"""),0)</f>
        <v>0</v>
      </c>
      <c r="B266" s="64">
        <f ca="1">IFERROR(__xludf.DUMMYFUNCTION("""COMPUTED_VALUE"""),2007)</f>
        <v>2007</v>
      </c>
      <c r="C266" s="64" t="str">
        <f ca="1">IFERROR(__xludf.DUMMYFUNCTION("""COMPUTED_VALUE"""),"Like Stars on Earth")</f>
        <v>Like Stars on Earth</v>
      </c>
    </row>
    <row r="267" spans="1:3" ht="12.75">
      <c r="A267" s="91">
        <f ca="1">IFERROR(__xludf.DUMMYFUNCTION("""COMPUTED_VALUE"""),0)</f>
        <v>0</v>
      </c>
      <c r="B267" s="64">
        <f ca="1">IFERROR(__xludf.DUMMYFUNCTION("""COMPUTED_VALUE"""),2007)</f>
        <v>2007</v>
      </c>
      <c r="C267" s="64" t="str">
        <f ca="1">IFERROR(__xludf.DUMMYFUNCTION("""COMPUTED_VALUE"""),"Persepolis")</f>
        <v>Persepolis</v>
      </c>
    </row>
    <row r="268" spans="1:3" ht="12.75">
      <c r="A268" s="91">
        <f ca="1">IFERROR(__xludf.DUMMYFUNCTION("""COMPUTED_VALUE"""),0)</f>
        <v>0</v>
      </c>
      <c r="B268" s="64">
        <f ca="1">IFERROR(__xludf.DUMMYFUNCTION("""COMPUTED_VALUE"""),2007)</f>
        <v>2007</v>
      </c>
      <c r="C268" s="64" t="str">
        <f ca="1">IFERROR(__xludf.DUMMYFUNCTION("""COMPUTED_VALUE"""),"Ratatouille")</f>
        <v>Ratatouille</v>
      </c>
    </row>
    <row r="269" spans="1:3" ht="12.75">
      <c r="A269" s="91">
        <f ca="1">IFERROR(__xludf.DUMMYFUNCTION("""COMPUTED_VALUE"""),0)</f>
        <v>0</v>
      </c>
      <c r="B269" s="64">
        <f ca="1">IFERROR(__xludf.DUMMYFUNCTION("""COMPUTED_VALUE"""),2007)</f>
        <v>2007</v>
      </c>
      <c r="C269" s="64" t="str">
        <f ca="1">IFERROR(__xludf.DUMMYFUNCTION("""COMPUTED_VALUE"""),"The Diving Bell and the Butterfly")</f>
        <v>The Diving Bell and the Butterfly</v>
      </c>
    </row>
    <row r="270" spans="1:3" ht="12.75">
      <c r="A270" s="91">
        <f ca="1">IFERROR(__xludf.DUMMYFUNCTION("""COMPUTED_VALUE"""),0)</f>
        <v>0</v>
      </c>
      <c r="B270" s="64">
        <f ca="1">IFERROR(__xludf.DUMMYFUNCTION("""COMPUTED_VALUE"""),2008)</f>
        <v>2008</v>
      </c>
      <c r="C270" s="64" t="str">
        <f ca="1">IFERROR(__xludf.DUMMYFUNCTION("""COMPUTED_VALUE"""),"Love Exposure")</f>
        <v>Love Exposure</v>
      </c>
    </row>
    <row r="271" spans="1:3" ht="12.75">
      <c r="A271" s="91">
        <f ca="1">IFERROR(__xludf.DUMMYFUNCTION("""COMPUTED_VALUE"""),0)</f>
        <v>0</v>
      </c>
      <c r="B271" s="64">
        <f ca="1">IFERROR(__xludf.DUMMYFUNCTION("""COMPUTED_VALUE"""),2008)</f>
        <v>2008</v>
      </c>
      <c r="C271" s="64" t="str">
        <f ca="1">IFERROR(__xludf.DUMMYFUNCTION("""COMPUTED_VALUE"""),"Still Walking")</f>
        <v>Still Walking</v>
      </c>
    </row>
    <row r="272" spans="1:3" ht="12.75">
      <c r="A272" s="91">
        <f ca="1">IFERROR(__xludf.DUMMYFUNCTION("""COMPUTED_VALUE"""),0)</f>
        <v>0</v>
      </c>
      <c r="B272" s="64">
        <f ca="1">IFERROR(__xludf.DUMMYFUNCTION("""COMPUTED_VALUE"""),2008)</f>
        <v>2008</v>
      </c>
      <c r="C272" s="64" t="str">
        <f ca="1">IFERROR(__xludf.DUMMYFUNCTION("""COMPUTED_VALUE"""),"The Hurt Locker")</f>
        <v>The Hurt Locker</v>
      </c>
    </row>
    <row r="273" spans="1:3" ht="12.75">
      <c r="A273" s="91">
        <f ca="1">IFERROR(__xludf.DUMMYFUNCTION("""COMPUTED_VALUE"""),0)</f>
        <v>0</v>
      </c>
      <c r="B273" s="64">
        <f ca="1">IFERROR(__xludf.DUMMYFUNCTION("""COMPUTED_VALUE"""),2008)</f>
        <v>2008</v>
      </c>
      <c r="C273" s="64" t="str">
        <f ca="1">IFERROR(__xludf.DUMMYFUNCTION("""COMPUTED_VALUE"""),"The Good, the Bad, the Weird (Joheun nom Nabbeun nom Isanghan nom)")</f>
        <v>The Good, the Bad, the Weird (Joheun nom Nabbeun nom Isanghan nom)</v>
      </c>
    </row>
    <row r="274" spans="1:3" ht="12.75">
      <c r="A274" s="91">
        <f ca="1">IFERROR(__xludf.DUMMYFUNCTION("""COMPUTED_VALUE"""),0)</f>
        <v>0</v>
      </c>
      <c r="B274" s="64">
        <f ca="1">IFERROR(__xludf.DUMMYFUNCTION("""COMPUTED_VALUE"""),2008)</f>
        <v>2008</v>
      </c>
      <c r="C274" s="64" t="str">
        <f ca="1">IFERROR(__xludf.DUMMYFUNCTION("""COMPUTED_VALUE"""),"The Class (Entre les Murs)")</f>
        <v>The Class (Entre les Murs)</v>
      </c>
    </row>
    <row r="275" spans="1:3" ht="12.75">
      <c r="A275" s="91">
        <f ca="1">IFERROR(__xludf.DUMMYFUNCTION("""COMPUTED_VALUE"""),0)</f>
        <v>0</v>
      </c>
      <c r="B275" s="64">
        <f ca="1">IFERROR(__xludf.DUMMYFUNCTION("""COMPUTED_VALUE"""),2009)</f>
        <v>2009</v>
      </c>
      <c r="C275" s="64" t="str">
        <f ca="1">IFERROR(__xludf.DUMMYFUNCTION("""COMPUTED_VALUE"""),"The Secret in Their Eyes")</f>
        <v>The Secret in Their Eyes</v>
      </c>
    </row>
    <row r="276" spans="1:3" ht="12.75">
      <c r="A276" s="91">
        <f ca="1">IFERROR(__xludf.DUMMYFUNCTION("""COMPUTED_VALUE"""),0)</f>
        <v>0</v>
      </c>
      <c r="B276" s="64">
        <f ca="1">IFERROR(__xludf.DUMMYFUNCTION("""COMPUTED_VALUE"""),2009)</f>
        <v>2009</v>
      </c>
      <c r="C276" s="64" t="str">
        <f ca="1">IFERROR(__xludf.DUMMYFUNCTION("""COMPUTED_VALUE"""),"The White Ribbon (Das Weisse Band: Eine Deutsche Kindergeschichte)")</f>
        <v>The White Ribbon (Das Weisse Band: Eine Deutsche Kindergeschichte)</v>
      </c>
    </row>
    <row r="277" spans="1:3" ht="12.75">
      <c r="A277" s="91">
        <f ca="1">IFERROR(__xludf.DUMMYFUNCTION("""COMPUTED_VALUE"""),0)</f>
        <v>0</v>
      </c>
      <c r="B277" s="64">
        <f ca="1">IFERROR(__xludf.DUMMYFUNCTION("""COMPUTED_VALUE"""),2009)</f>
        <v>2009</v>
      </c>
      <c r="C277" s="64" t="str">
        <f ca="1">IFERROR(__xludf.DUMMYFUNCTION("""COMPUTED_VALUE"""),"An Education")</f>
        <v>An Education</v>
      </c>
    </row>
    <row r="278" spans="1:3" ht="12.75">
      <c r="A278" s="91">
        <f ca="1">IFERROR(__xludf.DUMMYFUNCTION("""COMPUTED_VALUE"""),0)</f>
        <v>0</v>
      </c>
      <c r="B278" s="64">
        <f ca="1">IFERROR(__xludf.DUMMYFUNCTION("""COMPUTED_VALUE"""),2009)</f>
        <v>2009</v>
      </c>
      <c r="C278" s="64" t="str">
        <f ca="1">IFERROR(__xludf.DUMMYFUNCTION("""COMPUTED_VALUE"""),"Precious: Based on the Novel ""Push"" by Sapphire")</f>
        <v>Precious: Based on the Novel "Push" by Sapphire</v>
      </c>
    </row>
    <row r="279" spans="1:3" ht="12.75">
      <c r="A279" s="91">
        <f ca="1">IFERROR(__xludf.DUMMYFUNCTION("""COMPUTED_VALUE"""),0)</f>
        <v>0</v>
      </c>
      <c r="B279" s="64">
        <f ca="1">IFERROR(__xludf.DUMMYFUNCTION("""COMPUTED_VALUE"""),2009)</f>
        <v>2009</v>
      </c>
      <c r="C279" s="64" t="str">
        <f ca="1">IFERROR(__xludf.DUMMYFUNCTION("""COMPUTED_VALUE"""),"In the Loop")</f>
        <v>In the Loop</v>
      </c>
    </row>
    <row r="280" spans="1:3" ht="12.75">
      <c r="A280" s="91">
        <f ca="1">IFERROR(__xludf.DUMMYFUNCTION("""COMPUTED_VALUE"""),0)</f>
        <v>0</v>
      </c>
      <c r="B280" s="64">
        <f ca="1">IFERROR(__xludf.DUMMYFUNCTION("""COMPUTED_VALUE"""),2009)</f>
        <v>2009</v>
      </c>
      <c r="C280" s="64" t="str">
        <f ca="1">IFERROR(__xludf.DUMMYFUNCTION("""COMPUTED_VALUE"""),"Fish Tank")</f>
        <v>Fish Tank</v>
      </c>
    </row>
    <row r="281" spans="1:3" ht="12.75">
      <c r="A281" s="91">
        <f ca="1">IFERROR(__xludf.DUMMYFUNCTION("""COMPUTED_VALUE"""),0)</f>
        <v>0</v>
      </c>
      <c r="B281" s="64">
        <f ca="1">IFERROR(__xludf.DUMMYFUNCTION("""COMPUTED_VALUE"""),2010)</f>
        <v>2010</v>
      </c>
      <c r="C281" s="64" t="str">
        <f ca="1">IFERROR(__xludf.DUMMYFUNCTION("""COMPUTED_VALUE"""),"Four Lions")</f>
        <v>Four Lions</v>
      </c>
    </row>
    <row r="282" spans="1:3" ht="12.75">
      <c r="A282" s="91">
        <f ca="1">IFERROR(__xludf.DUMMYFUNCTION("""COMPUTED_VALUE"""),0)</f>
        <v>0</v>
      </c>
      <c r="B282" s="64">
        <f ca="1">IFERROR(__xludf.DUMMYFUNCTION("""COMPUTED_VALUE"""),2011)</f>
        <v>2011</v>
      </c>
      <c r="C282" s="64" t="str">
        <f ca="1">IFERROR(__xludf.DUMMYFUNCTION("""COMPUTED_VALUE"""),"A Separation")</f>
        <v>A Separation</v>
      </c>
    </row>
    <row r="283" spans="1:3" ht="12.75">
      <c r="A283" s="91">
        <f ca="1">IFERROR(__xludf.DUMMYFUNCTION("""COMPUTED_VALUE"""),0)</f>
        <v>0</v>
      </c>
      <c r="B283" s="64">
        <f ca="1">IFERROR(__xludf.DUMMYFUNCTION("""COMPUTED_VALUE"""),2011)</f>
        <v>2011</v>
      </c>
      <c r="C283" s="64" t="str">
        <f ca="1">IFERROR(__xludf.DUMMYFUNCTION("""COMPUTED_VALUE"""),"The Intouchables")</f>
        <v>The Intouchables</v>
      </c>
    </row>
    <row r="284" spans="1:3" ht="12.75">
      <c r="A284" s="91">
        <f ca="1">IFERROR(__xludf.DUMMYFUNCTION("""COMPUTED_VALUE"""),0)</f>
        <v>0</v>
      </c>
      <c r="B284" s="64">
        <f ca="1">IFERROR(__xludf.DUMMYFUNCTION("""COMPUTED_VALUE"""),2011)</f>
        <v>2011</v>
      </c>
      <c r="C284" s="64" t="str">
        <f ca="1">IFERROR(__xludf.DUMMYFUNCTION("""COMPUTED_VALUE"""),"Le Havre")</f>
        <v>Le Havre</v>
      </c>
    </row>
    <row r="285" spans="1:3" ht="12.75">
      <c r="A285" s="91">
        <f ca="1">IFERROR(__xludf.DUMMYFUNCTION("""COMPUTED_VALUE"""),0)</f>
        <v>0</v>
      </c>
      <c r="B285" s="64">
        <f ca="1">IFERROR(__xludf.DUMMYFUNCTION("""COMPUTED_VALUE"""),2011)</f>
        <v>2011</v>
      </c>
      <c r="C285" s="64" t="str">
        <f ca="1">IFERROR(__xludf.DUMMYFUNCTION("""COMPUTED_VALUE"""),"Shame")</f>
        <v>Shame</v>
      </c>
    </row>
    <row r="286" spans="1:3" ht="12.75">
      <c r="A286" s="91">
        <f ca="1">IFERROR(__xludf.DUMMYFUNCTION("""COMPUTED_VALUE"""),0)</f>
        <v>0</v>
      </c>
      <c r="B286" s="64">
        <f ca="1">IFERROR(__xludf.DUMMYFUNCTION("""COMPUTED_VALUE"""),2011)</f>
        <v>2011</v>
      </c>
      <c r="C286" s="64" t="str">
        <f ca="1">IFERROR(__xludf.DUMMYFUNCTION("""COMPUTED_VALUE"""),"The Kid with a Bike")</f>
        <v>The Kid with a Bike</v>
      </c>
    </row>
    <row r="287" spans="1:3" ht="12.75">
      <c r="A287" s="91">
        <f ca="1">IFERROR(__xludf.DUMMYFUNCTION("""COMPUTED_VALUE"""),0)</f>
        <v>0</v>
      </c>
      <c r="B287" s="64">
        <f ca="1">IFERROR(__xludf.DUMMYFUNCTION("""COMPUTED_VALUE"""),2011)</f>
        <v>2011</v>
      </c>
      <c r="C287" s="64" t="str">
        <f ca="1">IFERROR(__xludf.DUMMYFUNCTION("""COMPUTED_VALUE"""),"The Artist")</f>
        <v>The Artist</v>
      </c>
    </row>
    <row r="288" spans="1:3" ht="12.75">
      <c r="A288" s="91">
        <f ca="1">IFERROR(__xludf.DUMMYFUNCTION("""COMPUTED_VALUE"""),0)</f>
        <v>0</v>
      </c>
      <c r="B288" s="64">
        <f ca="1">IFERROR(__xludf.DUMMYFUNCTION("""COMPUTED_VALUE"""),2011)</f>
        <v>2011</v>
      </c>
      <c r="C288" s="64" t="str">
        <f ca="1">IFERROR(__xludf.DUMMYFUNCTION("""COMPUTED_VALUE"""),"War Horse")</f>
        <v>War Horse</v>
      </c>
    </row>
    <row r="289" spans="1:3" ht="12.75">
      <c r="A289" s="91">
        <f ca="1">IFERROR(__xludf.DUMMYFUNCTION("""COMPUTED_VALUE"""),0)</f>
        <v>0</v>
      </c>
      <c r="B289" s="64">
        <f ca="1">IFERROR(__xludf.DUMMYFUNCTION("""COMPUTED_VALUE"""),2011)</f>
        <v>2011</v>
      </c>
      <c r="C289" s="64" t="str">
        <f ca="1">IFERROR(__xludf.DUMMYFUNCTION("""COMPUTED_VALUE"""),"The Descendants")</f>
        <v>The Descendants</v>
      </c>
    </row>
    <row r="290" spans="1:3" ht="12.75">
      <c r="A290" s="91">
        <f ca="1">IFERROR(__xludf.DUMMYFUNCTION("""COMPUTED_VALUE"""),0)</f>
        <v>0</v>
      </c>
      <c r="B290" s="64">
        <f ca="1">IFERROR(__xludf.DUMMYFUNCTION("""COMPUTED_VALUE"""),2011)</f>
        <v>2011</v>
      </c>
      <c r="C290" s="64" t="str">
        <f ca="1">IFERROR(__xludf.DUMMYFUNCTION("""COMPUTED_VALUE"""),"Hugo")</f>
        <v>Hugo</v>
      </c>
    </row>
    <row r="291" spans="1:3" ht="12.75">
      <c r="A291" s="91">
        <f ca="1">IFERROR(__xludf.DUMMYFUNCTION("""COMPUTED_VALUE"""),0)</f>
        <v>0</v>
      </c>
      <c r="B291" s="64">
        <f ca="1">IFERROR(__xludf.DUMMYFUNCTION("""COMPUTED_VALUE"""),2012)</f>
        <v>2012</v>
      </c>
      <c r="C291" s="64" t="str">
        <f ca="1">IFERROR(__xludf.DUMMYFUNCTION("""COMPUTED_VALUE"""),"Amour")</f>
        <v>Amour</v>
      </c>
    </row>
    <row r="292" spans="1:3" ht="12.75">
      <c r="A292" s="91">
        <f ca="1">IFERROR(__xludf.DUMMYFUNCTION("""COMPUTED_VALUE"""),0)</f>
        <v>0</v>
      </c>
      <c r="B292" s="64">
        <f ca="1">IFERROR(__xludf.DUMMYFUNCTION("""COMPUTED_VALUE"""),2012)</f>
        <v>2012</v>
      </c>
      <c r="C292" s="64" t="str">
        <f ca="1">IFERROR(__xludf.DUMMYFUNCTION("""COMPUTED_VALUE"""),"It's Such a Beautiful Day")</f>
        <v>It's Such a Beautiful Day</v>
      </c>
    </row>
    <row r="293" spans="1:3" ht="12.75">
      <c r="A293" s="91">
        <f ca="1">IFERROR(__xludf.DUMMYFUNCTION("""COMPUTED_VALUE"""),0)</f>
        <v>0</v>
      </c>
      <c r="B293" s="64">
        <f ca="1">IFERROR(__xludf.DUMMYFUNCTION("""COMPUTED_VALUE"""),2012)</f>
        <v>2012</v>
      </c>
      <c r="C293" s="64" t="str">
        <f ca="1">IFERROR(__xludf.DUMMYFUNCTION("""COMPUTED_VALUE"""),"The Act of Killing")</f>
        <v>The Act of Killing</v>
      </c>
    </row>
    <row r="294" spans="1:3" ht="12.75">
      <c r="A294" s="91">
        <f ca="1">IFERROR(__xludf.DUMMYFUNCTION("""COMPUTED_VALUE"""),0)</f>
        <v>0</v>
      </c>
      <c r="B294" s="64">
        <f ca="1">IFERROR(__xludf.DUMMYFUNCTION("""COMPUTED_VALUE"""),2013)</f>
        <v>2013</v>
      </c>
      <c r="C294" s="64" t="str">
        <f ca="1">IFERROR(__xludf.DUMMYFUNCTION("""COMPUTED_VALUE"""),"The Tale of the Princess Kaguya")</f>
        <v>The Tale of the Princess Kaguya</v>
      </c>
    </row>
    <row r="295" spans="1:3" ht="12.75">
      <c r="A295" s="91">
        <f ca="1">IFERROR(__xludf.DUMMYFUNCTION("""COMPUTED_VALUE"""),0)</f>
        <v>0</v>
      </c>
      <c r="B295" s="64">
        <f ca="1">IFERROR(__xludf.DUMMYFUNCTION("""COMPUTED_VALUE"""),2013)</f>
        <v>2013</v>
      </c>
      <c r="C295" s="64" t="str">
        <f ca="1">IFERROR(__xludf.DUMMYFUNCTION("""COMPUTED_VALUE"""),"Ida")</f>
        <v>Ida</v>
      </c>
    </row>
    <row r="296" spans="1:3" ht="12.75">
      <c r="A296" s="91">
        <f ca="1">IFERROR(__xludf.DUMMYFUNCTION("""COMPUTED_VALUE"""),0)</f>
        <v>0</v>
      </c>
      <c r="B296" s="64">
        <f ca="1">IFERROR(__xludf.DUMMYFUNCTION("""COMPUTED_VALUE"""),2014)</f>
        <v>2014</v>
      </c>
      <c r="C296" s="64" t="str">
        <f ca="1">IFERROR(__xludf.DUMMYFUNCTION("""COMPUTED_VALUE"""),"Boyhood")</f>
        <v>Boyhood</v>
      </c>
    </row>
    <row r="297" spans="1:3" ht="12.75">
      <c r="A297" s="91">
        <f ca="1">IFERROR(__xludf.DUMMYFUNCTION("""COMPUTED_VALUE"""),0)</f>
        <v>0</v>
      </c>
      <c r="B297" s="64">
        <f ca="1">IFERROR(__xludf.DUMMYFUNCTION("""COMPUTED_VALUE"""),2014)</f>
        <v>2014</v>
      </c>
      <c r="C297" s="64" t="str">
        <f ca="1">IFERROR(__xludf.DUMMYFUNCTION("""COMPUTED_VALUE"""),"Song of the Sea")</f>
        <v>Song of the Sea</v>
      </c>
    </row>
    <row r="298" spans="1:3" ht="12.75">
      <c r="A298" s="91">
        <f ca="1">IFERROR(__xludf.DUMMYFUNCTION("""COMPUTED_VALUE"""),0)</f>
        <v>0</v>
      </c>
      <c r="B298" s="64">
        <f ca="1">IFERROR(__xludf.DUMMYFUNCTION("""COMPUTED_VALUE"""),2014)</f>
        <v>2014</v>
      </c>
      <c r="C298" s="64" t="str">
        <f ca="1">IFERROR(__xludf.DUMMYFUNCTION("""COMPUTED_VALUE"""),"Wild Tales")</f>
        <v>Wild Tales</v>
      </c>
    </row>
    <row r="299" spans="1:3" ht="12.75">
      <c r="A299" s="91">
        <f ca="1">IFERROR(__xludf.DUMMYFUNCTION("""COMPUTED_VALUE"""),0)</f>
        <v>0</v>
      </c>
      <c r="B299" s="64">
        <f ca="1">IFERROR(__xludf.DUMMYFUNCTION("""COMPUTED_VALUE"""),2015)</f>
        <v>2015</v>
      </c>
      <c r="C299" s="64" t="str">
        <f ca="1">IFERROR(__xludf.DUMMYFUNCTION("""COMPUTED_VALUE"""),"Inside Out")</f>
        <v>Inside Out</v>
      </c>
    </row>
    <row r="300" spans="1:3" ht="12.75">
      <c r="A300" s="91">
        <f ca="1">IFERROR(__xludf.DUMMYFUNCTION("""COMPUTED_VALUE"""),0)</f>
        <v>0</v>
      </c>
      <c r="B300" s="64">
        <f ca="1">IFERROR(__xludf.DUMMYFUNCTION("""COMPUTED_VALUE"""),2015)</f>
        <v>2015</v>
      </c>
      <c r="C300" s="64" t="str">
        <f ca="1">IFERROR(__xludf.DUMMYFUNCTION("""COMPUTED_VALUE"""),"Bridge of Spies")</f>
        <v>Bridge of Spies</v>
      </c>
    </row>
    <row r="301" spans="1:3" ht="12.75">
      <c r="A301" s="91">
        <f ca="1">IFERROR(__xludf.DUMMYFUNCTION("""COMPUTED_VALUE"""),0)</f>
        <v>0</v>
      </c>
      <c r="B301" s="64">
        <f ca="1">IFERROR(__xludf.DUMMYFUNCTION("""COMPUTED_VALUE"""),2015)</f>
        <v>2015</v>
      </c>
      <c r="C301" s="64" t="str">
        <f ca="1">IFERROR(__xludf.DUMMYFUNCTION("""COMPUTED_VALUE"""),"Jackie")</f>
        <v>Jackie</v>
      </c>
    </row>
    <row r="302" spans="1:3" ht="12.75">
      <c r="A302" s="91">
        <f ca="1">IFERROR(__xludf.DUMMYFUNCTION("""COMPUTED_VALUE"""),0)</f>
        <v>0</v>
      </c>
      <c r="B302" s="64">
        <f ca="1">IFERROR(__xludf.DUMMYFUNCTION("""COMPUTED_VALUE"""),2015)</f>
        <v>2015</v>
      </c>
      <c r="C302" s="64" t="str">
        <f ca="1">IFERROR(__xludf.DUMMYFUNCTION("""COMPUTED_VALUE"""),"I, Daniel Blake")</f>
        <v>I, Daniel Blake</v>
      </c>
    </row>
    <row r="303" spans="1:3" ht="12.75">
      <c r="A303" s="91">
        <f ca="1">IFERROR(__xludf.DUMMYFUNCTION("""COMPUTED_VALUE"""),0)</f>
        <v>0</v>
      </c>
      <c r="B303" s="64">
        <f ca="1">IFERROR(__xludf.DUMMYFUNCTION("""COMPUTED_VALUE"""),2016)</f>
        <v>2016</v>
      </c>
      <c r="C303" s="64" t="str">
        <f ca="1">IFERROR(__xludf.DUMMYFUNCTION("""COMPUTED_VALUE"""),"Dangal")</f>
        <v>Dangal</v>
      </c>
    </row>
    <row r="304" spans="1:3" ht="12.75">
      <c r="A304" s="91">
        <f ca="1">IFERROR(__xludf.DUMMYFUNCTION("""COMPUTED_VALUE"""),0)</f>
        <v>0</v>
      </c>
      <c r="B304" s="64">
        <f ca="1">IFERROR(__xludf.DUMMYFUNCTION("""COMPUTED_VALUE"""),2016)</f>
        <v>2016</v>
      </c>
      <c r="C304" s="64" t="str">
        <f ca="1">IFERROR(__xludf.DUMMYFUNCTION("""COMPUTED_VALUE"""),"13th")</f>
        <v>13th</v>
      </c>
    </row>
    <row r="305" spans="1:3" ht="12.75">
      <c r="A305" s="91">
        <f ca="1">IFERROR(__xludf.DUMMYFUNCTION("""COMPUTED_VALUE"""),0)</f>
        <v>0</v>
      </c>
      <c r="B305" s="64">
        <f ca="1">IFERROR(__xludf.DUMMYFUNCTION("""COMPUTED_VALUE"""),2016)</f>
        <v>2016</v>
      </c>
      <c r="C305" s="64" t="str">
        <f ca="1">IFERROR(__xludf.DUMMYFUNCTION("""COMPUTED_VALUE"""),"Dawson City: Frozen Time ")</f>
        <v xml:space="preserve">Dawson City: Frozen Time </v>
      </c>
    </row>
    <row r="306" spans="1:3" ht="12.75">
      <c r="A306" s="91">
        <f ca="1">IFERROR(__xludf.DUMMYFUNCTION("""COMPUTED_VALUE"""),0)</f>
        <v>0</v>
      </c>
      <c r="B306" s="64">
        <f ca="1">IFERROR(__xludf.DUMMYFUNCTION("""COMPUTED_VALUE"""),2016)</f>
        <v>2016</v>
      </c>
      <c r="C306" s="64" t="str">
        <f ca="1">IFERROR(__xludf.DUMMYFUNCTION("""COMPUTED_VALUE"""),"La La Land")</f>
        <v>La La Land</v>
      </c>
    </row>
    <row r="307" spans="1:3" ht="12.75">
      <c r="A307" s="91">
        <f ca="1">IFERROR(__xludf.DUMMYFUNCTION("""COMPUTED_VALUE"""),0)</f>
        <v>0</v>
      </c>
      <c r="B307" s="64">
        <f ca="1">IFERROR(__xludf.DUMMYFUNCTION("""COMPUTED_VALUE"""),2016)</f>
        <v>2016</v>
      </c>
      <c r="C307" s="64" t="str">
        <f ca="1">IFERROR(__xludf.DUMMYFUNCTION("""COMPUTED_VALUE"""),"Lady Macbeth")</f>
        <v>Lady Macbeth</v>
      </c>
    </row>
    <row r="308" spans="1:3" ht="12.75">
      <c r="A308" s="91">
        <f ca="1">IFERROR(__xludf.DUMMYFUNCTION("""COMPUTED_VALUE"""),0)</f>
        <v>0</v>
      </c>
      <c r="B308" s="64">
        <f ca="1">IFERROR(__xludf.DUMMYFUNCTION("""COMPUTED_VALUE"""),2017)</f>
        <v>2017</v>
      </c>
      <c r="C308" s="64" t="str">
        <f ca="1">IFERROR(__xludf.DUMMYFUNCTION("""COMPUTED_VALUE"""),"The Shape of Water ")</f>
        <v xml:space="preserve">The Shape of Water </v>
      </c>
    </row>
    <row r="309" spans="1:3" ht="12.75">
      <c r="A309" s="91">
        <f ca="1">IFERROR(__xludf.DUMMYFUNCTION("""COMPUTED_VALUE"""),0)</f>
        <v>0</v>
      </c>
      <c r="B309" s="64">
        <f ca="1">IFERROR(__xludf.DUMMYFUNCTION("""COMPUTED_VALUE"""),2018)</f>
        <v>2018</v>
      </c>
      <c r="C309" s="64" t="str">
        <f ca="1">IFERROR(__xludf.DUMMYFUNCTION("""COMPUTED_VALUE"""),"Capernaum")</f>
        <v>Capernaum</v>
      </c>
    </row>
    <row r="310" spans="1:3" ht="12.75">
      <c r="A310" s="91">
        <f ca="1">IFERROR(__xludf.DUMMYFUNCTION("""COMPUTED_VALUE"""),0)</f>
        <v>0</v>
      </c>
      <c r="B310" s="64">
        <f ca="1">IFERROR(__xludf.DUMMYFUNCTION("""COMPUTED_VALUE"""),2019)</f>
        <v>2019</v>
      </c>
      <c r="C310" s="64" t="str">
        <f ca="1">IFERROR(__xludf.DUMMYFUNCTION("""COMPUTED_VALUE"""),"Ford v Ferrari")</f>
        <v>Ford v Ferrari</v>
      </c>
    </row>
    <row r="311" spans="1:3" ht="12.75">
      <c r="A311" s="91">
        <f ca="1">IFERROR(__xludf.DUMMYFUNCTION("""COMPUTED_VALUE"""),0)</f>
        <v>0</v>
      </c>
      <c r="B311" s="64">
        <f ca="1">IFERROR(__xludf.DUMMYFUNCTION("""COMPUTED_VALUE"""),2019)</f>
        <v>2019</v>
      </c>
      <c r="C311" s="64" t="str">
        <f ca="1">IFERROR(__xludf.DUMMYFUNCTION("""COMPUTED_VALUE"""),"Klaus")</f>
        <v>Klaus</v>
      </c>
    </row>
    <row r="312" spans="1:3" ht="12.75">
      <c r="A312" s="91">
        <f ca="1">IFERROR(__xludf.DUMMYFUNCTION("""COMPUTED_VALUE"""),0)</f>
        <v>0</v>
      </c>
      <c r="B312" s="64">
        <f ca="1">IFERROR(__xludf.DUMMYFUNCTION("""COMPUTED_VALUE"""),2019)</f>
        <v>2019</v>
      </c>
      <c r="C312" s="64" t="str">
        <f ca="1">IFERROR(__xludf.DUMMYFUNCTION("""COMPUTED_VALUE"""),"The Greatest Showman")</f>
        <v>The Greatest Showman</v>
      </c>
    </row>
    <row r="313" spans="1:3" ht="12.75">
      <c r="A313" s="91">
        <f ca="1">IFERROR(__xludf.DUMMYFUNCTION("""COMPUTED_VALUE"""),0)</f>
        <v>0</v>
      </c>
      <c r="B313" s="64">
        <f ca="1">IFERROR(__xludf.DUMMYFUNCTION("""COMPUTED_VALUE"""),2019)</f>
        <v>2019</v>
      </c>
      <c r="C313" s="64" t="str">
        <f ca="1">IFERROR(__xludf.DUMMYFUNCTION("""COMPUTED_VALUE"""),"Roma")</f>
        <v>Roma</v>
      </c>
    </row>
    <row r="314" spans="1:3" ht="12.75">
      <c r="A314" s="91">
        <f ca="1">IFERROR(__xludf.DUMMYFUNCTION("""COMPUTED_VALUE"""),0)</f>
        <v>0</v>
      </c>
      <c r="B314" s="64">
        <f ca="1">IFERROR(__xludf.DUMMYFUNCTION("""COMPUTED_VALUE"""),2019)</f>
        <v>2019</v>
      </c>
      <c r="C314" s="64" t="str">
        <f ca="1">IFERROR(__xludf.DUMMYFUNCTION("""COMPUTED_VALUE"""),"The Favourite")</f>
        <v>The Favourite</v>
      </c>
    </row>
    <row r="315" spans="1:3" ht="12.75">
      <c r="A315" s="91">
        <f ca="1">IFERROR(__xludf.DUMMYFUNCTION("""COMPUTED_VALUE"""),0)</f>
        <v>0</v>
      </c>
      <c r="B315" s="64">
        <f ca="1">IFERROR(__xludf.DUMMYFUNCTION("""COMPUTED_VALUE"""),2020)</f>
        <v>2020</v>
      </c>
      <c r="C315" s="64" t="str">
        <f ca="1">IFERROR(__xludf.DUMMYFUNCTION("""COMPUTED_VALUE"""),"For Sama")</f>
        <v>For Sama</v>
      </c>
    </row>
    <row r="316" spans="1:3" ht="12.75">
      <c r="A316" s="91">
        <f ca="1">IFERROR(__xludf.DUMMYFUNCTION("""COMPUTED_VALUE"""),0)</f>
        <v>0</v>
      </c>
      <c r="B316" s="64">
        <f ca="1">IFERROR(__xludf.DUMMYFUNCTION("""COMPUTED_VALUE"""),2020)</f>
        <v>2020</v>
      </c>
      <c r="C316" s="64" t="str">
        <f ca="1">IFERROR(__xludf.DUMMYFUNCTION("""COMPUTED_VALUE"""),"Booksmart")</f>
        <v>Booksmart</v>
      </c>
    </row>
    <row r="317" spans="1:3" ht="12.75">
      <c r="A317" s="91">
        <f ca="1">IFERROR(__xludf.DUMMYFUNCTION("""COMPUTED_VALUE"""),0)</f>
        <v>0</v>
      </c>
      <c r="B317" s="64">
        <f ca="1">IFERROR(__xludf.DUMMYFUNCTION("""COMPUTED_VALUE"""),2020)</f>
        <v>2020</v>
      </c>
      <c r="C317" s="64" t="str">
        <f ca="1">IFERROR(__xludf.DUMMYFUNCTION("""COMPUTED_VALUE"""),"The Farewell")</f>
        <v>The Farewell</v>
      </c>
    </row>
    <row r="318" spans="1:3" ht="12.75">
      <c r="A318" s="91">
        <f ca="1">IFERROR(__xludf.DUMMYFUNCTION("""COMPUTED_VALUE"""),0)</f>
        <v>0</v>
      </c>
      <c r="B318" s="64">
        <f ca="1">IFERROR(__xludf.DUMMYFUNCTION("""COMPUTED_VALUE"""),2020)</f>
        <v>2020</v>
      </c>
      <c r="C318" s="64" t="str">
        <f ca="1">IFERROR(__xludf.DUMMYFUNCTION("""COMPUTED_VALUE"""),"Little Women")</f>
        <v>Little Women</v>
      </c>
    </row>
    <row r="319" spans="1:3" ht="12.75">
      <c r="A319" s="91">
        <f ca="1">IFERROR(__xludf.DUMMYFUNCTION("""COMPUTED_VALUE"""),0)</f>
        <v>0</v>
      </c>
      <c r="B319" s="64">
        <f ca="1">IFERROR(__xludf.DUMMYFUNCTION("""COMPUTED_VALUE"""),2020)</f>
        <v>2020</v>
      </c>
      <c r="C319" s="64" t="str">
        <f ca="1">IFERROR(__xludf.DUMMYFUNCTION("""COMPUTED_VALUE"""),"Ma Rainey’s Black Bottom ")</f>
        <v xml:space="preserve">Ma Rainey’s Black Bottom </v>
      </c>
    </row>
    <row r="320" spans="1:3" ht="12.75">
      <c r="A320" s="91">
        <f ca="1">IFERROR(__xludf.DUMMYFUNCTION("""COMPUTED_VALUE"""),0)</f>
        <v>0</v>
      </c>
      <c r="B320" s="64">
        <f ca="1">IFERROR(__xludf.DUMMYFUNCTION("""COMPUTED_VALUE"""),2020)</f>
        <v>2020</v>
      </c>
      <c r="C320" s="64" t="str">
        <f ca="1">IFERROR(__xludf.DUMMYFUNCTION("""COMPUTED_VALUE"""),"Soul")</f>
        <v>Soul</v>
      </c>
    </row>
    <row r="321" spans="1:3" ht="12.75">
      <c r="A321" s="91">
        <f ca="1">IFERROR(__xludf.DUMMYFUNCTION("""COMPUTED_VALUE"""),0)</f>
        <v>0</v>
      </c>
      <c r="B321" s="64">
        <f ca="1">IFERROR(__xludf.DUMMYFUNCTION("""COMPUTED_VALUE"""),2020)</f>
        <v>2020</v>
      </c>
      <c r="C321" s="64" t="str">
        <f ca="1">IFERROR(__xludf.DUMMYFUNCTION("""COMPUTED_VALUE"""),"Never Rarely Sometimes Always")</f>
        <v>Never Rarely Sometimes Always</v>
      </c>
    </row>
    <row r="322" spans="1:3" ht="12.75">
      <c r="A322" s="91">
        <f ca="1">IFERROR(__xludf.DUMMYFUNCTION("""COMPUTED_VALUE"""),0)</f>
        <v>0</v>
      </c>
      <c r="B322" s="64">
        <f ca="1">IFERROR(__xludf.DUMMYFUNCTION("""COMPUTED_VALUE"""),2020)</f>
        <v>2020</v>
      </c>
      <c r="C322" s="64" t="str">
        <f ca="1">IFERROR(__xludf.DUMMYFUNCTION("""COMPUTED_VALUE"""),"Lovers Rock")</f>
        <v>Lovers Rock</v>
      </c>
    </row>
    <row r="323" spans="1:3" ht="12.75">
      <c r="A323" s="91">
        <f ca="1">IFERROR(__xludf.DUMMYFUNCTION("""COMPUTED_VALUE"""),0)</f>
        <v>0</v>
      </c>
      <c r="B323" s="64">
        <f ca="1">IFERROR(__xludf.DUMMYFUNCTION("""COMPUTED_VALUE"""),2021)</f>
        <v>2021</v>
      </c>
      <c r="C323" s="64" t="str">
        <f ca="1">IFERROR(__xludf.DUMMYFUNCTION("""COMPUTED_VALUE"""),"Nomadland ")</f>
        <v xml:space="preserve">Nomadland </v>
      </c>
    </row>
    <row r="324" spans="1:3" ht="12.75">
      <c r="A324" s="91">
        <f ca="1">IFERROR(__xludf.DUMMYFUNCTION("""COMPUTED_VALUE"""),0)</f>
        <v>0</v>
      </c>
      <c r="B324" s="64">
        <f ca="1">IFERROR(__xludf.DUMMYFUNCTION("""COMPUTED_VALUE"""),2021)</f>
        <v>2021</v>
      </c>
      <c r="C324" s="64" t="str">
        <f ca="1">IFERROR(__xludf.DUMMYFUNCTION("""COMPUTED_VALUE"""),"Summer of Soul")</f>
        <v>Summer of Soul</v>
      </c>
    </row>
    <row r="325" spans="1:3" ht="12.75">
      <c r="A325" s="91">
        <f ca="1">IFERROR(__xludf.DUMMYFUNCTION("""COMPUTED_VALUE"""),0)</f>
        <v>0</v>
      </c>
      <c r="B325" s="64">
        <f ca="1">IFERROR(__xludf.DUMMYFUNCTION("""COMPUTED_VALUE"""),2021)</f>
        <v>2021</v>
      </c>
      <c r="C325" s="64" t="str">
        <f ca="1">IFERROR(__xludf.DUMMYFUNCTION("""COMPUTED_VALUE"""),"The Father")</f>
        <v>The Father</v>
      </c>
    </row>
    <row r="326" spans="1:3" ht="12.75">
      <c r="A326" s="91">
        <f ca="1">IFERROR(__xludf.DUMMYFUNCTION("""COMPUTED_VALUE"""),0)</f>
        <v>0</v>
      </c>
      <c r="B326" s="64">
        <f ca="1">IFERROR(__xludf.DUMMYFUNCTION("""COMPUTED_VALUE"""),2021)</f>
        <v>2021</v>
      </c>
      <c r="C326" s="64" t="str">
        <f ca="1">IFERROR(__xludf.DUMMYFUNCTION("""COMPUTED_VALUE"""),"The Velvet Underground")</f>
        <v>The Velvet Underground</v>
      </c>
    </row>
    <row r="327" spans="1:3" ht="12.75">
      <c r="A327" s="91">
        <f ca="1">IFERROR(__xludf.DUMMYFUNCTION("""COMPUTED_VALUE"""),0)</f>
        <v>0</v>
      </c>
      <c r="B327" s="64">
        <f ca="1">IFERROR(__xludf.DUMMYFUNCTION("""COMPUTED_VALUE"""),2021)</f>
        <v>2021</v>
      </c>
      <c r="C327" s="64" t="str">
        <f ca="1">IFERROR(__xludf.DUMMYFUNCTION("""COMPUTED_VALUE"""),"Coda")</f>
        <v>Coda</v>
      </c>
    </row>
    <row r="328" spans="1:3" ht="12.75">
      <c r="A328" s="91">
        <f ca="1">IFERROR(__xludf.DUMMYFUNCTION("""COMPUTED_VALUE"""),0)</f>
        <v>0</v>
      </c>
      <c r="B328" s="64">
        <f ca="1">IFERROR(__xludf.DUMMYFUNCTION("""COMPUTED_VALUE"""),2021)</f>
        <v>2021</v>
      </c>
      <c r="C328" s="64" t="str">
        <f ca="1">IFERROR(__xludf.DUMMYFUNCTION("""COMPUTED_VALUE"""),"The Power of the Dog")</f>
        <v>The Power of the Dog</v>
      </c>
    </row>
    <row r="329" spans="1:3" ht="12.75">
      <c r="A329" s="91">
        <f ca="1">IFERROR(__xludf.DUMMYFUNCTION("""COMPUTED_VALUE"""),0)</f>
        <v>0</v>
      </c>
      <c r="B329" s="64">
        <f ca="1">IFERROR(__xludf.DUMMYFUNCTION("""COMPUTED_VALUE"""),2021)</f>
        <v>2021</v>
      </c>
      <c r="C329" s="64" t="str">
        <f ca="1">IFERROR(__xludf.DUMMYFUNCTION("""COMPUTED_VALUE"""),"The Tragedy of Macbeth")</f>
        <v>The Tragedy of Macbeth</v>
      </c>
    </row>
    <row r="330" spans="1:3" ht="12.75">
      <c r="A330" s="91">
        <f ca="1">IFERROR(__xludf.DUMMYFUNCTION("""COMPUTED_VALUE"""),0)</f>
        <v>0</v>
      </c>
      <c r="B330" s="64">
        <f ca="1">IFERROR(__xludf.DUMMYFUNCTION("""COMPUTED_VALUE"""),2021)</f>
        <v>2021</v>
      </c>
      <c r="C330" s="64" t="str">
        <f ca="1">IFERROR(__xludf.DUMMYFUNCTION("""COMPUTED_VALUE"""),"King Richard")</f>
        <v>King Richard</v>
      </c>
    </row>
    <row r="331" spans="1:3" ht="12.75">
      <c r="A331" s="91">
        <f ca="1">IFERROR(__xludf.DUMMYFUNCTION("""COMPUTED_VALUE"""),0)</f>
        <v>0</v>
      </c>
      <c r="B331" s="64">
        <f ca="1">IFERROR(__xludf.DUMMYFUNCTION("""COMPUTED_VALUE"""),2021)</f>
        <v>2021</v>
      </c>
      <c r="C331" s="64" t="str">
        <f ca="1">IFERROR(__xludf.DUMMYFUNCTION("""COMPUTED_VALUE"""),"The Green Knight")</f>
        <v>The Green Knight</v>
      </c>
    </row>
    <row r="332" spans="1:3" ht="12.75">
      <c r="A332" s="91">
        <f ca="1">IFERROR(__xludf.DUMMYFUNCTION("""COMPUTED_VALUE"""),0)</f>
        <v>0</v>
      </c>
      <c r="B332" s="64">
        <f ca="1">IFERROR(__xludf.DUMMYFUNCTION("""COMPUTED_VALUE"""),2021)</f>
        <v>2021</v>
      </c>
      <c r="C332" s="64" t="str">
        <f ca="1">IFERROR(__xludf.DUMMYFUNCTION("""COMPUTED_VALUE"""),"Belfast")</f>
        <v>Belfast</v>
      </c>
    </row>
    <row r="333" spans="1:3" ht="12.75">
      <c r="A333" s="91">
        <f ca="1">IFERROR(__xludf.DUMMYFUNCTION("""COMPUTED_VALUE"""),0)</f>
        <v>0</v>
      </c>
      <c r="B333" s="64">
        <f ca="1">IFERROR(__xludf.DUMMYFUNCTION("""COMPUTED_VALUE"""),2021)</f>
        <v>2021</v>
      </c>
      <c r="C333" s="64" t="str">
        <f ca="1">IFERROR(__xludf.DUMMYFUNCTION("""COMPUTED_VALUE"""),"The Last Duel")</f>
        <v>The Last Duel</v>
      </c>
    </row>
    <row r="334" spans="1:3" ht="12.75">
      <c r="A334" s="91">
        <f ca="1">IFERROR(__xludf.DUMMYFUNCTION("""COMPUTED_VALUE"""),0)</f>
        <v>0</v>
      </c>
      <c r="B334" s="64">
        <f ca="1">IFERROR(__xludf.DUMMYFUNCTION("""COMPUTED_VALUE"""),2021)</f>
        <v>2021</v>
      </c>
      <c r="C334" s="64" t="str">
        <f ca="1">IFERROR(__xludf.DUMMYFUNCTION("""COMPUTED_VALUE"""),"Nobody")</f>
        <v>Nobody</v>
      </c>
    </row>
    <row r="335" spans="1:3" ht="12.75">
      <c r="A335" s="91">
        <f ca="1">IFERROR(__xludf.DUMMYFUNCTION("""COMPUTED_VALUE"""),0)</f>
        <v>0</v>
      </c>
      <c r="B335" s="64">
        <f ca="1">IFERROR(__xludf.DUMMYFUNCTION("""COMPUTED_VALUE"""),2022)</f>
        <v>2022</v>
      </c>
      <c r="C335" s="64" t="str">
        <f ca="1">IFERROR(__xludf.DUMMYFUNCTION("""COMPUTED_VALUE"""),"Prey")</f>
        <v>Prey</v>
      </c>
    </row>
    <row r="336" spans="1:3" ht="12.75">
      <c r="A336" s="91">
        <f ca="1">IFERROR(__xludf.DUMMYFUNCTION("""COMPUTED_VALUE"""),0)</f>
        <v>0</v>
      </c>
      <c r="B336" s="64">
        <f ca="1">IFERROR(__xludf.DUMMYFUNCTION("""COMPUTED_VALUE"""),2022)</f>
        <v>2022</v>
      </c>
      <c r="C336" s="64" t="str">
        <f ca="1">IFERROR(__xludf.DUMMYFUNCTION("""COMPUTED_VALUE"""),"Scream (2022)")</f>
        <v>Scream (2022)</v>
      </c>
    </row>
    <row r="337" spans="1:3" ht="12.75">
      <c r="A337" s="91">
        <f ca="1">IFERROR(__xludf.DUMMYFUNCTION("""COMPUTED_VALUE"""),0)</f>
        <v>0</v>
      </c>
      <c r="B337" s="64">
        <f ca="1">IFERROR(__xludf.DUMMYFUNCTION("""COMPUTED_VALUE"""),2022)</f>
        <v>2022</v>
      </c>
      <c r="C337" s="64" t="str">
        <f ca="1">IFERROR(__xludf.DUMMYFUNCTION("""COMPUTED_VALUE"""),"See for Me")</f>
        <v>See for Me</v>
      </c>
    </row>
    <row r="338" spans="1:3" ht="12.75">
      <c r="A338" s="91">
        <f ca="1">IFERROR(__xludf.DUMMYFUNCTION("""COMPUTED_VALUE"""),0)</f>
        <v>0</v>
      </c>
      <c r="B338" s="64">
        <f ca="1">IFERROR(__xludf.DUMMYFUNCTION("""COMPUTED_VALUE"""),2022)</f>
        <v>2022</v>
      </c>
      <c r="C338" s="64" t="str">
        <f ca="1">IFERROR(__xludf.DUMMYFUNCTION("""COMPUTED_VALUE"""),"Poser")</f>
        <v>Poser</v>
      </c>
    </row>
    <row r="339" spans="1:3" ht="12.75">
      <c r="A339" s="91">
        <f ca="1">IFERROR(__xludf.DUMMYFUNCTION("""COMPUTED_VALUE"""),0)</f>
        <v>0</v>
      </c>
      <c r="B339" s="64">
        <f ca="1">IFERROR(__xludf.DUMMYFUNCTION("""COMPUTED_VALUE"""),2022)</f>
        <v>2022</v>
      </c>
      <c r="C339" s="64" t="str">
        <f ca="1">IFERROR(__xludf.DUMMYFUNCTION("""COMPUTED_VALUE"""),"Cyrano")</f>
        <v>Cyrano</v>
      </c>
    </row>
    <row r="340" spans="1:3" ht="12.75">
      <c r="A340" s="91"/>
      <c r="B340" s="64"/>
      <c r="C340" s="64"/>
    </row>
    <row r="341" spans="1:3" ht="12.75">
      <c r="A341" s="91"/>
      <c r="B341" s="64"/>
      <c r="C341" s="64"/>
    </row>
    <row r="342" spans="1:3" ht="12.75">
      <c r="A342" s="91"/>
      <c r="B342" s="64"/>
      <c r="C342" s="64"/>
    </row>
    <row r="343" spans="1:3" ht="12.75">
      <c r="A343" s="91"/>
      <c r="B343" s="64"/>
      <c r="C343" s="64"/>
    </row>
    <row r="344" spans="1:3" ht="12.75">
      <c r="A344" s="91"/>
      <c r="B344" s="64"/>
      <c r="C344" s="64"/>
    </row>
    <row r="345" spans="1:3" ht="12.75">
      <c r="A345" s="91"/>
      <c r="B345" s="64"/>
      <c r="C345" s="64"/>
    </row>
    <row r="346" spans="1:3" ht="12.75">
      <c r="A346" s="91"/>
      <c r="B346" s="64"/>
      <c r="C346" s="64"/>
    </row>
    <row r="347" spans="1:3" ht="12.75">
      <c r="A347" s="91"/>
      <c r="B347" s="64"/>
      <c r="C347" s="64"/>
    </row>
    <row r="348" spans="1:3" ht="12.75">
      <c r="A348" s="91"/>
      <c r="B348" s="64"/>
      <c r="C348" s="64"/>
    </row>
    <row r="349" spans="1:3" ht="12.75">
      <c r="A349" s="91"/>
      <c r="B349" s="64"/>
      <c r="C349" s="64"/>
    </row>
    <row r="350" spans="1:3" ht="12.75">
      <c r="A350" s="91"/>
      <c r="B350" s="64"/>
      <c r="C350" s="64"/>
    </row>
    <row r="351" spans="1:3" ht="12.75">
      <c r="A351" s="91"/>
      <c r="B351" s="64"/>
      <c r="C351" s="64"/>
    </row>
    <row r="352" spans="1:3" ht="12.75">
      <c r="A352" s="91"/>
      <c r="B352" s="64"/>
      <c r="C352" s="64"/>
    </row>
    <row r="353" spans="1:3" ht="12.75">
      <c r="A353" s="91"/>
      <c r="B353" s="64"/>
      <c r="C353" s="64"/>
    </row>
    <row r="354" spans="1:3" ht="12.75">
      <c r="A354" s="91"/>
      <c r="B354" s="64"/>
      <c r="C354" s="64"/>
    </row>
    <row r="355" spans="1:3" ht="12.75">
      <c r="A355" s="91"/>
      <c r="B355" s="64"/>
      <c r="C355" s="64"/>
    </row>
    <row r="356" spans="1:3" ht="12.75">
      <c r="A356" s="91"/>
      <c r="B356" s="64"/>
      <c r="C356" s="64"/>
    </row>
    <row r="357" spans="1:3" ht="12.75">
      <c r="A357" s="91"/>
      <c r="B357" s="64"/>
      <c r="C357" s="64"/>
    </row>
    <row r="358" spans="1:3" ht="12.75">
      <c r="A358" s="91"/>
      <c r="B358" s="64"/>
      <c r="C358" s="64"/>
    </row>
    <row r="359" spans="1:3" ht="12.75">
      <c r="A359" s="91"/>
      <c r="B359" s="64"/>
      <c r="C359" s="64"/>
    </row>
    <row r="360" spans="1:3" ht="12.75">
      <c r="A360" s="91"/>
      <c r="B360" s="64"/>
      <c r="C360" s="64"/>
    </row>
    <row r="361" spans="1:3" ht="12.75">
      <c r="A361" s="91"/>
      <c r="B361" s="64"/>
      <c r="C361" s="64"/>
    </row>
    <row r="362" spans="1:3" ht="12.75">
      <c r="A362" s="91"/>
      <c r="B362" s="64"/>
      <c r="C362" s="64"/>
    </row>
    <row r="363" spans="1:3" ht="12.75">
      <c r="A363" s="91"/>
      <c r="B363" s="64"/>
      <c r="C363" s="64"/>
    </row>
    <row r="364" spans="1:3" ht="12.75">
      <c r="A364" s="91"/>
      <c r="B364" s="64"/>
      <c r="C364" s="64"/>
    </row>
    <row r="365" spans="1:3" ht="12.75">
      <c r="A365" s="91"/>
      <c r="B365" s="64"/>
      <c r="C365" s="64"/>
    </row>
    <row r="366" spans="1:3" ht="12.75">
      <c r="A366" s="91"/>
      <c r="B366" s="64"/>
      <c r="C366" s="64"/>
    </row>
    <row r="367" spans="1:3" ht="12.75">
      <c r="A367" s="91"/>
      <c r="B367" s="64"/>
      <c r="C367" s="64"/>
    </row>
    <row r="368" spans="1:3" ht="12.75">
      <c r="A368" s="91"/>
      <c r="B368" s="64"/>
      <c r="C368" s="64"/>
    </row>
    <row r="369" spans="1:3" ht="12.75">
      <c r="A369" s="91"/>
      <c r="B369" s="64"/>
      <c r="C369" s="64"/>
    </row>
    <row r="370" spans="1:3" ht="12.75">
      <c r="A370" s="91"/>
      <c r="B370" s="64"/>
      <c r="C370" s="64"/>
    </row>
    <row r="371" spans="1:3" ht="12.75">
      <c r="A371" s="91"/>
      <c r="B371" s="64"/>
      <c r="C371" s="64"/>
    </row>
    <row r="372" spans="1:3" ht="12.75">
      <c r="A372" s="91"/>
      <c r="B372" s="64"/>
      <c r="C372" s="64"/>
    </row>
    <row r="373" spans="1:3" ht="12.75">
      <c r="A373" s="91"/>
      <c r="B373" s="64"/>
      <c r="C373" s="64"/>
    </row>
    <row r="374" spans="1:3" ht="12.75">
      <c r="A374" s="91"/>
      <c r="B374" s="64"/>
      <c r="C374" s="64"/>
    </row>
    <row r="375" spans="1:3" ht="12.75">
      <c r="A375" s="91"/>
      <c r="B375" s="64"/>
      <c r="C375" s="64"/>
    </row>
    <row r="376" spans="1:3" ht="12.75">
      <c r="A376" s="91"/>
      <c r="B376" s="64"/>
      <c r="C376" s="64"/>
    </row>
    <row r="377" spans="1:3" ht="12.75">
      <c r="A377" s="91"/>
      <c r="B377" s="64"/>
      <c r="C377" s="64"/>
    </row>
    <row r="378" spans="1:3" ht="12.75">
      <c r="A378" s="91"/>
      <c r="B378" s="64"/>
      <c r="C378" s="64"/>
    </row>
    <row r="379" spans="1:3" ht="12.75">
      <c r="A379" s="91"/>
      <c r="B379" s="64"/>
      <c r="C379" s="64"/>
    </row>
    <row r="380" spans="1:3" ht="12.75">
      <c r="A380" s="91"/>
      <c r="B380" s="64"/>
      <c r="C380" s="64"/>
    </row>
    <row r="381" spans="1:3" ht="12.75">
      <c r="A381" s="91"/>
      <c r="B381" s="64"/>
      <c r="C381" s="64"/>
    </row>
    <row r="382" spans="1:3" ht="12.75">
      <c r="A382" s="91"/>
      <c r="B382" s="64"/>
      <c r="C382" s="64"/>
    </row>
    <row r="383" spans="1:3" ht="12.75">
      <c r="A383" s="91"/>
      <c r="B383" s="64"/>
      <c r="C383" s="64"/>
    </row>
    <row r="384" spans="1:3" ht="12.75">
      <c r="A384" s="91"/>
      <c r="B384" s="64"/>
      <c r="C384" s="64"/>
    </row>
    <row r="385" spans="1:3" ht="12.75">
      <c r="A385" s="91"/>
      <c r="B385" s="64"/>
      <c r="C385" s="64"/>
    </row>
    <row r="386" spans="1:3" ht="12.75">
      <c r="A386" s="91"/>
      <c r="B386" s="64"/>
      <c r="C386" s="64"/>
    </row>
    <row r="387" spans="1:3" ht="12.75">
      <c r="A387" s="91"/>
      <c r="B387" s="64"/>
      <c r="C387" s="64"/>
    </row>
    <row r="388" spans="1:3" ht="12.75">
      <c r="A388" s="91"/>
      <c r="B388" s="64"/>
      <c r="C388" s="64"/>
    </row>
    <row r="389" spans="1:3" ht="12.75">
      <c r="A389" s="91"/>
      <c r="B389" s="64"/>
      <c r="C389" s="64"/>
    </row>
    <row r="390" spans="1:3" ht="12.75">
      <c r="A390" s="91"/>
      <c r="B390" s="64"/>
      <c r="C390" s="64"/>
    </row>
    <row r="391" spans="1:3" ht="12.75">
      <c r="A391" s="91"/>
      <c r="B391" s="64"/>
      <c r="C391" s="64"/>
    </row>
    <row r="392" spans="1:3" ht="12.75">
      <c r="A392" s="91"/>
      <c r="B392" s="64"/>
      <c r="C392" s="64"/>
    </row>
    <row r="393" spans="1:3" ht="12.75">
      <c r="A393" s="91"/>
      <c r="B393" s="64"/>
      <c r="C393" s="64"/>
    </row>
    <row r="394" spans="1:3" ht="12.75">
      <c r="A394" s="91"/>
      <c r="B394" s="64"/>
      <c r="C394" s="64"/>
    </row>
    <row r="395" spans="1:3" ht="12.75">
      <c r="A395" s="91"/>
      <c r="B395" s="64"/>
      <c r="C395" s="64"/>
    </row>
    <row r="396" spans="1:3" ht="12.75">
      <c r="A396" s="91"/>
      <c r="B396" s="64"/>
      <c r="C396" s="64"/>
    </row>
    <row r="397" spans="1:3" ht="12.75">
      <c r="A397" s="91"/>
      <c r="B397" s="64"/>
      <c r="C397" s="64"/>
    </row>
    <row r="398" spans="1:3" ht="12.75">
      <c r="A398" s="91"/>
      <c r="B398" s="64"/>
      <c r="C398" s="64"/>
    </row>
    <row r="399" spans="1:3" ht="12.75">
      <c r="A399" s="91"/>
      <c r="B399" s="64"/>
      <c r="C399" s="64"/>
    </row>
    <row r="400" spans="1:3" ht="12.75">
      <c r="A400" s="91"/>
      <c r="B400" s="64"/>
      <c r="C400" s="64"/>
    </row>
    <row r="401" spans="1:3" ht="12.75">
      <c r="A401" s="91"/>
      <c r="B401" s="64"/>
      <c r="C401" s="64"/>
    </row>
    <row r="402" spans="1:3" ht="12.75">
      <c r="A402" s="91"/>
      <c r="B402" s="64"/>
      <c r="C402" s="64"/>
    </row>
    <row r="403" spans="1:3" ht="12.75">
      <c r="A403" s="91"/>
      <c r="B403" s="64"/>
      <c r="C403" s="64"/>
    </row>
    <row r="404" spans="1:3" ht="12.75">
      <c r="A404" s="91"/>
      <c r="B404" s="64"/>
      <c r="C404" s="64"/>
    </row>
    <row r="405" spans="1:3" ht="12.75">
      <c r="A405" s="91"/>
      <c r="B405" s="64"/>
      <c r="C405" s="64"/>
    </row>
    <row r="406" spans="1:3" ht="12.75">
      <c r="A406" s="91"/>
      <c r="B406" s="64"/>
      <c r="C406" s="64"/>
    </row>
    <row r="407" spans="1:3" ht="12.75">
      <c r="A407" s="91"/>
      <c r="B407" s="64"/>
      <c r="C407" s="64"/>
    </row>
    <row r="408" spans="1:3" ht="12.75">
      <c r="A408" s="91"/>
      <c r="B408" s="109"/>
      <c r="C408" s="109"/>
    </row>
    <row r="409" spans="1:3" ht="12.75">
      <c r="A409" s="91"/>
      <c r="B409" s="110"/>
      <c r="C409" s="110"/>
    </row>
    <row r="410" spans="1:3" ht="12.75">
      <c r="A410" s="91"/>
    </row>
    <row r="411" spans="1:3" ht="12.75">
      <c r="A411" s="91"/>
    </row>
    <row r="412" spans="1:3" ht="12.75">
      <c r="A412" s="91"/>
    </row>
    <row r="413" spans="1:3" ht="12.75">
      <c r="A413" s="91"/>
    </row>
    <row r="414" spans="1:3" ht="12.75">
      <c r="A414" s="91"/>
    </row>
    <row r="415" spans="1:3" ht="12.75">
      <c r="A415" s="91"/>
    </row>
    <row r="416" spans="1:3" ht="12.75">
      <c r="A416" s="91"/>
    </row>
    <row r="417" spans="1:1" ht="12.75">
      <c r="A417" s="91"/>
    </row>
    <row r="418" spans="1:1" ht="12.75">
      <c r="A418" s="91"/>
    </row>
    <row r="419" spans="1:1" ht="12.75">
      <c r="A419" s="91"/>
    </row>
    <row r="420" spans="1:1" ht="12.75">
      <c r="A420" s="91"/>
    </row>
    <row r="421" spans="1:1" ht="12.75">
      <c r="A421" s="91"/>
    </row>
    <row r="422" spans="1:1" ht="12.75">
      <c r="A422" s="91"/>
    </row>
    <row r="423" spans="1:1" ht="12.75">
      <c r="A423" s="91"/>
    </row>
    <row r="424" spans="1:1" ht="12.75">
      <c r="A424" s="91"/>
    </row>
    <row r="425" spans="1:1" ht="12.75">
      <c r="A425" s="91"/>
    </row>
    <row r="426" spans="1:1" ht="12.75">
      <c r="A426" s="91"/>
    </row>
    <row r="427" spans="1:1" ht="12.75">
      <c r="A427" s="91"/>
    </row>
    <row r="428" spans="1:1" ht="12.75">
      <c r="A428" s="91"/>
    </row>
    <row r="429" spans="1:1" ht="12.75">
      <c r="A429" s="91"/>
    </row>
    <row r="430" spans="1:1" ht="12.75">
      <c r="A430" s="91"/>
    </row>
    <row r="431" spans="1:1" ht="12.75">
      <c r="A431" s="91"/>
    </row>
    <row r="432" spans="1:1" ht="12.75">
      <c r="A432" s="91"/>
    </row>
    <row r="433" spans="1:1" ht="12.75">
      <c r="A433" s="91"/>
    </row>
    <row r="434" spans="1:1" ht="12.75">
      <c r="A434" s="91"/>
    </row>
    <row r="435" spans="1:1" ht="12.75">
      <c r="A435" s="91"/>
    </row>
    <row r="436" spans="1:1" ht="12.75">
      <c r="A436" s="91"/>
    </row>
    <row r="437" spans="1:1" ht="12.75">
      <c r="A437" s="91"/>
    </row>
    <row r="438" spans="1:1" ht="12.75">
      <c r="A438" s="91"/>
    </row>
    <row r="439" spans="1:1" ht="12.75">
      <c r="A439" s="91"/>
    </row>
    <row r="440" spans="1:1" ht="12.75">
      <c r="A440" s="91"/>
    </row>
    <row r="441" spans="1:1" ht="12.75">
      <c r="A441" s="91"/>
    </row>
    <row r="442" spans="1:1" ht="12.75">
      <c r="A442" s="91"/>
    </row>
    <row r="443" spans="1:1" ht="12.75">
      <c r="A443" s="91"/>
    </row>
    <row r="444" spans="1:1" ht="12.75">
      <c r="A444" s="91"/>
    </row>
    <row r="445" spans="1:1" ht="12.75">
      <c r="A445" s="91"/>
    </row>
    <row r="446" spans="1:1" ht="12.75">
      <c r="A446" s="91"/>
    </row>
    <row r="447" spans="1:1" ht="12.75">
      <c r="A447" s="91"/>
    </row>
    <row r="448" spans="1:1" ht="12.75">
      <c r="A448" s="91"/>
    </row>
    <row r="449" spans="1:1" ht="12.75">
      <c r="A449" s="91"/>
    </row>
    <row r="450" spans="1:1" ht="12.75">
      <c r="A450" s="91"/>
    </row>
    <row r="451" spans="1:1" ht="12.75">
      <c r="A451" s="91"/>
    </row>
    <row r="452" spans="1:1" ht="12.75">
      <c r="A452" s="91"/>
    </row>
    <row r="453" spans="1:1" ht="12.75">
      <c r="A453" s="91"/>
    </row>
    <row r="454" spans="1:1" ht="12.75">
      <c r="A454" s="91"/>
    </row>
    <row r="455" spans="1:1" ht="12.75">
      <c r="A455" s="91"/>
    </row>
    <row r="456" spans="1:1" ht="12.75">
      <c r="A456" s="91"/>
    </row>
    <row r="457" spans="1:1" ht="12.75">
      <c r="A457" s="91"/>
    </row>
    <row r="458" spans="1:1" ht="12.75">
      <c r="A458" s="91"/>
    </row>
    <row r="459" spans="1:1" ht="12.75">
      <c r="A459" s="91"/>
    </row>
    <row r="460" spans="1:1" ht="12.75">
      <c r="A460" s="91"/>
    </row>
    <row r="461" spans="1:1" ht="12.75">
      <c r="A461" s="91"/>
    </row>
    <row r="462" spans="1:1" ht="12.75">
      <c r="A462" s="91"/>
    </row>
    <row r="463" spans="1:1" ht="12.75">
      <c r="A463" s="91"/>
    </row>
    <row r="464" spans="1:1" ht="12.75">
      <c r="A464" s="91"/>
    </row>
    <row r="465" spans="1:1" ht="12.75">
      <c r="A465" s="91"/>
    </row>
    <row r="466" spans="1:1" ht="12.75">
      <c r="A466" s="91"/>
    </row>
    <row r="467" spans="1:1" ht="12.75">
      <c r="A467" s="91"/>
    </row>
    <row r="468" spans="1:1" ht="12.75">
      <c r="A468" s="91"/>
    </row>
    <row r="469" spans="1:1" ht="12.75">
      <c r="A469" s="91"/>
    </row>
    <row r="470" spans="1:1" ht="12.75">
      <c r="A470" s="91"/>
    </row>
    <row r="471" spans="1:1" ht="12.75">
      <c r="A471" s="91"/>
    </row>
    <row r="472" spans="1:1" ht="12.75">
      <c r="A472" s="91"/>
    </row>
    <row r="473" spans="1:1" ht="12.75">
      <c r="A473" s="91"/>
    </row>
    <row r="474" spans="1:1" ht="12.75">
      <c r="A474" s="91"/>
    </row>
    <row r="475" spans="1:1" ht="12.75">
      <c r="A475" s="91"/>
    </row>
    <row r="476" spans="1:1" ht="12.75">
      <c r="A476" s="91"/>
    </row>
    <row r="477" spans="1:1" ht="12.75">
      <c r="A477" s="91"/>
    </row>
    <row r="478" spans="1:1" ht="12.75">
      <c r="A478" s="91"/>
    </row>
    <row r="479" spans="1:1" ht="12.75">
      <c r="A479" s="91"/>
    </row>
    <row r="480" spans="1:1" ht="12.75">
      <c r="A480" s="91"/>
    </row>
    <row r="481" spans="1:1" ht="12.75">
      <c r="A481" s="91"/>
    </row>
    <row r="482" spans="1:1" ht="12.75">
      <c r="A482" s="91"/>
    </row>
    <row r="483" spans="1:1" ht="12.75">
      <c r="A483" s="91"/>
    </row>
    <row r="484" spans="1:1" ht="12.75">
      <c r="A484" s="91"/>
    </row>
    <row r="485" spans="1:1" ht="12.75">
      <c r="A485" s="91"/>
    </row>
    <row r="486" spans="1:1" ht="12.75">
      <c r="A486" s="91"/>
    </row>
    <row r="487" spans="1:1" ht="12.75">
      <c r="A487" s="91"/>
    </row>
    <row r="488" spans="1:1" ht="12.75">
      <c r="A488" s="91"/>
    </row>
    <row r="489" spans="1:1" ht="12.75">
      <c r="A489" s="91"/>
    </row>
    <row r="490" spans="1:1" ht="12.75">
      <c r="A490" s="91"/>
    </row>
    <row r="491" spans="1:1" ht="12.75">
      <c r="A491" s="91"/>
    </row>
    <row r="492" spans="1:1" ht="12.75">
      <c r="A492" s="91"/>
    </row>
    <row r="493" spans="1:1" ht="12.75">
      <c r="A493" s="91"/>
    </row>
    <row r="494" spans="1:1" ht="12.75">
      <c r="A494" s="91"/>
    </row>
    <row r="495" spans="1:1" ht="12.75">
      <c r="A495" s="91"/>
    </row>
    <row r="496" spans="1:1" ht="12.75">
      <c r="A496" s="91"/>
    </row>
    <row r="497" spans="1:1" ht="12.75">
      <c r="A497" s="91"/>
    </row>
    <row r="498" spans="1:1" ht="12.75">
      <c r="A498" s="91"/>
    </row>
    <row r="499" spans="1:1" ht="12.75">
      <c r="A499" s="91"/>
    </row>
    <row r="500" spans="1:1" ht="12.75">
      <c r="A500" s="91"/>
    </row>
    <row r="501" spans="1:1" ht="12.75">
      <c r="A501" s="91"/>
    </row>
    <row r="502" spans="1:1" ht="12.75">
      <c r="A502" s="91"/>
    </row>
    <row r="503" spans="1:1" ht="12.75">
      <c r="A503" s="91"/>
    </row>
    <row r="504" spans="1:1" ht="12.75">
      <c r="A504" s="91"/>
    </row>
    <row r="505" spans="1:1" ht="12.75">
      <c r="A505" s="91"/>
    </row>
    <row r="506" spans="1:1" ht="12.75">
      <c r="A506" s="91"/>
    </row>
    <row r="507" spans="1:1" ht="12.75">
      <c r="A507" s="91"/>
    </row>
    <row r="508" spans="1:1" ht="12.75">
      <c r="A508" s="91"/>
    </row>
    <row r="509" spans="1:1" ht="12.75">
      <c r="A509" s="91"/>
    </row>
    <row r="510" spans="1:1" ht="12.75">
      <c r="A510" s="91"/>
    </row>
    <row r="511" spans="1:1" ht="12.75">
      <c r="A511" s="91"/>
    </row>
    <row r="512" spans="1:1" ht="12.75">
      <c r="A512" s="91"/>
    </row>
    <row r="513" spans="1:1" ht="12.75">
      <c r="A513" s="91"/>
    </row>
    <row r="514" spans="1:1" ht="12.75">
      <c r="A514" s="91"/>
    </row>
    <row r="515" spans="1:1" ht="12.75">
      <c r="A515" s="91"/>
    </row>
    <row r="516" spans="1:1" ht="12.75">
      <c r="A516" s="91"/>
    </row>
    <row r="517" spans="1:1" ht="12.75">
      <c r="A517" s="91"/>
    </row>
    <row r="518" spans="1:1" ht="12.75">
      <c r="A518" s="91"/>
    </row>
    <row r="519" spans="1:1" ht="12.75">
      <c r="A519" s="91"/>
    </row>
    <row r="520" spans="1:1" ht="12.75">
      <c r="A520" s="91"/>
    </row>
    <row r="521" spans="1:1" ht="12.75">
      <c r="A521" s="91"/>
    </row>
    <row r="522" spans="1:1" ht="12.75">
      <c r="A522" s="91"/>
    </row>
    <row r="523" spans="1:1" ht="12.75">
      <c r="A523" s="91"/>
    </row>
    <row r="524" spans="1:1" ht="12.75">
      <c r="A524" s="91"/>
    </row>
    <row r="525" spans="1:1" ht="12.75">
      <c r="A525" s="91"/>
    </row>
    <row r="526" spans="1:1" ht="12.75">
      <c r="A526" s="91"/>
    </row>
    <row r="527" spans="1:1" ht="12.75">
      <c r="A527" s="91"/>
    </row>
    <row r="528" spans="1:1" ht="12.75">
      <c r="A528" s="91"/>
    </row>
    <row r="529" spans="1:1" ht="12.75">
      <c r="A529" s="91"/>
    </row>
    <row r="530" spans="1:1" ht="12.75">
      <c r="A530" s="91"/>
    </row>
    <row r="531" spans="1:1" ht="12.75">
      <c r="A531" s="91"/>
    </row>
    <row r="532" spans="1:1" ht="12.75">
      <c r="A532" s="91"/>
    </row>
    <row r="533" spans="1:1" ht="12.75">
      <c r="A533" s="91"/>
    </row>
    <row r="534" spans="1:1" ht="12.75">
      <c r="A534" s="91"/>
    </row>
    <row r="535" spans="1:1" ht="12.75">
      <c r="A535" s="91"/>
    </row>
    <row r="536" spans="1:1" ht="12.75">
      <c r="A536" s="91"/>
    </row>
    <row r="537" spans="1:1" ht="12.75">
      <c r="A537" s="91"/>
    </row>
    <row r="538" spans="1:1" ht="12.75">
      <c r="A538" s="91"/>
    </row>
    <row r="539" spans="1:1" ht="12.75">
      <c r="A539" s="91"/>
    </row>
    <row r="540" spans="1:1" ht="12.75">
      <c r="A540" s="91"/>
    </row>
    <row r="541" spans="1:1" ht="12.75">
      <c r="A541" s="91"/>
    </row>
    <row r="542" spans="1:1" ht="12.75">
      <c r="A542" s="91"/>
    </row>
    <row r="543" spans="1:1" ht="12.75">
      <c r="A543" s="91"/>
    </row>
    <row r="544" spans="1:1" ht="12.75">
      <c r="A544" s="91"/>
    </row>
    <row r="545" spans="1:1" ht="12.75">
      <c r="A545" s="91"/>
    </row>
    <row r="546" spans="1:1" ht="12.75">
      <c r="A546" s="91"/>
    </row>
    <row r="547" spans="1:1" ht="12.75">
      <c r="A547" s="91"/>
    </row>
    <row r="548" spans="1:1" ht="12.75">
      <c r="A548" s="91"/>
    </row>
    <row r="549" spans="1:1" ht="12.75">
      <c r="A549" s="91"/>
    </row>
    <row r="550" spans="1:1" ht="12.75">
      <c r="A550" s="91"/>
    </row>
    <row r="551" spans="1:1" ht="12.75">
      <c r="A551" s="91"/>
    </row>
    <row r="552" spans="1:1" ht="12.75">
      <c r="A552" s="91"/>
    </row>
    <row r="553" spans="1:1" ht="12.75">
      <c r="A553" s="91"/>
    </row>
    <row r="554" spans="1:1" ht="12.75">
      <c r="A554" s="91"/>
    </row>
    <row r="555" spans="1:1" ht="12.75">
      <c r="A555" s="91"/>
    </row>
    <row r="556" spans="1:1" ht="12.75">
      <c r="A556" s="91"/>
    </row>
    <row r="557" spans="1:1" ht="12.75">
      <c r="A557" s="91"/>
    </row>
    <row r="558" spans="1:1" ht="12.75">
      <c r="A558" s="91"/>
    </row>
    <row r="559" spans="1:1" ht="12.75">
      <c r="A559" s="91"/>
    </row>
    <row r="560" spans="1:1" ht="12.75">
      <c r="A560" s="91"/>
    </row>
    <row r="561" spans="1:1" ht="12.75">
      <c r="A561" s="91"/>
    </row>
    <row r="562" spans="1:1" ht="12.75">
      <c r="A562" s="91"/>
    </row>
    <row r="563" spans="1:1" ht="12.75">
      <c r="A563" s="91"/>
    </row>
    <row r="564" spans="1:1" ht="12.75">
      <c r="A564" s="91"/>
    </row>
    <row r="565" spans="1:1" ht="12.75">
      <c r="A565" s="91"/>
    </row>
    <row r="566" spans="1:1" ht="12.75">
      <c r="A566" s="91"/>
    </row>
    <row r="567" spans="1:1" ht="12.75">
      <c r="A567" s="91"/>
    </row>
    <row r="568" spans="1:1" ht="12.75">
      <c r="A568" s="91"/>
    </row>
    <row r="569" spans="1:1" ht="12.75">
      <c r="A569" s="91"/>
    </row>
    <row r="570" spans="1:1" ht="12.75">
      <c r="A570" s="91"/>
    </row>
    <row r="571" spans="1:1" ht="12.75">
      <c r="A571" s="91"/>
    </row>
    <row r="572" spans="1:1" ht="12.75">
      <c r="A572" s="91"/>
    </row>
    <row r="573" spans="1:1" ht="12.75">
      <c r="A573" s="91"/>
    </row>
    <row r="574" spans="1:1" ht="12.75">
      <c r="A574" s="91"/>
    </row>
    <row r="575" spans="1:1" ht="12.75">
      <c r="A575" s="91"/>
    </row>
    <row r="576" spans="1:1" ht="12.75">
      <c r="A576" s="91"/>
    </row>
    <row r="577" spans="1:1" ht="12.75">
      <c r="A577" s="91"/>
    </row>
    <row r="578" spans="1:1" ht="12.75">
      <c r="A578" s="91"/>
    </row>
    <row r="579" spans="1:1" ht="12.75">
      <c r="A579" s="91"/>
    </row>
    <row r="580" spans="1:1" ht="12.75">
      <c r="A580" s="91"/>
    </row>
    <row r="581" spans="1:1" ht="12.75">
      <c r="A581" s="91"/>
    </row>
    <row r="582" spans="1:1" ht="12.75">
      <c r="A582" s="91"/>
    </row>
    <row r="583" spans="1:1" ht="12.75">
      <c r="A583" s="91"/>
    </row>
    <row r="584" spans="1:1" ht="12.75">
      <c r="A584" s="91"/>
    </row>
    <row r="585" spans="1:1" ht="12.75">
      <c r="A585" s="91"/>
    </row>
    <row r="586" spans="1:1" ht="12.75">
      <c r="A586" s="91"/>
    </row>
    <row r="587" spans="1:1" ht="12.75">
      <c r="A587" s="91"/>
    </row>
    <row r="588" spans="1:1" ht="12.75">
      <c r="A588" s="91"/>
    </row>
    <row r="589" spans="1:1" ht="12.75">
      <c r="A589" s="91"/>
    </row>
    <row r="590" spans="1:1" ht="12.75">
      <c r="A590" s="91"/>
    </row>
    <row r="591" spans="1:1" ht="12.75">
      <c r="A591" s="91"/>
    </row>
    <row r="592" spans="1:1" ht="12.75">
      <c r="A592" s="91"/>
    </row>
    <row r="593" spans="1:1" ht="12.75">
      <c r="A593" s="91"/>
    </row>
    <row r="594" spans="1:1" ht="12.75">
      <c r="A594" s="91"/>
    </row>
    <row r="595" spans="1:1" ht="12.75">
      <c r="A595" s="91"/>
    </row>
    <row r="596" spans="1:1" ht="12.75">
      <c r="A596" s="91"/>
    </row>
    <row r="597" spans="1:1" ht="12.75">
      <c r="A597" s="91"/>
    </row>
    <row r="598" spans="1:1" ht="12.75">
      <c r="A598" s="91"/>
    </row>
    <row r="599" spans="1:1" ht="12.75">
      <c r="A599" s="91"/>
    </row>
    <row r="600" spans="1:1" ht="12.75">
      <c r="A600" s="91"/>
    </row>
    <row r="601" spans="1:1" ht="12.75">
      <c r="A601" s="91"/>
    </row>
    <row r="602" spans="1:1" ht="12.75">
      <c r="A602" s="91"/>
    </row>
    <row r="603" spans="1:1" ht="12.75">
      <c r="A603" s="91"/>
    </row>
    <row r="604" spans="1:1" ht="12.75">
      <c r="A604" s="91"/>
    </row>
    <row r="605" spans="1:1" ht="12.75">
      <c r="A605" s="91"/>
    </row>
    <row r="606" spans="1:1" ht="12.75">
      <c r="A606" s="91"/>
    </row>
    <row r="607" spans="1:1" ht="12.75">
      <c r="A607" s="91"/>
    </row>
    <row r="608" spans="1:1" ht="12.75">
      <c r="A608" s="91"/>
    </row>
    <row r="609" spans="1:1" ht="12.75">
      <c r="A609" s="91"/>
    </row>
    <row r="610" spans="1:1" ht="12.75">
      <c r="A610" s="91"/>
    </row>
    <row r="611" spans="1:1" ht="12.75">
      <c r="A611" s="91"/>
    </row>
    <row r="612" spans="1:1" ht="12.75">
      <c r="A612" s="91"/>
    </row>
    <row r="613" spans="1:1" ht="12.75">
      <c r="A613" s="91"/>
    </row>
    <row r="614" spans="1:1" ht="12.75">
      <c r="A614" s="91"/>
    </row>
    <row r="615" spans="1:1" ht="12.75">
      <c r="A615" s="91"/>
    </row>
    <row r="616" spans="1:1" ht="12.75">
      <c r="A616" s="91"/>
    </row>
    <row r="617" spans="1:1" ht="12.75">
      <c r="A617" s="91"/>
    </row>
    <row r="618" spans="1:1" ht="12.75">
      <c r="A618" s="91"/>
    </row>
    <row r="619" spans="1:1" ht="12.75">
      <c r="A619" s="91"/>
    </row>
    <row r="620" spans="1:1" ht="12.75">
      <c r="A620" s="91"/>
    </row>
    <row r="621" spans="1:1" ht="12.75">
      <c r="A621" s="91"/>
    </row>
    <row r="622" spans="1:1" ht="12.75">
      <c r="A622" s="91"/>
    </row>
    <row r="623" spans="1:1" ht="12.75">
      <c r="A623" s="91"/>
    </row>
    <row r="624" spans="1:1" ht="12.75">
      <c r="A624" s="91"/>
    </row>
    <row r="625" spans="1:1" ht="12.75">
      <c r="A625" s="91"/>
    </row>
    <row r="626" spans="1:1" ht="12.75">
      <c r="A626" s="91"/>
    </row>
    <row r="627" spans="1:1" ht="12.75">
      <c r="A627" s="91"/>
    </row>
    <row r="628" spans="1:1" ht="12.75">
      <c r="A628" s="91"/>
    </row>
    <row r="629" spans="1:1" ht="12.75">
      <c r="A629" s="91"/>
    </row>
    <row r="630" spans="1:1" ht="12.75">
      <c r="A630" s="91"/>
    </row>
    <row r="631" spans="1:1" ht="12.75">
      <c r="A631" s="91"/>
    </row>
    <row r="632" spans="1:1" ht="12.75">
      <c r="A632" s="91"/>
    </row>
    <row r="633" spans="1:1" ht="12.75">
      <c r="A633" s="91"/>
    </row>
    <row r="634" spans="1:1" ht="12.75">
      <c r="A634" s="91"/>
    </row>
    <row r="635" spans="1:1" ht="12.75">
      <c r="A635" s="91"/>
    </row>
    <row r="636" spans="1:1" ht="12.75">
      <c r="A636" s="91"/>
    </row>
    <row r="637" spans="1:1" ht="12.75">
      <c r="A637" s="91"/>
    </row>
    <row r="638" spans="1:1" ht="12.75">
      <c r="A638" s="91"/>
    </row>
    <row r="639" spans="1:1" ht="12.75">
      <c r="A639" s="91"/>
    </row>
    <row r="640" spans="1:1" ht="12.75">
      <c r="A640" s="91"/>
    </row>
    <row r="641" spans="1:1" ht="12.75">
      <c r="A641" s="91"/>
    </row>
    <row r="642" spans="1:1" ht="12.75">
      <c r="A642" s="91"/>
    </row>
    <row r="643" spans="1:1" ht="12.75">
      <c r="A643" s="91"/>
    </row>
    <row r="644" spans="1:1" ht="12.75">
      <c r="A644" s="91"/>
    </row>
    <row r="645" spans="1:1" ht="12.75">
      <c r="A645" s="91"/>
    </row>
    <row r="646" spans="1:1" ht="12.75">
      <c r="A646" s="91"/>
    </row>
    <row r="647" spans="1:1" ht="12.75">
      <c r="A647" s="91"/>
    </row>
    <row r="648" spans="1:1" ht="12.75">
      <c r="A648" s="91"/>
    </row>
    <row r="649" spans="1:1" ht="12.75">
      <c r="A649" s="91"/>
    </row>
    <row r="650" spans="1:1" ht="12.75">
      <c r="A650" s="91"/>
    </row>
    <row r="651" spans="1:1" ht="12.75">
      <c r="A651" s="91"/>
    </row>
    <row r="652" spans="1:1" ht="12.75">
      <c r="A652" s="91"/>
    </row>
    <row r="653" spans="1:1" ht="12.75">
      <c r="A653" s="91"/>
    </row>
    <row r="654" spans="1:1" ht="12.75">
      <c r="A654" s="91"/>
    </row>
    <row r="655" spans="1:1" ht="12.75">
      <c r="A655" s="91"/>
    </row>
    <row r="656" spans="1:1" ht="12.75">
      <c r="A656" s="91"/>
    </row>
    <row r="657" spans="1:1" ht="12.75">
      <c r="A657" s="91"/>
    </row>
    <row r="658" spans="1:1" ht="12.75">
      <c r="A658" s="91"/>
    </row>
    <row r="659" spans="1:1" ht="12.75">
      <c r="A659" s="91"/>
    </row>
    <row r="660" spans="1:1" ht="12.75">
      <c r="A660" s="91"/>
    </row>
    <row r="661" spans="1:1" ht="12.75">
      <c r="A661" s="91"/>
    </row>
    <row r="662" spans="1:1" ht="12.75">
      <c r="A662" s="91"/>
    </row>
    <row r="663" spans="1:1" ht="12.75">
      <c r="A663" s="91"/>
    </row>
    <row r="664" spans="1:1" ht="12.75">
      <c r="A664" s="91"/>
    </row>
    <row r="665" spans="1:1" ht="12.75">
      <c r="A665" s="91"/>
    </row>
    <row r="666" spans="1:1" ht="12.75">
      <c r="A666" s="91"/>
    </row>
    <row r="667" spans="1:1" ht="12.75">
      <c r="A667" s="91"/>
    </row>
    <row r="668" spans="1:1" ht="12.75">
      <c r="A668" s="91"/>
    </row>
    <row r="669" spans="1:1" ht="12.75">
      <c r="A669" s="91"/>
    </row>
    <row r="670" spans="1:1" ht="12.75">
      <c r="A670" s="91"/>
    </row>
    <row r="671" spans="1:1" ht="12.75">
      <c r="A671" s="91"/>
    </row>
    <row r="672" spans="1:1" ht="12.75">
      <c r="A672" s="91"/>
    </row>
    <row r="673" spans="1:1" ht="12.75">
      <c r="A673" s="91"/>
    </row>
    <row r="674" spans="1:1" ht="12.75">
      <c r="A674" s="91"/>
    </row>
    <row r="675" spans="1:1" ht="12.75">
      <c r="A675" s="91"/>
    </row>
    <row r="676" spans="1:1" ht="12.75">
      <c r="A676" s="91"/>
    </row>
    <row r="677" spans="1:1" ht="12.75">
      <c r="A677" s="91"/>
    </row>
    <row r="678" spans="1:1" ht="12.75">
      <c r="A678" s="91"/>
    </row>
    <row r="679" spans="1:1" ht="12.75">
      <c r="A679" s="91"/>
    </row>
    <row r="680" spans="1:1" ht="12.75">
      <c r="A680" s="91"/>
    </row>
    <row r="681" spans="1:1" ht="12.75">
      <c r="A681" s="91"/>
    </row>
    <row r="682" spans="1:1" ht="12.75">
      <c r="A682" s="91"/>
    </row>
    <row r="683" spans="1:1" ht="12.75">
      <c r="A683" s="91"/>
    </row>
    <row r="684" spans="1:1" ht="12.75">
      <c r="A684" s="91"/>
    </row>
    <row r="685" spans="1:1" ht="12.75">
      <c r="A685" s="91"/>
    </row>
    <row r="686" spans="1:1" ht="12.75">
      <c r="A686" s="91"/>
    </row>
    <row r="687" spans="1:1" ht="12.75">
      <c r="A687" s="91"/>
    </row>
    <row r="688" spans="1:1" ht="12.75">
      <c r="A688" s="91"/>
    </row>
    <row r="689" spans="1:1" ht="12.75">
      <c r="A689" s="91"/>
    </row>
    <row r="690" spans="1:1" ht="12.75">
      <c r="A690" s="91"/>
    </row>
    <row r="691" spans="1:1" ht="12.75">
      <c r="A691" s="91"/>
    </row>
    <row r="692" spans="1:1" ht="12.75">
      <c r="A692" s="91"/>
    </row>
    <row r="693" spans="1:1" ht="12.75">
      <c r="A693" s="91"/>
    </row>
    <row r="694" spans="1:1" ht="12.75">
      <c r="A694" s="91"/>
    </row>
    <row r="695" spans="1:1" ht="12.75">
      <c r="A695" s="91"/>
    </row>
    <row r="696" spans="1:1" ht="12.75">
      <c r="A696" s="91"/>
    </row>
    <row r="697" spans="1:1" ht="12.75">
      <c r="A697" s="91"/>
    </row>
    <row r="698" spans="1:1" ht="12.75">
      <c r="A698" s="91"/>
    </row>
    <row r="699" spans="1:1" ht="12.75">
      <c r="A699" s="91"/>
    </row>
    <row r="700" spans="1:1" ht="12.75">
      <c r="A700" s="91"/>
    </row>
    <row r="701" spans="1:1" ht="12.75">
      <c r="A701" s="91"/>
    </row>
    <row r="702" spans="1:1" ht="12.75">
      <c r="A702" s="91"/>
    </row>
    <row r="703" spans="1:1" ht="12.75">
      <c r="A703" s="91"/>
    </row>
    <row r="704" spans="1:1" ht="12.75">
      <c r="A704" s="91"/>
    </row>
    <row r="705" spans="1:1" ht="12.75">
      <c r="A705" s="91"/>
    </row>
    <row r="706" spans="1:1" ht="12.75">
      <c r="A706" s="91"/>
    </row>
    <row r="707" spans="1:1" ht="12.75">
      <c r="A707" s="91"/>
    </row>
    <row r="708" spans="1:1" ht="12.75">
      <c r="A708" s="91"/>
    </row>
    <row r="709" spans="1:1" ht="12.75">
      <c r="A709" s="91"/>
    </row>
    <row r="710" spans="1:1" ht="12.75">
      <c r="A710" s="91"/>
    </row>
    <row r="711" spans="1:1" ht="12.75">
      <c r="A711" s="91"/>
    </row>
    <row r="712" spans="1:1" ht="12.75">
      <c r="A712" s="91"/>
    </row>
    <row r="713" spans="1:1" ht="12.75">
      <c r="A713" s="91"/>
    </row>
    <row r="714" spans="1:1" ht="12.75">
      <c r="A714" s="91"/>
    </row>
    <row r="715" spans="1:1" ht="12.75">
      <c r="A715" s="91"/>
    </row>
    <row r="716" spans="1:1" ht="12.75">
      <c r="A716" s="91"/>
    </row>
    <row r="717" spans="1:1" ht="12.75">
      <c r="A717" s="91"/>
    </row>
    <row r="718" spans="1:1" ht="12.75">
      <c r="A718" s="91"/>
    </row>
    <row r="719" spans="1:1" ht="12.75">
      <c r="A719" s="91"/>
    </row>
    <row r="720" spans="1:1" ht="12.75">
      <c r="A720" s="91"/>
    </row>
    <row r="721" spans="1:1" ht="12.75">
      <c r="A721" s="91"/>
    </row>
    <row r="722" spans="1:1" ht="12.75">
      <c r="A722" s="91"/>
    </row>
    <row r="723" spans="1:1" ht="12.75">
      <c r="A723" s="91"/>
    </row>
    <row r="724" spans="1:1" ht="12.75">
      <c r="A724" s="91"/>
    </row>
    <row r="725" spans="1:1" ht="12.75">
      <c r="A725" s="91"/>
    </row>
    <row r="726" spans="1:1" ht="12.75">
      <c r="A726" s="91"/>
    </row>
    <row r="727" spans="1:1" ht="12.75">
      <c r="A727" s="91"/>
    </row>
    <row r="728" spans="1:1" ht="12.75">
      <c r="A728" s="91"/>
    </row>
    <row r="729" spans="1:1" ht="12.75">
      <c r="A729" s="91"/>
    </row>
    <row r="730" spans="1:1" ht="12.75">
      <c r="A730" s="91"/>
    </row>
    <row r="731" spans="1:1" ht="12.75">
      <c r="A731" s="91"/>
    </row>
    <row r="732" spans="1:1" ht="12.75">
      <c r="A732" s="91"/>
    </row>
    <row r="733" spans="1:1" ht="12.75">
      <c r="A733" s="91"/>
    </row>
    <row r="734" spans="1:1" ht="12.75">
      <c r="A734" s="91"/>
    </row>
    <row r="735" spans="1:1" ht="12.75">
      <c r="A735" s="91"/>
    </row>
    <row r="736" spans="1:1" ht="12.75">
      <c r="A736" s="91"/>
    </row>
    <row r="737" spans="1:1" ht="12.75">
      <c r="A737" s="91"/>
    </row>
    <row r="738" spans="1:1" ht="12.75">
      <c r="A738" s="91"/>
    </row>
    <row r="739" spans="1:1" ht="12.75">
      <c r="A739" s="91"/>
    </row>
    <row r="740" spans="1:1" ht="12.75">
      <c r="A740" s="91"/>
    </row>
    <row r="741" spans="1:1" ht="12.75">
      <c r="A741" s="91"/>
    </row>
    <row r="742" spans="1:1" ht="12.75">
      <c r="A742" s="91"/>
    </row>
    <row r="743" spans="1:1" ht="12.75">
      <c r="A743" s="91"/>
    </row>
    <row r="744" spans="1:1" ht="12.75">
      <c r="A744" s="91"/>
    </row>
    <row r="745" spans="1:1" ht="12.75">
      <c r="A745" s="91"/>
    </row>
    <row r="746" spans="1:1" ht="12.75">
      <c r="A746" s="91"/>
    </row>
    <row r="747" spans="1:1" ht="12.75">
      <c r="A747" s="91"/>
    </row>
    <row r="748" spans="1:1" ht="12.75">
      <c r="A748" s="91"/>
    </row>
    <row r="749" spans="1:1" ht="12.75">
      <c r="A749" s="91"/>
    </row>
    <row r="750" spans="1:1" ht="12.75">
      <c r="A750" s="91"/>
    </row>
    <row r="751" spans="1:1" ht="12.75">
      <c r="A751" s="91"/>
    </row>
    <row r="752" spans="1:1" ht="12.75">
      <c r="A752" s="91"/>
    </row>
    <row r="753" spans="1:1" ht="12.75">
      <c r="A753" s="91"/>
    </row>
    <row r="754" spans="1:1" ht="12.75">
      <c r="A754" s="91"/>
    </row>
    <row r="755" spans="1:1" ht="12.75">
      <c r="A755" s="91"/>
    </row>
    <row r="756" spans="1:1" ht="12.75">
      <c r="A756" s="91"/>
    </row>
    <row r="757" spans="1:1" ht="12.75">
      <c r="A757" s="91"/>
    </row>
    <row r="758" spans="1:1" ht="12.75">
      <c r="A758" s="91"/>
    </row>
    <row r="759" spans="1:1" ht="12.75">
      <c r="A759" s="91"/>
    </row>
    <row r="760" spans="1:1" ht="12.75">
      <c r="A760" s="91"/>
    </row>
    <row r="761" spans="1:1" ht="12.75">
      <c r="A761" s="91"/>
    </row>
    <row r="762" spans="1:1" ht="12.75">
      <c r="A762" s="91"/>
    </row>
    <row r="763" spans="1:1" ht="12.75">
      <c r="A763" s="91"/>
    </row>
    <row r="764" spans="1:1" ht="12.75">
      <c r="A764" s="91"/>
    </row>
    <row r="765" spans="1:1" ht="12.75">
      <c r="A765" s="91"/>
    </row>
    <row r="766" spans="1:1" ht="12.75">
      <c r="A766" s="91"/>
    </row>
    <row r="767" spans="1:1" ht="12.75">
      <c r="A767" s="91"/>
    </row>
    <row r="768" spans="1:1" ht="12.75">
      <c r="A768" s="91"/>
    </row>
    <row r="769" spans="1:1" ht="12.75">
      <c r="A769" s="91"/>
    </row>
    <row r="770" spans="1:1" ht="12.75">
      <c r="A770" s="91"/>
    </row>
    <row r="771" spans="1:1" ht="12.75">
      <c r="A771" s="91"/>
    </row>
    <row r="772" spans="1:1" ht="12.75">
      <c r="A772" s="91"/>
    </row>
    <row r="773" spans="1:1" ht="12.75">
      <c r="A773" s="91"/>
    </row>
    <row r="774" spans="1:1" ht="12.75">
      <c r="A774" s="91"/>
    </row>
    <row r="775" spans="1:1" ht="12.75">
      <c r="A775" s="91"/>
    </row>
    <row r="776" spans="1:1" ht="12.75">
      <c r="A776" s="91"/>
    </row>
    <row r="777" spans="1:1" ht="12.75">
      <c r="A777" s="91"/>
    </row>
    <row r="778" spans="1:1" ht="12.75">
      <c r="A778" s="91"/>
    </row>
    <row r="779" spans="1:1" ht="12.75">
      <c r="A779" s="91"/>
    </row>
    <row r="780" spans="1:1" ht="12.75">
      <c r="A780" s="91"/>
    </row>
    <row r="781" spans="1:1" ht="12.75">
      <c r="A781" s="91"/>
    </row>
    <row r="782" spans="1:1" ht="12.75">
      <c r="A782" s="91"/>
    </row>
    <row r="783" spans="1:1" ht="12.75">
      <c r="A783" s="91"/>
    </row>
    <row r="784" spans="1:1" ht="12.75">
      <c r="A784" s="91"/>
    </row>
    <row r="785" spans="1:1" ht="12.75">
      <c r="A785" s="91"/>
    </row>
    <row r="786" spans="1:1" ht="12.75">
      <c r="A786" s="91"/>
    </row>
    <row r="787" spans="1:1" ht="12.75">
      <c r="A787" s="91"/>
    </row>
    <row r="788" spans="1:1" ht="12.75">
      <c r="A788" s="91"/>
    </row>
    <row r="789" spans="1:1" ht="12.75">
      <c r="A789" s="91"/>
    </row>
    <row r="790" spans="1:1" ht="12.75">
      <c r="A790" s="91"/>
    </row>
    <row r="791" spans="1:1" ht="12.75">
      <c r="A791" s="91"/>
    </row>
    <row r="792" spans="1:1" ht="12.75">
      <c r="A792" s="91"/>
    </row>
    <row r="793" spans="1:1" ht="12.75">
      <c r="A793" s="91"/>
    </row>
    <row r="794" spans="1:1" ht="12.75">
      <c r="A794" s="91"/>
    </row>
    <row r="795" spans="1:1" ht="12.75">
      <c r="A795" s="91"/>
    </row>
    <row r="796" spans="1:1" ht="12.75">
      <c r="A796" s="91"/>
    </row>
    <row r="797" spans="1:1" ht="12.75">
      <c r="A797" s="91"/>
    </row>
    <row r="798" spans="1:1" ht="12.75">
      <c r="A798" s="91"/>
    </row>
    <row r="799" spans="1:1" ht="12.75">
      <c r="A799" s="91"/>
    </row>
    <row r="800" spans="1:1" ht="12.75">
      <c r="A800" s="91"/>
    </row>
    <row r="801" spans="1:1" ht="12.75">
      <c r="A801" s="91"/>
    </row>
    <row r="802" spans="1:1" ht="12.75">
      <c r="A802" s="91"/>
    </row>
    <row r="803" spans="1:1" ht="12.75">
      <c r="A803" s="91"/>
    </row>
    <row r="804" spans="1:1" ht="12.75">
      <c r="A804" s="91"/>
    </row>
    <row r="805" spans="1:1" ht="12.75">
      <c r="A805" s="91"/>
    </row>
    <row r="806" spans="1:1" ht="12.75">
      <c r="A806" s="91"/>
    </row>
    <row r="807" spans="1:1" ht="12.75">
      <c r="A807" s="91"/>
    </row>
    <row r="808" spans="1:1" ht="12.75">
      <c r="A808" s="91"/>
    </row>
    <row r="809" spans="1:1" ht="12.75">
      <c r="A809" s="91"/>
    </row>
    <row r="810" spans="1:1" ht="12.75">
      <c r="A810" s="91"/>
    </row>
    <row r="811" spans="1:1" ht="12.75">
      <c r="A811" s="91"/>
    </row>
    <row r="812" spans="1:1" ht="12.75">
      <c r="A812" s="91"/>
    </row>
    <row r="813" spans="1:1" ht="12.75">
      <c r="A813" s="91"/>
    </row>
    <row r="814" spans="1:1" ht="12.75">
      <c r="A814" s="91"/>
    </row>
    <row r="815" spans="1:1" ht="12.75">
      <c r="A815" s="91"/>
    </row>
    <row r="816" spans="1:1" ht="12.75">
      <c r="A816" s="91"/>
    </row>
    <row r="817" spans="1:1" ht="12.75">
      <c r="A817" s="91"/>
    </row>
    <row r="818" spans="1:1" ht="12.75">
      <c r="A818" s="91"/>
    </row>
    <row r="819" spans="1:1" ht="12.75">
      <c r="A819" s="91"/>
    </row>
    <row r="820" spans="1:1" ht="12.75">
      <c r="A820" s="91"/>
    </row>
    <row r="821" spans="1:1" ht="12.75">
      <c r="A821" s="91"/>
    </row>
    <row r="822" spans="1:1" ht="12.75">
      <c r="A822" s="91"/>
    </row>
    <row r="823" spans="1:1" ht="12.75">
      <c r="A823" s="91"/>
    </row>
    <row r="824" spans="1:1" ht="12.75">
      <c r="A824" s="91"/>
    </row>
    <row r="825" spans="1:1" ht="12.75">
      <c r="A825" s="91"/>
    </row>
    <row r="826" spans="1:1" ht="12.75">
      <c r="A826" s="91"/>
    </row>
    <row r="827" spans="1:1" ht="12.75">
      <c r="A827" s="91"/>
    </row>
    <row r="828" spans="1:1" ht="12.75">
      <c r="A828" s="91"/>
    </row>
    <row r="829" spans="1:1" ht="12.75">
      <c r="A829" s="91"/>
    </row>
    <row r="830" spans="1:1" ht="12.75">
      <c r="A830" s="91"/>
    </row>
    <row r="831" spans="1:1" ht="12.75">
      <c r="A831" s="91"/>
    </row>
    <row r="832" spans="1:1" ht="12.75">
      <c r="A832" s="91"/>
    </row>
    <row r="833" spans="1:1" ht="12.75">
      <c r="A833" s="91"/>
    </row>
    <row r="834" spans="1:1" ht="12.75">
      <c r="A834" s="91"/>
    </row>
    <row r="835" spans="1:1" ht="12.75">
      <c r="A835" s="91"/>
    </row>
    <row r="836" spans="1:1" ht="12.75">
      <c r="A836" s="91"/>
    </row>
    <row r="837" spans="1:1" ht="12.75">
      <c r="A837" s="91"/>
    </row>
    <row r="838" spans="1:1" ht="12.75">
      <c r="A838" s="91"/>
    </row>
    <row r="839" spans="1:1" ht="12.75">
      <c r="A839" s="91"/>
    </row>
    <row r="840" spans="1:1" ht="12.75">
      <c r="A840" s="91"/>
    </row>
    <row r="841" spans="1:1" ht="12.75">
      <c r="A841" s="91"/>
    </row>
    <row r="842" spans="1:1" ht="12.75">
      <c r="A842" s="91"/>
    </row>
    <row r="843" spans="1:1" ht="12.75">
      <c r="A843" s="91"/>
    </row>
    <row r="844" spans="1:1" ht="12.75">
      <c r="A844" s="91"/>
    </row>
    <row r="845" spans="1:1" ht="12.75">
      <c r="A845" s="91"/>
    </row>
    <row r="846" spans="1:1" ht="12.75">
      <c r="A846" s="91"/>
    </row>
    <row r="847" spans="1:1" ht="12.75">
      <c r="A847" s="91"/>
    </row>
    <row r="848" spans="1:1" ht="12.75">
      <c r="A848" s="91"/>
    </row>
    <row r="849" spans="1:1" ht="12.75">
      <c r="A849" s="91"/>
    </row>
    <row r="850" spans="1:1" ht="12.75">
      <c r="A850" s="91"/>
    </row>
    <row r="851" spans="1:1" ht="12.75">
      <c r="A851" s="91"/>
    </row>
    <row r="852" spans="1:1" ht="12.75">
      <c r="A852" s="91"/>
    </row>
    <row r="853" spans="1:1" ht="12.75">
      <c r="A853" s="91"/>
    </row>
    <row r="854" spans="1:1" ht="12.75">
      <c r="A854" s="91"/>
    </row>
    <row r="855" spans="1:1" ht="12.75">
      <c r="A855" s="91"/>
    </row>
    <row r="856" spans="1:1" ht="12.75">
      <c r="A856" s="91"/>
    </row>
    <row r="857" spans="1:1" ht="12.75">
      <c r="A857" s="91"/>
    </row>
    <row r="858" spans="1:1" ht="12.75">
      <c r="A858" s="91"/>
    </row>
    <row r="859" spans="1:1" ht="12.75">
      <c r="A859" s="91"/>
    </row>
    <row r="860" spans="1:1" ht="12.75">
      <c r="A860" s="91"/>
    </row>
    <row r="861" spans="1:1" ht="12.75">
      <c r="A861" s="91"/>
    </row>
    <row r="862" spans="1:1" ht="12.75">
      <c r="A862" s="91"/>
    </row>
    <row r="863" spans="1:1" ht="12.75">
      <c r="A863" s="91"/>
    </row>
    <row r="864" spans="1:1" ht="12.75">
      <c r="A864" s="91"/>
    </row>
    <row r="865" spans="1:1" ht="12.75">
      <c r="A865" s="91"/>
    </row>
    <row r="866" spans="1:1" ht="12.75">
      <c r="A866" s="91"/>
    </row>
    <row r="867" spans="1:1" ht="12.75">
      <c r="A867" s="91"/>
    </row>
    <row r="868" spans="1:1" ht="12.75">
      <c r="A868" s="91"/>
    </row>
    <row r="869" spans="1:1" ht="12.75">
      <c r="A869" s="91"/>
    </row>
    <row r="870" spans="1:1" ht="12.75">
      <c r="A870" s="91"/>
    </row>
    <row r="871" spans="1:1" ht="12.75">
      <c r="A871" s="91"/>
    </row>
    <row r="872" spans="1:1" ht="12.75">
      <c r="A872" s="91"/>
    </row>
    <row r="873" spans="1:1" ht="12.75">
      <c r="A873" s="91"/>
    </row>
    <row r="874" spans="1:1" ht="12.75">
      <c r="A874" s="91"/>
    </row>
    <row r="875" spans="1:1" ht="12.75">
      <c r="A875" s="91"/>
    </row>
    <row r="876" spans="1:1" ht="12.75">
      <c r="A876" s="91"/>
    </row>
    <row r="877" spans="1:1" ht="12.75">
      <c r="A877" s="91"/>
    </row>
    <row r="878" spans="1:1" ht="12.75">
      <c r="A878" s="91"/>
    </row>
    <row r="879" spans="1:1" ht="12.75">
      <c r="A879" s="91"/>
    </row>
    <row r="880" spans="1:1" ht="12.75">
      <c r="A880" s="91"/>
    </row>
    <row r="881" spans="1:1" ht="12.75">
      <c r="A881" s="91"/>
    </row>
    <row r="882" spans="1:1" ht="12.75">
      <c r="A882" s="91"/>
    </row>
    <row r="883" spans="1:1" ht="12.75">
      <c r="A883" s="91"/>
    </row>
    <row r="884" spans="1:1" ht="12.75">
      <c r="A884" s="91"/>
    </row>
    <row r="885" spans="1:1" ht="12.75">
      <c r="A885" s="91"/>
    </row>
    <row r="886" spans="1:1" ht="12.75">
      <c r="A886" s="91"/>
    </row>
    <row r="887" spans="1:1" ht="12.75">
      <c r="A887" s="91"/>
    </row>
    <row r="888" spans="1:1" ht="12.75">
      <c r="A888" s="91"/>
    </row>
    <row r="889" spans="1:1" ht="12.75">
      <c r="A889" s="91"/>
    </row>
    <row r="890" spans="1:1" ht="12.75">
      <c r="A890" s="91"/>
    </row>
    <row r="891" spans="1:1" ht="12.75">
      <c r="A891" s="91"/>
    </row>
    <row r="892" spans="1:1" ht="12.75">
      <c r="A892" s="91"/>
    </row>
    <row r="893" spans="1:1" ht="12.75">
      <c r="A893" s="91"/>
    </row>
    <row r="894" spans="1:1" ht="12.75">
      <c r="A894" s="91"/>
    </row>
    <row r="895" spans="1:1" ht="12.75">
      <c r="A895" s="91"/>
    </row>
    <row r="896" spans="1:1" ht="12.75">
      <c r="A896" s="91"/>
    </row>
    <row r="897" spans="1:1" ht="12.75">
      <c r="A897" s="91"/>
    </row>
    <row r="898" spans="1:1" ht="12.75">
      <c r="A898" s="91"/>
    </row>
    <row r="899" spans="1:1" ht="12.75">
      <c r="A899" s="91"/>
    </row>
    <row r="900" spans="1:1" ht="12.75">
      <c r="A900" s="91"/>
    </row>
    <row r="901" spans="1:1" ht="12.75">
      <c r="A901" s="91"/>
    </row>
    <row r="902" spans="1:1" ht="12.75">
      <c r="A902" s="91"/>
    </row>
    <row r="903" spans="1:1" ht="12.75">
      <c r="A903" s="91"/>
    </row>
    <row r="904" spans="1:1" ht="12.75">
      <c r="A904" s="91"/>
    </row>
    <row r="905" spans="1:1" ht="12.75">
      <c r="A905" s="91"/>
    </row>
    <row r="906" spans="1:1" ht="12.75">
      <c r="A906" s="91"/>
    </row>
    <row r="907" spans="1:1" ht="12.75">
      <c r="A907" s="91"/>
    </row>
    <row r="908" spans="1:1" ht="12.75">
      <c r="A908" s="91"/>
    </row>
    <row r="909" spans="1:1" ht="12.75">
      <c r="A909" s="91"/>
    </row>
    <row r="910" spans="1:1" ht="12.75">
      <c r="A910" s="91"/>
    </row>
    <row r="911" spans="1:1" ht="12.75">
      <c r="A911" s="91"/>
    </row>
    <row r="912" spans="1:1" ht="12.75">
      <c r="A912" s="91"/>
    </row>
    <row r="913" spans="1:1" ht="12.75">
      <c r="A913" s="91"/>
    </row>
    <row r="914" spans="1:1" ht="12.75">
      <c r="A914" s="91"/>
    </row>
    <row r="915" spans="1:1" ht="12.75">
      <c r="A915" s="91"/>
    </row>
    <row r="916" spans="1:1" ht="12.75">
      <c r="A916" s="91"/>
    </row>
    <row r="917" spans="1:1" ht="12.75">
      <c r="A917" s="91"/>
    </row>
    <row r="918" spans="1:1" ht="12.75">
      <c r="A918" s="91"/>
    </row>
    <row r="919" spans="1:1" ht="12.75">
      <c r="A919" s="91"/>
    </row>
    <row r="920" spans="1:1" ht="12.75">
      <c r="A920" s="91"/>
    </row>
    <row r="921" spans="1:1" ht="12.75">
      <c r="A921" s="91"/>
    </row>
    <row r="922" spans="1:1" ht="12.75">
      <c r="A922" s="91"/>
    </row>
    <row r="923" spans="1:1" ht="12.75">
      <c r="A923" s="91"/>
    </row>
    <row r="924" spans="1:1" ht="12.75">
      <c r="A924" s="91"/>
    </row>
    <row r="925" spans="1:1" ht="12.75">
      <c r="A925" s="91"/>
    </row>
    <row r="926" spans="1:1" ht="12.75">
      <c r="A926" s="91"/>
    </row>
    <row r="927" spans="1:1" ht="12.75">
      <c r="A927" s="91"/>
    </row>
    <row r="928" spans="1:1" ht="12.75">
      <c r="A928" s="91"/>
    </row>
    <row r="929" spans="1:1" ht="12.75">
      <c r="A929" s="91"/>
    </row>
    <row r="930" spans="1:1" ht="12.75">
      <c r="A930" s="91"/>
    </row>
    <row r="931" spans="1:1" ht="12.75">
      <c r="A931" s="91"/>
    </row>
    <row r="932" spans="1:1" ht="12.75">
      <c r="A932" s="91"/>
    </row>
    <row r="933" spans="1:1" ht="12.75">
      <c r="A933" s="91"/>
    </row>
    <row r="934" spans="1:1" ht="12.75">
      <c r="A934" s="91"/>
    </row>
    <row r="935" spans="1:1" ht="12.75">
      <c r="A935" s="91"/>
    </row>
    <row r="936" spans="1:1" ht="12.75">
      <c r="A936" s="91"/>
    </row>
    <row r="937" spans="1:1" ht="12.75">
      <c r="A937" s="91"/>
    </row>
    <row r="938" spans="1:1" ht="12.75">
      <c r="A938" s="91"/>
    </row>
    <row r="939" spans="1:1" ht="12.75">
      <c r="A939" s="91"/>
    </row>
    <row r="940" spans="1:1" ht="12.75">
      <c r="A940" s="91"/>
    </row>
    <row r="941" spans="1:1" ht="12.75">
      <c r="A941" s="91"/>
    </row>
    <row r="942" spans="1:1" ht="12.75">
      <c r="A942" s="91"/>
    </row>
    <row r="943" spans="1:1" ht="12.75">
      <c r="A943" s="91"/>
    </row>
    <row r="944" spans="1:1" ht="12.75">
      <c r="A944" s="91"/>
    </row>
    <row r="945" spans="1:1" ht="12.75">
      <c r="A945" s="91"/>
    </row>
    <row r="946" spans="1:1" ht="12.75">
      <c r="A946" s="91"/>
    </row>
    <row r="947" spans="1:1" ht="12.75">
      <c r="A947" s="91"/>
    </row>
    <row r="948" spans="1:1" ht="12.75">
      <c r="A948" s="91"/>
    </row>
    <row r="949" spans="1:1" ht="12.75">
      <c r="A949" s="91"/>
    </row>
    <row r="950" spans="1:1" ht="12.75">
      <c r="A950" s="91"/>
    </row>
    <row r="951" spans="1:1" ht="12.75">
      <c r="A951" s="91"/>
    </row>
    <row r="952" spans="1:1" ht="12.75">
      <c r="A952" s="91"/>
    </row>
    <row r="953" spans="1:1" ht="12.75">
      <c r="A953" s="91"/>
    </row>
    <row r="954" spans="1:1" ht="12.75">
      <c r="A954" s="91"/>
    </row>
    <row r="955" spans="1:1" ht="12.75">
      <c r="A955" s="91"/>
    </row>
    <row r="956" spans="1:1" ht="12.75">
      <c r="A956" s="91"/>
    </row>
    <row r="957" spans="1:1" ht="12.75">
      <c r="A957" s="91"/>
    </row>
    <row r="958" spans="1:1" ht="12.75">
      <c r="A958" s="91"/>
    </row>
    <row r="959" spans="1:1" ht="12.75">
      <c r="A959" s="91"/>
    </row>
    <row r="960" spans="1:1" ht="12.75">
      <c r="A960" s="91"/>
    </row>
    <row r="961" spans="1:1" ht="12.75">
      <c r="A961" s="91"/>
    </row>
    <row r="962" spans="1:1" ht="12.75">
      <c r="A962" s="91"/>
    </row>
    <row r="963" spans="1:1" ht="12.75">
      <c r="A963" s="91"/>
    </row>
    <row r="964" spans="1:1" ht="12.75">
      <c r="A964" s="91"/>
    </row>
    <row r="965" spans="1:1" ht="12.75">
      <c r="A965" s="91"/>
    </row>
    <row r="966" spans="1:1" ht="12.75">
      <c r="A966" s="91"/>
    </row>
    <row r="967" spans="1:1" ht="12.75">
      <c r="A967" s="91"/>
    </row>
    <row r="968" spans="1:1" ht="12.75">
      <c r="A968" s="91"/>
    </row>
    <row r="969" spans="1:1" ht="12.75">
      <c r="A969" s="91"/>
    </row>
    <row r="970" spans="1:1" ht="12.75">
      <c r="A970" s="91"/>
    </row>
    <row r="971" spans="1:1" ht="12.75">
      <c r="A971" s="91"/>
    </row>
    <row r="972" spans="1:1" ht="12.75">
      <c r="A972" s="91"/>
    </row>
    <row r="973" spans="1:1" ht="12.75">
      <c r="A973" s="91"/>
    </row>
    <row r="974" spans="1:1" ht="12.75">
      <c r="A974" s="91"/>
    </row>
    <row r="975" spans="1:1" ht="12.75">
      <c r="A975" s="91"/>
    </row>
    <row r="976" spans="1:1" ht="12.75">
      <c r="A976" s="91"/>
    </row>
    <row r="977" spans="1:1" ht="12.75">
      <c r="A977" s="91"/>
    </row>
    <row r="978" spans="1:1" ht="12.75">
      <c r="A978" s="91"/>
    </row>
    <row r="979" spans="1:1" ht="12.75">
      <c r="A979" s="91"/>
    </row>
    <row r="980" spans="1:1" ht="12.75">
      <c r="A980" s="91"/>
    </row>
    <row r="981" spans="1:1" ht="12.75">
      <c r="A981" s="91"/>
    </row>
    <row r="982" spans="1:1" ht="12.75">
      <c r="A982" s="91"/>
    </row>
    <row r="983" spans="1:1" ht="12.75">
      <c r="A983" s="91"/>
    </row>
    <row r="984" spans="1:1" ht="12.75">
      <c r="A984" s="91"/>
    </row>
    <row r="985" spans="1:1" ht="12.75">
      <c r="A985" s="91"/>
    </row>
    <row r="986" spans="1:1" ht="12.75">
      <c r="A986" s="91"/>
    </row>
    <row r="987" spans="1:1" ht="12.75">
      <c r="A987" s="91"/>
    </row>
    <row r="988" spans="1:1" ht="12.75">
      <c r="A988" s="91"/>
    </row>
    <row r="989" spans="1:1" ht="12.75">
      <c r="A989" s="91"/>
    </row>
    <row r="990" spans="1:1" ht="12.75">
      <c r="A990" s="91"/>
    </row>
    <row r="991" spans="1:1" ht="12.75">
      <c r="A991" s="91"/>
    </row>
    <row r="992" spans="1:1" ht="12.75">
      <c r="A992" s="91"/>
    </row>
    <row r="993" spans="1:1" ht="12.75">
      <c r="A993" s="91"/>
    </row>
    <row r="994" spans="1:1" ht="12.75">
      <c r="A994" s="91"/>
    </row>
    <row r="995" spans="1:1" ht="12.75">
      <c r="A995" s="91"/>
    </row>
    <row r="996" spans="1:1" ht="12.75">
      <c r="A996" s="91"/>
    </row>
    <row r="997" spans="1:1" ht="12.75">
      <c r="A997" s="91"/>
    </row>
    <row r="998" spans="1:1" ht="12.75">
      <c r="A998" s="91"/>
    </row>
    <row r="999" spans="1:1" ht="12.75">
      <c r="A999" s="91"/>
    </row>
    <row r="1000" spans="1:1" ht="12.75">
      <c r="A1000" s="91"/>
    </row>
    <row r="1001" spans="1:1" ht="12.75">
      <c r="A1001" s="91"/>
    </row>
  </sheetData>
  <autoFilter ref="A2:C382" xr:uid="{00000000-0009-0000-0000-00001C000000}">
    <sortState xmlns:xlrd2="http://schemas.microsoft.com/office/spreadsheetml/2017/richdata2" ref="A2:C382">
      <sortCondition ref="B2:B38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Z992"/>
  <sheetViews>
    <sheetView showGridLines="0" workbookViewId="0"/>
  </sheetViews>
  <sheetFormatPr defaultColWidth="12.5703125" defaultRowHeight="15.75" customHeight="1"/>
  <cols>
    <col min="1" max="1" width="3.85546875" customWidth="1"/>
    <col min="2" max="2" width="4.28515625" customWidth="1"/>
    <col min="3" max="3" width="15.5703125" customWidth="1"/>
    <col min="4" max="4" width="12.7109375" customWidth="1"/>
    <col min="5" max="5" width="16" customWidth="1"/>
    <col min="6" max="6" width="18" customWidth="1"/>
    <col min="7" max="7" width="18.5703125" customWidth="1"/>
    <col min="8" max="8" width="12.7109375" customWidth="1"/>
    <col min="9" max="9" width="12.140625" customWidth="1"/>
    <col min="10" max="10" width="3.140625" customWidth="1"/>
  </cols>
  <sheetData>
    <row r="1" spans="2:26">
      <c r="B1" s="2">
        <f>B23</f>
        <v>0</v>
      </c>
      <c r="C1" s="3"/>
      <c r="D1" s="3"/>
      <c r="E1" s="3"/>
      <c r="F1" s="3"/>
      <c r="G1" s="3"/>
      <c r="H1" s="3"/>
      <c r="I1" s="3"/>
      <c r="J1" s="4"/>
      <c r="K1" s="5"/>
      <c r="L1" s="5"/>
      <c r="M1" s="5"/>
      <c r="N1" s="5"/>
      <c r="O1" s="5"/>
      <c r="P1" s="5"/>
      <c r="Q1" s="5"/>
      <c r="R1" s="5"/>
      <c r="S1" s="5"/>
      <c r="T1" s="5"/>
      <c r="U1" s="5"/>
      <c r="V1" s="5"/>
      <c r="W1" s="5"/>
      <c r="X1" s="5"/>
      <c r="Y1" s="5"/>
      <c r="Z1" s="5"/>
    </row>
    <row r="2" spans="2:26" ht="15.75" customHeight="1">
      <c r="B2" s="6"/>
      <c r="C2" s="137" t="s">
        <v>34</v>
      </c>
      <c r="D2" s="138"/>
      <c r="E2" s="138"/>
      <c r="F2" s="138"/>
      <c r="G2" s="138"/>
      <c r="H2" s="138"/>
      <c r="I2" s="138"/>
      <c r="J2" s="4"/>
      <c r="K2" s="5"/>
      <c r="L2" s="5"/>
      <c r="M2" s="5"/>
      <c r="N2" s="5"/>
      <c r="O2" s="5"/>
      <c r="P2" s="5"/>
      <c r="Q2" s="5"/>
      <c r="R2" s="5"/>
      <c r="S2" s="5"/>
      <c r="T2" s="5"/>
      <c r="U2" s="5"/>
      <c r="V2" s="5"/>
      <c r="W2" s="5"/>
      <c r="X2" s="5"/>
      <c r="Y2" s="5"/>
      <c r="Z2" s="5"/>
    </row>
    <row r="3" spans="2:26">
      <c r="B3" s="2"/>
      <c r="C3" s="3"/>
      <c r="D3" s="3"/>
      <c r="E3" s="3"/>
      <c r="F3" s="3"/>
      <c r="G3" s="3"/>
      <c r="H3" s="3"/>
      <c r="I3" s="3"/>
      <c r="J3" s="4"/>
      <c r="K3" s="5"/>
      <c r="L3" s="5"/>
      <c r="M3" s="5"/>
      <c r="N3" s="5"/>
      <c r="O3" s="5"/>
      <c r="P3" s="5"/>
      <c r="Q3" s="5"/>
      <c r="R3" s="5"/>
      <c r="S3" s="5"/>
      <c r="T3" s="5"/>
      <c r="U3" s="5"/>
      <c r="V3" s="5"/>
      <c r="W3" s="5"/>
      <c r="X3" s="5"/>
      <c r="Y3" s="5"/>
      <c r="Z3" s="5"/>
    </row>
    <row r="4" spans="2:26">
      <c r="B4" s="2"/>
      <c r="C4" s="3"/>
      <c r="D4" s="7" t="s">
        <v>35</v>
      </c>
      <c r="E4" s="8" t="s">
        <v>36</v>
      </c>
      <c r="F4" s="8" t="s">
        <v>37</v>
      </c>
      <c r="G4" s="8" t="s">
        <v>38</v>
      </c>
      <c r="H4" s="8" t="s">
        <v>39</v>
      </c>
      <c r="I4" s="9" t="s">
        <v>40</v>
      </c>
      <c r="J4" s="4"/>
      <c r="K4" s="5"/>
      <c r="L4" s="5"/>
      <c r="M4" s="5"/>
      <c r="N4" s="5"/>
      <c r="O4" s="5"/>
      <c r="P4" s="5"/>
      <c r="Q4" s="5"/>
      <c r="R4" s="5"/>
      <c r="S4" s="5"/>
      <c r="T4" s="5"/>
      <c r="U4" s="5"/>
      <c r="V4" s="5"/>
      <c r="W4" s="5"/>
      <c r="X4" s="5"/>
      <c r="Y4" s="5"/>
      <c r="Z4" s="5"/>
    </row>
    <row r="5" spans="2:26" ht="15.75" customHeight="1">
      <c r="B5" s="10"/>
      <c r="C5" s="11" t="s">
        <v>8</v>
      </c>
      <c r="D5" s="12" t="s">
        <v>41</v>
      </c>
      <c r="E5" s="12" t="s">
        <v>42</v>
      </c>
      <c r="F5" s="11" t="s">
        <v>43</v>
      </c>
      <c r="G5" s="11" t="s">
        <v>44</v>
      </c>
      <c r="H5" s="12" t="s">
        <v>45</v>
      </c>
      <c r="I5" s="12" t="s">
        <v>46</v>
      </c>
      <c r="J5" s="13"/>
      <c r="K5" s="14" t="s">
        <v>13</v>
      </c>
      <c r="L5" s="15"/>
      <c r="M5" s="15"/>
      <c r="N5" s="15"/>
      <c r="O5" s="15"/>
      <c r="P5" s="15"/>
      <c r="Q5" s="15"/>
      <c r="R5" s="15"/>
      <c r="S5" s="15"/>
      <c r="T5" s="15"/>
      <c r="U5" s="15"/>
      <c r="V5" s="15"/>
      <c r="W5" s="15"/>
      <c r="X5" s="15"/>
      <c r="Y5" s="15"/>
      <c r="Z5" s="15"/>
    </row>
    <row r="6" spans="2:26">
      <c r="B6" s="16"/>
      <c r="C6" s="17" t="s">
        <v>14</v>
      </c>
      <c r="D6" s="18">
        <v>9.1</v>
      </c>
      <c r="E6" s="18">
        <v>6.8</v>
      </c>
      <c r="F6" s="18">
        <v>8.3000000000000007</v>
      </c>
      <c r="G6" s="18">
        <v>6.5</v>
      </c>
      <c r="H6" s="19"/>
      <c r="I6" s="18">
        <v>7.8</v>
      </c>
      <c r="J6" s="15"/>
      <c r="K6" s="20">
        <f t="shared" ref="K6:K13" si="0">COUNT(D6:I6)</f>
        <v>5</v>
      </c>
    </row>
    <row r="7" spans="2:26">
      <c r="B7" s="16"/>
      <c r="C7" s="17" t="s">
        <v>15</v>
      </c>
      <c r="D7" s="18">
        <v>8.5</v>
      </c>
      <c r="E7" s="18">
        <v>8.1999999999999993</v>
      </c>
      <c r="F7" s="19"/>
      <c r="G7" s="18">
        <v>6</v>
      </c>
      <c r="H7" s="18">
        <v>7.5</v>
      </c>
      <c r="I7" s="18">
        <v>7</v>
      </c>
      <c r="J7" s="15"/>
      <c r="K7" s="21">
        <f t="shared" si="0"/>
        <v>5</v>
      </c>
    </row>
    <row r="8" spans="2:26">
      <c r="B8" s="16"/>
      <c r="C8" s="17" t="s">
        <v>16</v>
      </c>
      <c r="D8" s="18">
        <v>9.5</v>
      </c>
      <c r="E8" s="18">
        <v>7.5</v>
      </c>
      <c r="F8" s="18">
        <v>7.5</v>
      </c>
      <c r="G8" s="18">
        <v>6</v>
      </c>
      <c r="H8" s="18">
        <v>8.5</v>
      </c>
      <c r="I8" s="18">
        <v>7</v>
      </c>
      <c r="J8" s="15"/>
      <c r="K8" s="21">
        <f t="shared" si="0"/>
        <v>6</v>
      </c>
    </row>
    <row r="9" spans="2:26">
      <c r="B9" s="16"/>
      <c r="C9" s="17" t="s">
        <v>17</v>
      </c>
      <c r="D9" s="18">
        <v>10</v>
      </c>
      <c r="E9" s="19"/>
      <c r="F9" s="18">
        <v>6.5</v>
      </c>
      <c r="G9" s="19"/>
      <c r="H9" s="19"/>
      <c r="I9" s="18">
        <v>8.5</v>
      </c>
      <c r="J9" s="15"/>
      <c r="K9" s="21">
        <f t="shared" si="0"/>
        <v>3</v>
      </c>
    </row>
    <row r="10" spans="2:26">
      <c r="B10" s="16"/>
      <c r="C10" s="17" t="s">
        <v>18</v>
      </c>
      <c r="D10" s="19"/>
      <c r="E10" s="19"/>
      <c r="F10" s="19"/>
      <c r="G10" s="19"/>
      <c r="H10" s="19"/>
      <c r="I10" s="19"/>
      <c r="J10" s="15"/>
      <c r="K10" s="21">
        <f t="shared" si="0"/>
        <v>0</v>
      </c>
    </row>
    <row r="11" spans="2:26">
      <c r="B11" s="16"/>
      <c r="C11" s="17" t="s">
        <v>19</v>
      </c>
      <c r="D11" s="19"/>
      <c r="E11" s="19"/>
      <c r="F11" s="19"/>
      <c r="G11" s="19"/>
      <c r="H11" s="19"/>
      <c r="I11" s="19"/>
      <c r="J11" s="15"/>
      <c r="K11" s="21">
        <f t="shared" si="0"/>
        <v>0</v>
      </c>
    </row>
    <row r="12" spans="2:26">
      <c r="B12" s="16"/>
      <c r="C12" s="17" t="s">
        <v>20</v>
      </c>
      <c r="D12" s="19"/>
      <c r="E12" s="18">
        <v>6.9</v>
      </c>
      <c r="F12" s="18">
        <v>8.5</v>
      </c>
      <c r="G12" s="19"/>
      <c r="H12" s="18">
        <v>7.7</v>
      </c>
      <c r="I12" s="18">
        <v>8.1999999999999993</v>
      </c>
      <c r="J12" s="15"/>
      <c r="K12" s="21">
        <f t="shared" si="0"/>
        <v>4</v>
      </c>
    </row>
    <row r="13" spans="2:26">
      <c r="B13" s="16"/>
      <c r="C13" s="17" t="s">
        <v>21</v>
      </c>
      <c r="D13" s="19"/>
      <c r="E13" s="30">
        <v>6.7</v>
      </c>
      <c r="F13" s="30">
        <v>8.3000000000000007</v>
      </c>
      <c r="G13" s="30">
        <v>7.2</v>
      </c>
      <c r="H13" s="19"/>
      <c r="I13" s="18">
        <v>7.9</v>
      </c>
      <c r="J13" s="15"/>
      <c r="K13" s="22">
        <f t="shared" si="0"/>
        <v>4</v>
      </c>
    </row>
    <row r="14" spans="2:26" ht="15.75" customHeight="1">
      <c r="B14" s="23"/>
      <c r="C14" s="24" t="s">
        <v>22</v>
      </c>
      <c r="D14" s="25">
        <f t="shared" ref="D14:I14" si="1">IFERROR(AVERAGE(D6:D13),"-")</f>
        <v>9.2750000000000004</v>
      </c>
      <c r="E14" s="25">
        <f t="shared" si="1"/>
        <v>7.2200000000000006</v>
      </c>
      <c r="F14" s="25">
        <f t="shared" si="1"/>
        <v>7.82</v>
      </c>
      <c r="G14" s="25">
        <f t="shared" si="1"/>
        <v>6.4249999999999998</v>
      </c>
      <c r="H14" s="25">
        <f t="shared" si="1"/>
        <v>7.8999999999999995</v>
      </c>
      <c r="I14" s="25">
        <f t="shared" si="1"/>
        <v>7.7333333333333334</v>
      </c>
      <c r="J14" s="15"/>
      <c r="K14" s="26">
        <f>AVERAGE(D14:I14)</f>
        <v>7.7288888888888891</v>
      </c>
      <c r="L14" s="27" t="s">
        <v>23</v>
      </c>
    </row>
    <row r="15" spans="2:26">
      <c r="B15" s="28"/>
      <c r="J15" s="15"/>
    </row>
    <row r="16" spans="2:26">
      <c r="B16" s="28"/>
      <c r="J16" s="15"/>
    </row>
    <row r="17" spans="2:10">
      <c r="B17" s="28"/>
      <c r="J17" s="15"/>
    </row>
    <row r="18" spans="2:10">
      <c r="B18" s="28"/>
      <c r="J18" s="15"/>
    </row>
    <row r="19" spans="2:10">
      <c r="B19" s="28"/>
      <c r="J19" s="15"/>
    </row>
    <row r="20" spans="2:10" ht="12.75">
      <c r="B20" s="28"/>
      <c r="J20" s="15"/>
    </row>
    <row r="21" spans="2:10" ht="12.75">
      <c r="B21" s="28"/>
      <c r="J21" s="15"/>
    </row>
    <row r="22" spans="2:10" ht="12.75">
      <c r="B22" s="28"/>
      <c r="D22" s="1"/>
      <c r="J22" s="15"/>
    </row>
    <row r="23" spans="2:10" ht="12.75">
      <c r="B23" s="28"/>
      <c r="D23" s="1"/>
      <c r="J23" s="15"/>
    </row>
    <row r="24" spans="2:10" ht="12.75">
      <c r="B24" s="28"/>
      <c r="J24" s="15"/>
    </row>
    <row r="25" spans="2:10" ht="12.75">
      <c r="B25" s="28"/>
      <c r="J25" s="15"/>
    </row>
    <row r="26" spans="2:10" ht="12.75">
      <c r="B26" s="28"/>
      <c r="J26" s="15"/>
    </row>
    <row r="27" spans="2:10" ht="12.75">
      <c r="B27" s="28"/>
      <c r="J27" s="15"/>
    </row>
    <row r="28" spans="2:10" ht="12.75">
      <c r="B28" s="28"/>
      <c r="J28" s="15"/>
    </row>
    <row r="29" spans="2:10" ht="12.75">
      <c r="B29" s="28"/>
      <c r="J29" s="15"/>
    </row>
    <row r="30" spans="2:10" ht="12.75">
      <c r="B30" s="28"/>
      <c r="J30" s="15"/>
    </row>
    <row r="31" spans="2:10" ht="12.75">
      <c r="B31" s="28"/>
      <c r="J31" s="15"/>
    </row>
    <row r="32" spans="2:10" ht="12.75">
      <c r="B32" s="28"/>
      <c r="J32" s="15"/>
    </row>
    <row r="33" spans="2:10" ht="12.75">
      <c r="B33" s="28"/>
      <c r="J33" s="15"/>
    </row>
    <row r="34" spans="2:10" ht="12.75">
      <c r="B34" s="28"/>
      <c r="J34" s="15"/>
    </row>
    <row r="35" spans="2:10" ht="12.75">
      <c r="B35" s="28"/>
      <c r="J35" s="15"/>
    </row>
    <row r="36" spans="2:10" ht="12.75">
      <c r="B36" s="28"/>
      <c r="J36" s="15"/>
    </row>
    <row r="37" spans="2:10" ht="12.75">
      <c r="B37" s="28"/>
      <c r="H37" s="29"/>
      <c r="J37" s="15"/>
    </row>
    <row r="38" spans="2:10" ht="12.75">
      <c r="B38" s="28"/>
      <c r="J38" s="15"/>
    </row>
    <row r="39" spans="2:10" ht="12.75">
      <c r="B39" s="28"/>
      <c r="J39" s="15"/>
    </row>
    <row r="40" spans="2:10" ht="12.75">
      <c r="B40" s="28"/>
      <c r="J40" s="15"/>
    </row>
    <row r="41" spans="2:10" ht="12.75">
      <c r="B41" s="28"/>
      <c r="J41" s="15"/>
    </row>
    <row r="42" spans="2:10" ht="12.75">
      <c r="B42" s="28"/>
      <c r="J42" s="15"/>
    </row>
    <row r="43" spans="2:10" ht="12.75">
      <c r="B43" s="28"/>
      <c r="J43" s="15"/>
    </row>
    <row r="44" spans="2:10" ht="12.75">
      <c r="B44" s="28"/>
      <c r="J44" s="15"/>
    </row>
    <row r="45" spans="2:10" ht="12.75">
      <c r="B45" s="28"/>
      <c r="J45" s="15"/>
    </row>
    <row r="46" spans="2:10" ht="12.75">
      <c r="B46" s="28"/>
      <c r="J46" s="15"/>
    </row>
    <row r="47" spans="2:10" ht="12.75">
      <c r="B47" s="28"/>
      <c r="J47" s="15"/>
    </row>
    <row r="48" spans="2:10" ht="12.75">
      <c r="B48" s="28"/>
      <c r="J48" s="15"/>
    </row>
    <row r="49" spans="2:10" ht="12.75">
      <c r="B49" s="28"/>
      <c r="J49" s="15"/>
    </row>
    <row r="50" spans="2:10" ht="12.75">
      <c r="B50" s="28"/>
      <c r="J50" s="15"/>
    </row>
    <row r="51" spans="2:10" ht="12.75">
      <c r="B51" s="28"/>
      <c r="J51" s="15"/>
    </row>
    <row r="52" spans="2:10" ht="12.75">
      <c r="B52" s="28"/>
      <c r="J52" s="15"/>
    </row>
    <row r="53" spans="2:10" ht="12.75">
      <c r="B53" s="28"/>
      <c r="J53" s="15"/>
    </row>
    <row r="54" spans="2:10" ht="12.75">
      <c r="B54" s="28"/>
      <c r="J54" s="15"/>
    </row>
    <row r="55" spans="2:10" ht="12.75">
      <c r="B55" s="28"/>
      <c r="J55" s="15"/>
    </row>
    <row r="56" spans="2:10" ht="12.75">
      <c r="B56" s="28"/>
      <c r="J56" s="15"/>
    </row>
    <row r="57" spans="2:10" ht="12.75">
      <c r="B57" s="28"/>
      <c r="J57" s="15"/>
    </row>
    <row r="58" spans="2:10" ht="12.75">
      <c r="B58" s="28"/>
      <c r="J58" s="15"/>
    </row>
    <row r="59" spans="2:10" ht="12.75">
      <c r="B59" s="28"/>
      <c r="J59" s="15"/>
    </row>
    <row r="60" spans="2:10" ht="12.75">
      <c r="B60" s="28"/>
      <c r="J60" s="15"/>
    </row>
    <row r="61" spans="2:10" ht="12.75">
      <c r="B61" s="28"/>
      <c r="J61" s="15"/>
    </row>
    <row r="62" spans="2:10" ht="12.75">
      <c r="B62" s="28"/>
      <c r="J62" s="15"/>
    </row>
    <row r="63" spans="2:10" ht="12.75">
      <c r="B63" s="28"/>
      <c r="J63" s="15"/>
    </row>
    <row r="64" spans="2:10" ht="12.75">
      <c r="B64" s="28"/>
      <c r="J64" s="15"/>
    </row>
    <row r="65" spans="2:10" ht="12.75">
      <c r="B65" s="28"/>
      <c r="J65" s="15"/>
    </row>
    <row r="66" spans="2:10" ht="12.75">
      <c r="B66" s="28"/>
      <c r="J66" s="15"/>
    </row>
    <row r="67" spans="2:10" ht="12.75">
      <c r="B67" s="28"/>
      <c r="J67" s="15"/>
    </row>
    <row r="68" spans="2:10" ht="12.75">
      <c r="B68" s="28"/>
      <c r="J68" s="15"/>
    </row>
    <row r="69" spans="2:10" ht="12.75">
      <c r="B69" s="28"/>
      <c r="J69" s="15"/>
    </row>
    <row r="70" spans="2:10" ht="12.75">
      <c r="B70" s="28"/>
      <c r="J70" s="15"/>
    </row>
    <row r="71" spans="2:10" ht="12.75">
      <c r="B71" s="28"/>
      <c r="J71" s="15"/>
    </row>
    <row r="72" spans="2:10" ht="12.75">
      <c r="B72" s="28"/>
      <c r="J72" s="15"/>
    </row>
    <row r="73" spans="2:10" ht="12.75">
      <c r="B73" s="28"/>
      <c r="J73" s="15"/>
    </row>
    <row r="74" spans="2:10" ht="12.75">
      <c r="B74" s="28"/>
      <c r="J74" s="15"/>
    </row>
    <row r="75" spans="2:10" ht="12.75">
      <c r="B75" s="28"/>
      <c r="J75" s="15"/>
    </row>
    <row r="76" spans="2:10" ht="12.75">
      <c r="B76" s="28"/>
      <c r="J76" s="15"/>
    </row>
    <row r="77" spans="2:10" ht="12.75">
      <c r="B77" s="28"/>
      <c r="J77" s="15"/>
    </row>
    <row r="78" spans="2:10" ht="12.75">
      <c r="B78" s="28"/>
      <c r="J78" s="15"/>
    </row>
    <row r="79" spans="2:10" ht="12.75">
      <c r="B79" s="28"/>
      <c r="J79" s="15"/>
    </row>
    <row r="80" spans="2:10" ht="12.75">
      <c r="B80" s="28"/>
      <c r="J80" s="15"/>
    </row>
    <row r="81" spans="2:10" ht="12.75">
      <c r="B81" s="28"/>
      <c r="J81" s="15"/>
    </row>
    <row r="82" spans="2:10" ht="12.75">
      <c r="B82" s="28"/>
      <c r="J82" s="15"/>
    </row>
    <row r="83" spans="2:10" ht="12.75">
      <c r="B83" s="28"/>
      <c r="J83" s="15"/>
    </row>
    <row r="84" spans="2:10" ht="12.75">
      <c r="B84" s="28"/>
      <c r="J84" s="15"/>
    </row>
    <row r="85" spans="2:10" ht="12.75">
      <c r="B85" s="28"/>
      <c r="J85" s="15"/>
    </row>
    <row r="86" spans="2:10" ht="12.75">
      <c r="B86" s="28"/>
      <c r="J86" s="15"/>
    </row>
    <row r="87" spans="2:10" ht="12.75">
      <c r="B87" s="28"/>
      <c r="J87" s="15"/>
    </row>
    <row r="88" spans="2:10" ht="12.75">
      <c r="B88" s="28"/>
      <c r="J88" s="15"/>
    </row>
    <row r="89" spans="2:10" ht="12.75">
      <c r="B89" s="28"/>
      <c r="J89" s="15"/>
    </row>
    <row r="90" spans="2:10" ht="12.75">
      <c r="B90" s="28"/>
      <c r="J90" s="15"/>
    </row>
    <row r="91" spans="2:10" ht="12.75">
      <c r="B91" s="28"/>
      <c r="J91" s="15"/>
    </row>
    <row r="92" spans="2:10" ht="12.75">
      <c r="B92" s="28"/>
      <c r="J92" s="15"/>
    </row>
    <row r="93" spans="2:10" ht="12.75">
      <c r="B93" s="28"/>
      <c r="J93" s="15"/>
    </row>
    <row r="94" spans="2:10" ht="12.75">
      <c r="B94" s="28"/>
      <c r="J94" s="15"/>
    </row>
    <row r="95" spans="2:10" ht="12.75">
      <c r="B95" s="28"/>
      <c r="J95" s="15"/>
    </row>
    <row r="96" spans="2:10" ht="12.75">
      <c r="B96" s="28"/>
      <c r="J96" s="15"/>
    </row>
    <row r="97" spans="2:10" ht="12.75">
      <c r="B97" s="28"/>
      <c r="J97" s="15"/>
    </row>
    <row r="98" spans="2:10" ht="12.75">
      <c r="B98" s="28"/>
      <c r="J98" s="15"/>
    </row>
    <row r="99" spans="2:10" ht="12.75">
      <c r="B99" s="28"/>
      <c r="J99" s="15"/>
    </row>
    <row r="100" spans="2:10" ht="12.75">
      <c r="B100" s="28"/>
      <c r="J100" s="15"/>
    </row>
    <row r="101" spans="2:10" ht="12.75">
      <c r="B101" s="28"/>
      <c r="J101" s="15"/>
    </row>
    <row r="102" spans="2:10" ht="12.75">
      <c r="B102" s="28"/>
      <c r="J102" s="15"/>
    </row>
    <row r="103" spans="2:10" ht="12.75">
      <c r="B103" s="28"/>
      <c r="J103" s="15"/>
    </row>
    <row r="104" spans="2:10" ht="12.75">
      <c r="B104" s="28"/>
      <c r="J104" s="15"/>
    </row>
    <row r="105" spans="2:10" ht="12.75">
      <c r="B105" s="28"/>
      <c r="J105" s="15"/>
    </row>
    <row r="106" spans="2:10" ht="12.75">
      <c r="B106" s="28"/>
      <c r="J106" s="15"/>
    </row>
    <row r="107" spans="2:10" ht="12.75">
      <c r="B107" s="28"/>
      <c r="J107" s="15"/>
    </row>
    <row r="108" spans="2:10" ht="12.75">
      <c r="B108" s="28"/>
      <c r="J108" s="15"/>
    </row>
    <row r="109" spans="2:10" ht="12.75">
      <c r="B109" s="28"/>
      <c r="J109" s="15"/>
    </row>
    <row r="110" spans="2:10" ht="12.75">
      <c r="B110" s="28"/>
      <c r="J110" s="15"/>
    </row>
    <row r="111" spans="2:10" ht="12.75">
      <c r="B111" s="28"/>
      <c r="J111" s="15"/>
    </row>
    <row r="112" spans="2:10" ht="12.75">
      <c r="B112" s="28"/>
      <c r="J112" s="15"/>
    </row>
    <row r="113" spans="2:10" ht="12.75">
      <c r="B113" s="28"/>
      <c r="J113" s="15"/>
    </row>
    <row r="114" spans="2:10" ht="12.75">
      <c r="B114" s="28"/>
      <c r="J114" s="15"/>
    </row>
    <row r="115" spans="2:10" ht="12.75">
      <c r="B115" s="28"/>
      <c r="J115" s="15"/>
    </row>
    <row r="116" spans="2:10" ht="12.75">
      <c r="B116" s="28"/>
      <c r="J116" s="15"/>
    </row>
    <row r="117" spans="2:10" ht="12.75">
      <c r="B117" s="28"/>
      <c r="J117" s="15"/>
    </row>
    <row r="118" spans="2:10" ht="12.75">
      <c r="B118" s="28"/>
      <c r="J118" s="15"/>
    </row>
    <row r="119" spans="2:10" ht="12.75">
      <c r="B119" s="28"/>
      <c r="J119" s="15"/>
    </row>
    <row r="120" spans="2:10" ht="12.75">
      <c r="B120" s="28"/>
      <c r="J120" s="15"/>
    </row>
    <row r="121" spans="2:10" ht="12.75">
      <c r="B121" s="28"/>
      <c r="J121" s="15"/>
    </row>
    <row r="122" spans="2:10" ht="12.75">
      <c r="B122" s="28"/>
      <c r="J122" s="15"/>
    </row>
    <row r="123" spans="2:10" ht="12.75">
      <c r="B123" s="28"/>
      <c r="J123" s="15"/>
    </row>
    <row r="124" spans="2:10" ht="12.75">
      <c r="B124" s="28"/>
      <c r="J124" s="15"/>
    </row>
    <row r="125" spans="2:10" ht="12.75">
      <c r="B125" s="28"/>
      <c r="J125" s="15"/>
    </row>
    <row r="126" spans="2:10" ht="12.75">
      <c r="B126" s="28"/>
      <c r="J126" s="15"/>
    </row>
    <row r="127" spans="2:10" ht="12.75">
      <c r="B127" s="28"/>
      <c r="J127" s="15"/>
    </row>
    <row r="128" spans="2:10" ht="12.75">
      <c r="B128" s="28"/>
      <c r="J128" s="15"/>
    </row>
    <row r="129" spans="2:10" ht="12.75">
      <c r="B129" s="28"/>
      <c r="J129" s="15"/>
    </row>
    <row r="130" spans="2:10" ht="12.75">
      <c r="B130" s="28"/>
      <c r="J130" s="15"/>
    </row>
    <row r="131" spans="2:10" ht="12.75">
      <c r="B131" s="28"/>
      <c r="J131" s="15"/>
    </row>
    <row r="132" spans="2:10" ht="12.75">
      <c r="B132" s="28"/>
      <c r="J132" s="15"/>
    </row>
    <row r="133" spans="2:10" ht="12.75">
      <c r="B133" s="28"/>
      <c r="J133" s="15"/>
    </row>
    <row r="134" spans="2:10" ht="12.75">
      <c r="B134" s="28"/>
      <c r="J134" s="15"/>
    </row>
    <row r="135" spans="2:10" ht="12.75">
      <c r="B135" s="28"/>
      <c r="J135" s="15"/>
    </row>
    <row r="136" spans="2:10" ht="12.75">
      <c r="B136" s="28"/>
      <c r="J136" s="15"/>
    </row>
    <row r="137" spans="2:10" ht="12.75">
      <c r="B137" s="28"/>
      <c r="J137" s="15"/>
    </row>
    <row r="138" spans="2:10" ht="12.75">
      <c r="B138" s="28"/>
      <c r="J138" s="15"/>
    </row>
    <row r="139" spans="2:10" ht="12.75">
      <c r="B139" s="28"/>
      <c r="J139" s="15"/>
    </row>
    <row r="140" spans="2:10" ht="12.75">
      <c r="B140" s="28"/>
      <c r="J140" s="15"/>
    </row>
    <row r="141" spans="2:10" ht="12.75">
      <c r="B141" s="28"/>
      <c r="J141" s="15"/>
    </row>
    <row r="142" spans="2:10" ht="12.75">
      <c r="B142" s="28"/>
      <c r="J142" s="15"/>
    </row>
    <row r="143" spans="2:10" ht="12.75">
      <c r="B143" s="28"/>
      <c r="J143" s="15"/>
    </row>
    <row r="144" spans="2:10" ht="12.75">
      <c r="B144" s="28"/>
      <c r="J144" s="15"/>
    </row>
    <row r="145" spans="2:10" ht="12.75">
      <c r="B145" s="28"/>
      <c r="J145" s="15"/>
    </row>
    <row r="146" spans="2:10" ht="12.75">
      <c r="B146" s="28"/>
      <c r="J146" s="15"/>
    </row>
    <row r="147" spans="2:10" ht="12.75">
      <c r="B147" s="28"/>
      <c r="J147" s="15"/>
    </row>
    <row r="148" spans="2:10" ht="12.75">
      <c r="B148" s="28"/>
      <c r="J148" s="15"/>
    </row>
    <row r="149" spans="2:10" ht="12.75">
      <c r="B149" s="28"/>
      <c r="J149" s="15"/>
    </row>
    <row r="150" spans="2:10" ht="12.75">
      <c r="B150" s="28"/>
      <c r="J150" s="15"/>
    </row>
    <row r="151" spans="2:10" ht="12.75">
      <c r="B151" s="28"/>
      <c r="J151" s="15"/>
    </row>
    <row r="152" spans="2:10" ht="12.75">
      <c r="B152" s="28"/>
      <c r="J152" s="15"/>
    </row>
    <row r="153" spans="2:10" ht="12.75">
      <c r="B153" s="28"/>
      <c r="J153" s="15"/>
    </row>
    <row r="154" spans="2:10" ht="12.75">
      <c r="B154" s="28"/>
      <c r="J154" s="15"/>
    </row>
    <row r="155" spans="2:10" ht="12.75">
      <c r="B155" s="28"/>
      <c r="J155" s="15"/>
    </row>
    <row r="156" spans="2:10" ht="12.75">
      <c r="B156" s="28"/>
      <c r="J156" s="15"/>
    </row>
    <row r="157" spans="2:10" ht="12.75">
      <c r="B157" s="28"/>
      <c r="J157" s="15"/>
    </row>
    <row r="158" spans="2:10" ht="12.75">
      <c r="B158" s="28"/>
      <c r="J158" s="15"/>
    </row>
    <row r="159" spans="2:10" ht="12.75">
      <c r="B159" s="28"/>
      <c r="J159" s="15"/>
    </row>
    <row r="160" spans="2:10" ht="12.75">
      <c r="B160" s="28"/>
      <c r="J160" s="15"/>
    </row>
    <row r="161" spans="2:10" ht="12.75">
      <c r="B161" s="28"/>
      <c r="J161" s="15"/>
    </row>
    <row r="162" spans="2:10" ht="12.75">
      <c r="B162" s="28"/>
      <c r="J162" s="15"/>
    </row>
    <row r="163" spans="2:10" ht="12.75">
      <c r="B163" s="28"/>
      <c r="J163" s="15"/>
    </row>
    <row r="164" spans="2:10" ht="12.75">
      <c r="B164" s="28"/>
      <c r="J164" s="15"/>
    </row>
    <row r="165" spans="2:10" ht="12.75">
      <c r="B165" s="28"/>
      <c r="J165" s="15"/>
    </row>
    <row r="166" spans="2:10" ht="12.75">
      <c r="B166" s="28"/>
      <c r="J166" s="15"/>
    </row>
    <row r="167" spans="2:10" ht="12.75">
      <c r="B167" s="28"/>
      <c r="J167" s="15"/>
    </row>
    <row r="168" spans="2:10" ht="12.75">
      <c r="B168" s="28"/>
      <c r="J168" s="15"/>
    </row>
    <row r="169" spans="2:10" ht="12.75">
      <c r="B169" s="28"/>
      <c r="J169" s="15"/>
    </row>
    <row r="170" spans="2:10" ht="12.75">
      <c r="B170" s="28"/>
      <c r="J170" s="15"/>
    </row>
    <row r="171" spans="2:10" ht="12.75">
      <c r="B171" s="28"/>
      <c r="J171" s="15"/>
    </row>
    <row r="172" spans="2:10" ht="12.75">
      <c r="B172" s="28"/>
      <c r="J172" s="15"/>
    </row>
    <row r="173" spans="2:10" ht="12.75">
      <c r="B173" s="28"/>
      <c r="J173" s="15"/>
    </row>
    <row r="174" spans="2:10" ht="12.75">
      <c r="B174" s="28"/>
      <c r="J174" s="15"/>
    </row>
    <row r="175" spans="2:10" ht="12.75">
      <c r="B175" s="28"/>
      <c r="J175" s="15"/>
    </row>
    <row r="176" spans="2:10" ht="12.75">
      <c r="B176" s="28"/>
      <c r="J176" s="15"/>
    </row>
    <row r="177" spans="2:10" ht="12.75">
      <c r="B177" s="28"/>
      <c r="J177" s="15"/>
    </row>
    <row r="178" spans="2:10" ht="12.75">
      <c r="B178" s="28"/>
      <c r="J178" s="15"/>
    </row>
    <row r="179" spans="2:10" ht="12.75">
      <c r="B179" s="28"/>
      <c r="J179" s="15"/>
    </row>
    <row r="180" spans="2:10" ht="12.75">
      <c r="B180" s="28"/>
      <c r="J180" s="15"/>
    </row>
    <row r="181" spans="2:10" ht="12.75">
      <c r="B181" s="28"/>
      <c r="J181" s="15"/>
    </row>
    <row r="182" spans="2:10" ht="12.75">
      <c r="B182" s="28"/>
      <c r="J182" s="15"/>
    </row>
    <row r="183" spans="2:10" ht="12.75">
      <c r="B183" s="28"/>
      <c r="J183" s="15"/>
    </row>
    <row r="184" spans="2:10" ht="12.75">
      <c r="B184" s="28"/>
      <c r="J184" s="15"/>
    </row>
    <row r="185" spans="2:10" ht="12.75">
      <c r="B185" s="28"/>
      <c r="J185" s="15"/>
    </row>
    <row r="186" spans="2:10" ht="12.75">
      <c r="B186" s="28"/>
      <c r="J186" s="15"/>
    </row>
    <row r="187" spans="2:10" ht="12.75">
      <c r="B187" s="28"/>
      <c r="J187" s="15"/>
    </row>
    <row r="188" spans="2:10" ht="12.75">
      <c r="B188" s="28"/>
      <c r="J188" s="15"/>
    </row>
    <row r="189" spans="2:10" ht="12.75">
      <c r="B189" s="28"/>
      <c r="J189" s="15"/>
    </row>
    <row r="190" spans="2:10" ht="12.75">
      <c r="B190" s="28"/>
      <c r="J190" s="15"/>
    </row>
    <row r="191" spans="2:10" ht="12.75">
      <c r="B191" s="28"/>
      <c r="J191" s="15"/>
    </row>
    <row r="192" spans="2:10" ht="12.75">
      <c r="B192" s="28"/>
      <c r="J192" s="15"/>
    </row>
    <row r="193" spans="2:10" ht="12.75">
      <c r="B193" s="28"/>
      <c r="J193" s="15"/>
    </row>
    <row r="194" spans="2:10" ht="12.75">
      <c r="B194" s="28"/>
      <c r="J194" s="15"/>
    </row>
    <row r="195" spans="2:10" ht="12.75">
      <c r="B195" s="28"/>
      <c r="J195" s="15"/>
    </row>
    <row r="196" spans="2:10" ht="12.75">
      <c r="B196" s="28"/>
      <c r="J196" s="15"/>
    </row>
    <row r="197" spans="2:10" ht="12.75">
      <c r="B197" s="28"/>
      <c r="J197" s="15"/>
    </row>
    <row r="198" spans="2:10" ht="12.75">
      <c r="B198" s="28"/>
      <c r="J198" s="15"/>
    </row>
    <row r="199" spans="2:10" ht="12.75">
      <c r="B199" s="28"/>
      <c r="J199" s="15"/>
    </row>
    <row r="200" spans="2:10" ht="12.75">
      <c r="B200" s="28"/>
      <c r="J200" s="15"/>
    </row>
    <row r="201" spans="2:10" ht="12.75">
      <c r="B201" s="28"/>
      <c r="J201" s="15"/>
    </row>
    <row r="202" spans="2:10" ht="12.75">
      <c r="B202" s="28"/>
      <c r="J202" s="15"/>
    </row>
    <row r="203" spans="2:10" ht="12.75">
      <c r="B203" s="28"/>
      <c r="J203" s="15"/>
    </row>
    <row r="204" spans="2:10" ht="12.75">
      <c r="B204" s="28"/>
      <c r="J204" s="15"/>
    </row>
    <row r="205" spans="2:10" ht="12.75">
      <c r="B205" s="28"/>
      <c r="J205" s="15"/>
    </row>
    <row r="206" spans="2:10" ht="12.75">
      <c r="B206" s="28"/>
      <c r="J206" s="15"/>
    </row>
    <row r="207" spans="2:10" ht="12.75">
      <c r="B207" s="28"/>
      <c r="J207" s="15"/>
    </row>
    <row r="208" spans="2:10" ht="12.75">
      <c r="B208" s="28"/>
      <c r="J208" s="15"/>
    </row>
    <row r="209" spans="2:10" ht="12.75">
      <c r="B209" s="28"/>
      <c r="J209" s="15"/>
    </row>
    <row r="210" spans="2:10" ht="12.75">
      <c r="B210" s="28"/>
      <c r="J210" s="15"/>
    </row>
    <row r="211" spans="2:10" ht="12.75">
      <c r="B211" s="28"/>
      <c r="J211" s="15"/>
    </row>
    <row r="212" spans="2:10" ht="12.75">
      <c r="B212" s="28"/>
      <c r="J212" s="15"/>
    </row>
    <row r="213" spans="2:10" ht="12.75">
      <c r="B213" s="28"/>
      <c r="J213" s="15"/>
    </row>
    <row r="214" spans="2:10" ht="12.75">
      <c r="B214" s="28"/>
      <c r="J214" s="15"/>
    </row>
    <row r="215" spans="2:10" ht="12.75">
      <c r="B215" s="28"/>
      <c r="J215" s="15"/>
    </row>
    <row r="216" spans="2:10" ht="12.75">
      <c r="B216" s="28"/>
      <c r="J216" s="15"/>
    </row>
    <row r="217" spans="2:10" ht="12.75">
      <c r="B217" s="28"/>
      <c r="J217" s="15"/>
    </row>
    <row r="218" spans="2:10" ht="12.75">
      <c r="B218" s="28"/>
      <c r="J218" s="15"/>
    </row>
    <row r="219" spans="2:10" ht="12.75">
      <c r="B219" s="28"/>
      <c r="J219" s="15"/>
    </row>
    <row r="220" spans="2:10" ht="12.75">
      <c r="B220" s="28"/>
      <c r="J220" s="15"/>
    </row>
    <row r="221" spans="2:10" ht="12.75">
      <c r="B221" s="28"/>
      <c r="J221" s="15"/>
    </row>
    <row r="222" spans="2:10" ht="12.75">
      <c r="B222" s="28"/>
      <c r="J222" s="15"/>
    </row>
    <row r="223" spans="2:10" ht="12.75">
      <c r="B223" s="28"/>
      <c r="J223" s="15"/>
    </row>
    <row r="224" spans="2:10" ht="12.75">
      <c r="B224" s="28"/>
      <c r="J224" s="15"/>
    </row>
    <row r="225" spans="2:10" ht="12.75">
      <c r="B225" s="28"/>
      <c r="J225" s="15"/>
    </row>
    <row r="226" spans="2:10" ht="12.75">
      <c r="B226" s="28"/>
      <c r="J226" s="15"/>
    </row>
    <row r="227" spans="2:10" ht="12.75">
      <c r="B227" s="28"/>
      <c r="J227" s="15"/>
    </row>
    <row r="228" spans="2:10" ht="12.75">
      <c r="B228" s="28"/>
      <c r="J228" s="15"/>
    </row>
    <row r="229" spans="2:10" ht="12.75">
      <c r="B229" s="28"/>
      <c r="J229" s="15"/>
    </row>
    <row r="230" spans="2:10" ht="12.75">
      <c r="B230" s="28"/>
      <c r="J230" s="15"/>
    </row>
    <row r="231" spans="2:10" ht="12.75">
      <c r="B231" s="28"/>
      <c r="J231" s="15"/>
    </row>
    <row r="232" spans="2:10" ht="12.75">
      <c r="B232" s="28"/>
      <c r="J232" s="15"/>
    </row>
    <row r="233" spans="2:10" ht="12.75">
      <c r="B233" s="28"/>
      <c r="J233" s="15"/>
    </row>
    <row r="234" spans="2:10" ht="12.75">
      <c r="B234" s="28"/>
      <c r="J234" s="15"/>
    </row>
    <row r="235" spans="2:10" ht="12.75">
      <c r="B235" s="28"/>
      <c r="J235" s="15"/>
    </row>
    <row r="236" spans="2:10" ht="12.75">
      <c r="B236" s="28"/>
      <c r="J236" s="15"/>
    </row>
    <row r="237" spans="2:10" ht="12.75">
      <c r="B237" s="28"/>
      <c r="J237" s="15"/>
    </row>
    <row r="238" spans="2:10" ht="12.75">
      <c r="B238" s="28"/>
      <c r="J238" s="15"/>
    </row>
    <row r="239" spans="2:10" ht="12.75">
      <c r="B239" s="28"/>
      <c r="J239" s="15"/>
    </row>
    <row r="240" spans="2:10" ht="12.75">
      <c r="B240" s="28"/>
      <c r="J240" s="15"/>
    </row>
    <row r="241" spans="2:10" ht="12.75">
      <c r="B241" s="28"/>
      <c r="J241" s="15"/>
    </row>
    <row r="242" spans="2:10" ht="12.75">
      <c r="B242" s="28"/>
      <c r="J242" s="15"/>
    </row>
    <row r="243" spans="2:10" ht="12.75">
      <c r="B243" s="28"/>
      <c r="J243" s="15"/>
    </row>
    <row r="244" spans="2:10" ht="12.75">
      <c r="B244" s="28"/>
      <c r="J244" s="15"/>
    </row>
    <row r="245" spans="2:10" ht="12.75">
      <c r="B245" s="28"/>
      <c r="J245" s="15"/>
    </row>
    <row r="246" spans="2:10" ht="12.75">
      <c r="B246" s="28"/>
      <c r="J246" s="15"/>
    </row>
    <row r="247" spans="2:10" ht="12.75">
      <c r="B247" s="28"/>
      <c r="J247" s="15"/>
    </row>
    <row r="248" spans="2:10" ht="12.75">
      <c r="B248" s="28"/>
      <c r="J248" s="15"/>
    </row>
    <row r="249" spans="2:10" ht="12.75">
      <c r="B249" s="28"/>
      <c r="J249" s="15"/>
    </row>
    <row r="250" spans="2:10" ht="12.75">
      <c r="B250" s="28"/>
      <c r="J250" s="15"/>
    </row>
    <row r="251" spans="2:10" ht="12.75">
      <c r="B251" s="28"/>
      <c r="J251" s="15"/>
    </row>
    <row r="252" spans="2:10" ht="12.75">
      <c r="B252" s="28"/>
      <c r="J252" s="15"/>
    </row>
    <row r="253" spans="2:10" ht="12.75">
      <c r="B253" s="28"/>
      <c r="J253" s="15"/>
    </row>
    <row r="254" spans="2:10" ht="12.75">
      <c r="B254" s="28"/>
      <c r="J254" s="15"/>
    </row>
    <row r="255" spans="2:10" ht="12.75">
      <c r="B255" s="28"/>
      <c r="J255" s="15"/>
    </row>
    <row r="256" spans="2:10" ht="12.75">
      <c r="B256" s="28"/>
      <c r="J256" s="15"/>
    </row>
    <row r="257" spans="2:10" ht="12.75">
      <c r="B257" s="28"/>
      <c r="J257" s="15"/>
    </row>
    <row r="258" spans="2:10" ht="12.75">
      <c r="B258" s="28"/>
      <c r="J258" s="15"/>
    </row>
    <row r="259" spans="2:10" ht="12.75">
      <c r="B259" s="28"/>
      <c r="J259" s="15"/>
    </row>
    <row r="260" spans="2:10" ht="12.75">
      <c r="B260" s="28"/>
      <c r="J260" s="15"/>
    </row>
    <row r="261" spans="2:10" ht="12.75">
      <c r="B261" s="28"/>
      <c r="J261" s="15"/>
    </row>
    <row r="262" spans="2:10" ht="12.75">
      <c r="B262" s="28"/>
      <c r="J262" s="15"/>
    </row>
    <row r="263" spans="2:10" ht="12.75">
      <c r="B263" s="28"/>
      <c r="J263" s="15"/>
    </row>
    <row r="264" spans="2:10" ht="12.75">
      <c r="B264" s="28"/>
      <c r="J264" s="15"/>
    </row>
    <row r="265" spans="2:10" ht="12.75">
      <c r="B265" s="28"/>
      <c r="J265" s="15"/>
    </row>
    <row r="266" spans="2:10" ht="12.75">
      <c r="B266" s="28"/>
      <c r="J266" s="15"/>
    </row>
    <row r="267" spans="2:10" ht="12.75">
      <c r="B267" s="28"/>
      <c r="J267" s="15"/>
    </row>
    <row r="268" spans="2:10" ht="12.75">
      <c r="B268" s="28"/>
      <c r="J268" s="15"/>
    </row>
    <row r="269" spans="2:10" ht="12.75">
      <c r="B269" s="28"/>
      <c r="J269" s="15"/>
    </row>
    <row r="270" spans="2:10" ht="12.75">
      <c r="B270" s="28"/>
      <c r="J270" s="15"/>
    </row>
    <row r="271" spans="2:10" ht="12.75">
      <c r="B271" s="28"/>
      <c r="J271" s="15"/>
    </row>
    <row r="272" spans="2:10" ht="12.75">
      <c r="B272" s="28"/>
      <c r="J272" s="15"/>
    </row>
    <row r="273" spans="2:10" ht="12.75">
      <c r="B273" s="28"/>
      <c r="J273" s="15"/>
    </row>
    <row r="274" spans="2:10" ht="12.75">
      <c r="B274" s="28"/>
      <c r="J274" s="15"/>
    </row>
    <row r="275" spans="2:10" ht="12.75">
      <c r="B275" s="28"/>
      <c r="J275" s="15"/>
    </row>
    <row r="276" spans="2:10" ht="12.75">
      <c r="B276" s="28"/>
      <c r="J276" s="15"/>
    </row>
    <row r="277" spans="2:10" ht="12.75">
      <c r="B277" s="28"/>
      <c r="J277" s="15"/>
    </row>
    <row r="278" spans="2:10" ht="12.75">
      <c r="B278" s="28"/>
      <c r="J278" s="15"/>
    </row>
    <row r="279" spans="2:10" ht="12.75">
      <c r="B279" s="28"/>
      <c r="J279" s="15"/>
    </row>
    <row r="280" spans="2:10" ht="12.75">
      <c r="B280" s="28"/>
      <c r="J280" s="15"/>
    </row>
    <row r="281" spans="2:10" ht="12.75">
      <c r="B281" s="28"/>
      <c r="J281" s="15"/>
    </row>
    <row r="282" spans="2:10" ht="12.75">
      <c r="B282" s="28"/>
      <c r="J282" s="15"/>
    </row>
    <row r="283" spans="2:10" ht="12.75">
      <c r="B283" s="28"/>
      <c r="J283" s="15"/>
    </row>
    <row r="284" spans="2:10" ht="12.75">
      <c r="B284" s="28"/>
      <c r="J284" s="15"/>
    </row>
    <row r="285" spans="2:10" ht="12.75">
      <c r="B285" s="28"/>
      <c r="J285" s="15"/>
    </row>
    <row r="286" spans="2:10" ht="12.75">
      <c r="B286" s="28"/>
      <c r="J286" s="15"/>
    </row>
    <row r="287" spans="2:10" ht="12.75">
      <c r="B287" s="28"/>
      <c r="J287" s="15"/>
    </row>
    <row r="288" spans="2:10" ht="12.75">
      <c r="B288" s="28"/>
      <c r="J288" s="15"/>
    </row>
    <row r="289" spans="2:10" ht="12.75">
      <c r="B289" s="28"/>
      <c r="J289" s="15"/>
    </row>
    <row r="290" spans="2:10" ht="12.75">
      <c r="B290" s="28"/>
      <c r="J290" s="15"/>
    </row>
    <row r="291" spans="2:10" ht="12.75">
      <c r="B291" s="28"/>
      <c r="J291" s="15"/>
    </row>
    <row r="292" spans="2:10" ht="12.75">
      <c r="B292" s="28"/>
      <c r="J292" s="15"/>
    </row>
    <row r="293" spans="2:10" ht="12.75">
      <c r="B293" s="28"/>
      <c r="J293" s="15"/>
    </row>
    <row r="294" spans="2:10" ht="12.75">
      <c r="B294" s="28"/>
      <c r="J294" s="15"/>
    </row>
    <row r="295" spans="2:10" ht="12.75">
      <c r="B295" s="28"/>
      <c r="J295" s="15"/>
    </row>
    <row r="296" spans="2:10" ht="12.75">
      <c r="B296" s="28"/>
      <c r="J296" s="15"/>
    </row>
    <row r="297" spans="2:10" ht="12.75">
      <c r="B297" s="28"/>
      <c r="J297" s="15"/>
    </row>
    <row r="298" spans="2:10" ht="12.75">
      <c r="B298" s="28"/>
      <c r="J298" s="15"/>
    </row>
    <row r="299" spans="2:10" ht="12.75">
      <c r="B299" s="28"/>
      <c r="J299" s="15"/>
    </row>
    <row r="300" spans="2:10" ht="12.75">
      <c r="B300" s="28"/>
      <c r="J300" s="15"/>
    </row>
    <row r="301" spans="2:10" ht="12.75">
      <c r="B301" s="28"/>
      <c r="J301" s="15"/>
    </row>
    <row r="302" spans="2:10" ht="12.75">
      <c r="B302" s="28"/>
      <c r="J302" s="15"/>
    </row>
    <row r="303" spans="2:10" ht="12.75">
      <c r="B303" s="28"/>
      <c r="J303" s="15"/>
    </row>
    <row r="304" spans="2:10" ht="12.75">
      <c r="B304" s="28"/>
      <c r="J304" s="15"/>
    </row>
    <row r="305" spans="2:10" ht="12.75">
      <c r="B305" s="28"/>
      <c r="J305" s="15"/>
    </row>
    <row r="306" spans="2:10" ht="12.75">
      <c r="B306" s="28"/>
      <c r="J306" s="15"/>
    </row>
    <row r="307" spans="2:10" ht="12.75">
      <c r="B307" s="28"/>
      <c r="J307" s="15"/>
    </row>
    <row r="308" spans="2:10" ht="12.75">
      <c r="B308" s="28"/>
      <c r="J308" s="15"/>
    </row>
    <row r="309" spans="2:10" ht="12.75">
      <c r="B309" s="28"/>
      <c r="J309" s="15"/>
    </row>
    <row r="310" spans="2:10" ht="12.75">
      <c r="B310" s="28"/>
      <c r="J310" s="15"/>
    </row>
    <row r="311" spans="2:10" ht="12.75">
      <c r="B311" s="28"/>
      <c r="J311" s="15"/>
    </row>
    <row r="312" spans="2:10" ht="12.75">
      <c r="B312" s="28"/>
      <c r="J312" s="15"/>
    </row>
    <row r="313" spans="2:10" ht="12.75">
      <c r="B313" s="28"/>
      <c r="J313" s="15"/>
    </row>
    <row r="314" spans="2:10" ht="12.75">
      <c r="B314" s="28"/>
      <c r="J314" s="15"/>
    </row>
    <row r="315" spans="2:10" ht="12.75">
      <c r="B315" s="28"/>
      <c r="J315" s="15"/>
    </row>
    <row r="316" spans="2:10" ht="12.75">
      <c r="B316" s="28"/>
      <c r="J316" s="15"/>
    </row>
    <row r="317" spans="2:10" ht="12.75">
      <c r="B317" s="28"/>
      <c r="J317" s="15"/>
    </row>
    <row r="318" spans="2:10" ht="12.75">
      <c r="B318" s="28"/>
      <c r="J318" s="15"/>
    </row>
    <row r="319" spans="2:10" ht="12.75">
      <c r="B319" s="28"/>
      <c r="J319" s="15"/>
    </row>
    <row r="320" spans="2:10" ht="12.75">
      <c r="B320" s="28"/>
      <c r="J320" s="15"/>
    </row>
    <row r="321" spans="2:10" ht="12.75">
      <c r="B321" s="28"/>
      <c r="J321" s="15"/>
    </row>
    <row r="322" spans="2:10" ht="12.75">
      <c r="B322" s="28"/>
      <c r="J322" s="15"/>
    </row>
    <row r="323" spans="2:10" ht="12.75">
      <c r="B323" s="28"/>
      <c r="J323" s="15"/>
    </row>
    <row r="324" spans="2:10" ht="12.75">
      <c r="B324" s="28"/>
      <c r="J324" s="15"/>
    </row>
    <row r="325" spans="2:10" ht="12.75">
      <c r="B325" s="28"/>
      <c r="J325" s="15"/>
    </row>
    <row r="326" spans="2:10" ht="12.75">
      <c r="B326" s="28"/>
      <c r="J326" s="15"/>
    </row>
    <row r="327" spans="2:10" ht="12.75">
      <c r="B327" s="28"/>
      <c r="J327" s="15"/>
    </row>
    <row r="328" spans="2:10" ht="12.75">
      <c r="B328" s="28"/>
      <c r="J328" s="15"/>
    </row>
    <row r="329" spans="2:10" ht="12.75">
      <c r="B329" s="28"/>
      <c r="J329" s="15"/>
    </row>
    <row r="330" spans="2:10" ht="12.75">
      <c r="B330" s="28"/>
      <c r="J330" s="15"/>
    </row>
    <row r="331" spans="2:10" ht="12.75">
      <c r="B331" s="28"/>
      <c r="J331" s="15"/>
    </row>
    <row r="332" spans="2:10" ht="12.75">
      <c r="B332" s="28"/>
      <c r="J332" s="15"/>
    </row>
    <row r="333" spans="2:10" ht="12.75">
      <c r="B333" s="28"/>
      <c r="J333" s="15"/>
    </row>
    <row r="334" spans="2:10" ht="12.75">
      <c r="B334" s="28"/>
      <c r="J334" s="15"/>
    </row>
    <row r="335" spans="2:10" ht="12.75">
      <c r="B335" s="28"/>
      <c r="J335" s="15"/>
    </row>
    <row r="336" spans="2:10" ht="12.75">
      <c r="B336" s="28"/>
      <c r="J336" s="15"/>
    </row>
    <row r="337" spans="2:10" ht="12.75">
      <c r="B337" s="28"/>
      <c r="J337" s="15"/>
    </row>
    <row r="338" spans="2:10" ht="12.75">
      <c r="B338" s="28"/>
      <c r="J338" s="15"/>
    </row>
    <row r="339" spans="2:10" ht="12.75">
      <c r="B339" s="28"/>
      <c r="J339" s="15"/>
    </row>
    <row r="340" spans="2:10" ht="12.75">
      <c r="B340" s="28"/>
      <c r="J340" s="15"/>
    </row>
    <row r="341" spans="2:10" ht="12.75">
      <c r="B341" s="28"/>
      <c r="J341" s="15"/>
    </row>
    <row r="342" spans="2:10" ht="12.75">
      <c r="B342" s="28"/>
      <c r="J342" s="15"/>
    </row>
    <row r="343" spans="2:10" ht="12.75">
      <c r="B343" s="28"/>
      <c r="J343" s="15"/>
    </row>
    <row r="344" spans="2:10" ht="12.75">
      <c r="B344" s="28"/>
      <c r="J344" s="15"/>
    </row>
    <row r="345" spans="2:10" ht="12.75">
      <c r="B345" s="28"/>
      <c r="J345" s="15"/>
    </row>
    <row r="346" spans="2:10" ht="12.75">
      <c r="B346" s="28"/>
      <c r="J346" s="15"/>
    </row>
    <row r="347" spans="2:10" ht="12.75">
      <c r="B347" s="28"/>
      <c r="J347" s="15"/>
    </row>
    <row r="348" spans="2:10" ht="12.75">
      <c r="B348" s="28"/>
      <c r="J348" s="15"/>
    </row>
    <row r="349" spans="2:10" ht="12.75">
      <c r="B349" s="28"/>
      <c r="J349" s="15"/>
    </row>
    <row r="350" spans="2:10" ht="12.75">
      <c r="B350" s="28"/>
      <c r="J350" s="15"/>
    </row>
    <row r="351" spans="2:10" ht="12.75">
      <c r="B351" s="28"/>
      <c r="J351" s="15"/>
    </row>
    <row r="352" spans="2:10" ht="12.75">
      <c r="B352" s="28"/>
      <c r="J352" s="15"/>
    </row>
    <row r="353" spans="2:10" ht="12.75">
      <c r="B353" s="28"/>
      <c r="J353" s="15"/>
    </row>
    <row r="354" spans="2:10" ht="12.75">
      <c r="B354" s="28"/>
      <c r="J354" s="15"/>
    </row>
    <row r="355" spans="2:10" ht="12.75">
      <c r="B355" s="28"/>
      <c r="J355" s="15"/>
    </row>
    <row r="356" spans="2:10" ht="12.75">
      <c r="B356" s="28"/>
      <c r="J356" s="15"/>
    </row>
    <row r="357" spans="2:10" ht="12.75">
      <c r="B357" s="28"/>
      <c r="J357" s="15"/>
    </row>
    <row r="358" spans="2:10" ht="12.75">
      <c r="B358" s="28"/>
      <c r="J358" s="15"/>
    </row>
    <row r="359" spans="2:10" ht="12.75">
      <c r="B359" s="28"/>
      <c r="J359" s="15"/>
    </row>
    <row r="360" spans="2:10" ht="12.75">
      <c r="B360" s="28"/>
      <c r="J360" s="15"/>
    </row>
    <row r="361" spans="2:10" ht="12.75">
      <c r="B361" s="28"/>
      <c r="J361" s="15"/>
    </row>
    <row r="362" spans="2:10" ht="12.75">
      <c r="B362" s="28"/>
      <c r="J362" s="15"/>
    </row>
    <row r="363" spans="2:10" ht="12.75">
      <c r="B363" s="28"/>
      <c r="J363" s="15"/>
    </row>
    <row r="364" spans="2:10" ht="12.75">
      <c r="B364" s="28"/>
      <c r="J364" s="15"/>
    </row>
    <row r="365" spans="2:10" ht="12.75">
      <c r="B365" s="28"/>
      <c r="J365" s="15"/>
    </row>
    <row r="366" spans="2:10" ht="12.75">
      <c r="B366" s="28"/>
      <c r="J366" s="15"/>
    </row>
    <row r="367" spans="2:10" ht="12.75">
      <c r="B367" s="28"/>
      <c r="J367" s="15"/>
    </row>
    <row r="368" spans="2:10" ht="12.75">
      <c r="B368" s="28"/>
      <c r="J368" s="15"/>
    </row>
    <row r="369" spans="2:10" ht="12.75">
      <c r="B369" s="28"/>
      <c r="J369" s="15"/>
    </row>
    <row r="370" spans="2:10" ht="12.75">
      <c r="B370" s="28"/>
      <c r="J370" s="15"/>
    </row>
    <row r="371" spans="2:10" ht="12.75">
      <c r="B371" s="28"/>
      <c r="J371" s="15"/>
    </row>
    <row r="372" spans="2:10" ht="12.75">
      <c r="B372" s="28"/>
      <c r="J372" s="15"/>
    </row>
    <row r="373" spans="2:10" ht="12.75">
      <c r="B373" s="28"/>
      <c r="J373" s="15"/>
    </row>
    <row r="374" spans="2:10" ht="12.75">
      <c r="B374" s="28"/>
      <c r="J374" s="15"/>
    </row>
    <row r="375" spans="2:10" ht="12.75">
      <c r="B375" s="28"/>
      <c r="J375" s="15"/>
    </row>
    <row r="376" spans="2:10" ht="12.75">
      <c r="B376" s="28"/>
      <c r="J376" s="15"/>
    </row>
    <row r="377" spans="2:10" ht="12.75">
      <c r="B377" s="28"/>
      <c r="J377" s="15"/>
    </row>
    <row r="378" spans="2:10" ht="12.75">
      <c r="B378" s="28"/>
      <c r="J378" s="15"/>
    </row>
    <row r="379" spans="2:10" ht="12.75">
      <c r="B379" s="28"/>
      <c r="J379" s="15"/>
    </row>
    <row r="380" spans="2:10" ht="12.75">
      <c r="B380" s="28"/>
      <c r="J380" s="15"/>
    </row>
    <row r="381" spans="2:10" ht="12.75">
      <c r="B381" s="28"/>
      <c r="J381" s="15"/>
    </row>
    <row r="382" spans="2:10" ht="12.75">
      <c r="B382" s="28"/>
      <c r="J382" s="15"/>
    </row>
    <row r="383" spans="2:10" ht="12.75">
      <c r="B383" s="28"/>
      <c r="J383" s="15"/>
    </row>
    <row r="384" spans="2:10" ht="12.75">
      <c r="B384" s="28"/>
      <c r="J384" s="15"/>
    </row>
    <row r="385" spans="2:10" ht="12.75">
      <c r="B385" s="28"/>
      <c r="J385" s="15"/>
    </row>
    <row r="386" spans="2:10" ht="12.75">
      <c r="B386" s="28"/>
      <c r="J386" s="15"/>
    </row>
    <row r="387" spans="2:10" ht="12.75">
      <c r="B387" s="28"/>
      <c r="J387" s="15"/>
    </row>
    <row r="388" spans="2:10" ht="12.75">
      <c r="B388" s="28"/>
      <c r="J388" s="15"/>
    </row>
    <row r="389" spans="2:10" ht="12.75">
      <c r="B389" s="28"/>
      <c r="J389" s="15"/>
    </row>
    <row r="390" spans="2:10" ht="12.75">
      <c r="B390" s="28"/>
      <c r="J390" s="15"/>
    </row>
    <row r="391" spans="2:10" ht="12.75">
      <c r="B391" s="28"/>
      <c r="J391" s="15"/>
    </row>
    <row r="392" spans="2:10" ht="12.75">
      <c r="B392" s="28"/>
      <c r="J392" s="15"/>
    </row>
    <row r="393" spans="2:10" ht="12.75">
      <c r="B393" s="28"/>
      <c r="J393" s="15"/>
    </row>
    <row r="394" spans="2:10" ht="12.75">
      <c r="B394" s="28"/>
      <c r="J394" s="15"/>
    </row>
    <row r="395" spans="2:10" ht="12.75">
      <c r="B395" s="28"/>
      <c r="J395" s="15"/>
    </row>
    <row r="396" spans="2:10" ht="12.75">
      <c r="B396" s="28"/>
      <c r="J396" s="15"/>
    </row>
    <row r="397" spans="2:10" ht="12.75">
      <c r="B397" s="28"/>
      <c r="J397" s="15"/>
    </row>
    <row r="398" spans="2:10" ht="12.75">
      <c r="B398" s="28"/>
      <c r="J398" s="15"/>
    </row>
    <row r="399" spans="2:10" ht="12.75">
      <c r="B399" s="28"/>
      <c r="J399" s="15"/>
    </row>
    <row r="400" spans="2:10" ht="12.75">
      <c r="B400" s="28"/>
      <c r="J400" s="15"/>
    </row>
    <row r="401" spans="2:10" ht="12.75">
      <c r="B401" s="28"/>
      <c r="J401" s="15"/>
    </row>
    <row r="402" spans="2:10" ht="12.75">
      <c r="B402" s="28"/>
      <c r="J402" s="15"/>
    </row>
    <row r="403" spans="2:10" ht="12.75">
      <c r="B403" s="28"/>
      <c r="J403" s="15"/>
    </row>
    <row r="404" spans="2:10" ht="12.75">
      <c r="B404" s="28"/>
      <c r="J404" s="15"/>
    </row>
    <row r="405" spans="2:10" ht="12.75">
      <c r="B405" s="28"/>
      <c r="J405" s="15"/>
    </row>
    <row r="406" spans="2:10" ht="12.75">
      <c r="B406" s="28"/>
      <c r="J406" s="15"/>
    </row>
    <row r="407" spans="2:10" ht="12.75">
      <c r="B407" s="28"/>
      <c r="J407" s="15"/>
    </row>
    <row r="408" spans="2:10" ht="12.75">
      <c r="B408" s="28"/>
      <c r="J408" s="15"/>
    </row>
    <row r="409" spans="2:10" ht="12.75">
      <c r="B409" s="28"/>
      <c r="J409" s="15"/>
    </row>
    <row r="410" spans="2:10" ht="12.75">
      <c r="B410" s="28"/>
      <c r="J410" s="15"/>
    </row>
    <row r="411" spans="2:10" ht="12.75">
      <c r="B411" s="28"/>
      <c r="J411" s="15"/>
    </row>
    <row r="412" spans="2:10" ht="12.75">
      <c r="B412" s="28"/>
      <c r="J412" s="15"/>
    </row>
    <row r="413" spans="2:10" ht="12.75">
      <c r="B413" s="28"/>
      <c r="J413" s="15"/>
    </row>
    <row r="414" spans="2:10" ht="12.75">
      <c r="B414" s="28"/>
      <c r="J414" s="15"/>
    </row>
    <row r="415" spans="2:10" ht="12.75">
      <c r="B415" s="28"/>
      <c r="J415" s="15"/>
    </row>
    <row r="416" spans="2:10" ht="12.75">
      <c r="B416" s="28"/>
      <c r="J416" s="15"/>
    </row>
    <row r="417" spans="2:10" ht="12.75">
      <c r="B417" s="28"/>
      <c r="J417" s="15"/>
    </row>
    <row r="418" spans="2:10" ht="12.75">
      <c r="B418" s="28"/>
      <c r="J418" s="15"/>
    </row>
    <row r="419" spans="2:10" ht="12.75">
      <c r="B419" s="28"/>
      <c r="J419" s="15"/>
    </row>
    <row r="420" spans="2:10" ht="12.75">
      <c r="B420" s="28"/>
      <c r="J420" s="15"/>
    </row>
    <row r="421" spans="2:10" ht="12.75">
      <c r="B421" s="28"/>
      <c r="J421" s="15"/>
    </row>
    <row r="422" spans="2:10" ht="12.75">
      <c r="B422" s="28"/>
      <c r="J422" s="15"/>
    </row>
    <row r="423" spans="2:10" ht="12.75">
      <c r="B423" s="28"/>
      <c r="J423" s="15"/>
    </row>
    <row r="424" spans="2:10" ht="12.75">
      <c r="B424" s="28"/>
      <c r="J424" s="15"/>
    </row>
    <row r="425" spans="2:10" ht="12.75">
      <c r="B425" s="28"/>
      <c r="J425" s="15"/>
    </row>
    <row r="426" spans="2:10" ht="12.75">
      <c r="B426" s="28"/>
      <c r="J426" s="15"/>
    </row>
    <row r="427" spans="2:10" ht="12.75">
      <c r="B427" s="28"/>
      <c r="J427" s="15"/>
    </row>
    <row r="428" spans="2:10" ht="12.75">
      <c r="B428" s="28"/>
      <c r="J428" s="15"/>
    </row>
    <row r="429" spans="2:10" ht="12.75">
      <c r="B429" s="28"/>
      <c r="J429" s="15"/>
    </row>
    <row r="430" spans="2:10" ht="12.75">
      <c r="B430" s="28"/>
      <c r="J430" s="15"/>
    </row>
    <row r="431" spans="2:10" ht="12.75">
      <c r="B431" s="28"/>
      <c r="J431" s="15"/>
    </row>
    <row r="432" spans="2:10" ht="12.75">
      <c r="B432" s="28"/>
      <c r="J432" s="15"/>
    </row>
    <row r="433" spans="2:10" ht="12.75">
      <c r="B433" s="28"/>
      <c r="J433" s="15"/>
    </row>
    <row r="434" spans="2:10" ht="12.75">
      <c r="B434" s="28"/>
      <c r="J434" s="15"/>
    </row>
    <row r="435" spans="2:10" ht="12.75">
      <c r="B435" s="28"/>
      <c r="J435" s="15"/>
    </row>
    <row r="436" spans="2:10" ht="12.75">
      <c r="B436" s="28"/>
      <c r="J436" s="15"/>
    </row>
    <row r="437" spans="2:10" ht="12.75">
      <c r="B437" s="28"/>
      <c r="J437" s="15"/>
    </row>
    <row r="438" spans="2:10" ht="12.75">
      <c r="B438" s="28"/>
      <c r="J438" s="15"/>
    </row>
    <row r="439" spans="2:10" ht="12.75">
      <c r="B439" s="28"/>
      <c r="J439" s="15"/>
    </row>
    <row r="440" spans="2:10" ht="12.75">
      <c r="B440" s="28"/>
      <c r="J440" s="15"/>
    </row>
    <row r="441" spans="2:10" ht="12.75">
      <c r="B441" s="28"/>
      <c r="J441" s="15"/>
    </row>
    <row r="442" spans="2:10" ht="12.75">
      <c r="B442" s="28"/>
      <c r="J442" s="15"/>
    </row>
    <row r="443" spans="2:10" ht="12.75">
      <c r="B443" s="28"/>
      <c r="J443" s="15"/>
    </row>
    <row r="444" spans="2:10" ht="12.75">
      <c r="B444" s="28"/>
      <c r="J444" s="15"/>
    </row>
    <row r="445" spans="2:10" ht="12.75">
      <c r="B445" s="28"/>
      <c r="J445" s="15"/>
    </row>
    <row r="446" spans="2:10" ht="12.75">
      <c r="B446" s="28"/>
      <c r="J446" s="15"/>
    </row>
    <row r="447" spans="2:10" ht="12.75">
      <c r="B447" s="28"/>
      <c r="J447" s="15"/>
    </row>
    <row r="448" spans="2:10" ht="12.75">
      <c r="B448" s="28"/>
      <c r="J448" s="15"/>
    </row>
    <row r="449" spans="2:10" ht="12.75">
      <c r="B449" s="28"/>
      <c r="J449" s="15"/>
    </row>
    <row r="450" spans="2:10" ht="12.75">
      <c r="B450" s="28"/>
      <c r="J450" s="15"/>
    </row>
    <row r="451" spans="2:10" ht="12.75">
      <c r="B451" s="28"/>
      <c r="J451" s="15"/>
    </row>
    <row r="452" spans="2:10" ht="12.75">
      <c r="B452" s="28"/>
      <c r="J452" s="15"/>
    </row>
    <row r="453" spans="2:10" ht="12.75">
      <c r="B453" s="28"/>
      <c r="J453" s="15"/>
    </row>
    <row r="454" spans="2:10" ht="12.75">
      <c r="B454" s="28"/>
      <c r="J454" s="15"/>
    </row>
    <row r="455" spans="2:10" ht="12.75">
      <c r="B455" s="28"/>
      <c r="J455" s="15"/>
    </row>
    <row r="456" spans="2:10" ht="12.75">
      <c r="B456" s="28"/>
      <c r="J456" s="15"/>
    </row>
    <row r="457" spans="2:10" ht="12.75">
      <c r="B457" s="28"/>
      <c r="J457" s="15"/>
    </row>
    <row r="458" spans="2:10" ht="12.75">
      <c r="B458" s="28"/>
      <c r="J458" s="15"/>
    </row>
    <row r="459" spans="2:10" ht="12.75">
      <c r="B459" s="28"/>
      <c r="J459" s="15"/>
    </row>
    <row r="460" spans="2:10" ht="12.75">
      <c r="B460" s="28"/>
      <c r="J460" s="15"/>
    </row>
    <row r="461" spans="2:10" ht="12.75">
      <c r="B461" s="28"/>
      <c r="J461" s="15"/>
    </row>
    <row r="462" spans="2:10" ht="12.75">
      <c r="B462" s="28"/>
      <c r="J462" s="15"/>
    </row>
    <row r="463" spans="2:10" ht="12.75">
      <c r="B463" s="28"/>
      <c r="J463" s="15"/>
    </row>
    <row r="464" spans="2:10" ht="12.75">
      <c r="B464" s="28"/>
      <c r="J464" s="15"/>
    </row>
    <row r="465" spans="2:10" ht="12.75">
      <c r="B465" s="28"/>
      <c r="J465" s="15"/>
    </row>
    <row r="466" spans="2:10" ht="12.75">
      <c r="B466" s="28"/>
      <c r="J466" s="15"/>
    </row>
    <row r="467" spans="2:10" ht="12.75">
      <c r="B467" s="28"/>
      <c r="J467" s="15"/>
    </row>
    <row r="468" spans="2:10" ht="12.75">
      <c r="B468" s="28"/>
      <c r="J468" s="15"/>
    </row>
    <row r="469" spans="2:10" ht="12.75">
      <c r="B469" s="28"/>
      <c r="J469" s="15"/>
    </row>
    <row r="470" spans="2:10" ht="12.75">
      <c r="B470" s="28"/>
      <c r="J470" s="15"/>
    </row>
    <row r="471" spans="2:10" ht="12.75">
      <c r="B471" s="28"/>
      <c r="J471" s="15"/>
    </row>
    <row r="472" spans="2:10" ht="12.75">
      <c r="B472" s="28"/>
      <c r="J472" s="15"/>
    </row>
    <row r="473" spans="2:10" ht="12.75">
      <c r="B473" s="28"/>
      <c r="J473" s="15"/>
    </row>
    <row r="474" spans="2:10" ht="12.75">
      <c r="B474" s="28"/>
      <c r="J474" s="15"/>
    </row>
    <row r="475" spans="2:10" ht="12.75">
      <c r="B475" s="28"/>
      <c r="J475" s="15"/>
    </row>
    <row r="476" spans="2:10" ht="12.75">
      <c r="B476" s="28"/>
      <c r="J476" s="15"/>
    </row>
    <row r="477" spans="2:10" ht="12.75">
      <c r="B477" s="28"/>
      <c r="J477" s="15"/>
    </row>
    <row r="478" spans="2:10" ht="12.75">
      <c r="B478" s="28"/>
      <c r="J478" s="15"/>
    </row>
    <row r="479" spans="2:10" ht="12.75">
      <c r="B479" s="28"/>
      <c r="J479" s="15"/>
    </row>
    <row r="480" spans="2:10" ht="12.75">
      <c r="B480" s="28"/>
      <c r="J480" s="15"/>
    </row>
    <row r="481" spans="2:10" ht="12.75">
      <c r="B481" s="28"/>
      <c r="J481" s="15"/>
    </row>
    <row r="482" spans="2:10" ht="12.75">
      <c r="B482" s="28"/>
      <c r="J482" s="15"/>
    </row>
    <row r="483" spans="2:10" ht="12.75">
      <c r="B483" s="28"/>
      <c r="J483" s="15"/>
    </row>
    <row r="484" spans="2:10" ht="12.75">
      <c r="B484" s="28"/>
      <c r="J484" s="15"/>
    </row>
    <row r="485" spans="2:10" ht="12.75">
      <c r="B485" s="28"/>
      <c r="J485" s="15"/>
    </row>
    <row r="486" spans="2:10" ht="12.75">
      <c r="B486" s="28"/>
      <c r="J486" s="15"/>
    </row>
    <row r="487" spans="2:10" ht="12.75">
      <c r="B487" s="28"/>
      <c r="J487" s="15"/>
    </row>
    <row r="488" spans="2:10" ht="12.75">
      <c r="B488" s="28"/>
      <c r="J488" s="15"/>
    </row>
    <row r="489" spans="2:10" ht="12.75">
      <c r="B489" s="28"/>
      <c r="J489" s="15"/>
    </row>
    <row r="490" spans="2:10" ht="12.75">
      <c r="B490" s="28"/>
      <c r="J490" s="15"/>
    </row>
    <row r="491" spans="2:10" ht="12.75">
      <c r="B491" s="28"/>
      <c r="J491" s="15"/>
    </row>
    <row r="492" spans="2:10" ht="12.75">
      <c r="B492" s="28"/>
      <c r="J492" s="15"/>
    </row>
    <row r="493" spans="2:10" ht="12.75">
      <c r="B493" s="28"/>
      <c r="J493" s="15"/>
    </row>
    <row r="494" spans="2:10" ht="12.75">
      <c r="B494" s="28"/>
      <c r="J494" s="15"/>
    </row>
    <row r="495" spans="2:10" ht="12.75">
      <c r="B495" s="28"/>
      <c r="J495" s="15"/>
    </row>
    <row r="496" spans="2:10" ht="12.75">
      <c r="B496" s="28"/>
      <c r="J496" s="15"/>
    </row>
    <row r="497" spans="2:10" ht="12.75">
      <c r="B497" s="28"/>
      <c r="J497" s="15"/>
    </row>
    <row r="498" spans="2:10" ht="12.75">
      <c r="B498" s="28"/>
      <c r="J498" s="15"/>
    </row>
    <row r="499" spans="2:10" ht="12.75">
      <c r="B499" s="28"/>
      <c r="J499" s="15"/>
    </row>
    <row r="500" spans="2:10" ht="12.75">
      <c r="B500" s="28"/>
      <c r="J500" s="15"/>
    </row>
    <row r="501" spans="2:10" ht="12.75">
      <c r="B501" s="28"/>
      <c r="J501" s="15"/>
    </row>
    <row r="502" spans="2:10" ht="12.75">
      <c r="B502" s="28"/>
      <c r="J502" s="15"/>
    </row>
    <row r="503" spans="2:10" ht="12.75">
      <c r="B503" s="28"/>
      <c r="J503" s="15"/>
    </row>
    <row r="504" spans="2:10" ht="12.75">
      <c r="B504" s="28"/>
      <c r="J504" s="15"/>
    </row>
    <row r="505" spans="2:10" ht="12.75">
      <c r="B505" s="28"/>
      <c r="J505" s="15"/>
    </row>
    <row r="506" spans="2:10" ht="12.75">
      <c r="B506" s="28"/>
      <c r="J506" s="15"/>
    </row>
    <row r="507" spans="2:10" ht="12.75">
      <c r="B507" s="28"/>
      <c r="J507" s="15"/>
    </row>
    <row r="508" spans="2:10" ht="12.75">
      <c r="B508" s="28"/>
      <c r="J508" s="15"/>
    </row>
    <row r="509" spans="2:10" ht="12.75">
      <c r="B509" s="28"/>
      <c r="J509" s="15"/>
    </row>
    <row r="510" spans="2:10" ht="12.75">
      <c r="B510" s="28"/>
      <c r="J510" s="15"/>
    </row>
    <row r="511" spans="2:10" ht="12.75">
      <c r="B511" s="28"/>
      <c r="J511" s="15"/>
    </row>
    <row r="512" spans="2:10" ht="12.75">
      <c r="B512" s="28"/>
      <c r="J512" s="15"/>
    </row>
    <row r="513" spans="2:10" ht="12.75">
      <c r="B513" s="28"/>
      <c r="J513" s="15"/>
    </row>
    <row r="514" spans="2:10" ht="12.75">
      <c r="B514" s="28"/>
      <c r="J514" s="15"/>
    </row>
    <row r="515" spans="2:10" ht="12.75">
      <c r="B515" s="28"/>
      <c r="J515" s="15"/>
    </row>
    <row r="516" spans="2:10" ht="12.75">
      <c r="B516" s="28"/>
      <c r="J516" s="15"/>
    </row>
    <row r="517" spans="2:10" ht="12.75">
      <c r="B517" s="28"/>
      <c r="J517" s="15"/>
    </row>
    <row r="518" spans="2:10" ht="12.75">
      <c r="B518" s="28"/>
      <c r="J518" s="15"/>
    </row>
    <row r="519" spans="2:10" ht="12.75">
      <c r="B519" s="28"/>
      <c r="J519" s="15"/>
    </row>
    <row r="520" spans="2:10" ht="12.75">
      <c r="B520" s="28"/>
      <c r="J520" s="15"/>
    </row>
    <row r="521" spans="2:10" ht="12.75">
      <c r="B521" s="28"/>
      <c r="J521" s="15"/>
    </row>
    <row r="522" spans="2:10" ht="12.75">
      <c r="B522" s="28"/>
      <c r="J522" s="15"/>
    </row>
    <row r="523" spans="2:10" ht="12.75">
      <c r="B523" s="28"/>
      <c r="J523" s="15"/>
    </row>
    <row r="524" spans="2:10" ht="12.75">
      <c r="B524" s="28"/>
      <c r="J524" s="15"/>
    </row>
    <row r="525" spans="2:10" ht="12.75">
      <c r="B525" s="28"/>
      <c r="J525" s="15"/>
    </row>
    <row r="526" spans="2:10" ht="12.75">
      <c r="B526" s="28"/>
      <c r="J526" s="15"/>
    </row>
    <row r="527" spans="2:10" ht="12.75">
      <c r="B527" s="28"/>
      <c r="J527" s="15"/>
    </row>
    <row r="528" spans="2:10" ht="12.75">
      <c r="B528" s="28"/>
      <c r="J528" s="15"/>
    </row>
    <row r="529" spans="2:10" ht="12.75">
      <c r="B529" s="28"/>
      <c r="J529" s="15"/>
    </row>
    <row r="530" spans="2:10" ht="12.75">
      <c r="B530" s="28"/>
      <c r="J530" s="15"/>
    </row>
    <row r="531" spans="2:10" ht="12.75">
      <c r="B531" s="28"/>
      <c r="J531" s="15"/>
    </row>
    <row r="532" spans="2:10" ht="12.75">
      <c r="B532" s="28"/>
      <c r="J532" s="15"/>
    </row>
    <row r="533" spans="2:10" ht="12.75">
      <c r="B533" s="28"/>
      <c r="J533" s="15"/>
    </row>
    <row r="534" spans="2:10" ht="12.75">
      <c r="B534" s="28"/>
      <c r="J534" s="15"/>
    </row>
    <row r="535" spans="2:10" ht="12.75">
      <c r="B535" s="28"/>
      <c r="J535" s="15"/>
    </row>
    <row r="536" spans="2:10" ht="12.75">
      <c r="B536" s="28"/>
      <c r="J536" s="15"/>
    </row>
    <row r="537" spans="2:10" ht="12.75">
      <c r="B537" s="28"/>
      <c r="J537" s="15"/>
    </row>
    <row r="538" spans="2:10" ht="12.75">
      <c r="B538" s="28"/>
      <c r="J538" s="15"/>
    </row>
    <row r="539" spans="2:10" ht="12.75">
      <c r="B539" s="28"/>
      <c r="J539" s="15"/>
    </row>
    <row r="540" spans="2:10" ht="12.75">
      <c r="B540" s="28"/>
      <c r="J540" s="15"/>
    </row>
    <row r="541" spans="2:10" ht="12.75">
      <c r="B541" s="28"/>
      <c r="J541" s="15"/>
    </row>
    <row r="542" spans="2:10" ht="12.75">
      <c r="B542" s="28"/>
      <c r="J542" s="15"/>
    </row>
    <row r="543" spans="2:10" ht="12.75">
      <c r="B543" s="28"/>
      <c r="J543" s="15"/>
    </row>
    <row r="544" spans="2:10" ht="12.75">
      <c r="B544" s="28"/>
      <c r="J544" s="15"/>
    </row>
    <row r="545" spans="2:10" ht="12.75">
      <c r="B545" s="28"/>
      <c r="J545" s="15"/>
    </row>
    <row r="546" spans="2:10" ht="12.75">
      <c r="B546" s="28"/>
      <c r="J546" s="15"/>
    </row>
    <row r="547" spans="2:10" ht="12.75">
      <c r="B547" s="28"/>
      <c r="J547" s="15"/>
    </row>
    <row r="548" spans="2:10" ht="12.75">
      <c r="B548" s="28"/>
      <c r="J548" s="15"/>
    </row>
    <row r="549" spans="2:10" ht="12.75">
      <c r="B549" s="28"/>
      <c r="J549" s="15"/>
    </row>
    <row r="550" spans="2:10" ht="12.75">
      <c r="B550" s="28"/>
      <c r="J550" s="15"/>
    </row>
    <row r="551" spans="2:10" ht="12.75">
      <c r="B551" s="28"/>
      <c r="J551" s="15"/>
    </row>
    <row r="552" spans="2:10" ht="12.75">
      <c r="B552" s="28"/>
      <c r="J552" s="15"/>
    </row>
    <row r="553" spans="2:10" ht="12.75">
      <c r="B553" s="28"/>
      <c r="J553" s="15"/>
    </row>
    <row r="554" spans="2:10" ht="12.75">
      <c r="B554" s="28"/>
      <c r="J554" s="15"/>
    </row>
    <row r="555" spans="2:10" ht="12.75">
      <c r="B555" s="28"/>
      <c r="J555" s="15"/>
    </row>
    <row r="556" spans="2:10" ht="12.75">
      <c r="B556" s="28"/>
      <c r="J556" s="15"/>
    </row>
    <row r="557" spans="2:10" ht="12.75">
      <c r="B557" s="28"/>
      <c r="J557" s="15"/>
    </row>
    <row r="558" spans="2:10" ht="12.75">
      <c r="B558" s="28"/>
      <c r="J558" s="15"/>
    </row>
    <row r="559" spans="2:10" ht="12.75">
      <c r="B559" s="28"/>
      <c r="J559" s="15"/>
    </row>
    <row r="560" spans="2:10" ht="12.75">
      <c r="B560" s="28"/>
      <c r="J560" s="15"/>
    </row>
    <row r="561" spans="2:10" ht="12.75">
      <c r="B561" s="28"/>
      <c r="J561" s="15"/>
    </row>
    <row r="562" spans="2:10" ht="12.75">
      <c r="B562" s="28"/>
      <c r="J562" s="15"/>
    </row>
    <row r="563" spans="2:10" ht="12.75">
      <c r="B563" s="28"/>
      <c r="J563" s="15"/>
    </row>
    <row r="564" spans="2:10" ht="12.75">
      <c r="B564" s="28"/>
      <c r="J564" s="15"/>
    </row>
    <row r="565" spans="2:10" ht="12.75">
      <c r="B565" s="28"/>
      <c r="J565" s="15"/>
    </row>
    <row r="566" spans="2:10" ht="12.75">
      <c r="B566" s="28"/>
      <c r="J566" s="15"/>
    </row>
    <row r="567" spans="2:10" ht="12.75">
      <c r="B567" s="28"/>
      <c r="J567" s="15"/>
    </row>
    <row r="568" spans="2:10" ht="12.75">
      <c r="B568" s="28"/>
      <c r="J568" s="15"/>
    </row>
    <row r="569" spans="2:10" ht="12.75">
      <c r="B569" s="28"/>
      <c r="J569" s="15"/>
    </row>
    <row r="570" spans="2:10" ht="12.75">
      <c r="B570" s="28"/>
      <c r="J570" s="15"/>
    </row>
    <row r="571" spans="2:10" ht="12.75">
      <c r="B571" s="28"/>
      <c r="J571" s="15"/>
    </row>
    <row r="572" spans="2:10" ht="12.75">
      <c r="B572" s="28"/>
      <c r="J572" s="15"/>
    </row>
    <row r="573" spans="2:10" ht="12.75">
      <c r="B573" s="28"/>
      <c r="J573" s="15"/>
    </row>
    <row r="574" spans="2:10" ht="12.75">
      <c r="B574" s="28"/>
      <c r="J574" s="15"/>
    </row>
    <row r="575" spans="2:10" ht="12.75">
      <c r="B575" s="28"/>
      <c r="J575" s="15"/>
    </row>
    <row r="576" spans="2:10" ht="12.75">
      <c r="B576" s="28"/>
      <c r="J576" s="15"/>
    </row>
    <row r="577" spans="2:10" ht="12.75">
      <c r="B577" s="28"/>
      <c r="J577" s="15"/>
    </row>
    <row r="578" spans="2:10" ht="12.75">
      <c r="B578" s="28"/>
      <c r="J578" s="15"/>
    </row>
    <row r="579" spans="2:10" ht="12.75">
      <c r="B579" s="28"/>
      <c r="J579" s="15"/>
    </row>
    <row r="580" spans="2:10" ht="12.75">
      <c r="B580" s="28"/>
      <c r="J580" s="15"/>
    </row>
    <row r="581" spans="2:10" ht="12.75">
      <c r="B581" s="28"/>
      <c r="J581" s="15"/>
    </row>
    <row r="582" spans="2:10" ht="12.75">
      <c r="B582" s="28"/>
      <c r="J582" s="15"/>
    </row>
    <row r="583" spans="2:10" ht="12.75">
      <c r="B583" s="28"/>
      <c r="J583" s="15"/>
    </row>
    <row r="584" spans="2:10" ht="12.75">
      <c r="B584" s="28"/>
      <c r="J584" s="15"/>
    </row>
    <row r="585" spans="2:10" ht="12.75">
      <c r="B585" s="28"/>
      <c r="J585" s="15"/>
    </row>
    <row r="586" spans="2:10" ht="12.75">
      <c r="B586" s="28"/>
      <c r="J586" s="15"/>
    </row>
    <row r="587" spans="2:10" ht="12.75">
      <c r="B587" s="28"/>
      <c r="J587" s="15"/>
    </row>
    <row r="588" spans="2:10" ht="12.75">
      <c r="B588" s="28"/>
      <c r="J588" s="15"/>
    </row>
    <row r="589" spans="2:10" ht="12.75">
      <c r="B589" s="28"/>
      <c r="J589" s="15"/>
    </row>
    <row r="590" spans="2:10" ht="12.75">
      <c r="B590" s="28"/>
      <c r="J590" s="15"/>
    </row>
    <row r="591" spans="2:10" ht="12.75">
      <c r="B591" s="28"/>
      <c r="J591" s="15"/>
    </row>
    <row r="592" spans="2:10" ht="12.75">
      <c r="B592" s="28"/>
      <c r="J592" s="15"/>
    </row>
    <row r="593" spans="2:10" ht="12.75">
      <c r="B593" s="28"/>
      <c r="J593" s="15"/>
    </row>
    <row r="594" spans="2:10" ht="12.75">
      <c r="B594" s="28"/>
      <c r="J594" s="15"/>
    </row>
    <row r="595" spans="2:10" ht="12.75">
      <c r="B595" s="28"/>
      <c r="J595" s="15"/>
    </row>
    <row r="596" spans="2:10" ht="12.75">
      <c r="B596" s="28"/>
      <c r="J596" s="15"/>
    </row>
    <row r="597" spans="2:10" ht="12.75">
      <c r="B597" s="28"/>
      <c r="J597" s="15"/>
    </row>
    <row r="598" spans="2:10" ht="12.75">
      <c r="B598" s="28"/>
      <c r="J598" s="15"/>
    </row>
    <row r="599" spans="2:10" ht="12.75">
      <c r="B599" s="28"/>
      <c r="J599" s="15"/>
    </row>
    <row r="600" spans="2:10" ht="12.75">
      <c r="B600" s="28"/>
      <c r="J600" s="15"/>
    </row>
    <row r="601" spans="2:10" ht="12.75">
      <c r="B601" s="28"/>
      <c r="J601" s="15"/>
    </row>
    <row r="602" spans="2:10" ht="12.75">
      <c r="B602" s="28"/>
      <c r="J602" s="15"/>
    </row>
    <row r="603" spans="2:10" ht="12.75">
      <c r="B603" s="28"/>
      <c r="J603" s="15"/>
    </row>
    <row r="604" spans="2:10" ht="12.75">
      <c r="B604" s="28"/>
      <c r="J604" s="15"/>
    </row>
    <row r="605" spans="2:10" ht="12.75">
      <c r="B605" s="28"/>
      <c r="J605" s="15"/>
    </row>
    <row r="606" spans="2:10" ht="12.75">
      <c r="B606" s="28"/>
      <c r="J606" s="15"/>
    </row>
    <row r="607" spans="2:10" ht="12.75">
      <c r="B607" s="28"/>
      <c r="J607" s="15"/>
    </row>
    <row r="608" spans="2:10" ht="12.75">
      <c r="B608" s="28"/>
      <c r="J608" s="15"/>
    </row>
    <row r="609" spans="2:10" ht="12.75">
      <c r="B609" s="28"/>
      <c r="J609" s="15"/>
    </row>
    <row r="610" spans="2:10" ht="12.75">
      <c r="B610" s="28"/>
      <c r="J610" s="15"/>
    </row>
    <row r="611" spans="2:10" ht="12.75">
      <c r="B611" s="28"/>
      <c r="J611" s="15"/>
    </row>
    <row r="612" spans="2:10" ht="12.75">
      <c r="B612" s="28"/>
      <c r="J612" s="15"/>
    </row>
    <row r="613" spans="2:10" ht="12.75">
      <c r="B613" s="28"/>
      <c r="J613" s="15"/>
    </row>
    <row r="614" spans="2:10" ht="12.75">
      <c r="B614" s="28"/>
      <c r="J614" s="15"/>
    </row>
    <row r="615" spans="2:10" ht="12.75">
      <c r="B615" s="28"/>
      <c r="J615" s="15"/>
    </row>
    <row r="616" spans="2:10" ht="12.75">
      <c r="B616" s="28"/>
      <c r="J616" s="15"/>
    </row>
    <row r="617" spans="2:10" ht="12.75">
      <c r="B617" s="28"/>
      <c r="J617" s="15"/>
    </row>
    <row r="618" spans="2:10" ht="12.75">
      <c r="B618" s="28"/>
      <c r="J618" s="15"/>
    </row>
    <row r="619" spans="2:10" ht="12.75">
      <c r="B619" s="28"/>
      <c r="J619" s="15"/>
    </row>
    <row r="620" spans="2:10" ht="12.75">
      <c r="B620" s="28"/>
      <c r="J620" s="15"/>
    </row>
    <row r="621" spans="2:10" ht="12.75">
      <c r="B621" s="28"/>
      <c r="J621" s="15"/>
    </row>
    <row r="622" spans="2:10" ht="12.75">
      <c r="B622" s="28"/>
      <c r="J622" s="15"/>
    </row>
    <row r="623" spans="2:10" ht="12.75">
      <c r="B623" s="28"/>
      <c r="J623" s="15"/>
    </row>
    <row r="624" spans="2:10" ht="12.75">
      <c r="B624" s="28"/>
      <c r="J624" s="15"/>
    </row>
    <row r="625" spans="2:10" ht="12.75">
      <c r="B625" s="28"/>
      <c r="J625" s="15"/>
    </row>
    <row r="626" spans="2:10" ht="12.75">
      <c r="B626" s="28"/>
      <c r="J626" s="15"/>
    </row>
    <row r="627" spans="2:10" ht="12.75">
      <c r="B627" s="28"/>
      <c r="J627" s="15"/>
    </row>
    <row r="628" spans="2:10" ht="12.75">
      <c r="B628" s="28"/>
      <c r="J628" s="15"/>
    </row>
    <row r="629" spans="2:10" ht="12.75">
      <c r="B629" s="28"/>
      <c r="J629" s="15"/>
    </row>
    <row r="630" spans="2:10" ht="12.75">
      <c r="B630" s="28"/>
      <c r="J630" s="15"/>
    </row>
    <row r="631" spans="2:10" ht="12.75">
      <c r="B631" s="28"/>
      <c r="J631" s="15"/>
    </row>
    <row r="632" spans="2:10" ht="12.75">
      <c r="B632" s="28"/>
      <c r="J632" s="15"/>
    </row>
    <row r="633" spans="2:10" ht="12.75">
      <c r="B633" s="28"/>
      <c r="J633" s="15"/>
    </row>
    <row r="634" spans="2:10" ht="12.75">
      <c r="B634" s="28"/>
      <c r="J634" s="15"/>
    </row>
    <row r="635" spans="2:10" ht="12.75">
      <c r="B635" s="28"/>
      <c r="J635" s="15"/>
    </row>
    <row r="636" spans="2:10" ht="12.75">
      <c r="B636" s="28"/>
      <c r="J636" s="15"/>
    </row>
    <row r="637" spans="2:10" ht="12.75">
      <c r="B637" s="28"/>
      <c r="J637" s="15"/>
    </row>
    <row r="638" spans="2:10" ht="12.75">
      <c r="B638" s="28"/>
      <c r="J638" s="15"/>
    </row>
    <row r="639" spans="2:10" ht="12.75">
      <c r="B639" s="28"/>
      <c r="J639" s="15"/>
    </row>
    <row r="640" spans="2:10" ht="12.75">
      <c r="B640" s="28"/>
      <c r="J640" s="15"/>
    </row>
    <row r="641" spans="2:10" ht="12.75">
      <c r="B641" s="28"/>
      <c r="J641" s="15"/>
    </row>
    <row r="642" spans="2:10" ht="12.75">
      <c r="B642" s="28"/>
      <c r="J642" s="15"/>
    </row>
    <row r="643" spans="2:10" ht="12.75">
      <c r="B643" s="28"/>
      <c r="J643" s="15"/>
    </row>
    <row r="644" spans="2:10" ht="12.75">
      <c r="B644" s="28"/>
      <c r="J644" s="15"/>
    </row>
    <row r="645" spans="2:10" ht="12.75">
      <c r="B645" s="28"/>
      <c r="J645" s="15"/>
    </row>
    <row r="646" spans="2:10" ht="12.75">
      <c r="B646" s="28"/>
      <c r="J646" s="15"/>
    </row>
    <row r="647" spans="2:10" ht="12.75">
      <c r="B647" s="28"/>
      <c r="J647" s="15"/>
    </row>
    <row r="648" spans="2:10" ht="12.75">
      <c r="B648" s="28"/>
      <c r="J648" s="15"/>
    </row>
    <row r="649" spans="2:10" ht="12.75">
      <c r="B649" s="28"/>
      <c r="J649" s="15"/>
    </row>
    <row r="650" spans="2:10" ht="12.75">
      <c r="B650" s="28"/>
      <c r="J650" s="15"/>
    </row>
    <row r="651" spans="2:10" ht="12.75">
      <c r="B651" s="28"/>
      <c r="J651" s="15"/>
    </row>
    <row r="652" spans="2:10" ht="12.75">
      <c r="B652" s="28"/>
      <c r="J652" s="15"/>
    </row>
    <row r="653" spans="2:10" ht="12.75">
      <c r="B653" s="28"/>
      <c r="J653" s="15"/>
    </row>
    <row r="654" spans="2:10" ht="12.75">
      <c r="B654" s="28"/>
      <c r="J654" s="15"/>
    </row>
    <row r="655" spans="2:10" ht="12.75">
      <c r="B655" s="28"/>
      <c r="J655" s="15"/>
    </row>
    <row r="656" spans="2:10" ht="12.75">
      <c r="B656" s="28"/>
      <c r="J656" s="15"/>
    </row>
    <row r="657" spans="2:10" ht="12.75">
      <c r="B657" s="28"/>
      <c r="J657" s="15"/>
    </row>
    <row r="658" spans="2:10" ht="12.75">
      <c r="B658" s="28"/>
      <c r="J658" s="15"/>
    </row>
    <row r="659" spans="2:10" ht="12.75">
      <c r="B659" s="28"/>
      <c r="J659" s="15"/>
    </row>
    <row r="660" spans="2:10" ht="12.75">
      <c r="B660" s="28"/>
      <c r="J660" s="15"/>
    </row>
    <row r="661" spans="2:10" ht="12.75">
      <c r="B661" s="28"/>
      <c r="J661" s="15"/>
    </row>
    <row r="662" spans="2:10" ht="12.75">
      <c r="B662" s="28"/>
      <c r="J662" s="15"/>
    </row>
    <row r="663" spans="2:10" ht="12.75">
      <c r="B663" s="28"/>
      <c r="J663" s="15"/>
    </row>
    <row r="664" spans="2:10" ht="12.75">
      <c r="B664" s="28"/>
      <c r="J664" s="15"/>
    </row>
    <row r="665" spans="2:10" ht="12.75">
      <c r="B665" s="28"/>
      <c r="J665" s="15"/>
    </row>
    <row r="666" spans="2:10" ht="12.75">
      <c r="B666" s="28"/>
      <c r="J666" s="15"/>
    </row>
    <row r="667" spans="2:10" ht="12.75">
      <c r="B667" s="28"/>
      <c r="J667" s="15"/>
    </row>
    <row r="668" spans="2:10" ht="12.75">
      <c r="B668" s="28"/>
      <c r="J668" s="15"/>
    </row>
    <row r="669" spans="2:10" ht="12.75">
      <c r="B669" s="28"/>
      <c r="J669" s="15"/>
    </row>
    <row r="670" spans="2:10" ht="12.75">
      <c r="B670" s="28"/>
      <c r="J670" s="15"/>
    </row>
    <row r="671" spans="2:10" ht="12.75">
      <c r="B671" s="28"/>
      <c r="J671" s="15"/>
    </row>
    <row r="672" spans="2:10" ht="12.75">
      <c r="B672" s="28"/>
      <c r="J672" s="15"/>
    </row>
    <row r="673" spans="2:10" ht="12.75">
      <c r="B673" s="28"/>
      <c r="J673" s="15"/>
    </row>
    <row r="674" spans="2:10" ht="12.75">
      <c r="B674" s="28"/>
      <c r="J674" s="15"/>
    </row>
    <row r="675" spans="2:10" ht="12.75">
      <c r="B675" s="28"/>
      <c r="J675" s="15"/>
    </row>
    <row r="676" spans="2:10" ht="12.75">
      <c r="B676" s="28"/>
      <c r="J676" s="15"/>
    </row>
    <row r="677" spans="2:10" ht="12.75">
      <c r="B677" s="28"/>
      <c r="J677" s="15"/>
    </row>
    <row r="678" spans="2:10" ht="12.75">
      <c r="B678" s="28"/>
      <c r="J678" s="15"/>
    </row>
    <row r="679" spans="2:10" ht="12.75">
      <c r="B679" s="28"/>
      <c r="J679" s="15"/>
    </row>
    <row r="680" spans="2:10" ht="12.75">
      <c r="B680" s="28"/>
      <c r="J680" s="15"/>
    </row>
    <row r="681" spans="2:10" ht="12.75">
      <c r="B681" s="28"/>
      <c r="J681" s="15"/>
    </row>
    <row r="682" spans="2:10" ht="12.75">
      <c r="B682" s="28"/>
      <c r="J682" s="15"/>
    </row>
    <row r="683" spans="2:10" ht="12.75">
      <c r="B683" s="28"/>
      <c r="J683" s="15"/>
    </row>
    <row r="684" spans="2:10" ht="12.75">
      <c r="B684" s="28"/>
      <c r="J684" s="15"/>
    </row>
    <row r="685" spans="2:10" ht="12.75">
      <c r="B685" s="28"/>
      <c r="J685" s="15"/>
    </row>
    <row r="686" spans="2:10" ht="12.75">
      <c r="B686" s="28"/>
      <c r="J686" s="15"/>
    </row>
    <row r="687" spans="2:10" ht="12.75">
      <c r="B687" s="28"/>
      <c r="J687" s="15"/>
    </row>
    <row r="688" spans="2:10" ht="12.75">
      <c r="B688" s="28"/>
      <c r="J688" s="15"/>
    </row>
    <row r="689" spans="2:10" ht="12.75">
      <c r="B689" s="28"/>
      <c r="J689" s="15"/>
    </row>
    <row r="690" spans="2:10" ht="12.75">
      <c r="B690" s="28"/>
      <c r="J690" s="15"/>
    </row>
    <row r="691" spans="2:10" ht="12.75">
      <c r="B691" s="28"/>
      <c r="J691" s="15"/>
    </row>
    <row r="692" spans="2:10" ht="12.75">
      <c r="B692" s="28"/>
      <c r="J692" s="15"/>
    </row>
    <row r="693" spans="2:10" ht="12.75">
      <c r="B693" s="28"/>
      <c r="J693" s="15"/>
    </row>
    <row r="694" spans="2:10" ht="12.75">
      <c r="B694" s="28"/>
      <c r="J694" s="15"/>
    </row>
    <row r="695" spans="2:10" ht="12.75">
      <c r="B695" s="28"/>
      <c r="J695" s="15"/>
    </row>
    <row r="696" spans="2:10" ht="12.75">
      <c r="B696" s="28"/>
      <c r="J696" s="15"/>
    </row>
    <row r="697" spans="2:10" ht="12.75">
      <c r="B697" s="28"/>
      <c r="J697" s="15"/>
    </row>
    <row r="698" spans="2:10" ht="12.75">
      <c r="B698" s="28"/>
      <c r="J698" s="15"/>
    </row>
    <row r="699" spans="2:10" ht="12.75">
      <c r="B699" s="28"/>
      <c r="J699" s="15"/>
    </row>
    <row r="700" spans="2:10" ht="12.75">
      <c r="B700" s="28"/>
      <c r="J700" s="15"/>
    </row>
    <row r="701" spans="2:10" ht="12.75">
      <c r="B701" s="28"/>
      <c r="J701" s="15"/>
    </row>
    <row r="702" spans="2:10" ht="12.75">
      <c r="B702" s="28"/>
      <c r="J702" s="15"/>
    </row>
    <row r="703" spans="2:10" ht="12.75">
      <c r="B703" s="28"/>
      <c r="J703" s="15"/>
    </row>
    <row r="704" spans="2:10" ht="12.75">
      <c r="B704" s="28"/>
      <c r="J704" s="15"/>
    </row>
    <row r="705" spans="2:10" ht="12.75">
      <c r="B705" s="28"/>
      <c r="J705" s="15"/>
    </row>
    <row r="706" spans="2:10" ht="12.75">
      <c r="B706" s="28"/>
      <c r="J706" s="15"/>
    </row>
    <row r="707" spans="2:10" ht="12.75">
      <c r="B707" s="28"/>
      <c r="J707" s="15"/>
    </row>
    <row r="708" spans="2:10" ht="12.75">
      <c r="B708" s="28"/>
      <c r="J708" s="15"/>
    </row>
    <row r="709" spans="2:10" ht="12.75">
      <c r="B709" s="28"/>
      <c r="J709" s="15"/>
    </row>
    <row r="710" spans="2:10" ht="12.75">
      <c r="B710" s="28"/>
      <c r="J710" s="15"/>
    </row>
    <row r="711" spans="2:10" ht="12.75">
      <c r="B711" s="28"/>
      <c r="J711" s="15"/>
    </row>
    <row r="712" spans="2:10" ht="12.75">
      <c r="B712" s="28"/>
      <c r="J712" s="15"/>
    </row>
    <row r="713" spans="2:10" ht="12.75">
      <c r="B713" s="28"/>
      <c r="J713" s="15"/>
    </row>
    <row r="714" spans="2:10" ht="12.75">
      <c r="B714" s="28"/>
      <c r="J714" s="15"/>
    </row>
    <row r="715" spans="2:10" ht="12.75">
      <c r="B715" s="28"/>
      <c r="J715" s="15"/>
    </row>
    <row r="716" spans="2:10" ht="12.75">
      <c r="B716" s="28"/>
      <c r="J716" s="15"/>
    </row>
    <row r="717" spans="2:10" ht="12.75">
      <c r="B717" s="28"/>
      <c r="J717" s="15"/>
    </row>
    <row r="718" spans="2:10" ht="12.75">
      <c r="B718" s="28"/>
      <c r="J718" s="15"/>
    </row>
    <row r="719" spans="2:10" ht="12.75">
      <c r="B719" s="28"/>
      <c r="J719" s="15"/>
    </row>
    <row r="720" spans="2:10" ht="12.75">
      <c r="B720" s="28"/>
      <c r="J720" s="15"/>
    </row>
    <row r="721" spans="2:10" ht="12.75">
      <c r="B721" s="28"/>
      <c r="J721" s="15"/>
    </row>
    <row r="722" spans="2:10" ht="12.75">
      <c r="B722" s="28"/>
      <c r="J722" s="15"/>
    </row>
    <row r="723" spans="2:10" ht="12.75">
      <c r="B723" s="28"/>
      <c r="J723" s="15"/>
    </row>
    <row r="724" spans="2:10" ht="12.75">
      <c r="B724" s="28"/>
      <c r="J724" s="15"/>
    </row>
    <row r="725" spans="2:10" ht="12.75">
      <c r="B725" s="28"/>
      <c r="J725" s="15"/>
    </row>
    <row r="726" spans="2:10" ht="12.75">
      <c r="B726" s="28"/>
      <c r="J726" s="15"/>
    </row>
    <row r="727" spans="2:10" ht="12.75">
      <c r="B727" s="28"/>
      <c r="J727" s="15"/>
    </row>
    <row r="728" spans="2:10" ht="12.75">
      <c r="B728" s="28"/>
      <c r="J728" s="15"/>
    </row>
    <row r="729" spans="2:10" ht="12.75">
      <c r="B729" s="28"/>
      <c r="J729" s="15"/>
    </row>
    <row r="730" spans="2:10" ht="12.75">
      <c r="B730" s="28"/>
      <c r="J730" s="15"/>
    </row>
    <row r="731" spans="2:10" ht="12.75">
      <c r="B731" s="28"/>
      <c r="J731" s="15"/>
    </row>
    <row r="732" spans="2:10" ht="12.75">
      <c r="B732" s="28"/>
      <c r="J732" s="15"/>
    </row>
    <row r="733" spans="2:10" ht="12.75">
      <c r="B733" s="28"/>
      <c r="J733" s="15"/>
    </row>
    <row r="734" spans="2:10" ht="12.75">
      <c r="B734" s="28"/>
      <c r="J734" s="15"/>
    </row>
    <row r="735" spans="2:10" ht="12.75">
      <c r="B735" s="28"/>
      <c r="J735" s="15"/>
    </row>
    <row r="736" spans="2:10" ht="12.75">
      <c r="B736" s="28"/>
      <c r="J736" s="15"/>
    </row>
    <row r="737" spans="2:10" ht="12.75">
      <c r="B737" s="28"/>
      <c r="J737" s="15"/>
    </row>
    <row r="738" spans="2:10" ht="12.75">
      <c r="B738" s="28"/>
      <c r="J738" s="15"/>
    </row>
    <row r="739" spans="2:10" ht="12.75">
      <c r="B739" s="28"/>
      <c r="J739" s="15"/>
    </row>
    <row r="740" spans="2:10" ht="12.75">
      <c r="B740" s="28"/>
      <c r="J740" s="15"/>
    </row>
    <row r="741" spans="2:10" ht="12.75">
      <c r="B741" s="28"/>
      <c r="J741" s="15"/>
    </row>
    <row r="742" spans="2:10" ht="12.75">
      <c r="B742" s="28"/>
      <c r="J742" s="15"/>
    </row>
    <row r="743" spans="2:10" ht="12.75">
      <c r="B743" s="28"/>
      <c r="J743" s="15"/>
    </row>
    <row r="744" spans="2:10" ht="12.75">
      <c r="B744" s="28"/>
      <c r="J744" s="15"/>
    </row>
    <row r="745" spans="2:10" ht="12.75">
      <c r="B745" s="28"/>
      <c r="J745" s="15"/>
    </row>
    <row r="746" spans="2:10" ht="12.75">
      <c r="B746" s="28"/>
      <c r="J746" s="15"/>
    </row>
    <row r="747" spans="2:10" ht="12.75">
      <c r="B747" s="28"/>
      <c r="J747" s="15"/>
    </row>
    <row r="748" spans="2:10" ht="12.75">
      <c r="B748" s="28"/>
      <c r="J748" s="15"/>
    </row>
    <row r="749" spans="2:10" ht="12.75">
      <c r="B749" s="28"/>
      <c r="J749" s="15"/>
    </row>
    <row r="750" spans="2:10" ht="12.75">
      <c r="B750" s="28"/>
      <c r="J750" s="15"/>
    </row>
    <row r="751" spans="2:10" ht="12.75">
      <c r="B751" s="28"/>
      <c r="J751" s="15"/>
    </row>
    <row r="752" spans="2:10" ht="12.75">
      <c r="B752" s="28"/>
      <c r="J752" s="15"/>
    </row>
    <row r="753" spans="2:10" ht="12.75">
      <c r="B753" s="28"/>
      <c r="J753" s="15"/>
    </row>
    <row r="754" spans="2:10" ht="12.75">
      <c r="B754" s="28"/>
      <c r="J754" s="15"/>
    </row>
    <row r="755" spans="2:10" ht="12.75">
      <c r="B755" s="28"/>
      <c r="J755" s="15"/>
    </row>
    <row r="756" spans="2:10" ht="12.75">
      <c r="B756" s="28"/>
      <c r="J756" s="15"/>
    </row>
    <row r="757" spans="2:10" ht="12.75">
      <c r="B757" s="28"/>
      <c r="J757" s="15"/>
    </row>
    <row r="758" spans="2:10" ht="12.75">
      <c r="B758" s="28"/>
      <c r="J758" s="15"/>
    </row>
    <row r="759" spans="2:10" ht="12.75">
      <c r="B759" s="28"/>
      <c r="J759" s="15"/>
    </row>
    <row r="760" spans="2:10" ht="12.75">
      <c r="B760" s="28"/>
      <c r="J760" s="15"/>
    </row>
    <row r="761" spans="2:10" ht="12.75">
      <c r="B761" s="28"/>
      <c r="J761" s="15"/>
    </row>
    <row r="762" spans="2:10" ht="12.75">
      <c r="B762" s="28"/>
      <c r="J762" s="15"/>
    </row>
    <row r="763" spans="2:10" ht="12.75">
      <c r="B763" s="28"/>
      <c r="J763" s="15"/>
    </row>
    <row r="764" spans="2:10" ht="12.75">
      <c r="B764" s="28"/>
      <c r="J764" s="15"/>
    </row>
    <row r="765" spans="2:10" ht="12.75">
      <c r="B765" s="28"/>
      <c r="J765" s="15"/>
    </row>
    <row r="766" spans="2:10" ht="12.75">
      <c r="B766" s="28"/>
      <c r="J766" s="15"/>
    </row>
    <row r="767" spans="2:10" ht="12.75">
      <c r="B767" s="28"/>
      <c r="J767" s="15"/>
    </row>
    <row r="768" spans="2:10" ht="12.75">
      <c r="B768" s="28"/>
      <c r="J768" s="15"/>
    </row>
    <row r="769" spans="2:10" ht="12.75">
      <c r="B769" s="28"/>
      <c r="J769" s="15"/>
    </row>
    <row r="770" spans="2:10" ht="12.75">
      <c r="B770" s="28"/>
      <c r="J770" s="15"/>
    </row>
    <row r="771" spans="2:10" ht="12.75">
      <c r="B771" s="28"/>
      <c r="J771" s="15"/>
    </row>
    <row r="772" spans="2:10" ht="12.75">
      <c r="B772" s="28"/>
      <c r="J772" s="15"/>
    </row>
    <row r="773" spans="2:10" ht="12.75">
      <c r="B773" s="28"/>
      <c r="J773" s="15"/>
    </row>
    <row r="774" spans="2:10" ht="12.75">
      <c r="B774" s="28"/>
      <c r="J774" s="15"/>
    </row>
    <row r="775" spans="2:10" ht="12.75">
      <c r="B775" s="28"/>
      <c r="J775" s="15"/>
    </row>
    <row r="776" spans="2:10" ht="12.75">
      <c r="B776" s="28"/>
      <c r="J776" s="15"/>
    </row>
    <row r="777" spans="2:10" ht="12.75">
      <c r="B777" s="28"/>
      <c r="J777" s="15"/>
    </row>
    <row r="778" spans="2:10" ht="12.75">
      <c r="B778" s="28"/>
      <c r="J778" s="15"/>
    </row>
    <row r="779" spans="2:10" ht="12.75">
      <c r="B779" s="28"/>
      <c r="J779" s="15"/>
    </row>
    <row r="780" spans="2:10" ht="12.75">
      <c r="B780" s="28"/>
      <c r="J780" s="15"/>
    </row>
    <row r="781" spans="2:10" ht="12.75">
      <c r="B781" s="28"/>
      <c r="J781" s="15"/>
    </row>
    <row r="782" spans="2:10" ht="12.75">
      <c r="B782" s="28"/>
      <c r="J782" s="15"/>
    </row>
    <row r="783" spans="2:10" ht="12.75">
      <c r="B783" s="28"/>
      <c r="J783" s="15"/>
    </row>
    <row r="784" spans="2:10" ht="12.75">
      <c r="B784" s="28"/>
      <c r="J784" s="15"/>
    </row>
    <row r="785" spans="2:10" ht="12.75">
      <c r="B785" s="28"/>
      <c r="J785" s="15"/>
    </row>
    <row r="786" spans="2:10" ht="12.75">
      <c r="B786" s="28"/>
      <c r="J786" s="15"/>
    </row>
    <row r="787" spans="2:10" ht="12.75">
      <c r="B787" s="28"/>
      <c r="J787" s="15"/>
    </row>
    <row r="788" spans="2:10" ht="12.75">
      <c r="B788" s="28"/>
      <c r="J788" s="15"/>
    </row>
    <row r="789" spans="2:10" ht="12.75">
      <c r="B789" s="28"/>
      <c r="J789" s="15"/>
    </row>
    <row r="790" spans="2:10" ht="12.75">
      <c r="B790" s="28"/>
      <c r="J790" s="15"/>
    </row>
    <row r="791" spans="2:10" ht="12.75">
      <c r="B791" s="28"/>
      <c r="J791" s="15"/>
    </row>
    <row r="792" spans="2:10" ht="12.75">
      <c r="B792" s="28"/>
      <c r="J792" s="15"/>
    </row>
    <row r="793" spans="2:10" ht="12.75">
      <c r="B793" s="28"/>
      <c r="J793" s="15"/>
    </row>
    <row r="794" spans="2:10" ht="12.75">
      <c r="B794" s="28"/>
      <c r="J794" s="15"/>
    </row>
    <row r="795" spans="2:10" ht="12.75">
      <c r="B795" s="28"/>
      <c r="J795" s="15"/>
    </row>
    <row r="796" spans="2:10" ht="12.75">
      <c r="B796" s="28"/>
      <c r="J796" s="15"/>
    </row>
    <row r="797" spans="2:10" ht="12.75">
      <c r="B797" s="28"/>
      <c r="J797" s="15"/>
    </row>
    <row r="798" spans="2:10" ht="12.75">
      <c r="B798" s="28"/>
      <c r="J798" s="15"/>
    </row>
    <row r="799" spans="2:10" ht="12.75">
      <c r="B799" s="28"/>
      <c r="J799" s="15"/>
    </row>
    <row r="800" spans="2:10" ht="12.75">
      <c r="B800" s="28"/>
      <c r="J800" s="15"/>
    </row>
    <row r="801" spans="2:10" ht="12.75">
      <c r="B801" s="28"/>
      <c r="J801" s="15"/>
    </row>
    <row r="802" spans="2:10" ht="12.75">
      <c r="B802" s="28"/>
      <c r="J802" s="15"/>
    </row>
    <row r="803" spans="2:10" ht="12.75">
      <c r="B803" s="28"/>
      <c r="J803" s="15"/>
    </row>
    <row r="804" spans="2:10" ht="12.75">
      <c r="B804" s="28"/>
      <c r="J804" s="15"/>
    </row>
    <row r="805" spans="2:10" ht="12.75">
      <c r="B805" s="28"/>
      <c r="J805" s="15"/>
    </row>
    <row r="806" spans="2:10" ht="12.75">
      <c r="B806" s="28"/>
      <c r="J806" s="15"/>
    </row>
    <row r="807" spans="2:10" ht="12.75">
      <c r="B807" s="28"/>
      <c r="J807" s="15"/>
    </row>
    <row r="808" spans="2:10" ht="12.75">
      <c r="B808" s="28"/>
      <c r="J808" s="15"/>
    </row>
    <row r="809" spans="2:10" ht="12.75">
      <c r="B809" s="28"/>
      <c r="J809" s="15"/>
    </row>
    <row r="810" spans="2:10" ht="12.75">
      <c r="B810" s="28"/>
      <c r="J810" s="15"/>
    </row>
    <row r="811" spans="2:10" ht="12.75">
      <c r="B811" s="28"/>
      <c r="J811" s="15"/>
    </row>
    <row r="812" spans="2:10" ht="12.75">
      <c r="B812" s="28"/>
      <c r="J812" s="15"/>
    </row>
    <row r="813" spans="2:10" ht="12.75">
      <c r="B813" s="28"/>
      <c r="J813" s="15"/>
    </row>
    <row r="814" spans="2:10" ht="12.75">
      <c r="B814" s="28"/>
      <c r="J814" s="15"/>
    </row>
    <row r="815" spans="2:10" ht="12.75">
      <c r="B815" s="28"/>
      <c r="J815" s="15"/>
    </row>
    <row r="816" spans="2:10" ht="12.75">
      <c r="B816" s="28"/>
      <c r="J816" s="15"/>
    </row>
    <row r="817" spans="2:10" ht="12.75">
      <c r="B817" s="28"/>
      <c r="J817" s="15"/>
    </row>
    <row r="818" spans="2:10" ht="12.75">
      <c r="B818" s="28"/>
      <c r="J818" s="15"/>
    </row>
    <row r="819" spans="2:10" ht="12.75">
      <c r="B819" s="28"/>
      <c r="J819" s="15"/>
    </row>
    <row r="820" spans="2:10" ht="12.75">
      <c r="B820" s="28"/>
      <c r="J820" s="15"/>
    </row>
    <row r="821" spans="2:10" ht="12.75">
      <c r="B821" s="28"/>
      <c r="J821" s="15"/>
    </row>
    <row r="822" spans="2:10" ht="12.75">
      <c r="B822" s="28"/>
      <c r="J822" s="15"/>
    </row>
    <row r="823" spans="2:10" ht="12.75">
      <c r="B823" s="28"/>
      <c r="J823" s="15"/>
    </row>
    <row r="824" spans="2:10" ht="12.75">
      <c r="B824" s="28"/>
      <c r="J824" s="15"/>
    </row>
    <row r="825" spans="2:10" ht="12.75">
      <c r="B825" s="28"/>
      <c r="J825" s="15"/>
    </row>
    <row r="826" spans="2:10" ht="12.75">
      <c r="B826" s="28"/>
      <c r="J826" s="15"/>
    </row>
    <row r="827" spans="2:10" ht="12.75">
      <c r="B827" s="28"/>
      <c r="J827" s="15"/>
    </row>
    <row r="828" spans="2:10" ht="12.75">
      <c r="B828" s="28"/>
      <c r="J828" s="15"/>
    </row>
    <row r="829" spans="2:10" ht="12.75">
      <c r="B829" s="28"/>
      <c r="J829" s="15"/>
    </row>
    <row r="830" spans="2:10" ht="12.75">
      <c r="B830" s="28"/>
      <c r="J830" s="15"/>
    </row>
    <row r="831" spans="2:10" ht="12.75">
      <c r="B831" s="28"/>
      <c r="J831" s="15"/>
    </row>
    <row r="832" spans="2:10" ht="12.75">
      <c r="B832" s="28"/>
      <c r="J832" s="15"/>
    </row>
    <row r="833" spans="2:10" ht="12.75">
      <c r="B833" s="28"/>
      <c r="J833" s="15"/>
    </row>
    <row r="834" spans="2:10" ht="12.75">
      <c r="B834" s="28"/>
      <c r="J834" s="15"/>
    </row>
    <row r="835" spans="2:10" ht="12.75">
      <c r="B835" s="28"/>
      <c r="J835" s="15"/>
    </row>
    <row r="836" spans="2:10" ht="12.75">
      <c r="B836" s="28"/>
      <c r="J836" s="15"/>
    </row>
    <row r="837" spans="2:10" ht="12.75">
      <c r="B837" s="28"/>
      <c r="J837" s="15"/>
    </row>
    <row r="838" spans="2:10" ht="12.75">
      <c r="B838" s="28"/>
      <c r="J838" s="15"/>
    </row>
    <row r="839" spans="2:10" ht="12.75">
      <c r="B839" s="28"/>
      <c r="J839" s="15"/>
    </row>
    <row r="840" spans="2:10" ht="12.75">
      <c r="B840" s="28"/>
      <c r="J840" s="15"/>
    </row>
    <row r="841" spans="2:10" ht="12.75">
      <c r="B841" s="28"/>
      <c r="J841" s="15"/>
    </row>
    <row r="842" spans="2:10" ht="12.75">
      <c r="B842" s="28"/>
      <c r="J842" s="15"/>
    </row>
    <row r="843" spans="2:10" ht="12.75">
      <c r="B843" s="28"/>
      <c r="J843" s="15"/>
    </row>
    <row r="844" spans="2:10" ht="12.75">
      <c r="B844" s="28"/>
      <c r="J844" s="15"/>
    </row>
    <row r="845" spans="2:10" ht="12.75">
      <c r="B845" s="28"/>
      <c r="J845" s="15"/>
    </row>
    <row r="846" spans="2:10" ht="12.75">
      <c r="B846" s="28"/>
      <c r="J846" s="15"/>
    </row>
    <row r="847" spans="2:10" ht="12.75">
      <c r="B847" s="28"/>
      <c r="J847" s="15"/>
    </row>
    <row r="848" spans="2:10" ht="12.75">
      <c r="B848" s="28"/>
      <c r="J848" s="15"/>
    </row>
    <row r="849" spans="2:10" ht="12.75">
      <c r="B849" s="28"/>
      <c r="J849" s="15"/>
    </row>
    <row r="850" spans="2:10" ht="12.75">
      <c r="B850" s="28"/>
      <c r="J850" s="15"/>
    </row>
    <row r="851" spans="2:10" ht="12.75">
      <c r="B851" s="28"/>
      <c r="J851" s="15"/>
    </row>
    <row r="852" spans="2:10" ht="12.75">
      <c r="B852" s="28"/>
      <c r="J852" s="15"/>
    </row>
    <row r="853" spans="2:10" ht="12.75">
      <c r="B853" s="28"/>
      <c r="J853" s="15"/>
    </row>
    <row r="854" spans="2:10" ht="12.75">
      <c r="B854" s="28"/>
      <c r="J854" s="15"/>
    </row>
    <row r="855" spans="2:10" ht="12.75">
      <c r="B855" s="28"/>
      <c r="J855" s="15"/>
    </row>
    <row r="856" spans="2:10" ht="12.75">
      <c r="B856" s="28"/>
      <c r="J856" s="15"/>
    </row>
    <row r="857" spans="2:10" ht="12.75">
      <c r="B857" s="28"/>
      <c r="J857" s="15"/>
    </row>
    <row r="858" spans="2:10" ht="12.75">
      <c r="B858" s="28"/>
      <c r="J858" s="15"/>
    </row>
    <row r="859" spans="2:10" ht="12.75">
      <c r="B859" s="28"/>
      <c r="J859" s="15"/>
    </row>
    <row r="860" spans="2:10" ht="12.75">
      <c r="B860" s="28"/>
      <c r="J860" s="15"/>
    </row>
    <row r="861" spans="2:10" ht="12.75">
      <c r="B861" s="28"/>
      <c r="J861" s="15"/>
    </row>
    <row r="862" spans="2:10" ht="12.75">
      <c r="B862" s="28"/>
      <c r="J862" s="15"/>
    </row>
    <row r="863" spans="2:10" ht="12.75">
      <c r="B863" s="28"/>
      <c r="J863" s="15"/>
    </row>
    <row r="864" spans="2:10" ht="12.75">
      <c r="B864" s="28"/>
      <c r="J864" s="15"/>
    </row>
    <row r="865" spans="2:10" ht="12.75">
      <c r="B865" s="28"/>
      <c r="J865" s="15"/>
    </row>
    <row r="866" spans="2:10" ht="12.75">
      <c r="B866" s="28"/>
      <c r="J866" s="15"/>
    </row>
    <row r="867" spans="2:10" ht="12.75">
      <c r="B867" s="28"/>
      <c r="J867" s="15"/>
    </row>
    <row r="868" spans="2:10" ht="12.75">
      <c r="B868" s="28"/>
      <c r="J868" s="15"/>
    </row>
    <row r="869" spans="2:10" ht="12.75">
      <c r="B869" s="28"/>
      <c r="J869" s="15"/>
    </row>
    <row r="870" spans="2:10" ht="12.75">
      <c r="B870" s="28"/>
      <c r="J870" s="15"/>
    </row>
    <row r="871" spans="2:10" ht="12.75">
      <c r="B871" s="28"/>
      <c r="J871" s="15"/>
    </row>
    <row r="872" spans="2:10" ht="12.75">
      <c r="B872" s="28"/>
      <c r="J872" s="15"/>
    </row>
    <row r="873" spans="2:10" ht="12.75">
      <c r="B873" s="28"/>
      <c r="J873" s="15"/>
    </row>
    <row r="874" spans="2:10" ht="12.75">
      <c r="B874" s="28"/>
      <c r="J874" s="15"/>
    </row>
    <row r="875" spans="2:10" ht="12.75">
      <c r="B875" s="28"/>
      <c r="J875" s="15"/>
    </row>
    <row r="876" spans="2:10" ht="12.75">
      <c r="B876" s="28"/>
      <c r="J876" s="15"/>
    </row>
    <row r="877" spans="2:10" ht="12.75">
      <c r="B877" s="28"/>
      <c r="J877" s="15"/>
    </row>
    <row r="878" spans="2:10" ht="12.75">
      <c r="B878" s="28"/>
      <c r="J878" s="15"/>
    </row>
    <row r="879" spans="2:10" ht="12.75">
      <c r="B879" s="28"/>
      <c r="J879" s="15"/>
    </row>
    <row r="880" spans="2:10" ht="12.75">
      <c r="B880" s="28"/>
      <c r="J880" s="15"/>
    </row>
    <row r="881" spans="2:10" ht="12.75">
      <c r="B881" s="28"/>
      <c r="J881" s="15"/>
    </row>
    <row r="882" spans="2:10" ht="12.75">
      <c r="B882" s="28"/>
      <c r="J882" s="15"/>
    </row>
    <row r="883" spans="2:10" ht="12.75">
      <c r="B883" s="28"/>
      <c r="J883" s="15"/>
    </row>
    <row r="884" spans="2:10" ht="12.75">
      <c r="B884" s="28"/>
      <c r="J884" s="15"/>
    </row>
    <row r="885" spans="2:10" ht="12.75">
      <c r="B885" s="28"/>
      <c r="J885" s="15"/>
    </row>
    <row r="886" spans="2:10" ht="12.75">
      <c r="B886" s="28"/>
      <c r="J886" s="15"/>
    </row>
    <row r="887" spans="2:10" ht="12.75">
      <c r="B887" s="28"/>
      <c r="J887" s="15"/>
    </row>
    <row r="888" spans="2:10" ht="12.75">
      <c r="B888" s="28"/>
      <c r="J888" s="15"/>
    </row>
    <row r="889" spans="2:10" ht="12.75">
      <c r="B889" s="28"/>
      <c r="J889" s="15"/>
    </row>
    <row r="890" spans="2:10" ht="12.75">
      <c r="B890" s="28"/>
      <c r="J890" s="15"/>
    </row>
    <row r="891" spans="2:10" ht="12.75">
      <c r="B891" s="28"/>
      <c r="J891" s="15"/>
    </row>
    <row r="892" spans="2:10" ht="12.75">
      <c r="B892" s="28"/>
      <c r="J892" s="15"/>
    </row>
    <row r="893" spans="2:10" ht="12.75">
      <c r="B893" s="28"/>
      <c r="J893" s="15"/>
    </row>
    <row r="894" spans="2:10" ht="12.75">
      <c r="B894" s="28"/>
      <c r="J894" s="15"/>
    </row>
    <row r="895" spans="2:10" ht="12.75">
      <c r="B895" s="28"/>
      <c r="J895" s="15"/>
    </row>
    <row r="896" spans="2:10" ht="12.75">
      <c r="B896" s="28"/>
      <c r="J896" s="15"/>
    </row>
    <row r="897" spans="2:10" ht="12.75">
      <c r="B897" s="28"/>
      <c r="J897" s="15"/>
    </row>
    <row r="898" spans="2:10" ht="12.75">
      <c r="B898" s="28"/>
      <c r="J898" s="15"/>
    </row>
    <row r="899" spans="2:10" ht="12.75">
      <c r="B899" s="28"/>
      <c r="J899" s="15"/>
    </row>
    <row r="900" spans="2:10" ht="12.75">
      <c r="B900" s="28"/>
      <c r="J900" s="15"/>
    </row>
    <row r="901" spans="2:10" ht="12.75">
      <c r="B901" s="28"/>
      <c r="J901" s="15"/>
    </row>
    <row r="902" spans="2:10" ht="12.75">
      <c r="B902" s="28"/>
      <c r="J902" s="15"/>
    </row>
    <row r="903" spans="2:10" ht="12.75">
      <c r="B903" s="28"/>
      <c r="J903" s="15"/>
    </row>
    <row r="904" spans="2:10" ht="12.75">
      <c r="B904" s="28"/>
      <c r="J904" s="15"/>
    </row>
    <row r="905" spans="2:10" ht="12.75">
      <c r="B905" s="28"/>
      <c r="J905" s="15"/>
    </row>
    <row r="906" spans="2:10" ht="12.75">
      <c r="B906" s="28"/>
      <c r="J906" s="15"/>
    </row>
    <row r="907" spans="2:10" ht="12.75">
      <c r="B907" s="28"/>
      <c r="J907" s="15"/>
    </row>
    <row r="908" spans="2:10" ht="12.75">
      <c r="B908" s="28"/>
      <c r="J908" s="15"/>
    </row>
    <row r="909" spans="2:10" ht="12.75">
      <c r="B909" s="28"/>
      <c r="J909" s="15"/>
    </row>
    <row r="910" spans="2:10" ht="12.75">
      <c r="B910" s="28"/>
      <c r="J910" s="15"/>
    </row>
    <row r="911" spans="2:10" ht="12.75">
      <c r="B911" s="28"/>
      <c r="J911" s="15"/>
    </row>
    <row r="912" spans="2:10" ht="12.75">
      <c r="B912" s="28"/>
      <c r="J912" s="15"/>
    </row>
    <row r="913" spans="2:10" ht="12.75">
      <c r="B913" s="28"/>
      <c r="J913" s="15"/>
    </row>
    <row r="914" spans="2:10" ht="12.75">
      <c r="B914" s="28"/>
      <c r="J914" s="15"/>
    </row>
    <row r="915" spans="2:10" ht="12.75">
      <c r="B915" s="28"/>
      <c r="J915" s="15"/>
    </row>
    <row r="916" spans="2:10" ht="12.75">
      <c r="B916" s="28"/>
      <c r="J916" s="15"/>
    </row>
    <row r="917" spans="2:10" ht="12.75">
      <c r="B917" s="28"/>
      <c r="J917" s="15"/>
    </row>
    <row r="918" spans="2:10" ht="12.75">
      <c r="B918" s="28"/>
      <c r="J918" s="15"/>
    </row>
    <row r="919" spans="2:10" ht="12.75">
      <c r="B919" s="28"/>
      <c r="J919" s="15"/>
    </row>
    <row r="920" spans="2:10" ht="12.75">
      <c r="B920" s="28"/>
      <c r="J920" s="15"/>
    </row>
    <row r="921" spans="2:10" ht="12.75">
      <c r="B921" s="28"/>
      <c r="J921" s="15"/>
    </row>
    <row r="922" spans="2:10" ht="12.75">
      <c r="B922" s="28"/>
      <c r="J922" s="15"/>
    </row>
    <row r="923" spans="2:10" ht="12.75">
      <c r="B923" s="28"/>
      <c r="J923" s="15"/>
    </row>
    <row r="924" spans="2:10" ht="12.75">
      <c r="B924" s="28"/>
      <c r="J924" s="15"/>
    </row>
    <row r="925" spans="2:10" ht="12.75">
      <c r="B925" s="28"/>
      <c r="J925" s="15"/>
    </row>
    <row r="926" spans="2:10" ht="12.75">
      <c r="B926" s="28"/>
      <c r="J926" s="15"/>
    </row>
    <row r="927" spans="2:10" ht="12.75">
      <c r="B927" s="28"/>
      <c r="J927" s="15"/>
    </row>
    <row r="928" spans="2:10" ht="12.75">
      <c r="B928" s="28"/>
      <c r="J928" s="15"/>
    </row>
    <row r="929" spans="2:10" ht="12.75">
      <c r="B929" s="28"/>
      <c r="J929" s="15"/>
    </row>
    <row r="930" spans="2:10" ht="12.75">
      <c r="B930" s="28"/>
      <c r="J930" s="15"/>
    </row>
    <row r="931" spans="2:10" ht="12.75">
      <c r="B931" s="28"/>
      <c r="J931" s="15"/>
    </row>
    <row r="932" spans="2:10" ht="12.75">
      <c r="B932" s="28"/>
      <c r="J932" s="15"/>
    </row>
    <row r="933" spans="2:10" ht="12.75">
      <c r="B933" s="28"/>
      <c r="J933" s="15"/>
    </row>
    <row r="934" spans="2:10" ht="12.75">
      <c r="B934" s="28"/>
      <c r="J934" s="15"/>
    </row>
    <row r="935" spans="2:10" ht="12.75">
      <c r="B935" s="28"/>
      <c r="J935" s="15"/>
    </row>
    <row r="936" spans="2:10" ht="12.75">
      <c r="B936" s="28"/>
      <c r="J936" s="15"/>
    </row>
    <row r="937" spans="2:10" ht="12.75">
      <c r="B937" s="28"/>
      <c r="J937" s="15"/>
    </row>
    <row r="938" spans="2:10" ht="12.75">
      <c r="B938" s="28"/>
      <c r="J938" s="15"/>
    </row>
    <row r="939" spans="2:10" ht="12.75">
      <c r="B939" s="28"/>
      <c r="J939" s="15"/>
    </row>
    <row r="940" spans="2:10" ht="12.75">
      <c r="B940" s="28"/>
      <c r="J940" s="15"/>
    </row>
    <row r="941" spans="2:10" ht="12.75">
      <c r="B941" s="28"/>
      <c r="J941" s="15"/>
    </row>
    <row r="942" spans="2:10" ht="12.75">
      <c r="B942" s="28"/>
      <c r="J942" s="15"/>
    </row>
    <row r="943" spans="2:10" ht="12.75">
      <c r="B943" s="28"/>
      <c r="J943" s="15"/>
    </row>
    <row r="944" spans="2:10" ht="12.75">
      <c r="B944" s="28"/>
      <c r="J944" s="15"/>
    </row>
    <row r="945" spans="2:10" ht="12.75">
      <c r="B945" s="28"/>
      <c r="J945" s="15"/>
    </row>
    <row r="946" spans="2:10" ht="12.75">
      <c r="B946" s="28"/>
      <c r="J946" s="15"/>
    </row>
    <row r="947" spans="2:10" ht="12.75">
      <c r="B947" s="28"/>
      <c r="J947" s="15"/>
    </row>
    <row r="948" spans="2:10" ht="12.75">
      <c r="B948" s="28"/>
      <c r="J948" s="15"/>
    </row>
    <row r="949" spans="2:10" ht="12.75">
      <c r="B949" s="28"/>
      <c r="J949" s="15"/>
    </row>
    <row r="950" spans="2:10" ht="12.75">
      <c r="B950" s="28"/>
      <c r="J950" s="15"/>
    </row>
    <row r="951" spans="2:10" ht="12.75">
      <c r="B951" s="28"/>
      <c r="J951" s="15"/>
    </row>
    <row r="952" spans="2:10" ht="12.75">
      <c r="B952" s="28"/>
      <c r="J952" s="15"/>
    </row>
    <row r="953" spans="2:10" ht="12.75">
      <c r="B953" s="28"/>
      <c r="J953" s="15"/>
    </row>
    <row r="954" spans="2:10" ht="12.75">
      <c r="B954" s="28"/>
      <c r="J954" s="15"/>
    </row>
    <row r="955" spans="2:10" ht="12.75">
      <c r="B955" s="28"/>
      <c r="J955" s="15"/>
    </row>
    <row r="956" spans="2:10" ht="12.75">
      <c r="B956" s="28"/>
      <c r="J956" s="15"/>
    </row>
    <row r="957" spans="2:10" ht="12.75">
      <c r="B957" s="28"/>
      <c r="J957" s="15"/>
    </row>
    <row r="958" spans="2:10" ht="12.75">
      <c r="B958" s="28"/>
      <c r="J958" s="15"/>
    </row>
    <row r="959" spans="2:10" ht="12.75">
      <c r="B959" s="28"/>
      <c r="J959" s="15"/>
    </row>
    <row r="960" spans="2:10" ht="12.75">
      <c r="B960" s="28"/>
      <c r="J960" s="15"/>
    </row>
    <row r="961" spans="2:10" ht="12.75">
      <c r="B961" s="28"/>
      <c r="J961" s="15"/>
    </row>
    <row r="962" spans="2:10" ht="12.75">
      <c r="B962" s="28"/>
      <c r="J962" s="15"/>
    </row>
    <row r="963" spans="2:10" ht="12.75">
      <c r="B963" s="28"/>
      <c r="J963" s="15"/>
    </row>
    <row r="964" spans="2:10" ht="12.75">
      <c r="B964" s="28"/>
      <c r="J964" s="15"/>
    </row>
    <row r="965" spans="2:10" ht="12.75">
      <c r="B965" s="28"/>
      <c r="J965" s="15"/>
    </row>
    <row r="966" spans="2:10" ht="12.75">
      <c r="B966" s="28"/>
      <c r="J966" s="15"/>
    </row>
    <row r="967" spans="2:10" ht="12.75">
      <c r="B967" s="28"/>
      <c r="J967" s="15"/>
    </row>
    <row r="968" spans="2:10" ht="12.75">
      <c r="B968" s="28"/>
      <c r="J968" s="15"/>
    </row>
    <row r="969" spans="2:10" ht="12.75">
      <c r="B969" s="28"/>
      <c r="J969" s="15"/>
    </row>
    <row r="970" spans="2:10" ht="12.75">
      <c r="B970" s="28"/>
      <c r="J970" s="15"/>
    </row>
    <row r="971" spans="2:10" ht="12.75">
      <c r="B971" s="28"/>
      <c r="J971" s="15"/>
    </row>
    <row r="972" spans="2:10" ht="12.75">
      <c r="B972" s="28"/>
      <c r="J972" s="15"/>
    </row>
    <row r="973" spans="2:10" ht="12.75">
      <c r="B973" s="28"/>
      <c r="J973" s="15"/>
    </row>
    <row r="974" spans="2:10" ht="12.75">
      <c r="B974" s="28"/>
      <c r="J974" s="15"/>
    </row>
    <row r="975" spans="2:10" ht="12.75">
      <c r="B975" s="28"/>
      <c r="J975" s="15"/>
    </row>
    <row r="976" spans="2:10" ht="12.75">
      <c r="B976" s="28"/>
      <c r="J976" s="15"/>
    </row>
    <row r="977" spans="2:10" ht="12.75">
      <c r="B977" s="28"/>
      <c r="J977" s="15"/>
    </row>
    <row r="978" spans="2:10" ht="12.75">
      <c r="B978" s="28"/>
      <c r="J978" s="15"/>
    </row>
    <row r="979" spans="2:10" ht="12.75">
      <c r="B979" s="28"/>
      <c r="J979" s="15"/>
    </row>
    <row r="980" spans="2:10" ht="12.75">
      <c r="B980" s="28"/>
      <c r="J980" s="15"/>
    </row>
    <row r="981" spans="2:10" ht="12.75">
      <c r="B981" s="28"/>
      <c r="J981" s="15"/>
    </row>
    <row r="982" spans="2:10" ht="12.75">
      <c r="B982" s="28"/>
      <c r="J982" s="15"/>
    </row>
    <row r="983" spans="2:10" ht="12.75">
      <c r="B983" s="28"/>
      <c r="J983" s="15"/>
    </row>
    <row r="984" spans="2:10" ht="12.75">
      <c r="B984" s="28"/>
      <c r="J984" s="15"/>
    </row>
    <row r="985" spans="2:10" ht="12.75">
      <c r="B985" s="28"/>
      <c r="J985" s="15"/>
    </row>
    <row r="986" spans="2:10" ht="12.75">
      <c r="B986" s="28"/>
      <c r="J986" s="15"/>
    </row>
    <row r="987" spans="2:10" ht="12.75">
      <c r="B987" s="28"/>
      <c r="J987" s="15"/>
    </row>
    <row r="988" spans="2:10" ht="12.75">
      <c r="B988" s="28"/>
      <c r="J988" s="15"/>
    </row>
    <row r="989" spans="2:10" ht="12.75">
      <c r="B989" s="28"/>
      <c r="J989" s="15"/>
    </row>
    <row r="990" spans="2:10" ht="12.75">
      <c r="B990" s="28"/>
      <c r="J990" s="15"/>
    </row>
    <row r="991" spans="2:10" ht="12.75">
      <c r="B991" s="28"/>
      <c r="J991" s="15"/>
    </row>
    <row r="992" spans="2:10" ht="12.75">
      <c r="B992" s="28"/>
      <c r="J992" s="15"/>
    </row>
  </sheetData>
  <mergeCells count="1">
    <mergeCell ref="C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O94"/>
  <sheetViews>
    <sheetView workbookViewId="0">
      <pane ySplit="4" topLeftCell="A5" activePane="bottomLeft" state="frozen"/>
      <selection pane="bottomLeft" activeCell="B6" sqref="B6"/>
    </sheetView>
  </sheetViews>
  <sheetFormatPr defaultColWidth="12.5703125" defaultRowHeight="15.75" customHeight="1"/>
  <cols>
    <col min="1" max="1" width="13.42578125" customWidth="1"/>
    <col min="2" max="2" width="32" customWidth="1"/>
    <col min="3" max="3" width="18.140625" customWidth="1"/>
    <col min="4" max="4" width="7" customWidth="1"/>
    <col min="5" max="5" width="16.7109375" customWidth="1"/>
    <col min="6" max="6" width="6.5703125" customWidth="1"/>
    <col min="7" max="7" width="7" customWidth="1"/>
    <col min="8" max="8" width="9.5703125" customWidth="1"/>
  </cols>
  <sheetData>
    <row r="1" spans="1:9" ht="15.75" customHeight="1">
      <c r="A1" s="31"/>
      <c r="B1" s="31"/>
      <c r="C1" s="33"/>
      <c r="D1" s="33"/>
      <c r="E1" s="33"/>
      <c r="F1" s="33"/>
      <c r="G1" s="33"/>
      <c r="H1" s="33"/>
    </row>
    <row r="2" spans="1:9" ht="15.75" customHeight="1">
      <c r="A2" s="145" t="s">
        <v>1021</v>
      </c>
      <c r="B2" s="138"/>
      <c r="C2" s="138"/>
      <c r="D2" s="111"/>
      <c r="E2" s="111"/>
      <c r="F2" s="111"/>
      <c r="G2" s="111"/>
      <c r="H2" s="111"/>
      <c r="I2" s="111"/>
    </row>
    <row r="3" spans="1:9" ht="15.75" customHeight="1">
      <c r="A3" s="31"/>
      <c r="B3" s="31"/>
      <c r="C3" s="33"/>
      <c r="D3" s="33"/>
      <c r="E3" s="33"/>
      <c r="F3" s="33"/>
      <c r="G3" s="33"/>
      <c r="H3" s="33"/>
    </row>
    <row r="4" spans="1:9" ht="15.75" customHeight="1">
      <c r="A4" s="42" t="s">
        <v>82</v>
      </c>
      <c r="B4" s="42" t="s">
        <v>85</v>
      </c>
      <c r="C4" s="42" t="s">
        <v>1022</v>
      </c>
      <c r="D4" s="112"/>
      <c r="E4" s="112"/>
      <c r="F4" s="112"/>
      <c r="G4" s="112"/>
      <c r="H4" s="112"/>
    </row>
    <row r="5" spans="1:9" ht="15.75" customHeight="1">
      <c r="A5" s="113">
        <v>1</v>
      </c>
      <c r="B5" s="114" t="s">
        <v>177</v>
      </c>
      <c r="C5" s="115">
        <v>9.1</v>
      </c>
    </row>
    <row r="6" spans="1:9" ht="15.75" customHeight="1">
      <c r="A6" s="70">
        <v>2</v>
      </c>
      <c r="B6" s="116" t="s">
        <v>187</v>
      </c>
      <c r="C6" s="70">
        <v>9.1</v>
      </c>
    </row>
    <row r="7" spans="1:9" ht="15.75" customHeight="1">
      <c r="A7" s="113">
        <v>3</v>
      </c>
      <c r="B7" s="117" t="s">
        <v>134</v>
      </c>
      <c r="C7" s="118">
        <v>9</v>
      </c>
      <c r="D7" s="57"/>
      <c r="E7" s="57"/>
      <c r="F7" s="57"/>
      <c r="G7" s="57"/>
      <c r="H7" s="57"/>
    </row>
    <row r="8" spans="1:9" ht="15.75" customHeight="1">
      <c r="A8" s="113">
        <v>4</v>
      </c>
      <c r="B8" s="119" t="s">
        <v>174</v>
      </c>
      <c r="C8" s="115">
        <v>9</v>
      </c>
      <c r="D8" s="57"/>
      <c r="E8" s="57"/>
      <c r="F8" s="57"/>
      <c r="G8" s="57"/>
      <c r="H8" s="57"/>
    </row>
    <row r="9" spans="1:9" ht="15.75" customHeight="1">
      <c r="A9" s="70">
        <v>5</v>
      </c>
      <c r="B9" s="117" t="s">
        <v>137</v>
      </c>
      <c r="C9" s="118">
        <v>8.8000000000000007</v>
      </c>
      <c r="D9" s="57"/>
      <c r="E9" s="57"/>
      <c r="F9" s="57"/>
      <c r="G9" s="57"/>
      <c r="H9" s="57"/>
    </row>
    <row r="10" spans="1:9">
      <c r="A10" s="56">
        <v>6</v>
      </c>
      <c r="B10" s="40" t="s">
        <v>180</v>
      </c>
      <c r="C10" s="48">
        <v>8.8000000000000007</v>
      </c>
    </row>
    <row r="11" spans="1:9">
      <c r="A11" s="44">
        <v>7</v>
      </c>
      <c r="B11" s="40" t="s">
        <v>182</v>
      </c>
      <c r="C11" s="48">
        <v>8.8000000000000007</v>
      </c>
    </row>
    <row r="12" spans="1:9" ht="15.75" customHeight="1">
      <c r="A12" s="113">
        <v>8</v>
      </c>
      <c r="B12" s="117" t="s">
        <v>149</v>
      </c>
      <c r="C12" s="118">
        <v>8.6999999999999993</v>
      </c>
      <c r="D12" s="57"/>
      <c r="E12" s="57"/>
      <c r="F12" s="57"/>
      <c r="G12" s="57"/>
      <c r="H12" s="57"/>
    </row>
    <row r="13" spans="1:9">
      <c r="A13" s="44">
        <v>9</v>
      </c>
      <c r="B13" s="40" t="s">
        <v>178</v>
      </c>
      <c r="C13" s="48">
        <v>8.6999999999999993</v>
      </c>
    </row>
    <row r="14" spans="1:9">
      <c r="A14" s="44">
        <v>10</v>
      </c>
      <c r="B14" s="52" t="s">
        <v>152</v>
      </c>
      <c r="C14" s="18">
        <v>8.6</v>
      </c>
      <c r="D14" s="57"/>
      <c r="E14" s="57"/>
      <c r="F14" s="57"/>
      <c r="G14" s="57"/>
      <c r="H14" s="57"/>
    </row>
    <row r="15" spans="1:9">
      <c r="A15" s="37">
        <v>11</v>
      </c>
      <c r="B15" s="45" t="s">
        <v>164</v>
      </c>
      <c r="C15" s="18">
        <v>8.6</v>
      </c>
      <c r="D15" s="57"/>
      <c r="E15" s="57"/>
      <c r="F15" s="57"/>
      <c r="G15" s="57"/>
      <c r="H15" s="57"/>
    </row>
    <row r="16" spans="1:9">
      <c r="A16" s="44">
        <v>12</v>
      </c>
      <c r="B16" s="45" t="s">
        <v>151</v>
      </c>
      <c r="C16" s="18">
        <v>8.5</v>
      </c>
      <c r="D16" s="57"/>
      <c r="E16" s="57"/>
      <c r="F16" s="57"/>
      <c r="G16" s="57"/>
      <c r="H16" s="57"/>
    </row>
    <row r="17" spans="1:8">
      <c r="A17" s="44">
        <v>13</v>
      </c>
      <c r="B17" s="45" t="s">
        <v>131</v>
      </c>
      <c r="C17" s="18">
        <v>8.4</v>
      </c>
      <c r="D17" s="57"/>
      <c r="E17" s="57"/>
      <c r="F17" s="57"/>
      <c r="G17" s="57"/>
      <c r="H17" s="57"/>
    </row>
    <row r="18" spans="1:8">
      <c r="A18" s="44">
        <v>14</v>
      </c>
      <c r="B18" s="45" t="s">
        <v>142</v>
      </c>
      <c r="C18" s="18">
        <v>8.4</v>
      </c>
      <c r="D18" s="57"/>
      <c r="E18" s="57"/>
      <c r="F18" s="57"/>
      <c r="G18" s="57"/>
      <c r="H18" s="57"/>
    </row>
    <row r="19" spans="1:8">
      <c r="A19" s="37">
        <v>15</v>
      </c>
      <c r="B19" s="45" t="s">
        <v>144</v>
      </c>
      <c r="C19" s="18">
        <v>8.4</v>
      </c>
      <c r="D19" s="57"/>
      <c r="E19" s="57"/>
      <c r="F19" s="57"/>
      <c r="G19" s="57"/>
      <c r="H19" s="57"/>
    </row>
    <row r="20" spans="1:8" ht="15.75" customHeight="1">
      <c r="A20" s="56">
        <v>16</v>
      </c>
      <c r="B20" s="117" t="s">
        <v>163</v>
      </c>
      <c r="C20" s="118">
        <v>8.4</v>
      </c>
      <c r="D20" s="57"/>
      <c r="E20" s="57"/>
      <c r="F20" s="57"/>
      <c r="G20" s="57"/>
      <c r="H20" s="57"/>
    </row>
    <row r="21" spans="1:8">
      <c r="A21" s="44">
        <v>17</v>
      </c>
      <c r="B21" s="45" t="s">
        <v>135</v>
      </c>
      <c r="C21" s="18">
        <v>8.3000000000000007</v>
      </c>
      <c r="D21" s="57"/>
      <c r="E21" s="57"/>
      <c r="F21" s="57"/>
      <c r="G21" s="57"/>
      <c r="H21" s="57"/>
    </row>
    <row r="22" spans="1:8">
      <c r="A22" s="56">
        <v>18</v>
      </c>
      <c r="B22" s="52" t="s">
        <v>168</v>
      </c>
      <c r="C22" s="48">
        <v>8.3000000000000007</v>
      </c>
      <c r="D22" s="57"/>
      <c r="E22" s="57"/>
      <c r="F22" s="57"/>
      <c r="G22" s="57"/>
      <c r="H22" s="57"/>
    </row>
    <row r="23" spans="1:8" ht="15.75" customHeight="1">
      <c r="A23" s="44">
        <v>19</v>
      </c>
      <c r="B23" s="117" t="s">
        <v>158</v>
      </c>
      <c r="C23" s="118">
        <v>8.1999999999999993</v>
      </c>
      <c r="D23" s="57"/>
      <c r="F23" s="57"/>
      <c r="G23" s="57"/>
      <c r="H23" s="57"/>
    </row>
    <row r="24" spans="1:8">
      <c r="A24" s="44">
        <v>20</v>
      </c>
      <c r="B24" s="52" t="s">
        <v>161</v>
      </c>
      <c r="C24" s="18">
        <v>8.1999999999999993</v>
      </c>
      <c r="D24" s="57"/>
      <c r="E24" s="57"/>
      <c r="F24" s="57"/>
      <c r="G24" s="57"/>
      <c r="H24" s="57"/>
    </row>
    <row r="25" spans="1:8" ht="15">
      <c r="A25" s="37">
        <v>21</v>
      </c>
      <c r="B25" s="45" t="s">
        <v>162</v>
      </c>
      <c r="C25" s="18">
        <v>8.1999999999999993</v>
      </c>
      <c r="D25" s="57"/>
      <c r="E25" s="57"/>
      <c r="F25" s="57"/>
      <c r="G25" s="57"/>
      <c r="H25" s="57"/>
    </row>
    <row r="26" spans="1:8" ht="15">
      <c r="A26" s="44">
        <v>22</v>
      </c>
      <c r="B26" s="45" t="s">
        <v>147</v>
      </c>
      <c r="C26" s="18">
        <v>8.1</v>
      </c>
      <c r="D26" s="57"/>
      <c r="E26" s="57"/>
      <c r="F26" s="57"/>
      <c r="G26" s="57"/>
      <c r="H26" s="57"/>
    </row>
    <row r="27" spans="1:8" ht="15">
      <c r="A27" s="44">
        <v>23</v>
      </c>
      <c r="B27" s="45" t="s">
        <v>146</v>
      </c>
      <c r="C27" s="18">
        <v>8</v>
      </c>
      <c r="D27" s="57"/>
      <c r="E27" s="57"/>
      <c r="F27" s="57"/>
      <c r="G27" s="57"/>
      <c r="H27" s="57"/>
    </row>
    <row r="28" spans="1:8" ht="15">
      <c r="A28" s="44">
        <v>24</v>
      </c>
      <c r="B28" s="45" t="s">
        <v>153</v>
      </c>
      <c r="C28" s="18">
        <v>8</v>
      </c>
      <c r="D28" s="57"/>
      <c r="E28" s="57"/>
      <c r="F28" s="57"/>
      <c r="G28" s="57"/>
      <c r="H28" s="50"/>
    </row>
    <row r="29" spans="1:8" ht="15">
      <c r="A29" s="44">
        <v>25</v>
      </c>
      <c r="B29" s="45" t="s">
        <v>156</v>
      </c>
      <c r="C29" s="18">
        <v>8</v>
      </c>
      <c r="D29" s="57"/>
      <c r="E29" s="57"/>
      <c r="F29" s="57"/>
      <c r="G29" s="57"/>
      <c r="H29" s="57"/>
    </row>
    <row r="30" spans="1:8" ht="15">
      <c r="A30" s="37">
        <v>26</v>
      </c>
      <c r="B30" s="38" t="s">
        <v>185</v>
      </c>
      <c r="C30" s="37">
        <v>8</v>
      </c>
    </row>
    <row r="31" spans="1:8" ht="15">
      <c r="A31" s="44">
        <v>27</v>
      </c>
      <c r="B31" s="45" t="s">
        <v>138</v>
      </c>
      <c r="C31" s="18">
        <v>7.9</v>
      </c>
      <c r="D31" s="57"/>
      <c r="E31" s="57"/>
      <c r="F31" s="57"/>
      <c r="G31" s="57"/>
      <c r="H31" s="57"/>
    </row>
    <row r="32" spans="1:8" ht="15">
      <c r="A32" s="44">
        <v>28</v>
      </c>
      <c r="B32" s="45" t="s">
        <v>141</v>
      </c>
      <c r="C32" s="18">
        <v>7.9</v>
      </c>
      <c r="D32" s="57"/>
      <c r="E32" s="57"/>
      <c r="F32" s="57"/>
      <c r="G32" s="57"/>
      <c r="H32" s="57"/>
    </row>
    <row r="33" spans="1:8" ht="15">
      <c r="A33" s="44">
        <v>29</v>
      </c>
      <c r="B33" s="45" t="s">
        <v>140</v>
      </c>
      <c r="C33" s="18">
        <v>7.8</v>
      </c>
      <c r="D33" s="57"/>
      <c r="E33" s="57"/>
      <c r="F33" s="57"/>
      <c r="G33" s="57"/>
      <c r="H33" s="57"/>
    </row>
    <row r="34" spans="1:8" ht="15">
      <c r="A34" s="44">
        <v>30</v>
      </c>
      <c r="B34" s="45" t="s">
        <v>145</v>
      </c>
      <c r="C34" s="18">
        <v>7.8</v>
      </c>
      <c r="D34" s="57"/>
      <c r="E34" s="57"/>
      <c r="F34" s="57"/>
      <c r="G34" s="57"/>
      <c r="H34" s="57"/>
    </row>
    <row r="35" spans="1:8" ht="15">
      <c r="A35" s="37">
        <v>31</v>
      </c>
      <c r="B35" s="38" t="s">
        <v>186</v>
      </c>
      <c r="C35" s="37">
        <v>7.8</v>
      </c>
    </row>
    <row r="36" spans="1:8" ht="15">
      <c r="A36" s="37">
        <v>32</v>
      </c>
      <c r="B36" s="45" t="s">
        <v>127</v>
      </c>
      <c r="C36" s="18">
        <v>7.7</v>
      </c>
      <c r="D36" s="57"/>
      <c r="E36" s="57"/>
      <c r="F36" s="57"/>
      <c r="G36" s="57"/>
      <c r="H36" s="57"/>
    </row>
    <row r="37" spans="1:8" ht="15">
      <c r="A37" s="44">
        <v>33</v>
      </c>
      <c r="B37" s="45" t="s">
        <v>132</v>
      </c>
      <c r="C37" s="18">
        <v>7.7</v>
      </c>
      <c r="D37" s="57"/>
      <c r="E37" s="57"/>
      <c r="F37" s="57"/>
      <c r="G37" s="57"/>
      <c r="H37" s="57"/>
    </row>
    <row r="38" spans="1:8" ht="15">
      <c r="A38" s="44">
        <v>34</v>
      </c>
      <c r="B38" s="45" t="s">
        <v>160</v>
      </c>
      <c r="C38" s="18">
        <v>7.7</v>
      </c>
      <c r="D38" s="57"/>
      <c r="E38" s="57"/>
      <c r="F38" s="57"/>
      <c r="G38" s="57"/>
      <c r="H38" s="57"/>
    </row>
    <row r="39" spans="1:8" ht="15">
      <c r="A39" s="44">
        <v>35</v>
      </c>
      <c r="B39" s="120" t="s">
        <v>171</v>
      </c>
      <c r="C39" s="48">
        <v>7.7</v>
      </c>
      <c r="D39" s="57"/>
      <c r="E39" s="57"/>
      <c r="F39" s="57"/>
      <c r="G39" s="57"/>
      <c r="H39" s="57"/>
    </row>
    <row r="40" spans="1:8" ht="15">
      <c r="A40" s="37">
        <v>36</v>
      </c>
      <c r="B40" s="38" t="s">
        <v>183</v>
      </c>
      <c r="C40" s="37">
        <v>7.6</v>
      </c>
    </row>
    <row r="41" spans="1:8" ht="15">
      <c r="A41" s="44">
        <v>37</v>
      </c>
      <c r="B41" s="45" t="s">
        <v>136</v>
      </c>
      <c r="C41" s="18">
        <v>7.5</v>
      </c>
      <c r="D41" s="57"/>
      <c r="E41" s="57"/>
      <c r="F41" s="57"/>
      <c r="G41" s="57"/>
      <c r="H41" s="50"/>
    </row>
    <row r="42" spans="1:8" ht="15">
      <c r="A42" s="44">
        <v>38</v>
      </c>
      <c r="B42" s="45" t="s">
        <v>150</v>
      </c>
      <c r="C42" s="18">
        <v>7.5</v>
      </c>
      <c r="D42" s="57"/>
      <c r="E42" s="57"/>
      <c r="F42" s="57"/>
      <c r="G42" s="57"/>
      <c r="H42" s="57"/>
    </row>
    <row r="43" spans="1:8" ht="15">
      <c r="A43" s="44">
        <v>39</v>
      </c>
      <c r="B43" s="45" t="s">
        <v>165</v>
      </c>
      <c r="C43" s="18">
        <v>7.5</v>
      </c>
      <c r="D43" s="57"/>
      <c r="E43" s="57"/>
      <c r="F43" s="57"/>
      <c r="G43" s="57"/>
      <c r="H43" s="57"/>
    </row>
    <row r="44" spans="1:8" ht="15">
      <c r="A44" s="44">
        <v>40</v>
      </c>
      <c r="B44" s="120" t="s">
        <v>170</v>
      </c>
      <c r="C44" s="48">
        <v>7.5</v>
      </c>
      <c r="D44" s="57"/>
      <c r="E44" s="57"/>
      <c r="F44" s="57"/>
      <c r="G44" s="57"/>
      <c r="H44" s="57"/>
    </row>
    <row r="45" spans="1:8" ht="15">
      <c r="A45" s="37">
        <v>41</v>
      </c>
      <c r="B45" s="38" t="s">
        <v>188</v>
      </c>
      <c r="C45" s="37">
        <v>7.5</v>
      </c>
    </row>
    <row r="46" spans="1:8" ht="15">
      <c r="A46" s="44">
        <v>42</v>
      </c>
      <c r="B46" s="45" t="s">
        <v>130</v>
      </c>
      <c r="C46" s="18">
        <v>7.4</v>
      </c>
      <c r="D46" s="57"/>
      <c r="E46" s="57"/>
      <c r="F46" s="57"/>
      <c r="G46" s="57"/>
      <c r="H46" s="57"/>
    </row>
    <row r="47" spans="1:8" ht="15">
      <c r="A47" s="44">
        <v>43</v>
      </c>
      <c r="B47" s="45" t="s">
        <v>167</v>
      </c>
      <c r="C47" s="18">
        <v>7.4</v>
      </c>
      <c r="D47" s="57"/>
      <c r="E47" s="57"/>
      <c r="F47" s="57"/>
      <c r="G47" s="57"/>
      <c r="H47" s="57"/>
    </row>
    <row r="48" spans="1:8" ht="15">
      <c r="A48" s="44">
        <v>44</v>
      </c>
      <c r="B48" s="120" t="s">
        <v>172</v>
      </c>
      <c r="C48" s="48">
        <v>7.4</v>
      </c>
      <c r="D48" s="57"/>
      <c r="E48" s="57"/>
      <c r="F48" s="57"/>
      <c r="G48" s="57"/>
      <c r="H48" s="57"/>
    </row>
    <row r="49" spans="1:8" ht="15">
      <c r="A49" s="44">
        <v>45</v>
      </c>
      <c r="B49" s="40" t="s">
        <v>176</v>
      </c>
      <c r="C49" s="48">
        <v>7.4</v>
      </c>
    </row>
    <row r="50" spans="1:8" ht="15">
      <c r="A50" s="37">
        <v>46</v>
      </c>
      <c r="B50" s="38" t="s">
        <v>184</v>
      </c>
      <c r="C50" s="37">
        <v>7.4</v>
      </c>
    </row>
    <row r="51" spans="1:8" ht="15">
      <c r="A51" s="44">
        <v>47</v>
      </c>
      <c r="B51" s="45" t="s">
        <v>143</v>
      </c>
      <c r="C51" s="18">
        <v>7.3</v>
      </c>
      <c r="D51" s="57"/>
      <c r="E51" s="57"/>
      <c r="F51" s="57"/>
      <c r="G51" s="57"/>
      <c r="H51" s="57"/>
    </row>
    <row r="52" spans="1:8" ht="15">
      <c r="A52" s="44">
        <v>48</v>
      </c>
      <c r="B52" s="45" t="s">
        <v>129</v>
      </c>
      <c r="C52" s="18">
        <v>7.2</v>
      </c>
      <c r="D52" s="57"/>
      <c r="E52" s="57"/>
      <c r="F52" s="57"/>
      <c r="G52" s="57"/>
      <c r="H52" s="57"/>
    </row>
    <row r="53" spans="1:8" ht="15">
      <c r="A53" s="44">
        <v>49</v>
      </c>
      <c r="B53" s="45" t="s">
        <v>139</v>
      </c>
      <c r="C53" s="18">
        <v>7.2</v>
      </c>
      <c r="D53" s="57"/>
      <c r="E53" s="57"/>
      <c r="F53" s="57"/>
      <c r="G53" s="57"/>
      <c r="H53" s="57"/>
    </row>
    <row r="54" spans="1:8" ht="15">
      <c r="A54" s="44">
        <v>50</v>
      </c>
      <c r="B54" s="45" t="s">
        <v>166</v>
      </c>
      <c r="C54" s="18">
        <v>7.2</v>
      </c>
      <c r="D54" s="57"/>
      <c r="E54" s="57"/>
      <c r="F54" s="57"/>
      <c r="G54" s="57"/>
      <c r="H54" s="50"/>
    </row>
    <row r="55" spans="1:8" ht="15">
      <c r="A55" s="44">
        <v>51</v>
      </c>
      <c r="B55" s="120" t="s">
        <v>173</v>
      </c>
      <c r="C55" s="48">
        <v>7.2</v>
      </c>
      <c r="D55" s="57"/>
      <c r="E55" s="57"/>
      <c r="F55" s="57"/>
      <c r="G55" s="57"/>
      <c r="H55" s="57"/>
    </row>
    <row r="56" spans="1:8" ht="15">
      <c r="A56" s="44">
        <v>52</v>
      </c>
      <c r="B56" s="40" t="s">
        <v>175</v>
      </c>
      <c r="C56" s="48">
        <v>7.2</v>
      </c>
    </row>
    <row r="57" spans="1:8" ht="15">
      <c r="A57" s="44">
        <v>53</v>
      </c>
      <c r="B57" s="45" t="s">
        <v>128</v>
      </c>
      <c r="C57" s="18">
        <v>7.1</v>
      </c>
      <c r="D57" s="57"/>
      <c r="E57" s="57"/>
      <c r="F57" s="57"/>
      <c r="G57" s="57"/>
      <c r="H57" s="57"/>
    </row>
    <row r="58" spans="1:8" ht="15">
      <c r="A58" s="44">
        <v>54</v>
      </c>
      <c r="B58" s="45" t="s">
        <v>157</v>
      </c>
      <c r="C58" s="18">
        <v>7.1</v>
      </c>
      <c r="D58" s="57"/>
      <c r="E58" s="57"/>
      <c r="F58" s="57"/>
      <c r="G58" s="57"/>
      <c r="H58" s="57"/>
    </row>
    <row r="59" spans="1:8" ht="15">
      <c r="A59" s="44">
        <v>55</v>
      </c>
      <c r="B59" s="45" t="s">
        <v>133</v>
      </c>
      <c r="C59" s="18">
        <v>7</v>
      </c>
    </row>
    <row r="60" spans="1:8" ht="15">
      <c r="A60" s="44">
        <v>56</v>
      </c>
      <c r="B60" s="45" t="s">
        <v>148</v>
      </c>
      <c r="C60" s="18">
        <v>7</v>
      </c>
    </row>
    <row r="61" spans="1:8" ht="15">
      <c r="A61" s="44">
        <v>57</v>
      </c>
      <c r="B61" s="45" t="s">
        <v>155</v>
      </c>
      <c r="C61" s="18">
        <v>7</v>
      </c>
    </row>
    <row r="62" spans="1:8" ht="15">
      <c r="A62" s="44">
        <v>58</v>
      </c>
      <c r="B62" s="120" t="s">
        <v>169</v>
      </c>
      <c r="C62" s="48">
        <v>7</v>
      </c>
    </row>
    <row r="63" spans="1:8" ht="15">
      <c r="A63" s="37">
        <v>59</v>
      </c>
      <c r="B63" s="38" t="s">
        <v>190</v>
      </c>
      <c r="C63" s="37">
        <v>7</v>
      </c>
    </row>
    <row r="64" spans="1:8" ht="15">
      <c r="A64" s="37">
        <v>60</v>
      </c>
      <c r="B64" s="40" t="s">
        <v>181</v>
      </c>
      <c r="C64" s="48">
        <v>6.9</v>
      </c>
    </row>
    <row r="65" spans="1:15" ht="15">
      <c r="A65" s="37">
        <v>61</v>
      </c>
      <c r="B65" s="38" t="s">
        <v>189</v>
      </c>
      <c r="C65" s="37">
        <v>6.9</v>
      </c>
    </row>
    <row r="66" spans="1:15" ht="15">
      <c r="A66" s="44">
        <v>62</v>
      </c>
      <c r="B66" s="40" t="s">
        <v>179</v>
      </c>
      <c r="C66" s="48">
        <v>6.8</v>
      </c>
      <c r="H66" s="1" t="s">
        <v>183</v>
      </c>
      <c r="I66" s="1" t="s">
        <v>184</v>
      </c>
      <c r="J66" s="1" t="s">
        <v>185</v>
      </c>
      <c r="K66" s="1" t="s">
        <v>186</v>
      </c>
      <c r="L66" s="1" t="s">
        <v>187</v>
      </c>
      <c r="M66" s="1" t="s">
        <v>188</v>
      </c>
      <c r="N66" s="1" t="s">
        <v>189</v>
      </c>
      <c r="O66" s="1" t="s">
        <v>190</v>
      </c>
    </row>
    <row r="67" spans="1:15" ht="15">
      <c r="A67" s="37">
        <v>63</v>
      </c>
      <c r="B67" s="45" t="s">
        <v>154</v>
      </c>
      <c r="C67" s="18">
        <v>6.6</v>
      </c>
      <c r="H67" s="1">
        <v>7.6</v>
      </c>
      <c r="I67" s="1">
        <v>7.4</v>
      </c>
      <c r="J67" s="1">
        <v>8</v>
      </c>
      <c r="K67" s="1">
        <v>7.8</v>
      </c>
      <c r="L67" s="1">
        <v>9.1</v>
      </c>
      <c r="M67" s="1">
        <v>7.5</v>
      </c>
      <c r="N67" s="1">
        <v>6.9</v>
      </c>
      <c r="O67" s="1">
        <v>7</v>
      </c>
    </row>
    <row r="68" spans="1:15" ht="15">
      <c r="A68" s="37">
        <v>64</v>
      </c>
      <c r="B68" s="45" t="s">
        <v>159</v>
      </c>
      <c r="C68" s="48">
        <v>6.3</v>
      </c>
    </row>
    <row r="71" spans="1:15">
      <c r="A71" s="42" t="s">
        <v>1023</v>
      </c>
      <c r="B71" s="42" t="s">
        <v>1024</v>
      </c>
      <c r="C71" s="73" t="s">
        <v>277</v>
      </c>
      <c r="D71" s="33"/>
      <c r="E71" s="139" t="s">
        <v>254</v>
      </c>
      <c r="F71" s="146"/>
      <c r="G71" s="140"/>
    </row>
    <row r="72" spans="1:15" ht="15">
      <c r="A72" s="37">
        <v>1</v>
      </c>
      <c r="B72" s="40" t="s">
        <v>134</v>
      </c>
      <c r="C72" s="69">
        <v>8.625</v>
      </c>
      <c r="D72" s="33"/>
      <c r="E72" s="37" t="s">
        <v>256</v>
      </c>
      <c r="F72" s="37">
        <v>0</v>
      </c>
      <c r="G72" s="63">
        <f>F72/F94</f>
        <v>0</v>
      </c>
    </row>
    <row r="73" spans="1:15" ht="15">
      <c r="A73" s="37">
        <v>2</v>
      </c>
      <c r="B73" s="40" t="s">
        <v>137</v>
      </c>
      <c r="C73" s="69">
        <v>8.4874999999999989</v>
      </c>
      <c r="D73" s="33"/>
      <c r="E73" s="37" t="s">
        <v>258</v>
      </c>
      <c r="F73" s="37">
        <v>5</v>
      </c>
      <c r="G73" s="63">
        <f>F73/F94</f>
        <v>0.41666666666666669</v>
      </c>
    </row>
    <row r="74" spans="1:15" ht="15">
      <c r="A74" s="37">
        <v>3</v>
      </c>
      <c r="B74" s="40" t="s">
        <v>149</v>
      </c>
      <c r="C74" s="69">
        <v>8.3000000000000007</v>
      </c>
      <c r="D74" s="33"/>
      <c r="E74" s="37" t="s">
        <v>260</v>
      </c>
      <c r="F74" s="37">
        <v>2</v>
      </c>
      <c r="G74" s="63">
        <f>F74/F94</f>
        <v>0.16666666666666666</v>
      </c>
    </row>
    <row r="75" spans="1:15" ht="15">
      <c r="A75" s="37">
        <v>4</v>
      </c>
      <c r="B75" s="40" t="s">
        <v>158</v>
      </c>
      <c r="C75" s="69">
        <v>8.375</v>
      </c>
      <c r="D75" s="33"/>
      <c r="E75" s="37" t="s">
        <v>262</v>
      </c>
      <c r="F75" s="37">
        <v>0</v>
      </c>
      <c r="G75" s="63">
        <f>F75/F94</f>
        <v>0</v>
      </c>
    </row>
    <row r="76" spans="1:15" ht="15">
      <c r="A76" s="37">
        <v>5</v>
      </c>
      <c r="B76" s="40" t="s">
        <v>163</v>
      </c>
      <c r="C76" s="69">
        <v>8.43</v>
      </c>
      <c r="D76" s="33"/>
      <c r="E76" s="37" t="s">
        <v>264</v>
      </c>
      <c r="F76" s="37">
        <v>1</v>
      </c>
      <c r="G76" s="63">
        <f>F76/F94</f>
        <v>8.3333333333333329E-2</v>
      </c>
    </row>
    <row r="77" spans="1:15" ht="15">
      <c r="A77" s="37">
        <v>6</v>
      </c>
      <c r="B77" s="40" t="s">
        <v>174</v>
      </c>
      <c r="C77" s="69">
        <v>8.2200000000000006</v>
      </c>
      <c r="D77" s="33"/>
      <c r="E77" s="37" t="s">
        <v>266</v>
      </c>
      <c r="F77" s="37">
        <v>1</v>
      </c>
      <c r="G77" s="63">
        <f>F77/F94</f>
        <v>8.3333333333333329E-2</v>
      </c>
    </row>
    <row r="78" spans="1:15" ht="15">
      <c r="A78" s="37">
        <v>7</v>
      </c>
      <c r="B78" s="40" t="s">
        <v>177</v>
      </c>
      <c r="C78" s="69">
        <v>8.74</v>
      </c>
      <c r="D78" s="33"/>
      <c r="E78" s="37" t="s">
        <v>269</v>
      </c>
      <c r="F78" s="37">
        <v>2</v>
      </c>
      <c r="G78" s="63">
        <f>F78/F94</f>
        <v>0.16666666666666666</v>
      </c>
    </row>
    <row r="79" spans="1:15" ht="15">
      <c r="A79" s="37">
        <v>8</v>
      </c>
      <c r="B79" s="40" t="s">
        <v>187</v>
      </c>
      <c r="C79" s="37">
        <v>8.27</v>
      </c>
      <c r="D79" s="33"/>
      <c r="E79" s="37"/>
      <c r="F79" s="37"/>
      <c r="G79" s="63"/>
    </row>
    <row r="80" spans="1:15" ht="15">
      <c r="A80" s="37">
        <v>9</v>
      </c>
      <c r="B80" s="40" t="s">
        <v>918</v>
      </c>
      <c r="C80" s="37">
        <v>8.4700000000000006</v>
      </c>
      <c r="D80" s="33"/>
      <c r="E80" s="37"/>
      <c r="F80" s="37"/>
      <c r="G80" s="63"/>
    </row>
    <row r="81" spans="1:7" ht="15">
      <c r="A81" s="37">
        <v>10</v>
      </c>
      <c r="B81" s="40" t="s">
        <v>124</v>
      </c>
      <c r="C81" s="37">
        <v>8.8699999999999992</v>
      </c>
      <c r="D81" s="33"/>
      <c r="E81" s="37"/>
      <c r="F81" s="37"/>
      <c r="G81" s="63"/>
    </row>
    <row r="82" spans="1:7" ht="15">
      <c r="A82" s="37">
        <v>11</v>
      </c>
      <c r="B82" s="40" t="s">
        <v>208</v>
      </c>
      <c r="C82" s="37">
        <v>8.57</v>
      </c>
      <c r="D82" s="33"/>
      <c r="E82" s="37"/>
      <c r="F82" s="37"/>
      <c r="G82" s="63"/>
    </row>
    <row r="83" spans="1:7" ht="15">
      <c r="A83" s="37">
        <v>12</v>
      </c>
      <c r="B83" s="40" t="s">
        <v>820</v>
      </c>
      <c r="C83" s="37">
        <v>7.8</v>
      </c>
      <c r="D83" s="33"/>
      <c r="E83" s="37"/>
      <c r="F83" s="37"/>
      <c r="G83" s="63"/>
    </row>
    <row r="84" spans="1:7" ht="15">
      <c r="A84" s="37">
        <v>13</v>
      </c>
      <c r="B84" s="40" t="s">
        <v>227</v>
      </c>
      <c r="C84" s="37">
        <v>8.6</v>
      </c>
      <c r="D84" s="33"/>
      <c r="E84" s="37"/>
      <c r="F84" s="37"/>
      <c r="G84" s="63"/>
    </row>
    <row r="85" spans="1:7" ht="15">
      <c r="A85" s="37">
        <v>14</v>
      </c>
      <c r="B85" s="40" t="s">
        <v>608</v>
      </c>
      <c r="C85" s="37">
        <v>8.1300000000000008</v>
      </c>
      <c r="D85" s="33"/>
      <c r="E85" s="37"/>
      <c r="F85" s="37"/>
      <c r="G85" s="63"/>
    </row>
    <row r="86" spans="1:7" ht="15">
      <c r="A86" s="37">
        <v>15</v>
      </c>
      <c r="B86" s="40" t="s">
        <v>667</v>
      </c>
      <c r="C86" s="37">
        <v>8.23</v>
      </c>
      <c r="D86" s="33"/>
      <c r="E86" s="37"/>
      <c r="F86" s="37"/>
      <c r="G86" s="63"/>
    </row>
    <row r="87" spans="1:7" ht="15">
      <c r="A87" s="37">
        <v>16</v>
      </c>
      <c r="B87" s="40" t="s">
        <v>853</v>
      </c>
      <c r="C87" s="37">
        <v>7.45</v>
      </c>
      <c r="D87" s="33"/>
      <c r="E87" s="37"/>
      <c r="F87" s="37"/>
      <c r="G87" s="63"/>
    </row>
    <row r="88" spans="1:7" ht="15">
      <c r="A88" s="37">
        <v>17</v>
      </c>
      <c r="B88" s="40" t="s">
        <v>983</v>
      </c>
      <c r="C88" s="37">
        <v>8.4</v>
      </c>
      <c r="D88" s="33"/>
      <c r="E88" s="37"/>
      <c r="F88" s="37"/>
      <c r="G88" s="63"/>
    </row>
    <row r="89" spans="1:7" ht="15">
      <c r="A89" s="37">
        <v>18</v>
      </c>
      <c r="B89" s="40" t="s">
        <v>764</v>
      </c>
      <c r="C89" s="37">
        <v>8.4499999999999993</v>
      </c>
      <c r="D89" s="33"/>
      <c r="E89" s="37"/>
      <c r="F89" s="37"/>
      <c r="G89" s="63"/>
    </row>
    <row r="90" spans="1:7" ht="15">
      <c r="A90" s="37">
        <v>19</v>
      </c>
      <c r="B90" s="40" t="s">
        <v>1025</v>
      </c>
      <c r="C90" s="37">
        <v>8.25</v>
      </c>
      <c r="D90" s="33"/>
      <c r="E90" s="37"/>
      <c r="F90" s="37"/>
      <c r="G90" s="63"/>
    </row>
    <row r="91" spans="1:7" ht="15">
      <c r="A91" s="37">
        <v>20</v>
      </c>
      <c r="B91" s="40" t="s">
        <v>963</v>
      </c>
      <c r="C91" s="37">
        <v>7.98</v>
      </c>
      <c r="D91" s="33"/>
      <c r="E91" s="37"/>
      <c r="F91" s="37"/>
      <c r="G91" s="63"/>
    </row>
    <row r="92" spans="1:7">
      <c r="A92" s="116"/>
      <c r="B92" s="114" t="s">
        <v>277</v>
      </c>
      <c r="C92" s="39">
        <f>AVERAGE(C72:C91)</f>
        <v>8.3323749999999972</v>
      </c>
      <c r="D92" s="33"/>
      <c r="E92" s="37" t="s">
        <v>271</v>
      </c>
      <c r="F92" s="37">
        <v>1</v>
      </c>
      <c r="G92" s="63">
        <f>F92/F94</f>
        <v>8.3333333333333329E-2</v>
      </c>
    </row>
    <row r="93" spans="1:7">
      <c r="A93" s="121"/>
      <c r="B93" s="122"/>
      <c r="C93" s="123"/>
      <c r="D93" s="33"/>
      <c r="E93" s="37"/>
      <c r="F93" s="37"/>
      <c r="G93" s="63"/>
    </row>
    <row r="94" spans="1:7">
      <c r="A94" s="33"/>
      <c r="B94" s="33"/>
      <c r="C94" s="33"/>
      <c r="D94" s="33"/>
      <c r="E94" s="70" t="s">
        <v>273</v>
      </c>
      <c r="F94" s="70">
        <f>SUBTOTAL(9,F72:F92)</f>
        <v>12</v>
      </c>
      <c r="G94" s="38"/>
    </row>
  </sheetData>
  <autoFilter ref="A4:Z70" xr:uid="{00000000-0009-0000-0000-00001D000000}">
    <sortState xmlns:xlrd2="http://schemas.microsoft.com/office/spreadsheetml/2017/richdata2" ref="A4:Z70">
      <sortCondition descending="1" ref="C4:C70"/>
    </sortState>
  </autoFilter>
  <mergeCells count="2">
    <mergeCell ref="A2:C2"/>
    <mergeCell ref="E71:G7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BF71"/>
  <sheetViews>
    <sheetView workbookViewId="0"/>
  </sheetViews>
  <sheetFormatPr defaultColWidth="12.5703125" defaultRowHeight="15.75" customHeight="1"/>
  <cols>
    <col min="1" max="1" width="13.42578125" customWidth="1"/>
    <col min="2" max="2" width="32" customWidth="1"/>
    <col min="3" max="3" width="18.140625" customWidth="1"/>
    <col min="4" max="4" width="7" customWidth="1"/>
    <col min="5" max="5" width="16.7109375" customWidth="1"/>
    <col min="6" max="6" width="6.5703125" customWidth="1"/>
    <col min="7" max="7" width="7" customWidth="1"/>
    <col min="8" max="8" width="9.5703125" customWidth="1"/>
  </cols>
  <sheetData>
    <row r="1" spans="1:9" ht="15.75" customHeight="1">
      <c r="A1" s="31"/>
      <c r="B1" s="31"/>
      <c r="C1" s="33"/>
      <c r="D1" s="33"/>
      <c r="E1" s="33"/>
      <c r="F1" s="33"/>
      <c r="G1" s="33"/>
      <c r="H1" s="33"/>
    </row>
    <row r="2" spans="1:9" ht="15.75" customHeight="1">
      <c r="A2" s="145" t="s">
        <v>1026</v>
      </c>
      <c r="B2" s="138"/>
      <c r="C2" s="138"/>
      <c r="D2" s="111"/>
      <c r="E2" s="111"/>
      <c r="F2" s="111"/>
      <c r="G2" s="111"/>
      <c r="H2" s="111"/>
      <c r="I2" s="111"/>
    </row>
    <row r="3" spans="1:9" ht="15.75" customHeight="1">
      <c r="A3" s="31"/>
      <c r="B3" s="31"/>
      <c r="C3" s="33"/>
      <c r="D3" s="33"/>
      <c r="E3" s="33"/>
      <c r="F3" s="33"/>
      <c r="G3" s="33"/>
      <c r="H3" s="33"/>
    </row>
    <row r="4" spans="1:9" ht="15.75" customHeight="1">
      <c r="A4" s="42" t="s">
        <v>82</v>
      </c>
      <c r="B4" s="42" t="s">
        <v>85</v>
      </c>
      <c r="C4" s="42" t="s">
        <v>1022</v>
      </c>
      <c r="D4" s="112"/>
      <c r="E4" s="112"/>
      <c r="F4" s="112"/>
      <c r="G4" s="112"/>
      <c r="H4" s="112"/>
    </row>
    <row r="5" spans="1:9" ht="15.75" customHeight="1">
      <c r="A5" s="113">
        <v>1</v>
      </c>
      <c r="B5" s="124" t="s">
        <v>135</v>
      </c>
      <c r="C5" s="70">
        <v>9.1</v>
      </c>
      <c r="D5" s="57"/>
      <c r="E5" s="57"/>
      <c r="F5" s="57"/>
      <c r="G5" s="57"/>
      <c r="H5" s="57"/>
    </row>
    <row r="6" spans="1:9">
      <c r="A6" s="44">
        <v>2</v>
      </c>
      <c r="B6" s="125" t="s">
        <v>144</v>
      </c>
      <c r="C6" s="37">
        <v>9.1</v>
      </c>
      <c r="D6" s="57"/>
      <c r="F6" s="57"/>
      <c r="G6" s="57"/>
      <c r="H6" s="57"/>
    </row>
    <row r="7" spans="1:9">
      <c r="A7" s="44">
        <v>3</v>
      </c>
      <c r="B7" s="126" t="s">
        <v>161</v>
      </c>
      <c r="C7" s="37">
        <v>9.1</v>
      </c>
      <c r="D7" s="57"/>
      <c r="E7" s="57"/>
      <c r="F7" s="57"/>
      <c r="G7" s="57"/>
      <c r="H7" s="57"/>
    </row>
    <row r="8" spans="1:9" ht="15.75" customHeight="1">
      <c r="A8" s="70">
        <v>4</v>
      </c>
      <c r="B8" s="124" t="s">
        <v>180</v>
      </c>
      <c r="C8" s="70">
        <v>9.1</v>
      </c>
    </row>
    <row r="9" spans="1:9" ht="15.75" customHeight="1">
      <c r="A9" s="127">
        <v>5</v>
      </c>
      <c r="B9" s="124" t="s">
        <v>131</v>
      </c>
      <c r="C9" s="70">
        <v>8.8000000000000007</v>
      </c>
    </row>
    <row r="10" spans="1:9">
      <c r="A10" s="44">
        <v>6</v>
      </c>
      <c r="B10" s="125" t="s">
        <v>178</v>
      </c>
      <c r="C10" s="37">
        <v>8.8000000000000007</v>
      </c>
    </row>
    <row r="11" spans="1:9">
      <c r="A11" s="44">
        <v>7</v>
      </c>
      <c r="B11" s="125" t="s">
        <v>134</v>
      </c>
      <c r="C11" s="37">
        <v>8.6999999999999993</v>
      </c>
    </row>
    <row r="12" spans="1:9">
      <c r="A12" s="44">
        <v>8</v>
      </c>
      <c r="B12" s="125" t="s">
        <v>149</v>
      </c>
      <c r="C12" s="37">
        <v>8.6999999999999993</v>
      </c>
      <c r="D12" s="57"/>
      <c r="E12" s="57"/>
      <c r="F12" s="57"/>
      <c r="G12" s="57"/>
      <c r="H12" s="50"/>
    </row>
    <row r="13" spans="1:9">
      <c r="A13" s="44">
        <v>9</v>
      </c>
      <c r="B13" s="125" t="s">
        <v>182</v>
      </c>
      <c r="C13" s="37">
        <v>8.6999999999999993</v>
      </c>
    </row>
    <row r="14" spans="1:9" ht="15.75" customHeight="1">
      <c r="A14" s="70">
        <v>10</v>
      </c>
      <c r="B14" s="124" t="s">
        <v>151</v>
      </c>
      <c r="C14" s="70">
        <v>8.6</v>
      </c>
      <c r="D14" s="57"/>
      <c r="E14" s="57"/>
      <c r="F14" s="57"/>
      <c r="G14" s="57"/>
      <c r="H14" s="57"/>
    </row>
    <row r="15" spans="1:9">
      <c r="A15" s="44">
        <v>11</v>
      </c>
      <c r="B15" s="125" t="s">
        <v>177</v>
      </c>
      <c r="C15" s="37">
        <v>8.6</v>
      </c>
    </row>
    <row r="16" spans="1:9">
      <c r="A16" s="44">
        <v>12</v>
      </c>
      <c r="B16" s="125" t="s">
        <v>164</v>
      </c>
      <c r="C16" s="37">
        <v>8.4</v>
      </c>
      <c r="D16" s="57"/>
      <c r="E16" s="57"/>
      <c r="F16" s="57"/>
      <c r="G16" s="57"/>
      <c r="H16" s="57"/>
    </row>
    <row r="17" spans="1:8" ht="15.75" customHeight="1">
      <c r="A17" s="113">
        <v>13</v>
      </c>
      <c r="B17" s="128" t="s">
        <v>168</v>
      </c>
      <c r="C17" s="70">
        <v>8.4</v>
      </c>
      <c r="D17" s="57"/>
      <c r="E17" s="57"/>
      <c r="F17" s="57"/>
      <c r="G17" s="57"/>
      <c r="H17" s="57"/>
    </row>
    <row r="18" spans="1:8">
      <c r="A18" s="37">
        <v>14</v>
      </c>
      <c r="B18" s="125" t="s">
        <v>132</v>
      </c>
      <c r="C18" s="37">
        <v>8.3000000000000007</v>
      </c>
    </row>
    <row r="19" spans="1:8">
      <c r="A19" s="56">
        <v>15</v>
      </c>
      <c r="B19" s="125" t="s">
        <v>163</v>
      </c>
      <c r="C19" s="37">
        <v>8.3000000000000007</v>
      </c>
      <c r="D19" s="57"/>
      <c r="E19" s="57"/>
      <c r="F19" s="57"/>
      <c r="G19" s="57"/>
      <c r="H19" s="57"/>
    </row>
    <row r="20" spans="1:8" ht="15">
      <c r="A20" s="44">
        <v>16</v>
      </c>
      <c r="B20" s="125" t="s">
        <v>137</v>
      </c>
      <c r="C20" s="37">
        <v>8.1</v>
      </c>
      <c r="D20" s="57"/>
      <c r="E20" s="57"/>
      <c r="F20" s="57"/>
      <c r="G20" s="57"/>
      <c r="H20" s="57"/>
    </row>
    <row r="21" spans="1:8" ht="15">
      <c r="A21" s="56">
        <v>17</v>
      </c>
      <c r="B21" s="125" t="s">
        <v>138</v>
      </c>
      <c r="C21" s="37">
        <v>8.1</v>
      </c>
      <c r="D21" s="57"/>
      <c r="E21" s="57"/>
      <c r="F21" s="57"/>
      <c r="G21" s="57"/>
      <c r="H21" s="57"/>
    </row>
    <row r="22" spans="1:8" ht="15">
      <c r="A22" s="44">
        <v>18</v>
      </c>
      <c r="B22" s="125" t="s">
        <v>141</v>
      </c>
      <c r="C22" s="37">
        <v>8.1</v>
      </c>
      <c r="D22" s="57"/>
      <c r="E22" s="57"/>
      <c r="F22" s="57"/>
      <c r="G22" s="57"/>
      <c r="H22" s="57"/>
    </row>
    <row r="23" spans="1:8" ht="15">
      <c r="A23" s="44">
        <v>19</v>
      </c>
      <c r="B23" s="125" t="s">
        <v>146</v>
      </c>
      <c r="C23" s="37">
        <v>8.1</v>
      </c>
      <c r="D23" s="57"/>
      <c r="E23" s="57"/>
      <c r="F23" s="57"/>
      <c r="G23" s="57"/>
      <c r="H23" s="57"/>
    </row>
    <row r="24" spans="1:8" ht="15">
      <c r="A24" s="37">
        <v>20</v>
      </c>
      <c r="B24" s="125" t="s">
        <v>156</v>
      </c>
      <c r="C24" s="37">
        <v>8.1</v>
      </c>
      <c r="D24" s="57"/>
      <c r="E24" s="57"/>
      <c r="F24" s="57"/>
      <c r="G24" s="57"/>
      <c r="H24" s="57"/>
    </row>
    <row r="25" spans="1:8" ht="15">
      <c r="A25" s="44">
        <v>21</v>
      </c>
      <c r="B25" s="125" t="s">
        <v>174</v>
      </c>
      <c r="C25" s="37">
        <v>8.1</v>
      </c>
      <c r="D25" s="57"/>
      <c r="E25" s="57"/>
      <c r="F25" s="57"/>
      <c r="G25" s="57"/>
      <c r="H25" s="57"/>
    </row>
    <row r="26" spans="1:8" ht="15">
      <c r="A26" s="44">
        <v>22</v>
      </c>
      <c r="B26" s="125" t="s">
        <v>158</v>
      </c>
      <c r="C26" s="37">
        <v>8</v>
      </c>
      <c r="D26" s="57"/>
      <c r="E26" s="57"/>
      <c r="F26" s="57"/>
      <c r="G26" s="57"/>
      <c r="H26" s="57"/>
    </row>
    <row r="27" spans="1:8">
      <c r="A27" s="113">
        <v>23</v>
      </c>
      <c r="B27" s="124" t="s">
        <v>160</v>
      </c>
      <c r="C27" s="70">
        <v>8</v>
      </c>
      <c r="D27" s="57"/>
      <c r="E27" s="57"/>
      <c r="F27" s="57"/>
      <c r="G27" s="57"/>
      <c r="H27" s="57"/>
    </row>
    <row r="28" spans="1:8" ht="15">
      <c r="A28" s="44">
        <v>24</v>
      </c>
      <c r="B28" s="125" t="s">
        <v>130</v>
      </c>
      <c r="C28" s="37">
        <v>7.9</v>
      </c>
      <c r="D28" s="57"/>
      <c r="E28" s="57"/>
      <c r="F28" s="57"/>
      <c r="G28" s="57"/>
      <c r="H28" s="57"/>
    </row>
    <row r="29" spans="1:8" ht="15">
      <c r="A29" s="44">
        <v>25</v>
      </c>
      <c r="B29" s="125" t="s">
        <v>140</v>
      </c>
      <c r="C29" s="37">
        <v>7.9</v>
      </c>
      <c r="D29" s="57"/>
      <c r="E29" s="57"/>
      <c r="F29" s="57"/>
      <c r="G29" s="57"/>
      <c r="H29" s="57"/>
    </row>
    <row r="30" spans="1:8" ht="15">
      <c r="A30" s="44">
        <v>26</v>
      </c>
      <c r="B30" s="125" t="s">
        <v>142</v>
      </c>
      <c r="C30" s="37">
        <v>7.9</v>
      </c>
      <c r="D30" s="57"/>
      <c r="E30" s="57"/>
      <c r="F30" s="57"/>
      <c r="G30" s="57"/>
      <c r="H30" s="57"/>
    </row>
    <row r="31" spans="1:8">
      <c r="A31" s="113">
        <v>27</v>
      </c>
      <c r="B31" s="124" t="s">
        <v>147</v>
      </c>
      <c r="C31" s="70">
        <v>7.9</v>
      </c>
      <c r="D31" s="57"/>
      <c r="E31" s="57"/>
      <c r="F31" s="57"/>
      <c r="G31" s="57"/>
      <c r="H31" s="57"/>
    </row>
    <row r="32" spans="1:8" ht="30">
      <c r="A32" s="44">
        <v>28</v>
      </c>
      <c r="B32" s="126" t="s">
        <v>152</v>
      </c>
      <c r="C32" s="37">
        <v>7.9</v>
      </c>
      <c r="D32" s="57"/>
      <c r="E32" s="57"/>
      <c r="F32" s="57"/>
      <c r="G32" s="57"/>
      <c r="H32" s="57"/>
    </row>
    <row r="33" spans="1:58" ht="15">
      <c r="A33" s="37">
        <v>29</v>
      </c>
      <c r="B33" s="125" t="s">
        <v>162</v>
      </c>
      <c r="C33" s="37">
        <v>7.9</v>
      </c>
      <c r="D33" s="57"/>
      <c r="E33" s="57"/>
      <c r="F33" s="57"/>
      <c r="G33" s="57"/>
      <c r="H33" s="57"/>
    </row>
    <row r="34" spans="1:58" ht="15">
      <c r="A34" s="44">
        <v>30</v>
      </c>
      <c r="B34" s="125" t="s">
        <v>133</v>
      </c>
      <c r="C34" s="37">
        <v>7.8</v>
      </c>
      <c r="D34" s="57"/>
      <c r="E34" s="57"/>
      <c r="F34" s="57"/>
      <c r="G34" s="57"/>
      <c r="H34" s="57"/>
    </row>
    <row r="35" spans="1:58" ht="15">
      <c r="A35" s="44">
        <v>31</v>
      </c>
      <c r="B35" s="125" t="s">
        <v>171</v>
      </c>
      <c r="C35" s="37">
        <v>7.7</v>
      </c>
      <c r="D35" s="57"/>
      <c r="E35" s="57"/>
      <c r="F35" s="57"/>
      <c r="G35" s="57"/>
      <c r="H35" s="57"/>
    </row>
    <row r="36" spans="1:58" ht="15">
      <c r="A36" s="44">
        <v>32</v>
      </c>
      <c r="B36" s="125" t="s">
        <v>153</v>
      </c>
      <c r="C36" s="37">
        <v>7.6</v>
      </c>
      <c r="D36" s="57"/>
      <c r="E36" s="57"/>
      <c r="F36" s="57"/>
      <c r="G36" s="57"/>
      <c r="H36" s="57"/>
    </row>
    <row r="37" spans="1:58" ht="15">
      <c r="A37" s="44">
        <v>33</v>
      </c>
      <c r="B37" s="125" t="s">
        <v>170</v>
      </c>
      <c r="C37" s="37">
        <v>7.6</v>
      </c>
      <c r="D37" s="57"/>
      <c r="E37" s="57"/>
      <c r="F37" s="57"/>
      <c r="G37" s="57"/>
      <c r="H37" s="50"/>
    </row>
    <row r="38" spans="1:58" ht="15">
      <c r="A38" s="44">
        <v>34</v>
      </c>
      <c r="B38" s="125" t="s">
        <v>136</v>
      </c>
      <c r="C38" s="37">
        <v>7.5</v>
      </c>
      <c r="D38" s="57"/>
      <c r="E38" s="57"/>
      <c r="F38" s="57"/>
      <c r="G38" s="57"/>
      <c r="H38" s="57"/>
    </row>
    <row r="39" spans="1:58" ht="15">
      <c r="A39" s="44">
        <v>35</v>
      </c>
      <c r="B39" s="125" t="s">
        <v>127</v>
      </c>
      <c r="C39" s="18">
        <v>7.4</v>
      </c>
      <c r="AV39" s="1"/>
      <c r="AW39" s="1">
        <v>6.9</v>
      </c>
      <c r="AX39" s="1">
        <v>8.1</v>
      </c>
      <c r="AY39" s="1"/>
      <c r="AZ39" s="1"/>
      <c r="BA39" s="1">
        <v>8.6</v>
      </c>
      <c r="BB39" s="1">
        <v>8.8000000000000007</v>
      </c>
      <c r="BC39" s="1">
        <v>6.7</v>
      </c>
      <c r="BD39" s="1">
        <v>9.1</v>
      </c>
      <c r="BE39" s="1">
        <v>6.5</v>
      </c>
      <c r="BF39" s="1">
        <v>8.6999999999999993</v>
      </c>
    </row>
    <row r="40" spans="1:58" ht="15">
      <c r="A40" s="44">
        <v>36</v>
      </c>
      <c r="B40" s="125" t="s">
        <v>157</v>
      </c>
      <c r="C40" s="37">
        <v>7.3</v>
      </c>
      <c r="D40" s="57"/>
      <c r="E40" s="57"/>
      <c r="F40" s="57"/>
      <c r="G40" s="57"/>
      <c r="H40" s="57"/>
    </row>
    <row r="41" spans="1:58" ht="15">
      <c r="A41" s="44">
        <v>37</v>
      </c>
      <c r="B41" s="125" t="s">
        <v>145</v>
      </c>
      <c r="C41" s="37">
        <v>7.2</v>
      </c>
      <c r="D41" s="57"/>
      <c r="E41" s="57"/>
      <c r="F41" s="57"/>
      <c r="G41" s="57"/>
      <c r="H41" s="57"/>
    </row>
    <row r="42" spans="1:58" ht="15">
      <c r="A42" s="44">
        <v>38</v>
      </c>
      <c r="B42" s="125" t="s">
        <v>148</v>
      </c>
      <c r="C42" s="37">
        <v>7.2</v>
      </c>
      <c r="D42" s="57"/>
      <c r="E42" s="57"/>
      <c r="F42" s="57"/>
      <c r="G42" s="57"/>
      <c r="H42" s="57"/>
    </row>
    <row r="43" spans="1:58" ht="15">
      <c r="A43" s="44">
        <v>39</v>
      </c>
      <c r="B43" s="125" t="s">
        <v>150</v>
      </c>
      <c r="C43" s="37">
        <v>7.2</v>
      </c>
      <c r="D43" s="57"/>
      <c r="E43" s="57"/>
      <c r="F43" s="57"/>
      <c r="G43" s="57"/>
      <c r="H43" s="57"/>
    </row>
    <row r="44" spans="1:58" ht="15">
      <c r="A44" s="44">
        <v>40</v>
      </c>
      <c r="B44" s="125" t="s">
        <v>165</v>
      </c>
      <c r="C44" s="37">
        <v>7.2</v>
      </c>
      <c r="D44" s="57"/>
      <c r="E44" s="57"/>
      <c r="F44" s="57"/>
      <c r="G44" s="57"/>
      <c r="H44" s="57"/>
    </row>
    <row r="45" spans="1:58" ht="15">
      <c r="A45" s="44">
        <v>41</v>
      </c>
      <c r="B45" s="125" t="s">
        <v>139</v>
      </c>
      <c r="C45" s="37">
        <v>7.1</v>
      </c>
      <c r="D45" s="57"/>
      <c r="E45" s="57"/>
      <c r="F45" s="57"/>
      <c r="G45" s="57"/>
      <c r="H45" s="57"/>
    </row>
    <row r="46" spans="1:58" ht="15">
      <c r="A46" s="44">
        <v>42</v>
      </c>
      <c r="B46" s="125" t="s">
        <v>143</v>
      </c>
      <c r="C46" s="37">
        <v>7.1</v>
      </c>
      <c r="D46" s="57"/>
      <c r="E46" s="57"/>
      <c r="F46" s="57"/>
      <c r="G46" s="57"/>
      <c r="H46" s="57"/>
    </row>
    <row r="47" spans="1:58" ht="15">
      <c r="A47" s="44">
        <v>43</v>
      </c>
      <c r="B47" s="125" t="s">
        <v>155</v>
      </c>
      <c r="C47" s="37">
        <v>7.1</v>
      </c>
      <c r="D47" s="57"/>
      <c r="E47" s="57"/>
      <c r="F47" s="57"/>
      <c r="G47" s="57"/>
      <c r="H47" s="57"/>
    </row>
    <row r="48" spans="1:58" ht="15">
      <c r="A48" s="44">
        <v>44</v>
      </c>
      <c r="B48" s="125" t="s">
        <v>154</v>
      </c>
      <c r="C48" s="37">
        <v>7</v>
      </c>
      <c r="D48" s="57"/>
      <c r="E48" s="57"/>
      <c r="F48" s="57"/>
      <c r="G48" s="57"/>
      <c r="H48" s="57"/>
    </row>
    <row r="49" spans="1:8" ht="15">
      <c r="A49" s="44">
        <v>45</v>
      </c>
      <c r="B49" s="125" t="s">
        <v>159</v>
      </c>
      <c r="C49" s="37">
        <v>7</v>
      </c>
      <c r="D49" s="57"/>
      <c r="E49" s="57"/>
      <c r="F49" s="57"/>
      <c r="G49" s="57"/>
      <c r="H49" s="50"/>
    </row>
    <row r="50" spans="1:8" ht="15">
      <c r="A50" s="44">
        <v>46</v>
      </c>
      <c r="B50" s="125" t="s">
        <v>166</v>
      </c>
      <c r="C50" s="37">
        <v>7</v>
      </c>
    </row>
    <row r="51" spans="1:8" ht="15">
      <c r="A51" s="44">
        <v>47</v>
      </c>
      <c r="B51" s="125" t="s">
        <v>167</v>
      </c>
      <c r="C51" s="37">
        <v>7</v>
      </c>
      <c r="D51" s="57"/>
      <c r="E51" s="57"/>
      <c r="F51" s="57"/>
      <c r="G51" s="57"/>
      <c r="H51" s="57"/>
    </row>
    <row r="52" spans="1:8" ht="15">
      <c r="A52" s="44">
        <v>48</v>
      </c>
      <c r="B52" s="125" t="s">
        <v>169</v>
      </c>
      <c r="C52" s="37">
        <v>7</v>
      </c>
      <c r="D52" s="57"/>
      <c r="E52" s="57"/>
      <c r="F52" s="57"/>
      <c r="G52" s="57"/>
      <c r="H52" s="57"/>
    </row>
    <row r="53" spans="1:8" ht="15">
      <c r="A53" s="44">
        <v>49</v>
      </c>
      <c r="B53" s="125" t="s">
        <v>173</v>
      </c>
      <c r="C53" s="37">
        <v>6.9</v>
      </c>
      <c r="D53" s="57"/>
      <c r="E53" s="57"/>
      <c r="F53" s="57"/>
      <c r="G53" s="57"/>
      <c r="H53" s="57"/>
    </row>
    <row r="54" spans="1:8" ht="15">
      <c r="A54" s="44">
        <v>50</v>
      </c>
      <c r="B54" s="125" t="s">
        <v>129</v>
      </c>
      <c r="C54" s="37">
        <v>6.8</v>
      </c>
      <c r="D54" s="57"/>
      <c r="E54" s="57"/>
      <c r="F54" s="57"/>
      <c r="G54" s="57"/>
      <c r="H54" s="57"/>
    </row>
    <row r="55" spans="1:8" ht="15">
      <c r="A55" s="44">
        <v>51</v>
      </c>
      <c r="B55" s="125" t="s">
        <v>179</v>
      </c>
      <c r="C55" s="37">
        <v>6.7</v>
      </c>
    </row>
    <row r="56" spans="1:8" ht="15">
      <c r="A56" s="44">
        <v>52</v>
      </c>
      <c r="B56" s="125" t="s">
        <v>128</v>
      </c>
      <c r="C56" s="37">
        <v>6.5</v>
      </c>
      <c r="D56" s="57"/>
      <c r="E56" s="57"/>
      <c r="F56" s="57"/>
      <c r="G56" s="57"/>
      <c r="H56" s="57"/>
    </row>
    <row r="57" spans="1:8" ht="15">
      <c r="A57" s="37">
        <v>53</v>
      </c>
      <c r="B57" s="125" t="s">
        <v>181</v>
      </c>
      <c r="C57" s="37">
        <v>6.5</v>
      </c>
    </row>
    <row r="58" spans="1:8" ht="15">
      <c r="A58" s="44">
        <v>54</v>
      </c>
      <c r="B58" s="125" t="s">
        <v>172</v>
      </c>
      <c r="C58" s="37"/>
    </row>
    <row r="59" spans="1:8" ht="15">
      <c r="A59" s="37">
        <v>55</v>
      </c>
      <c r="B59" s="125" t="s">
        <v>175</v>
      </c>
      <c r="C59" s="37"/>
    </row>
    <row r="60" spans="1:8" ht="15">
      <c r="A60" s="37">
        <v>56</v>
      </c>
      <c r="B60" s="126" t="s">
        <v>176</v>
      </c>
      <c r="C60" s="37"/>
    </row>
    <row r="62" spans="1:8">
      <c r="A62" s="42" t="s">
        <v>1023</v>
      </c>
      <c r="B62" s="42" t="s">
        <v>1024</v>
      </c>
      <c r="C62" s="73" t="s">
        <v>277</v>
      </c>
      <c r="D62" s="33"/>
      <c r="E62" s="139" t="s">
        <v>254</v>
      </c>
      <c r="F62" s="146"/>
      <c r="G62" s="140"/>
    </row>
    <row r="63" spans="1:8" ht="15">
      <c r="A63" s="37">
        <v>1</v>
      </c>
      <c r="B63" s="40" t="s">
        <v>131</v>
      </c>
      <c r="C63" s="69" t="e">
        <f>VLOOKUP((B63),Analytics!E2:F57,4,FALSE)</f>
        <v>#REF!</v>
      </c>
      <c r="D63" s="33"/>
      <c r="E63" s="37" t="s">
        <v>256</v>
      </c>
      <c r="F63" s="37">
        <v>0</v>
      </c>
      <c r="G63" s="63">
        <f>F63/F71</f>
        <v>0</v>
      </c>
    </row>
    <row r="64" spans="1:8" ht="15">
      <c r="A64" s="37">
        <v>2</v>
      </c>
      <c r="B64" s="40" t="s">
        <v>135</v>
      </c>
      <c r="C64" s="69" t="e">
        <f>VLOOKUP((B64),Analytics!E3:F58,4,FALSE)</f>
        <v>#N/A</v>
      </c>
      <c r="D64" s="33"/>
      <c r="E64" s="37" t="s">
        <v>258</v>
      </c>
      <c r="F64" s="37">
        <v>0</v>
      </c>
      <c r="G64" s="63">
        <f>F64/F71</f>
        <v>0</v>
      </c>
    </row>
    <row r="65" spans="1:7" ht="15">
      <c r="A65" s="37">
        <v>3</v>
      </c>
      <c r="B65" s="40" t="s">
        <v>147</v>
      </c>
      <c r="C65" s="69" t="e">
        <f>VLOOKUP((B65),Analytics!E4:F59,4,FALSE)</f>
        <v>#REF!</v>
      </c>
      <c r="D65" s="33"/>
      <c r="E65" s="37" t="s">
        <v>260</v>
      </c>
      <c r="F65" s="37">
        <v>0</v>
      </c>
      <c r="G65" s="63">
        <f>F65/F71</f>
        <v>0</v>
      </c>
    </row>
    <row r="66" spans="1:7" ht="15">
      <c r="A66" s="37">
        <v>4</v>
      </c>
      <c r="B66" s="40" t="s">
        <v>151</v>
      </c>
      <c r="C66" s="69" t="e">
        <f>VLOOKUP((B66),Analytics!E5:F60,4,FALSE)</f>
        <v>#REF!</v>
      </c>
      <c r="D66" s="33"/>
      <c r="E66" s="37" t="s">
        <v>262</v>
      </c>
      <c r="F66" s="37">
        <v>1</v>
      </c>
      <c r="G66" s="63">
        <f>F66/F71</f>
        <v>0.14285714285714285</v>
      </c>
    </row>
    <row r="67" spans="1:7" ht="15">
      <c r="A67" s="37">
        <v>5</v>
      </c>
      <c r="B67" s="40" t="s">
        <v>160</v>
      </c>
      <c r="C67" s="69" t="e">
        <f>VLOOKUP((B67),Analytics!E6:F61,4,FALSE)</f>
        <v>#REF!</v>
      </c>
      <c r="D67" s="33"/>
      <c r="E67" s="37" t="s">
        <v>264</v>
      </c>
      <c r="F67" s="37">
        <v>3</v>
      </c>
      <c r="G67" s="63">
        <f>F67/F71</f>
        <v>0.42857142857142855</v>
      </c>
    </row>
    <row r="68" spans="1:7" ht="15">
      <c r="A68" s="37">
        <v>6</v>
      </c>
      <c r="B68" s="40" t="s">
        <v>168</v>
      </c>
      <c r="C68" s="69" t="e">
        <f>VLOOKUP((B68),Analytics!E7:F62,4,FALSE)</f>
        <v>#REF!</v>
      </c>
      <c r="D68" s="33"/>
      <c r="E68" s="37" t="s">
        <v>266</v>
      </c>
      <c r="F68" s="37">
        <v>2</v>
      </c>
      <c r="G68" s="63">
        <f>F68/F71</f>
        <v>0.2857142857142857</v>
      </c>
    </row>
    <row r="69" spans="1:7" ht="15">
      <c r="A69" s="37">
        <v>7</v>
      </c>
      <c r="B69" s="40" t="s">
        <v>180</v>
      </c>
      <c r="C69" s="69" t="e">
        <f>VLOOKUP((B69),Analytics!E8:F63,4,FALSE)</f>
        <v>#REF!</v>
      </c>
      <c r="D69" s="33"/>
      <c r="E69" s="37" t="s">
        <v>269</v>
      </c>
      <c r="F69" s="37">
        <v>0</v>
      </c>
      <c r="G69" s="63">
        <f>F69/F71</f>
        <v>0</v>
      </c>
    </row>
    <row r="70" spans="1:7">
      <c r="A70" s="116"/>
      <c r="B70" s="114" t="s">
        <v>277</v>
      </c>
      <c r="C70" s="70" t="e">
        <f>AVERAGE(C63:C69)</f>
        <v>#REF!</v>
      </c>
      <c r="D70" s="33"/>
      <c r="E70" s="37" t="s">
        <v>271</v>
      </c>
      <c r="F70" s="37">
        <v>1</v>
      </c>
      <c r="G70" s="63">
        <f>F70/F71</f>
        <v>0.14285714285714285</v>
      </c>
    </row>
    <row r="71" spans="1:7">
      <c r="A71" s="33"/>
      <c r="B71" s="33"/>
      <c r="C71" s="33"/>
      <c r="D71" s="33"/>
      <c r="E71" s="70" t="s">
        <v>273</v>
      </c>
      <c r="F71" s="70">
        <f>SUBTOTAL(9,F63:F70)</f>
        <v>7</v>
      </c>
      <c r="G71" s="38"/>
    </row>
  </sheetData>
  <autoFilter ref="A4:BF60" xr:uid="{00000000-0009-0000-0000-00001E000000}">
    <sortState xmlns:xlrd2="http://schemas.microsoft.com/office/spreadsheetml/2017/richdata2" ref="A4:BF60">
      <sortCondition descending="1" ref="C4:C60"/>
    </sortState>
  </autoFilter>
  <mergeCells count="2">
    <mergeCell ref="A2:C2"/>
    <mergeCell ref="E62:G6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G71"/>
  <sheetViews>
    <sheetView workbookViewId="0"/>
  </sheetViews>
  <sheetFormatPr defaultColWidth="12.5703125" defaultRowHeight="15.75" customHeight="1"/>
  <cols>
    <col min="1" max="1" width="13.42578125" customWidth="1"/>
    <col min="2" max="2" width="33.140625" customWidth="1"/>
    <col min="3" max="3" width="15.5703125" customWidth="1"/>
    <col min="5" max="5" width="16.7109375" customWidth="1"/>
    <col min="6" max="6" width="4" customWidth="1"/>
    <col min="7" max="7" width="7" customWidth="1"/>
  </cols>
  <sheetData>
    <row r="1" spans="1:7" ht="15.75" customHeight="1">
      <c r="A1" s="31"/>
      <c r="B1" s="31"/>
      <c r="C1" s="33"/>
      <c r="D1" s="33"/>
      <c r="E1" s="33"/>
      <c r="F1" s="33"/>
      <c r="G1" s="33"/>
    </row>
    <row r="2" spans="1:7" ht="15.75" customHeight="1">
      <c r="A2" s="145" t="s">
        <v>1027</v>
      </c>
      <c r="B2" s="138"/>
      <c r="C2" s="138"/>
      <c r="D2" s="111"/>
      <c r="E2" s="111"/>
      <c r="F2" s="111"/>
      <c r="G2" s="111"/>
    </row>
    <row r="3" spans="1:7" ht="15.75" customHeight="1">
      <c r="A3" s="31"/>
      <c r="B3" s="31"/>
      <c r="C3" s="33"/>
      <c r="D3" s="33"/>
      <c r="E3" s="33"/>
      <c r="F3" s="33"/>
      <c r="G3" s="33"/>
    </row>
    <row r="4" spans="1:7" ht="15.75" customHeight="1">
      <c r="A4" s="42" t="s">
        <v>82</v>
      </c>
      <c r="B4" s="42" t="s">
        <v>85</v>
      </c>
      <c r="C4" s="42" t="s">
        <v>1022</v>
      </c>
      <c r="D4" s="112"/>
      <c r="E4" s="112"/>
      <c r="F4" s="112"/>
      <c r="G4" s="112"/>
    </row>
    <row r="5" spans="1:7" ht="15.75" customHeight="1">
      <c r="A5" s="129">
        <v>1</v>
      </c>
      <c r="B5" s="117" t="s">
        <v>144</v>
      </c>
      <c r="C5" s="118">
        <v>9</v>
      </c>
      <c r="D5" s="57"/>
      <c r="E5" s="57"/>
      <c r="F5" s="57"/>
      <c r="G5" s="57"/>
    </row>
    <row r="6" spans="1:7">
      <c r="A6" s="130">
        <v>2</v>
      </c>
      <c r="B6" s="45" t="s">
        <v>131</v>
      </c>
      <c r="C6" s="18">
        <v>8.9</v>
      </c>
      <c r="D6" s="57"/>
      <c r="E6" s="57"/>
      <c r="F6" s="57"/>
      <c r="G6" s="57"/>
    </row>
    <row r="7" spans="1:7">
      <c r="A7" s="130">
        <v>3</v>
      </c>
      <c r="B7" s="45" t="s">
        <v>158</v>
      </c>
      <c r="C7" s="18">
        <v>8.6999999999999993</v>
      </c>
      <c r="D7" s="57"/>
      <c r="E7" s="57"/>
      <c r="F7" s="57"/>
      <c r="G7" s="57"/>
    </row>
    <row r="8" spans="1:7">
      <c r="A8" s="131">
        <v>4</v>
      </c>
      <c r="B8" s="125" t="s">
        <v>177</v>
      </c>
      <c r="C8" s="37">
        <v>8.6999999999999993</v>
      </c>
      <c r="D8" s="57"/>
      <c r="E8" s="57"/>
      <c r="F8" s="57"/>
      <c r="G8" s="57"/>
    </row>
    <row r="9" spans="1:7" ht="15.75" customHeight="1">
      <c r="A9" s="132">
        <v>5</v>
      </c>
      <c r="B9" s="124" t="s">
        <v>178</v>
      </c>
      <c r="C9" s="70">
        <v>8.6999999999999993</v>
      </c>
      <c r="D9" s="57"/>
      <c r="E9" s="57"/>
      <c r="F9" s="57"/>
      <c r="G9" s="57"/>
    </row>
    <row r="10" spans="1:7">
      <c r="A10" s="130">
        <v>6</v>
      </c>
      <c r="B10" s="125" t="s">
        <v>182</v>
      </c>
      <c r="C10" s="37">
        <v>8.6999999999999993</v>
      </c>
      <c r="D10" s="57"/>
      <c r="E10" s="57"/>
      <c r="F10" s="57"/>
      <c r="G10" s="57"/>
    </row>
    <row r="11" spans="1:7" ht="15.75" customHeight="1">
      <c r="A11" s="133">
        <v>7</v>
      </c>
      <c r="B11" s="45" t="s">
        <v>151</v>
      </c>
      <c r="C11" s="18">
        <v>8.6</v>
      </c>
      <c r="D11" s="57"/>
      <c r="E11" s="57"/>
      <c r="F11" s="57"/>
      <c r="G11" s="57"/>
    </row>
    <row r="12" spans="1:7">
      <c r="A12" s="130">
        <v>8</v>
      </c>
      <c r="B12" s="45" t="s">
        <v>135</v>
      </c>
      <c r="C12" s="18">
        <v>8.6</v>
      </c>
      <c r="D12" s="57"/>
      <c r="E12" s="57"/>
      <c r="F12" s="57"/>
      <c r="G12" s="57"/>
    </row>
    <row r="13" spans="1:7">
      <c r="A13" s="130">
        <v>9</v>
      </c>
      <c r="B13" s="45" t="s">
        <v>134</v>
      </c>
      <c r="C13" s="18">
        <v>8.5</v>
      </c>
      <c r="D13" s="57"/>
      <c r="E13" s="57"/>
      <c r="F13" s="57"/>
      <c r="G13" s="57"/>
    </row>
    <row r="14" spans="1:7">
      <c r="A14" s="131">
        <v>10</v>
      </c>
      <c r="B14" s="45" t="s">
        <v>164</v>
      </c>
      <c r="C14" s="18">
        <v>8.5</v>
      </c>
      <c r="D14" s="57"/>
      <c r="E14" s="57"/>
      <c r="F14" s="57"/>
      <c r="G14" s="57"/>
    </row>
    <row r="15" spans="1:7">
      <c r="A15" s="130">
        <v>11</v>
      </c>
      <c r="B15" s="45" t="s">
        <v>141</v>
      </c>
      <c r="C15" s="18">
        <v>8.5</v>
      </c>
      <c r="D15" s="57"/>
      <c r="E15" s="57"/>
      <c r="F15" s="57"/>
      <c r="G15" s="57"/>
    </row>
    <row r="16" spans="1:7" ht="15.75" customHeight="1">
      <c r="A16" s="133">
        <v>12</v>
      </c>
      <c r="B16" s="117" t="s">
        <v>142</v>
      </c>
      <c r="C16" s="118">
        <v>8.4</v>
      </c>
      <c r="D16" s="57"/>
      <c r="E16" s="57"/>
      <c r="F16" s="57"/>
      <c r="G16" s="57"/>
    </row>
    <row r="17" spans="1:7">
      <c r="A17" s="130">
        <v>13</v>
      </c>
      <c r="B17" s="45" t="s">
        <v>146</v>
      </c>
      <c r="C17" s="18">
        <v>8.4</v>
      </c>
      <c r="D17" s="57"/>
      <c r="E17" s="57"/>
      <c r="F17" s="57"/>
      <c r="G17" s="57"/>
    </row>
    <row r="18" spans="1:7">
      <c r="A18" s="131">
        <v>14</v>
      </c>
      <c r="B18" s="45" t="s">
        <v>145</v>
      </c>
      <c r="C18" s="18">
        <v>8.4</v>
      </c>
      <c r="D18" s="57"/>
      <c r="F18" s="57"/>
      <c r="G18" s="57"/>
    </row>
    <row r="19" spans="1:7">
      <c r="A19" s="134">
        <v>15</v>
      </c>
      <c r="B19" s="120" t="s">
        <v>174</v>
      </c>
      <c r="C19" s="18">
        <v>8.3000000000000007</v>
      </c>
      <c r="D19" s="57"/>
      <c r="E19" s="57"/>
      <c r="F19" s="57"/>
      <c r="G19" s="57"/>
    </row>
    <row r="20" spans="1:7" ht="30">
      <c r="A20" s="130">
        <v>16</v>
      </c>
      <c r="B20" s="52" t="s">
        <v>152</v>
      </c>
      <c r="C20" s="18">
        <v>8.3000000000000007</v>
      </c>
      <c r="D20" s="57"/>
      <c r="E20" s="57"/>
      <c r="F20" s="57"/>
      <c r="G20" s="57"/>
    </row>
    <row r="21" spans="1:7" ht="15">
      <c r="A21" s="134">
        <v>17</v>
      </c>
      <c r="B21" s="45" t="s">
        <v>163</v>
      </c>
      <c r="C21" s="18">
        <v>8.3000000000000007</v>
      </c>
      <c r="D21" s="57"/>
      <c r="E21" s="57"/>
      <c r="F21" s="57"/>
      <c r="G21" s="57"/>
    </row>
    <row r="22" spans="1:7" ht="15">
      <c r="A22" s="130">
        <v>18</v>
      </c>
      <c r="B22" s="52" t="s">
        <v>168</v>
      </c>
      <c r="C22" s="18">
        <v>8.3000000000000007</v>
      </c>
      <c r="D22" s="57"/>
      <c r="E22" s="57"/>
      <c r="F22" s="57"/>
      <c r="G22" s="57"/>
    </row>
    <row r="23" spans="1:7" ht="15">
      <c r="A23" s="130">
        <v>19</v>
      </c>
      <c r="B23" s="52" t="s">
        <v>161</v>
      </c>
      <c r="C23" s="18">
        <v>8.3000000000000007</v>
      </c>
      <c r="D23" s="57"/>
      <c r="E23" s="57"/>
      <c r="F23" s="57"/>
      <c r="G23" s="57"/>
    </row>
    <row r="24" spans="1:7" ht="15">
      <c r="A24" s="131">
        <v>20</v>
      </c>
      <c r="B24" s="45" t="s">
        <v>156</v>
      </c>
      <c r="C24" s="18">
        <v>8.3000000000000007</v>
      </c>
      <c r="D24" s="57"/>
      <c r="E24" s="57"/>
      <c r="F24" s="57"/>
      <c r="G24" s="57"/>
    </row>
    <row r="25" spans="1:7" ht="15">
      <c r="A25" s="130">
        <v>21</v>
      </c>
      <c r="B25" s="45" t="s">
        <v>150</v>
      </c>
      <c r="C25" s="18">
        <v>8.3000000000000007</v>
      </c>
      <c r="D25" s="57"/>
      <c r="E25" s="57"/>
      <c r="F25" s="57"/>
      <c r="G25" s="57"/>
    </row>
    <row r="26" spans="1:7">
      <c r="A26" s="133">
        <v>22</v>
      </c>
      <c r="B26" s="117" t="s">
        <v>130</v>
      </c>
      <c r="C26" s="118">
        <v>8.3000000000000007</v>
      </c>
      <c r="D26" s="57"/>
      <c r="E26" s="57"/>
      <c r="F26" s="57"/>
      <c r="G26" s="57"/>
    </row>
    <row r="27" spans="1:7" ht="15">
      <c r="A27" s="130">
        <v>23</v>
      </c>
      <c r="B27" s="125" t="s">
        <v>180</v>
      </c>
      <c r="C27" s="37">
        <v>8.3000000000000007</v>
      </c>
      <c r="D27" s="57"/>
      <c r="E27" s="57"/>
      <c r="F27" s="57"/>
      <c r="G27" s="57"/>
    </row>
    <row r="28" spans="1:7" ht="15">
      <c r="A28" s="130">
        <v>24</v>
      </c>
      <c r="B28" s="45" t="s">
        <v>133</v>
      </c>
      <c r="C28" s="18">
        <v>8.1999999999999993</v>
      </c>
      <c r="D28" s="57"/>
      <c r="E28" s="57"/>
      <c r="F28" s="57"/>
      <c r="G28" s="57"/>
    </row>
    <row r="29" spans="1:7">
      <c r="A29" s="133">
        <v>25</v>
      </c>
      <c r="B29" s="117" t="s">
        <v>162</v>
      </c>
      <c r="C29" s="118">
        <v>8.1</v>
      </c>
      <c r="D29" s="57"/>
      <c r="E29" s="57"/>
      <c r="F29" s="57"/>
      <c r="G29" s="57"/>
    </row>
    <row r="30" spans="1:7" ht="15">
      <c r="A30" s="130">
        <v>26</v>
      </c>
      <c r="B30" s="45" t="s">
        <v>127</v>
      </c>
      <c r="C30" s="18">
        <v>8.1</v>
      </c>
      <c r="D30" s="57"/>
      <c r="E30" s="57"/>
      <c r="F30" s="57"/>
      <c r="G30" s="57"/>
    </row>
    <row r="31" spans="1:7" ht="15">
      <c r="A31" s="130">
        <v>27</v>
      </c>
      <c r="B31" s="45" t="s">
        <v>137</v>
      </c>
      <c r="C31" s="18">
        <v>8</v>
      </c>
      <c r="D31" s="57"/>
      <c r="E31" s="57"/>
      <c r="F31" s="57"/>
      <c r="G31" s="57"/>
    </row>
    <row r="32" spans="1:7" ht="15">
      <c r="A32" s="130">
        <v>28</v>
      </c>
      <c r="B32" s="45" t="s">
        <v>149</v>
      </c>
      <c r="C32" s="18">
        <v>8</v>
      </c>
      <c r="D32" s="57"/>
      <c r="E32" s="57"/>
      <c r="F32" s="57"/>
      <c r="G32" s="57"/>
    </row>
    <row r="33" spans="1:7" ht="15">
      <c r="A33" s="131">
        <v>29</v>
      </c>
      <c r="B33" s="45" t="s">
        <v>147</v>
      </c>
      <c r="C33" s="18">
        <v>8</v>
      </c>
      <c r="D33" s="57"/>
      <c r="E33" s="57"/>
      <c r="F33" s="57"/>
      <c r="G33" s="57"/>
    </row>
    <row r="34" spans="1:7" ht="15">
      <c r="A34" s="130">
        <v>30</v>
      </c>
      <c r="B34" s="45" t="s">
        <v>132</v>
      </c>
      <c r="C34" s="18">
        <v>8</v>
      </c>
      <c r="D34" s="57"/>
      <c r="E34" s="57"/>
      <c r="F34" s="57"/>
      <c r="G34" s="57"/>
    </row>
    <row r="35" spans="1:7" ht="15">
      <c r="A35" s="130">
        <v>31</v>
      </c>
      <c r="B35" s="45" t="s">
        <v>160</v>
      </c>
      <c r="C35" s="18">
        <v>7.9</v>
      </c>
      <c r="D35" s="57"/>
      <c r="E35" s="57"/>
      <c r="F35" s="57"/>
      <c r="G35" s="57"/>
    </row>
    <row r="36" spans="1:7">
      <c r="A36" s="133">
        <v>32</v>
      </c>
      <c r="B36" s="119" t="s">
        <v>171</v>
      </c>
      <c r="C36" s="118">
        <v>7.9</v>
      </c>
      <c r="D36" s="57"/>
      <c r="E36" s="57"/>
      <c r="F36" s="57"/>
      <c r="G36" s="57"/>
    </row>
    <row r="37" spans="1:7" ht="15">
      <c r="A37" s="130">
        <v>33</v>
      </c>
      <c r="B37" s="120" t="s">
        <v>170</v>
      </c>
      <c r="C37" s="18">
        <v>7.9</v>
      </c>
      <c r="D37" s="57"/>
      <c r="E37" s="57"/>
      <c r="F37" s="57"/>
      <c r="G37" s="57"/>
    </row>
    <row r="38" spans="1:7" ht="15">
      <c r="A38" s="130">
        <v>34</v>
      </c>
      <c r="B38" s="45" t="s">
        <v>153</v>
      </c>
      <c r="C38" s="18">
        <v>7.8</v>
      </c>
      <c r="D38" s="57"/>
      <c r="E38" s="57"/>
      <c r="F38" s="57"/>
      <c r="G38" s="57"/>
    </row>
    <row r="39" spans="1:7" ht="15">
      <c r="A39" s="130">
        <v>35</v>
      </c>
      <c r="B39" s="45" t="s">
        <v>165</v>
      </c>
      <c r="C39" s="18">
        <v>7.8</v>
      </c>
      <c r="D39" s="57"/>
      <c r="E39" s="57"/>
      <c r="F39" s="57"/>
      <c r="G39" s="57"/>
    </row>
    <row r="40" spans="1:7" ht="15">
      <c r="A40" s="130">
        <v>36</v>
      </c>
      <c r="B40" s="126" t="s">
        <v>176</v>
      </c>
      <c r="C40" s="37">
        <v>7.8</v>
      </c>
      <c r="D40" s="57"/>
      <c r="E40" s="57"/>
      <c r="F40" s="57"/>
      <c r="G40" s="57"/>
    </row>
    <row r="41" spans="1:7" ht="15">
      <c r="A41" s="130">
        <v>37</v>
      </c>
      <c r="B41" s="45" t="s">
        <v>140</v>
      </c>
      <c r="C41" s="18">
        <v>7.7</v>
      </c>
      <c r="D41" s="57"/>
      <c r="E41" s="57"/>
      <c r="F41" s="57"/>
      <c r="G41" s="57"/>
    </row>
    <row r="42" spans="1:7" ht="15">
      <c r="A42" s="130">
        <v>38</v>
      </c>
      <c r="B42" s="45" t="s">
        <v>136</v>
      </c>
      <c r="C42" s="18">
        <v>7.6</v>
      </c>
      <c r="D42" s="57"/>
      <c r="E42" s="57"/>
      <c r="F42" s="57"/>
      <c r="G42" s="57"/>
    </row>
    <row r="43" spans="1:7" ht="15">
      <c r="A43" s="130">
        <v>39</v>
      </c>
      <c r="B43" s="45" t="s">
        <v>167</v>
      </c>
      <c r="C43" s="18">
        <v>7.6</v>
      </c>
      <c r="D43" s="57"/>
      <c r="E43" s="57"/>
      <c r="F43" s="57"/>
      <c r="G43" s="57"/>
    </row>
    <row r="44" spans="1:7">
      <c r="A44" s="133">
        <v>40</v>
      </c>
      <c r="B44" s="117" t="s">
        <v>155</v>
      </c>
      <c r="C44" s="118">
        <v>7.5</v>
      </c>
      <c r="D44" s="57"/>
      <c r="E44" s="57"/>
      <c r="F44" s="57"/>
      <c r="G44" s="57"/>
    </row>
    <row r="45" spans="1:7" ht="15">
      <c r="A45" s="130">
        <v>41</v>
      </c>
      <c r="B45" s="45" t="s">
        <v>143</v>
      </c>
      <c r="C45" s="18">
        <v>7.4</v>
      </c>
      <c r="D45" s="57"/>
      <c r="E45" s="57"/>
      <c r="F45" s="57"/>
      <c r="G45" s="57"/>
    </row>
    <row r="46" spans="1:7" ht="15">
      <c r="A46" s="130">
        <v>42</v>
      </c>
      <c r="B46" s="45" t="s">
        <v>138</v>
      </c>
      <c r="C46" s="18">
        <v>7.2</v>
      </c>
      <c r="D46" s="57"/>
      <c r="E46" s="57"/>
      <c r="F46" s="57"/>
      <c r="G46" s="57"/>
    </row>
    <row r="47" spans="1:7" ht="15">
      <c r="A47" s="130">
        <v>43</v>
      </c>
      <c r="B47" s="45" t="s">
        <v>129</v>
      </c>
      <c r="C47" s="18">
        <v>7.2</v>
      </c>
    </row>
    <row r="48" spans="1:7" ht="15">
      <c r="A48" s="130">
        <v>44</v>
      </c>
      <c r="B48" s="45" t="s">
        <v>148</v>
      </c>
      <c r="C48" s="18">
        <v>7.2</v>
      </c>
    </row>
    <row r="49" spans="1:7" ht="15">
      <c r="A49" s="130">
        <v>45</v>
      </c>
      <c r="B49" s="45" t="s">
        <v>139</v>
      </c>
      <c r="C49" s="18">
        <v>7.1</v>
      </c>
    </row>
    <row r="50" spans="1:7" ht="15">
      <c r="A50" s="130">
        <v>46</v>
      </c>
      <c r="B50" s="45" t="s">
        <v>166</v>
      </c>
      <c r="C50" s="18">
        <v>7.1</v>
      </c>
    </row>
    <row r="51" spans="1:7" ht="15">
      <c r="A51" s="130">
        <v>47</v>
      </c>
      <c r="B51" s="45" t="s">
        <v>157</v>
      </c>
      <c r="C51" s="18">
        <v>7.1</v>
      </c>
    </row>
    <row r="52" spans="1:7" ht="15">
      <c r="A52" s="130">
        <v>48</v>
      </c>
      <c r="B52" s="120" t="s">
        <v>173</v>
      </c>
      <c r="C52" s="18">
        <v>7</v>
      </c>
    </row>
    <row r="53" spans="1:7" ht="15">
      <c r="A53" s="130">
        <v>49</v>
      </c>
      <c r="B53" s="45" t="s">
        <v>154</v>
      </c>
      <c r="C53" s="18">
        <v>7</v>
      </c>
    </row>
    <row r="54" spans="1:7" ht="15">
      <c r="A54" s="130">
        <v>50</v>
      </c>
      <c r="B54" s="125" t="s">
        <v>175</v>
      </c>
      <c r="C54" s="18">
        <v>7</v>
      </c>
    </row>
    <row r="55" spans="1:7" ht="15">
      <c r="A55" s="130">
        <v>51</v>
      </c>
      <c r="B55" s="45" t="s">
        <v>128</v>
      </c>
      <c r="C55" s="18">
        <v>6.9</v>
      </c>
    </row>
    <row r="56" spans="1:7" ht="15">
      <c r="A56" s="130">
        <v>52</v>
      </c>
      <c r="B56" s="120" t="s">
        <v>169</v>
      </c>
      <c r="C56" s="18">
        <v>6.9</v>
      </c>
    </row>
    <row r="57" spans="1:7" ht="15">
      <c r="A57" s="131">
        <v>53</v>
      </c>
      <c r="B57" s="125" t="s">
        <v>181</v>
      </c>
      <c r="C57" s="37">
        <v>6.8</v>
      </c>
    </row>
    <row r="58" spans="1:7" ht="15">
      <c r="A58" s="130">
        <v>54</v>
      </c>
      <c r="B58" s="45" t="s">
        <v>159</v>
      </c>
      <c r="C58" s="18">
        <v>6.7</v>
      </c>
    </row>
    <row r="59" spans="1:7" ht="15">
      <c r="A59" s="131">
        <v>55</v>
      </c>
      <c r="B59" s="125" t="s">
        <v>179</v>
      </c>
      <c r="C59" s="37">
        <v>6.3</v>
      </c>
    </row>
    <row r="60" spans="1:7" ht="15">
      <c r="A60" s="131">
        <v>56</v>
      </c>
      <c r="B60" s="120" t="s">
        <v>172</v>
      </c>
      <c r="C60" s="18"/>
    </row>
    <row r="62" spans="1:7">
      <c r="A62" s="42" t="s">
        <v>1023</v>
      </c>
      <c r="B62" s="42" t="s">
        <v>1024</v>
      </c>
      <c r="C62" s="73" t="s">
        <v>277</v>
      </c>
      <c r="D62" s="33"/>
      <c r="E62" s="139" t="s">
        <v>254</v>
      </c>
      <c r="F62" s="146"/>
      <c r="G62" s="140"/>
    </row>
    <row r="63" spans="1:7" ht="15">
      <c r="A63" s="37">
        <v>1</v>
      </c>
      <c r="B63" s="40" t="s">
        <v>130</v>
      </c>
      <c r="C63" s="69" t="e">
        <f>VLOOKUP((B63),Analytics!E2:F57,4,FALSE)</f>
        <v>#REF!</v>
      </c>
      <c r="D63" s="33"/>
      <c r="E63" s="37" t="s">
        <v>256</v>
      </c>
      <c r="F63" s="37">
        <v>0</v>
      </c>
      <c r="G63" s="63">
        <f>F63/F71</f>
        <v>0</v>
      </c>
    </row>
    <row r="64" spans="1:7" ht="15">
      <c r="A64" s="37">
        <v>2</v>
      </c>
      <c r="B64" s="40" t="s">
        <v>142</v>
      </c>
      <c r="C64" s="69" t="e">
        <f>VLOOKUP((B64),Analytics!E3:F58,4,FALSE)</f>
        <v>#N/A</v>
      </c>
      <c r="D64" s="33"/>
      <c r="E64" s="37" t="s">
        <v>258</v>
      </c>
      <c r="F64" s="37">
        <v>1</v>
      </c>
      <c r="G64" s="63">
        <f>F64/F71</f>
        <v>0.14285714285714285</v>
      </c>
    </row>
    <row r="65" spans="1:7" ht="15">
      <c r="A65" s="37">
        <v>3</v>
      </c>
      <c r="B65" s="40" t="s">
        <v>144</v>
      </c>
      <c r="C65" s="69" t="e">
        <f>VLOOKUP((B65),Analytics!E4:F59,4,FALSE)</f>
        <v>#REF!</v>
      </c>
      <c r="D65" s="33"/>
      <c r="E65" s="37" t="s">
        <v>260</v>
      </c>
      <c r="F65" s="37">
        <v>1</v>
      </c>
      <c r="G65" s="63">
        <f>F65/F71</f>
        <v>0.14285714285714285</v>
      </c>
    </row>
    <row r="66" spans="1:7" ht="15">
      <c r="A66" s="37">
        <v>4</v>
      </c>
      <c r="B66" s="40" t="s">
        <v>155</v>
      </c>
      <c r="C66" s="69" t="e">
        <f>VLOOKUP((B66),Analytics!E5:F60,4,FALSE)</f>
        <v>#N/A</v>
      </c>
      <c r="D66" s="33"/>
      <c r="E66" s="37" t="s">
        <v>262</v>
      </c>
      <c r="F66" s="37">
        <v>1</v>
      </c>
      <c r="G66" s="63">
        <f>F66/F71</f>
        <v>0.14285714285714285</v>
      </c>
    </row>
    <row r="67" spans="1:7" ht="15">
      <c r="A67" s="37">
        <v>5</v>
      </c>
      <c r="B67" s="40" t="s">
        <v>162</v>
      </c>
      <c r="C67" s="69" t="e">
        <f>VLOOKUP((B67),Analytics!E6:F61,4,FALSE)</f>
        <v>#REF!</v>
      </c>
      <c r="D67" s="33"/>
      <c r="E67" s="37" t="s">
        <v>264</v>
      </c>
      <c r="F67" s="37">
        <v>1</v>
      </c>
      <c r="G67" s="63">
        <f>F67/F71</f>
        <v>0.14285714285714285</v>
      </c>
    </row>
    <row r="68" spans="1:7" ht="15">
      <c r="A68" s="37">
        <v>6</v>
      </c>
      <c r="B68" s="40" t="s">
        <v>171</v>
      </c>
      <c r="C68" s="69" t="e">
        <f>VLOOKUP((B68),Analytics!E7:F62,4,FALSE)</f>
        <v>#REF!</v>
      </c>
      <c r="D68" s="33"/>
      <c r="E68" s="37" t="s">
        <v>266</v>
      </c>
      <c r="F68" s="37">
        <v>2</v>
      </c>
      <c r="G68" s="63">
        <f>F68/F71</f>
        <v>0.2857142857142857</v>
      </c>
    </row>
    <row r="69" spans="1:7" ht="15">
      <c r="A69" s="37">
        <v>7</v>
      </c>
      <c r="B69" s="40" t="s">
        <v>178</v>
      </c>
      <c r="C69" s="69" t="e">
        <f>VLOOKUP((B69),Analytics!E8:F63,4,FALSE)</f>
        <v>#REF!</v>
      </c>
      <c r="D69" s="33"/>
      <c r="E69" s="37" t="s">
        <v>269</v>
      </c>
      <c r="F69" s="37">
        <v>1</v>
      </c>
      <c r="G69" s="63">
        <f>F69/F71</f>
        <v>0.14285714285714285</v>
      </c>
    </row>
    <row r="70" spans="1:7">
      <c r="A70" s="116"/>
      <c r="B70" s="114" t="s">
        <v>277</v>
      </c>
      <c r="C70" s="70" t="e">
        <f>AVERAGE(C63:C69)</f>
        <v>#REF!</v>
      </c>
      <c r="D70" s="33"/>
      <c r="E70" s="37" t="s">
        <v>271</v>
      </c>
      <c r="F70" s="37">
        <v>0</v>
      </c>
      <c r="G70" s="63">
        <f>F70/F71</f>
        <v>0</v>
      </c>
    </row>
    <row r="71" spans="1:7">
      <c r="A71" s="33"/>
      <c r="B71" s="33"/>
      <c r="C71" s="33"/>
      <c r="D71" s="33"/>
      <c r="E71" s="70" t="s">
        <v>273</v>
      </c>
      <c r="F71" s="70">
        <f>SUBTOTAL(9,F63:F70)</f>
        <v>7</v>
      </c>
      <c r="G71" s="38"/>
    </row>
  </sheetData>
  <autoFilter ref="A4:C60" xr:uid="{00000000-0009-0000-0000-00001F000000}">
    <sortState xmlns:xlrd2="http://schemas.microsoft.com/office/spreadsheetml/2017/richdata2" ref="A4:C60">
      <sortCondition descending="1" ref="C4:C60"/>
    </sortState>
  </autoFilter>
  <mergeCells count="2">
    <mergeCell ref="A2:C2"/>
    <mergeCell ref="E62:G6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K71"/>
  <sheetViews>
    <sheetView workbookViewId="0"/>
  </sheetViews>
  <sheetFormatPr defaultColWidth="12.5703125" defaultRowHeight="15.75" customHeight="1"/>
  <cols>
    <col min="1" max="1" width="13.42578125" customWidth="1"/>
    <col min="2" max="2" width="33.7109375" customWidth="1"/>
    <col min="3" max="3" width="15.5703125" customWidth="1"/>
  </cols>
  <sheetData>
    <row r="1" spans="1:7" ht="15.75" customHeight="1">
      <c r="A1" s="31"/>
      <c r="B1" s="31"/>
      <c r="C1" s="33"/>
      <c r="D1" s="33"/>
      <c r="E1" s="33"/>
      <c r="F1" s="33"/>
      <c r="G1" s="33"/>
    </row>
    <row r="2" spans="1:7" ht="15.75" customHeight="1">
      <c r="A2" s="145" t="s">
        <v>1028</v>
      </c>
      <c r="B2" s="138"/>
      <c r="C2" s="138"/>
      <c r="D2" s="111"/>
      <c r="E2" s="111"/>
      <c r="F2" s="111"/>
      <c r="G2" s="111"/>
    </row>
    <row r="3" spans="1:7" ht="15.75" customHeight="1">
      <c r="A3" s="31"/>
      <c r="B3" s="31"/>
      <c r="C3" s="33"/>
      <c r="D3" s="33"/>
      <c r="E3" s="33"/>
      <c r="F3" s="33"/>
      <c r="G3" s="33"/>
    </row>
    <row r="4" spans="1:7" ht="15.75" customHeight="1">
      <c r="A4" s="42" t="s">
        <v>82</v>
      </c>
      <c r="B4" s="42" t="s">
        <v>85</v>
      </c>
      <c r="C4" s="42" t="s">
        <v>1022</v>
      </c>
      <c r="D4" s="112"/>
      <c r="E4" s="112"/>
      <c r="F4" s="112"/>
      <c r="G4" s="112"/>
    </row>
    <row r="5" spans="1:7">
      <c r="A5" s="44">
        <v>1</v>
      </c>
      <c r="B5" s="125" t="s">
        <v>178</v>
      </c>
      <c r="C5" s="37">
        <v>9.5</v>
      </c>
    </row>
    <row r="6" spans="1:7">
      <c r="A6" s="44">
        <v>2</v>
      </c>
      <c r="B6" s="45" t="s">
        <v>131</v>
      </c>
      <c r="C6" s="47">
        <v>9</v>
      </c>
      <c r="D6" s="57"/>
      <c r="E6" s="57"/>
      <c r="F6" s="57"/>
      <c r="G6" s="57"/>
    </row>
    <row r="7" spans="1:7">
      <c r="A7" s="44">
        <v>3</v>
      </c>
      <c r="B7" s="45" t="s">
        <v>144</v>
      </c>
      <c r="C7" s="47">
        <v>9</v>
      </c>
      <c r="D7" s="57"/>
      <c r="E7" s="57"/>
      <c r="F7" s="57"/>
      <c r="G7" s="57"/>
    </row>
    <row r="8" spans="1:7">
      <c r="A8" s="37">
        <v>4</v>
      </c>
      <c r="B8" s="45" t="s">
        <v>132</v>
      </c>
      <c r="C8" s="47">
        <v>8.8000000000000007</v>
      </c>
      <c r="D8" s="57"/>
      <c r="E8" s="57"/>
      <c r="F8" s="57"/>
      <c r="G8" s="57"/>
    </row>
    <row r="9" spans="1:7" ht="15.75" customHeight="1">
      <c r="A9" s="127">
        <v>5</v>
      </c>
      <c r="B9" s="117" t="s">
        <v>146</v>
      </c>
      <c r="C9" s="135">
        <v>8.6999999999999993</v>
      </c>
      <c r="D9" s="57"/>
      <c r="E9" s="57"/>
      <c r="F9" s="57"/>
      <c r="G9" s="57"/>
    </row>
    <row r="10" spans="1:7">
      <c r="A10" s="44">
        <v>6</v>
      </c>
      <c r="B10" s="125" t="s">
        <v>177</v>
      </c>
      <c r="C10" s="37">
        <v>8.6999999999999993</v>
      </c>
    </row>
    <row r="11" spans="1:7">
      <c r="A11" s="44">
        <v>7</v>
      </c>
      <c r="B11" s="45" t="s">
        <v>130</v>
      </c>
      <c r="C11" s="47">
        <v>8.5</v>
      </c>
      <c r="D11" s="57"/>
      <c r="E11" s="57"/>
      <c r="F11" s="57"/>
      <c r="G11" s="57"/>
    </row>
    <row r="12" spans="1:7">
      <c r="A12" s="44">
        <v>8</v>
      </c>
      <c r="B12" s="45" t="s">
        <v>134</v>
      </c>
      <c r="C12" s="47">
        <v>8.5</v>
      </c>
      <c r="D12" s="57"/>
      <c r="E12" s="57"/>
      <c r="F12" s="57"/>
      <c r="G12" s="57"/>
    </row>
    <row r="13" spans="1:7">
      <c r="A13" s="44">
        <v>9</v>
      </c>
      <c r="B13" s="45" t="s">
        <v>145</v>
      </c>
      <c r="C13" s="47">
        <v>8.5</v>
      </c>
      <c r="D13" s="57"/>
      <c r="E13" s="57"/>
      <c r="F13" s="57"/>
      <c r="G13" s="57"/>
    </row>
    <row r="14" spans="1:7">
      <c r="A14" s="37">
        <v>10</v>
      </c>
      <c r="B14" s="45" t="s">
        <v>149</v>
      </c>
      <c r="C14" s="47">
        <v>8.5</v>
      </c>
      <c r="D14" s="57"/>
      <c r="E14" s="57"/>
      <c r="F14" s="57"/>
      <c r="G14" s="57"/>
    </row>
    <row r="15" spans="1:7">
      <c r="A15" s="44">
        <v>11</v>
      </c>
      <c r="B15" s="45" t="s">
        <v>151</v>
      </c>
      <c r="C15" s="47">
        <v>8.5</v>
      </c>
      <c r="D15" s="57"/>
      <c r="E15" s="57"/>
      <c r="F15" s="57"/>
      <c r="G15" s="57"/>
    </row>
    <row r="16" spans="1:7" ht="15.75" customHeight="1">
      <c r="A16" s="113">
        <v>12</v>
      </c>
      <c r="B16" s="117" t="s">
        <v>166</v>
      </c>
      <c r="C16" s="135">
        <v>8.5</v>
      </c>
      <c r="D16" s="57"/>
      <c r="E16" s="57"/>
      <c r="F16" s="57"/>
      <c r="G16" s="57"/>
    </row>
    <row r="17" spans="1:7">
      <c r="A17" s="44">
        <v>13</v>
      </c>
      <c r="B17" s="126" t="s">
        <v>176</v>
      </c>
      <c r="C17" s="37">
        <v>8.5</v>
      </c>
    </row>
    <row r="18" spans="1:7">
      <c r="A18" s="37">
        <v>14</v>
      </c>
      <c r="B18" s="45" t="s">
        <v>137</v>
      </c>
      <c r="C18" s="47">
        <v>8.3000000000000007</v>
      </c>
      <c r="D18" s="57"/>
      <c r="E18" s="57"/>
      <c r="F18" s="57"/>
      <c r="G18" s="57"/>
    </row>
    <row r="19" spans="1:7">
      <c r="A19" s="56">
        <v>15</v>
      </c>
      <c r="B19" s="45" t="s">
        <v>142</v>
      </c>
      <c r="C19" s="47">
        <v>8.1999999999999993</v>
      </c>
      <c r="D19" s="57"/>
      <c r="E19" s="57"/>
      <c r="F19" s="57"/>
      <c r="G19" s="57"/>
    </row>
    <row r="20" spans="1:7" ht="15">
      <c r="A20" s="44">
        <v>16</v>
      </c>
      <c r="B20" s="45" t="s">
        <v>150</v>
      </c>
      <c r="C20" s="47">
        <v>8.1999999999999993</v>
      </c>
      <c r="D20" s="57"/>
      <c r="E20" s="57"/>
      <c r="F20" s="57"/>
      <c r="G20" s="57"/>
    </row>
    <row r="21" spans="1:7">
      <c r="A21" s="127">
        <v>17</v>
      </c>
      <c r="B21" s="117" t="s">
        <v>127</v>
      </c>
      <c r="C21" s="135">
        <v>8</v>
      </c>
      <c r="D21" s="57"/>
      <c r="E21" s="57"/>
      <c r="F21" s="57"/>
      <c r="G21" s="57"/>
    </row>
    <row r="22" spans="1:7" ht="15">
      <c r="A22" s="44">
        <v>18</v>
      </c>
      <c r="B22" s="45" t="s">
        <v>133</v>
      </c>
      <c r="C22" s="47">
        <v>8</v>
      </c>
      <c r="D22" s="57"/>
      <c r="E22" s="57"/>
      <c r="F22" s="57"/>
      <c r="G22" s="57"/>
    </row>
    <row r="23" spans="1:7">
      <c r="A23" s="113">
        <v>19</v>
      </c>
      <c r="B23" s="117" t="s">
        <v>136</v>
      </c>
      <c r="C23" s="135">
        <v>8</v>
      </c>
      <c r="D23" s="57"/>
      <c r="E23" s="57"/>
      <c r="F23" s="57"/>
      <c r="G23" s="57"/>
    </row>
    <row r="24" spans="1:7" ht="15">
      <c r="A24" s="37">
        <v>20</v>
      </c>
      <c r="B24" s="45" t="s">
        <v>141</v>
      </c>
      <c r="C24" s="47">
        <v>8</v>
      </c>
      <c r="D24" s="57"/>
      <c r="E24" s="57"/>
      <c r="F24" s="57"/>
      <c r="G24" s="57"/>
    </row>
    <row r="25" spans="1:7" ht="15">
      <c r="A25" s="44">
        <v>21</v>
      </c>
      <c r="B25" s="45" t="s">
        <v>147</v>
      </c>
      <c r="C25" s="47">
        <v>8</v>
      </c>
      <c r="D25" s="57"/>
      <c r="E25" s="57"/>
      <c r="F25" s="57"/>
      <c r="G25" s="57"/>
    </row>
    <row r="26" spans="1:7" ht="15">
      <c r="A26" s="44">
        <v>22</v>
      </c>
      <c r="B26" s="45" t="s">
        <v>153</v>
      </c>
      <c r="C26" s="47">
        <v>8</v>
      </c>
      <c r="D26" s="57"/>
      <c r="E26" s="57"/>
      <c r="F26" s="57"/>
      <c r="G26" s="57"/>
    </row>
    <row r="27" spans="1:7">
      <c r="A27" s="113">
        <v>23</v>
      </c>
      <c r="B27" s="117" t="s">
        <v>156</v>
      </c>
      <c r="C27" s="135">
        <v>8</v>
      </c>
      <c r="D27" s="57"/>
      <c r="E27" s="57"/>
      <c r="F27" s="57"/>
      <c r="G27" s="57"/>
    </row>
    <row r="28" spans="1:7" ht="15">
      <c r="A28" s="44">
        <v>24</v>
      </c>
      <c r="B28" s="45" t="s">
        <v>158</v>
      </c>
      <c r="C28" s="47">
        <v>8</v>
      </c>
      <c r="D28" s="57"/>
      <c r="E28" s="57"/>
      <c r="F28" s="57"/>
      <c r="G28" s="57"/>
    </row>
    <row r="29" spans="1:7" ht="15">
      <c r="A29" s="44">
        <v>25</v>
      </c>
      <c r="B29" s="52" t="s">
        <v>168</v>
      </c>
      <c r="C29" s="47">
        <v>8</v>
      </c>
      <c r="D29" s="57"/>
      <c r="E29" s="57"/>
      <c r="F29" s="57"/>
      <c r="G29" s="57"/>
    </row>
    <row r="30" spans="1:7" ht="15">
      <c r="A30" s="44">
        <v>26</v>
      </c>
      <c r="B30" s="45" t="s">
        <v>174</v>
      </c>
      <c r="C30" s="47">
        <v>8</v>
      </c>
    </row>
    <row r="31" spans="1:7" ht="15">
      <c r="A31" s="44">
        <v>27</v>
      </c>
      <c r="B31" s="45" t="s">
        <v>140</v>
      </c>
      <c r="C31" s="47">
        <v>7.9</v>
      </c>
      <c r="D31" s="57"/>
      <c r="F31" s="57"/>
      <c r="G31" s="57"/>
    </row>
    <row r="32" spans="1:7">
      <c r="A32" s="113">
        <v>28</v>
      </c>
      <c r="B32" s="117" t="s">
        <v>169</v>
      </c>
      <c r="C32" s="135">
        <v>7.9</v>
      </c>
    </row>
    <row r="33" spans="1:7" ht="15">
      <c r="A33" s="37">
        <v>29</v>
      </c>
      <c r="B33" s="45" t="s">
        <v>171</v>
      </c>
      <c r="C33" s="47">
        <v>7.8</v>
      </c>
    </row>
    <row r="34" spans="1:7" ht="15">
      <c r="A34" s="44">
        <v>30</v>
      </c>
      <c r="B34" s="45" t="s">
        <v>138</v>
      </c>
      <c r="C34" s="47">
        <v>7.6</v>
      </c>
      <c r="D34" s="57"/>
      <c r="E34" s="57"/>
      <c r="F34" s="57"/>
      <c r="G34" s="57"/>
    </row>
    <row r="35" spans="1:7" ht="15">
      <c r="A35" s="44">
        <v>31</v>
      </c>
      <c r="B35" s="45" t="s">
        <v>170</v>
      </c>
      <c r="C35" s="47">
        <v>7.5</v>
      </c>
    </row>
    <row r="36" spans="1:7" ht="15">
      <c r="A36" s="44">
        <v>32</v>
      </c>
      <c r="B36" s="45" t="s">
        <v>148</v>
      </c>
      <c r="C36" s="47">
        <v>7.3</v>
      </c>
      <c r="D36" s="57"/>
      <c r="E36" s="57"/>
      <c r="F36" s="57"/>
      <c r="G36" s="57"/>
    </row>
    <row r="37" spans="1:7" ht="15">
      <c r="A37" s="44">
        <v>33</v>
      </c>
      <c r="B37" s="45" t="s">
        <v>157</v>
      </c>
      <c r="C37" s="47">
        <v>7.2</v>
      </c>
      <c r="D37" s="57"/>
      <c r="E37" s="57"/>
      <c r="F37" s="57"/>
      <c r="G37" s="57"/>
    </row>
    <row r="38" spans="1:7" ht="15">
      <c r="A38" s="44">
        <v>34</v>
      </c>
      <c r="B38" s="45" t="s">
        <v>143</v>
      </c>
      <c r="C38" s="47">
        <v>7</v>
      </c>
      <c r="D38" s="57"/>
      <c r="E38" s="57"/>
      <c r="F38" s="57"/>
      <c r="G38" s="57"/>
    </row>
    <row r="39" spans="1:7" ht="15">
      <c r="A39" s="44">
        <v>35</v>
      </c>
      <c r="B39" s="45" t="s">
        <v>155</v>
      </c>
      <c r="C39" s="47">
        <v>7</v>
      </c>
      <c r="D39" s="57"/>
      <c r="E39" s="57"/>
      <c r="F39" s="57"/>
      <c r="G39" s="57"/>
    </row>
    <row r="40" spans="1:7" ht="15">
      <c r="A40" s="44">
        <v>36</v>
      </c>
      <c r="B40" s="45" t="s">
        <v>173</v>
      </c>
      <c r="C40" s="47">
        <v>7</v>
      </c>
    </row>
    <row r="41" spans="1:7">
      <c r="A41" s="113">
        <v>37</v>
      </c>
      <c r="B41" s="124" t="s">
        <v>179</v>
      </c>
      <c r="C41" s="135">
        <v>7</v>
      </c>
    </row>
    <row r="42" spans="1:7" ht="15">
      <c r="A42" s="44">
        <v>38</v>
      </c>
      <c r="B42" s="45" t="s">
        <v>128</v>
      </c>
      <c r="C42" s="47">
        <v>6.9</v>
      </c>
      <c r="D42" s="57"/>
      <c r="E42" s="57"/>
      <c r="F42" s="57"/>
      <c r="G42" s="57"/>
    </row>
    <row r="43" spans="1:7" ht="15">
      <c r="A43" s="44">
        <v>39</v>
      </c>
      <c r="B43" s="45" t="s">
        <v>154</v>
      </c>
      <c r="C43" s="47">
        <v>6.9</v>
      </c>
      <c r="D43" s="57"/>
      <c r="E43" s="57"/>
      <c r="F43" s="57"/>
      <c r="G43" s="57"/>
    </row>
    <row r="44" spans="1:7" ht="15">
      <c r="A44" s="44">
        <v>40</v>
      </c>
      <c r="B44" s="45" t="s">
        <v>159</v>
      </c>
      <c r="C44" s="47">
        <v>6.1</v>
      </c>
      <c r="D44" s="57"/>
      <c r="E44" s="57"/>
      <c r="F44" s="57"/>
      <c r="G44" s="57"/>
    </row>
    <row r="45" spans="1:7" ht="15">
      <c r="A45" s="44">
        <v>41</v>
      </c>
      <c r="B45" s="45" t="s">
        <v>129</v>
      </c>
      <c r="C45" s="47">
        <v>6</v>
      </c>
      <c r="D45" s="57"/>
      <c r="E45" s="57"/>
      <c r="F45" s="57"/>
      <c r="G45" s="57"/>
    </row>
    <row r="46" spans="1:7" ht="15">
      <c r="A46" s="44">
        <v>42</v>
      </c>
      <c r="B46" s="45" t="s">
        <v>139</v>
      </c>
      <c r="C46" s="47">
        <v>6</v>
      </c>
      <c r="D46" s="57"/>
      <c r="E46" s="57"/>
      <c r="F46" s="57"/>
      <c r="G46" s="57"/>
    </row>
    <row r="47" spans="1:7" ht="15">
      <c r="A47" s="44">
        <v>43</v>
      </c>
      <c r="B47" s="45" t="s">
        <v>135</v>
      </c>
      <c r="C47" s="47"/>
      <c r="D47" s="57"/>
      <c r="E47" s="57"/>
      <c r="F47" s="57"/>
      <c r="G47" s="57"/>
    </row>
    <row r="48" spans="1:7" ht="30">
      <c r="A48" s="44">
        <v>44</v>
      </c>
      <c r="B48" s="52" t="s">
        <v>152</v>
      </c>
      <c r="C48" s="47"/>
      <c r="D48" s="57"/>
      <c r="E48" s="57"/>
      <c r="F48" s="57"/>
      <c r="G48" s="57"/>
    </row>
    <row r="49" spans="1:11" ht="15">
      <c r="A49" s="44">
        <v>45</v>
      </c>
      <c r="B49" s="45" t="s">
        <v>160</v>
      </c>
      <c r="C49" s="47"/>
      <c r="D49" s="57"/>
      <c r="E49" s="57"/>
      <c r="F49" s="57"/>
      <c r="G49" s="57"/>
    </row>
    <row r="50" spans="1:11" ht="15">
      <c r="A50" s="44">
        <v>46</v>
      </c>
      <c r="B50" s="52" t="s">
        <v>161</v>
      </c>
      <c r="C50" s="47"/>
      <c r="D50" s="57"/>
      <c r="E50" s="57"/>
      <c r="F50" s="57"/>
      <c r="G50" s="57"/>
    </row>
    <row r="51" spans="1:11" ht="15">
      <c r="A51" s="44">
        <v>47</v>
      </c>
      <c r="B51" s="45" t="s">
        <v>162</v>
      </c>
      <c r="C51" s="47"/>
      <c r="D51" s="57"/>
      <c r="E51" s="57"/>
      <c r="F51" s="57"/>
      <c r="G51" s="57"/>
    </row>
    <row r="52" spans="1:11" ht="15">
      <c r="A52" s="44">
        <v>48</v>
      </c>
      <c r="B52" s="45" t="s">
        <v>163</v>
      </c>
      <c r="C52" s="47"/>
      <c r="D52" s="57"/>
      <c r="E52" s="57"/>
      <c r="F52" s="57"/>
      <c r="G52" s="57"/>
    </row>
    <row r="53" spans="1:11" ht="15">
      <c r="A53" s="44">
        <v>49</v>
      </c>
      <c r="B53" s="45" t="s">
        <v>164</v>
      </c>
      <c r="C53" s="47"/>
      <c r="D53" s="57"/>
      <c r="E53" s="57"/>
      <c r="F53" s="57"/>
      <c r="G53" s="57"/>
    </row>
    <row r="54" spans="1:11" ht="15">
      <c r="A54" s="44">
        <v>50</v>
      </c>
      <c r="B54" s="45" t="s">
        <v>165</v>
      </c>
      <c r="C54" s="47"/>
      <c r="D54" s="57"/>
      <c r="E54" s="57"/>
      <c r="F54" s="57"/>
      <c r="G54" s="57"/>
    </row>
    <row r="55" spans="1:11" ht="15">
      <c r="A55" s="44">
        <v>51</v>
      </c>
      <c r="B55" s="45" t="s">
        <v>167</v>
      </c>
      <c r="C55" s="47"/>
      <c r="D55" s="57"/>
      <c r="E55" s="57"/>
      <c r="F55" s="57"/>
      <c r="G55" s="57"/>
    </row>
    <row r="56" spans="1:11" ht="15">
      <c r="A56" s="44">
        <v>52</v>
      </c>
      <c r="B56" s="45" t="s">
        <v>172</v>
      </c>
      <c r="C56" s="47"/>
    </row>
    <row r="57" spans="1:11" ht="15">
      <c r="A57" s="37">
        <v>53</v>
      </c>
      <c r="B57" s="125" t="s">
        <v>175</v>
      </c>
      <c r="C57" s="37"/>
      <c r="I57" s="1"/>
      <c r="J57" s="1"/>
      <c r="K57" s="1"/>
    </row>
    <row r="58" spans="1:11" ht="15">
      <c r="A58" s="44">
        <v>54</v>
      </c>
      <c r="B58" s="125" t="s">
        <v>180</v>
      </c>
      <c r="C58" s="37"/>
    </row>
    <row r="59" spans="1:11" ht="15">
      <c r="A59" s="37">
        <v>55</v>
      </c>
      <c r="B59" s="125" t="s">
        <v>181</v>
      </c>
      <c r="C59" s="37"/>
    </row>
    <row r="60" spans="1:11" ht="15">
      <c r="A60" s="37">
        <v>56</v>
      </c>
      <c r="B60" s="125" t="s">
        <v>182</v>
      </c>
      <c r="C60" s="37"/>
    </row>
    <row r="62" spans="1:11">
      <c r="A62" s="42" t="s">
        <v>1023</v>
      </c>
      <c r="B62" s="42" t="s">
        <v>1024</v>
      </c>
      <c r="C62" s="73" t="s">
        <v>277</v>
      </c>
      <c r="D62" s="33"/>
      <c r="E62" s="139" t="s">
        <v>254</v>
      </c>
      <c r="F62" s="146"/>
      <c r="G62" s="140"/>
    </row>
    <row r="63" spans="1:11" ht="15">
      <c r="A63" s="37">
        <v>1</v>
      </c>
      <c r="B63" s="40" t="s">
        <v>1029</v>
      </c>
      <c r="C63" s="69">
        <v>7.8125000000000009</v>
      </c>
      <c r="D63" s="33"/>
      <c r="E63" s="37" t="s">
        <v>256</v>
      </c>
      <c r="F63" s="37">
        <v>2</v>
      </c>
      <c r="G63" s="63">
        <f>F63/F71</f>
        <v>0.2857142857142857</v>
      </c>
    </row>
    <row r="64" spans="1:11" ht="15">
      <c r="A64" s="37">
        <v>2</v>
      </c>
      <c r="B64" s="40" t="s">
        <v>136</v>
      </c>
      <c r="C64" s="69">
        <v>7.9749999999999996</v>
      </c>
      <c r="D64" s="33"/>
      <c r="E64" s="37" t="s">
        <v>258</v>
      </c>
      <c r="F64" s="37">
        <v>0</v>
      </c>
      <c r="G64" s="63">
        <f>F64/F71</f>
        <v>0</v>
      </c>
    </row>
    <row r="65" spans="1:7" ht="15">
      <c r="A65" s="37">
        <v>3</v>
      </c>
      <c r="B65" s="40" t="s">
        <v>146</v>
      </c>
      <c r="C65" s="69">
        <v>8.5124999999999993</v>
      </c>
      <c r="D65" s="33"/>
      <c r="E65" s="37" t="s">
        <v>260</v>
      </c>
      <c r="F65" s="37">
        <v>0</v>
      </c>
      <c r="G65" s="63">
        <f>F65/F71</f>
        <v>0</v>
      </c>
    </row>
    <row r="66" spans="1:7" ht="15">
      <c r="A66" s="37">
        <v>4</v>
      </c>
      <c r="B66" s="40" t="s">
        <v>156</v>
      </c>
      <c r="C66" s="69">
        <v>6.9874999999999998</v>
      </c>
      <c r="D66" s="33"/>
      <c r="E66" s="37" t="s">
        <v>262</v>
      </c>
      <c r="F66" s="37">
        <v>0</v>
      </c>
      <c r="G66" s="63">
        <f>F66/F71</f>
        <v>0</v>
      </c>
    </row>
    <row r="67" spans="1:7" ht="15">
      <c r="A67" s="37">
        <v>5</v>
      </c>
      <c r="B67" s="40" t="s">
        <v>166</v>
      </c>
      <c r="C67" s="69">
        <v>7.3375000000000004</v>
      </c>
      <c r="D67" s="33"/>
      <c r="E67" s="37" t="s">
        <v>264</v>
      </c>
      <c r="F67" s="37">
        <v>4</v>
      </c>
      <c r="G67" s="63">
        <f>F67/F71</f>
        <v>0.5714285714285714</v>
      </c>
    </row>
    <row r="68" spans="1:7" ht="15">
      <c r="A68" s="37">
        <v>6</v>
      </c>
      <c r="B68" s="40" t="s">
        <v>169</v>
      </c>
      <c r="C68" s="69">
        <v>7.1400000000000006</v>
      </c>
      <c r="D68" s="33"/>
      <c r="E68" s="37" t="s">
        <v>266</v>
      </c>
      <c r="F68" s="37">
        <v>1</v>
      </c>
      <c r="G68" s="63">
        <f>F68/F71</f>
        <v>0.14285714285714285</v>
      </c>
    </row>
    <row r="69" spans="1:7" ht="15">
      <c r="A69" s="37">
        <v>7</v>
      </c>
      <c r="B69" s="40" t="s">
        <v>179</v>
      </c>
      <c r="C69" s="69">
        <v>6.5570000000000004</v>
      </c>
      <c r="D69" s="33"/>
      <c r="E69" s="37" t="s">
        <v>269</v>
      </c>
      <c r="F69" s="37">
        <v>0</v>
      </c>
      <c r="G69" s="63">
        <f>F69/F71</f>
        <v>0</v>
      </c>
    </row>
    <row r="70" spans="1:7">
      <c r="A70" s="116"/>
      <c r="B70" s="114" t="s">
        <v>277</v>
      </c>
      <c r="C70" s="39">
        <f>AVERAGE(C63:C69)</f>
        <v>7.4745714285714291</v>
      </c>
      <c r="D70" s="33"/>
      <c r="E70" s="37" t="s">
        <v>271</v>
      </c>
      <c r="F70" s="37">
        <v>0</v>
      </c>
      <c r="G70" s="63">
        <f>F70/F71</f>
        <v>0</v>
      </c>
    </row>
    <row r="71" spans="1:7">
      <c r="A71" s="33"/>
      <c r="B71" s="33"/>
      <c r="C71" s="33"/>
      <c r="D71" s="33"/>
      <c r="E71" s="70" t="s">
        <v>273</v>
      </c>
      <c r="F71" s="70">
        <f>SUBTOTAL(9,F63:F70)</f>
        <v>7</v>
      </c>
      <c r="G71" s="38"/>
    </row>
  </sheetData>
  <autoFilter ref="A4:Z60" xr:uid="{00000000-0009-0000-0000-000020000000}">
    <sortState xmlns:xlrd2="http://schemas.microsoft.com/office/spreadsheetml/2017/richdata2" ref="A4:Z60">
      <sortCondition descending="1" ref="C4:C60"/>
    </sortState>
  </autoFilter>
  <mergeCells count="2">
    <mergeCell ref="A2:C2"/>
    <mergeCell ref="E62:G6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
  <sheetViews>
    <sheetView workbookViewId="0"/>
  </sheetViews>
  <sheetFormatPr defaultColWidth="12.5703125" defaultRowHeight="15.75" customHeight="1"/>
  <cols>
    <col min="2" max="2" width="43.28515625" customWidth="1"/>
  </cols>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I49"/>
  <sheetViews>
    <sheetView workbookViewId="0"/>
  </sheetViews>
  <sheetFormatPr defaultColWidth="12.5703125" defaultRowHeight="15.75" customHeight="1"/>
  <cols>
    <col min="1" max="1" width="25" customWidth="1"/>
  </cols>
  <sheetData>
    <row r="1" spans="1:9">
      <c r="A1" s="5" t="s">
        <v>85</v>
      </c>
      <c r="B1" s="136" t="s">
        <v>14</v>
      </c>
      <c r="C1" s="136" t="s">
        <v>236</v>
      </c>
      <c r="D1" s="136" t="s">
        <v>16</v>
      </c>
      <c r="E1" s="136" t="s">
        <v>17</v>
      </c>
      <c r="F1" s="136" t="s">
        <v>18</v>
      </c>
      <c r="G1" s="136" t="s">
        <v>19</v>
      </c>
      <c r="H1" s="136" t="s">
        <v>20</v>
      </c>
      <c r="I1" s="136" t="s">
        <v>21</v>
      </c>
    </row>
    <row r="2" spans="1:9" ht="15.75" customHeight="1">
      <c r="A2" s="113" t="s">
        <v>127</v>
      </c>
      <c r="B2" s="47">
        <v>6.9</v>
      </c>
      <c r="C2" s="47">
        <v>6.2</v>
      </c>
      <c r="D2" s="47">
        <v>8.1</v>
      </c>
      <c r="E2" s="47">
        <v>10</v>
      </c>
      <c r="F2" s="47">
        <v>8.1999999999999993</v>
      </c>
      <c r="G2" s="47">
        <v>8</v>
      </c>
      <c r="H2" s="47">
        <v>7.7</v>
      </c>
      <c r="I2" s="47">
        <v>7.4</v>
      </c>
    </row>
    <row r="3" spans="1:9" ht="15.75" customHeight="1">
      <c r="A3" s="113" t="s">
        <v>128</v>
      </c>
      <c r="B3" s="47">
        <v>6.7</v>
      </c>
      <c r="C3" s="47">
        <v>7.3</v>
      </c>
      <c r="D3" s="47">
        <v>6.9</v>
      </c>
      <c r="E3" s="47">
        <v>8</v>
      </c>
      <c r="F3" s="47">
        <v>6.8</v>
      </c>
      <c r="G3" s="47">
        <v>6.9</v>
      </c>
      <c r="H3" s="47">
        <v>7.1</v>
      </c>
      <c r="I3" s="47">
        <v>6.5</v>
      </c>
    </row>
    <row r="4" spans="1:9" ht="15.75" customHeight="1">
      <c r="A4" s="113" t="s">
        <v>129</v>
      </c>
      <c r="B4" s="47">
        <v>7.3</v>
      </c>
      <c r="C4" s="47">
        <v>6.9</v>
      </c>
      <c r="D4" s="47">
        <v>7.2</v>
      </c>
      <c r="E4" s="47">
        <v>10</v>
      </c>
      <c r="F4" s="47">
        <v>7.7</v>
      </c>
      <c r="G4" s="47">
        <v>6</v>
      </c>
      <c r="H4" s="47">
        <v>7.2</v>
      </c>
      <c r="I4" s="47">
        <v>6.8</v>
      </c>
    </row>
    <row r="5" spans="1:9" ht="15.75" customHeight="1">
      <c r="A5" s="113" t="s">
        <v>130</v>
      </c>
      <c r="B5" s="47">
        <v>7.3</v>
      </c>
      <c r="C5" s="47">
        <v>6.1</v>
      </c>
      <c r="D5" s="47">
        <v>8.3000000000000007</v>
      </c>
      <c r="E5" s="47">
        <v>10</v>
      </c>
      <c r="F5" s="47">
        <v>8.3000000000000007</v>
      </c>
      <c r="G5" s="47">
        <v>8.5</v>
      </c>
      <c r="H5" s="47">
        <v>7.4</v>
      </c>
      <c r="I5" s="47">
        <v>7.9</v>
      </c>
    </row>
    <row r="6" spans="1:9" ht="15.75" customHeight="1">
      <c r="A6" s="113" t="s">
        <v>131</v>
      </c>
      <c r="B6" s="47">
        <v>8.5</v>
      </c>
      <c r="C6" s="47">
        <v>8.1</v>
      </c>
      <c r="D6" s="47">
        <v>8.9</v>
      </c>
      <c r="E6" s="47">
        <v>9.9</v>
      </c>
      <c r="F6" s="47">
        <v>8.5</v>
      </c>
      <c r="G6" s="47">
        <v>9</v>
      </c>
      <c r="H6" s="47">
        <v>8.4</v>
      </c>
      <c r="I6" s="47">
        <v>8.8000000000000007</v>
      </c>
    </row>
    <row r="7" spans="1:9" ht="15.75" customHeight="1">
      <c r="A7" s="113" t="s">
        <v>132</v>
      </c>
      <c r="B7" s="47">
        <v>7.6</v>
      </c>
      <c r="C7" s="47">
        <v>7.9</v>
      </c>
      <c r="D7" s="47">
        <v>8</v>
      </c>
      <c r="E7" s="47">
        <v>10</v>
      </c>
      <c r="F7" s="47">
        <v>8.6999999999999993</v>
      </c>
      <c r="G7" s="47">
        <v>8.8000000000000007</v>
      </c>
      <c r="H7" s="47">
        <v>7.7</v>
      </c>
      <c r="I7" s="47">
        <v>8.3000000000000007</v>
      </c>
    </row>
    <row r="8" spans="1:9" ht="15.75" customHeight="1">
      <c r="A8" s="113" t="s">
        <v>133</v>
      </c>
      <c r="B8" s="47">
        <v>8.1</v>
      </c>
      <c r="C8" s="47">
        <v>8.4</v>
      </c>
      <c r="D8" s="47">
        <v>8.1999999999999993</v>
      </c>
      <c r="E8" s="47">
        <v>9</v>
      </c>
      <c r="F8" s="47">
        <v>7.5</v>
      </c>
      <c r="G8" s="47">
        <v>8</v>
      </c>
      <c r="H8" s="47">
        <v>7</v>
      </c>
      <c r="I8" s="47">
        <v>7.8</v>
      </c>
    </row>
    <row r="9" spans="1:9" ht="15.75" customHeight="1">
      <c r="A9" s="113" t="s">
        <v>134</v>
      </c>
      <c r="B9" s="47">
        <v>8</v>
      </c>
      <c r="C9" s="47">
        <v>7.8</v>
      </c>
      <c r="D9" s="47">
        <v>8.5</v>
      </c>
      <c r="E9" s="47">
        <v>10</v>
      </c>
      <c r="F9" s="47">
        <v>8.5</v>
      </c>
      <c r="G9" s="47">
        <v>8.5</v>
      </c>
      <c r="H9" s="47">
        <v>9</v>
      </c>
      <c r="I9" s="47">
        <v>8.6999999999999993</v>
      </c>
    </row>
    <row r="10" spans="1:9" ht="15.75" customHeight="1">
      <c r="A10" s="113" t="s">
        <v>135</v>
      </c>
      <c r="B10" s="47">
        <v>8.1999999999999993</v>
      </c>
      <c r="C10" s="47">
        <v>7.1</v>
      </c>
      <c r="D10" s="47">
        <v>8.6</v>
      </c>
      <c r="E10" s="47">
        <v>4</v>
      </c>
      <c r="F10" s="47">
        <v>7.2</v>
      </c>
      <c r="G10" s="47"/>
      <c r="H10" s="47">
        <v>8.3000000000000007</v>
      </c>
      <c r="I10" s="47">
        <v>9.1</v>
      </c>
    </row>
    <row r="11" spans="1:9" ht="15.75" customHeight="1">
      <c r="A11" s="113" t="s">
        <v>136</v>
      </c>
      <c r="B11" s="47">
        <v>7.3</v>
      </c>
      <c r="C11" s="47">
        <v>7.4</v>
      </c>
      <c r="D11" s="47">
        <v>7.6</v>
      </c>
      <c r="E11" s="47">
        <v>10</v>
      </c>
      <c r="F11" s="47">
        <v>8.5</v>
      </c>
      <c r="G11" s="47">
        <v>8</v>
      </c>
      <c r="H11" s="47">
        <v>7.5</v>
      </c>
      <c r="I11" s="47">
        <v>7.5</v>
      </c>
    </row>
    <row r="12" spans="1:9" ht="15.75" customHeight="1">
      <c r="A12" s="113" t="s">
        <v>137</v>
      </c>
      <c r="B12" s="47">
        <v>8.4</v>
      </c>
      <c r="C12" s="47">
        <v>8</v>
      </c>
      <c r="D12" s="47">
        <v>8</v>
      </c>
      <c r="E12" s="47">
        <v>10</v>
      </c>
      <c r="F12" s="47">
        <v>8.3000000000000007</v>
      </c>
      <c r="G12" s="47">
        <v>8.3000000000000007</v>
      </c>
      <c r="H12" s="47">
        <v>8.8000000000000007</v>
      </c>
      <c r="I12" s="47">
        <v>8.1</v>
      </c>
    </row>
    <row r="13" spans="1:9" ht="15.75" customHeight="1">
      <c r="A13" s="113" t="s">
        <v>138</v>
      </c>
      <c r="B13" s="47">
        <v>8.3000000000000007</v>
      </c>
      <c r="C13" s="47">
        <v>8.3000000000000007</v>
      </c>
      <c r="D13" s="47">
        <v>7.2</v>
      </c>
      <c r="E13" s="47">
        <v>7</v>
      </c>
      <c r="F13" s="47">
        <v>7.4</v>
      </c>
      <c r="G13" s="47">
        <v>7.6</v>
      </c>
      <c r="H13" s="47">
        <v>7.9</v>
      </c>
      <c r="I13" s="47">
        <v>8.1</v>
      </c>
    </row>
    <row r="14" spans="1:9" ht="15.75" customHeight="1">
      <c r="A14" s="113" t="s">
        <v>139</v>
      </c>
      <c r="B14" s="47">
        <v>7</v>
      </c>
      <c r="C14" s="47">
        <v>6.8</v>
      </c>
      <c r="D14" s="47">
        <v>7.1</v>
      </c>
      <c r="E14" s="47">
        <v>10</v>
      </c>
      <c r="F14" s="47">
        <v>7.3</v>
      </c>
      <c r="G14" s="47">
        <v>6</v>
      </c>
      <c r="H14" s="47">
        <v>7.2</v>
      </c>
      <c r="I14" s="47">
        <v>7.1</v>
      </c>
    </row>
    <row r="15" spans="1:9" ht="15.75" customHeight="1">
      <c r="A15" s="113" t="s">
        <v>140</v>
      </c>
      <c r="B15" s="47">
        <v>7.7</v>
      </c>
      <c r="C15" s="47">
        <v>7.8</v>
      </c>
      <c r="D15" s="47">
        <v>7.7</v>
      </c>
      <c r="E15" s="47">
        <v>8</v>
      </c>
      <c r="F15" s="47">
        <v>6.9</v>
      </c>
      <c r="G15" s="47">
        <v>7.9</v>
      </c>
      <c r="H15" s="47">
        <v>7.8</v>
      </c>
      <c r="I15" s="47">
        <v>7.9</v>
      </c>
    </row>
    <row r="16" spans="1:9" ht="15.75" customHeight="1">
      <c r="A16" s="113" t="s">
        <v>141</v>
      </c>
      <c r="B16" s="47">
        <v>8</v>
      </c>
      <c r="C16" s="47">
        <v>8.1999999999999993</v>
      </c>
      <c r="D16" s="47">
        <v>8.5</v>
      </c>
      <c r="E16" s="47">
        <v>10</v>
      </c>
      <c r="F16" s="47">
        <v>8.1</v>
      </c>
      <c r="G16" s="47">
        <v>8</v>
      </c>
      <c r="H16" s="47">
        <v>7.9</v>
      </c>
      <c r="I16" s="47">
        <v>8.1</v>
      </c>
    </row>
    <row r="17" spans="1:9" ht="15.75" customHeight="1">
      <c r="A17" s="113" t="s">
        <v>142</v>
      </c>
      <c r="B17" s="47">
        <v>7.2</v>
      </c>
      <c r="C17" s="47">
        <v>6.9</v>
      </c>
      <c r="D17" s="47">
        <v>8.4</v>
      </c>
      <c r="E17" s="47">
        <v>7</v>
      </c>
      <c r="F17" s="47">
        <v>7.8</v>
      </c>
      <c r="G17" s="47">
        <v>8.1999999999999993</v>
      </c>
      <c r="H17" s="47">
        <v>8.4</v>
      </c>
      <c r="I17" s="47">
        <v>7.9</v>
      </c>
    </row>
    <row r="18" spans="1:9" ht="15.75" customHeight="1">
      <c r="A18" s="113" t="s">
        <v>143</v>
      </c>
      <c r="B18" s="47">
        <v>7.6</v>
      </c>
      <c r="C18" s="47">
        <v>7.6</v>
      </c>
      <c r="D18" s="47">
        <v>7.4</v>
      </c>
      <c r="E18" s="47">
        <v>7</v>
      </c>
      <c r="F18" s="47">
        <v>6.9</v>
      </c>
      <c r="G18" s="47">
        <v>7</v>
      </c>
      <c r="H18" s="47">
        <v>7.3</v>
      </c>
      <c r="I18" s="47">
        <v>7.1</v>
      </c>
    </row>
    <row r="19" spans="1:9" ht="15.75" customHeight="1">
      <c r="A19" s="113" t="s">
        <v>144</v>
      </c>
      <c r="B19" s="47">
        <v>8.1</v>
      </c>
      <c r="C19" s="47">
        <v>7.8</v>
      </c>
      <c r="D19" s="47">
        <v>9</v>
      </c>
      <c r="E19" s="47">
        <v>10</v>
      </c>
      <c r="F19" s="47">
        <v>8.1999999999999993</v>
      </c>
      <c r="G19" s="47">
        <v>9</v>
      </c>
      <c r="H19" s="47">
        <v>8.4</v>
      </c>
      <c r="I19" s="47">
        <v>9.1</v>
      </c>
    </row>
    <row r="20" spans="1:9">
      <c r="A20" s="113" t="s">
        <v>145</v>
      </c>
      <c r="B20" s="47">
        <v>7.5</v>
      </c>
      <c r="C20" s="47">
        <v>7.6</v>
      </c>
      <c r="D20" s="47">
        <v>8.4</v>
      </c>
      <c r="E20" s="47">
        <v>10</v>
      </c>
      <c r="F20" s="47">
        <v>8.5</v>
      </c>
      <c r="G20" s="47">
        <v>8.5</v>
      </c>
      <c r="H20" s="47">
        <v>7.8</v>
      </c>
      <c r="I20" s="47">
        <v>7.2</v>
      </c>
    </row>
    <row r="21" spans="1:9">
      <c r="A21" s="113" t="s">
        <v>146</v>
      </c>
      <c r="B21" s="47">
        <v>8.1</v>
      </c>
      <c r="C21" s="47">
        <v>8.1999999999999993</v>
      </c>
      <c r="D21" s="47">
        <v>8.4</v>
      </c>
      <c r="E21" s="47">
        <v>10</v>
      </c>
      <c r="F21" s="47">
        <v>8.6</v>
      </c>
      <c r="G21" s="47">
        <v>8.6999999999999993</v>
      </c>
      <c r="H21" s="47">
        <v>8</v>
      </c>
      <c r="I21" s="47">
        <v>8.1</v>
      </c>
    </row>
    <row r="22" spans="1:9">
      <c r="A22" s="113" t="s">
        <v>147</v>
      </c>
      <c r="B22" s="47">
        <v>7.4</v>
      </c>
      <c r="C22" s="47">
        <v>7.2</v>
      </c>
      <c r="D22" s="47">
        <v>8</v>
      </c>
      <c r="E22" s="47">
        <v>10</v>
      </c>
      <c r="F22" s="47">
        <v>8</v>
      </c>
      <c r="G22" s="47">
        <v>8</v>
      </c>
      <c r="H22" s="47">
        <v>8.1</v>
      </c>
      <c r="I22" s="47">
        <v>7.9</v>
      </c>
    </row>
    <row r="23" spans="1:9">
      <c r="A23" s="113" t="s">
        <v>148</v>
      </c>
      <c r="B23" s="47">
        <v>7.5</v>
      </c>
      <c r="C23" s="47">
        <v>7</v>
      </c>
      <c r="D23" s="47">
        <v>7.2</v>
      </c>
      <c r="E23" s="47">
        <v>10</v>
      </c>
      <c r="F23" s="47">
        <v>10</v>
      </c>
      <c r="G23" s="47">
        <v>7.3</v>
      </c>
      <c r="H23" s="47">
        <v>7</v>
      </c>
      <c r="I23" s="44">
        <v>7.2</v>
      </c>
    </row>
    <row r="24" spans="1:9">
      <c r="A24" s="113" t="s">
        <v>149</v>
      </c>
      <c r="B24" s="47">
        <v>7.9</v>
      </c>
      <c r="C24" s="47">
        <v>8.1</v>
      </c>
      <c r="D24" s="47">
        <v>8</v>
      </c>
      <c r="E24" s="47">
        <v>8.5</v>
      </c>
      <c r="F24" s="47">
        <v>8</v>
      </c>
      <c r="G24" s="47">
        <v>8.5</v>
      </c>
      <c r="H24" s="47">
        <v>8.6999999999999993</v>
      </c>
      <c r="I24" s="47">
        <v>8.6999999999999993</v>
      </c>
    </row>
    <row r="25" spans="1:9">
      <c r="A25" s="113" t="s">
        <v>150</v>
      </c>
      <c r="B25" s="47">
        <v>8</v>
      </c>
      <c r="C25" s="47">
        <v>8.4</v>
      </c>
      <c r="D25" s="47">
        <v>8.3000000000000007</v>
      </c>
      <c r="E25" s="47">
        <v>4</v>
      </c>
      <c r="F25" s="47">
        <v>8</v>
      </c>
      <c r="G25" s="47">
        <v>8.1999999999999993</v>
      </c>
      <c r="H25" s="47">
        <v>7.5</v>
      </c>
      <c r="I25" s="47">
        <v>7.2</v>
      </c>
    </row>
    <row r="26" spans="1:9">
      <c r="A26" s="113" t="s">
        <v>151</v>
      </c>
      <c r="B26" s="47">
        <v>8.3000000000000007</v>
      </c>
      <c r="C26" s="47">
        <v>8.4</v>
      </c>
      <c r="D26" s="47">
        <v>8.6</v>
      </c>
      <c r="E26" s="47">
        <v>6</v>
      </c>
      <c r="F26" s="47">
        <v>8.3000000000000007</v>
      </c>
      <c r="G26" s="47">
        <v>8.5</v>
      </c>
      <c r="H26" s="47">
        <v>8.5</v>
      </c>
      <c r="I26" s="47">
        <v>8.6</v>
      </c>
    </row>
    <row r="27" spans="1:9" ht="31.5">
      <c r="A27" s="127" t="s">
        <v>152</v>
      </c>
      <c r="B27" s="47">
        <v>7.8</v>
      </c>
      <c r="C27" s="47">
        <v>7.9</v>
      </c>
      <c r="D27" s="47">
        <v>8.3000000000000007</v>
      </c>
      <c r="E27" s="47">
        <v>9</v>
      </c>
      <c r="F27" s="47">
        <v>8</v>
      </c>
      <c r="G27" s="47"/>
      <c r="H27" s="47">
        <v>8.6</v>
      </c>
      <c r="I27" s="47">
        <v>7.9</v>
      </c>
    </row>
    <row r="28" spans="1:9">
      <c r="A28" s="113" t="s">
        <v>153</v>
      </c>
      <c r="B28" s="47">
        <v>7.4</v>
      </c>
      <c r="C28" s="47">
        <v>7.8</v>
      </c>
      <c r="D28" s="47">
        <v>7.8</v>
      </c>
      <c r="E28" s="47">
        <v>10</v>
      </c>
      <c r="F28" s="47">
        <v>7.9</v>
      </c>
      <c r="G28" s="47">
        <v>8</v>
      </c>
      <c r="H28" s="47">
        <v>8</v>
      </c>
      <c r="I28" s="47">
        <v>7.6</v>
      </c>
    </row>
    <row r="29" spans="1:9">
      <c r="A29" s="113" t="s">
        <v>154</v>
      </c>
      <c r="B29" s="47">
        <v>7</v>
      </c>
      <c r="C29" s="47">
        <v>6.9</v>
      </c>
      <c r="D29" s="47">
        <v>7</v>
      </c>
      <c r="E29" s="47">
        <v>7</v>
      </c>
      <c r="F29" s="47">
        <v>7.5</v>
      </c>
      <c r="G29" s="47">
        <v>6.9</v>
      </c>
      <c r="H29" s="47">
        <v>6.6</v>
      </c>
      <c r="I29" s="47">
        <v>7</v>
      </c>
    </row>
    <row r="30" spans="1:9">
      <c r="A30" s="113" t="s">
        <v>155</v>
      </c>
      <c r="B30" s="47">
        <v>7.1</v>
      </c>
      <c r="C30" s="47">
        <v>7</v>
      </c>
      <c r="D30" s="47">
        <v>7.5</v>
      </c>
      <c r="E30" s="47">
        <v>8</v>
      </c>
      <c r="F30" s="47">
        <v>7.2</v>
      </c>
      <c r="G30" s="47">
        <v>7</v>
      </c>
      <c r="H30" s="47">
        <v>7</v>
      </c>
      <c r="I30" s="47">
        <v>7.1</v>
      </c>
    </row>
    <row r="31" spans="1:9">
      <c r="A31" s="113" t="s">
        <v>156</v>
      </c>
      <c r="B31" s="47">
        <v>6.8</v>
      </c>
      <c r="C31" s="47">
        <v>7.5</v>
      </c>
      <c r="D31" s="47">
        <v>8.3000000000000007</v>
      </c>
      <c r="E31" s="47">
        <v>2</v>
      </c>
      <c r="F31" s="47">
        <v>7.2</v>
      </c>
      <c r="G31" s="47">
        <v>8</v>
      </c>
      <c r="H31" s="47">
        <v>8</v>
      </c>
      <c r="I31" s="44">
        <v>8.1</v>
      </c>
    </row>
    <row r="32" spans="1:9">
      <c r="A32" s="113" t="s">
        <v>157</v>
      </c>
      <c r="B32" s="47"/>
      <c r="C32" s="47">
        <v>7.1</v>
      </c>
      <c r="D32" s="47">
        <v>7.1</v>
      </c>
      <c r="E32" s="47">
        <v>9</v>
      </c>
      <c r="F32" s="47">
        <v>7.3</v>
      </c>
      <c r="G32" s="47">
        <v>7.2</v>
      </c>
      <c r="H32" s="47">
        <v>7.1</v>
      </c>
      <c r="I32" s="47">
        <v>7.3</v>
      </c>
    </row>
    <row r="33" spans="1:9">
      <c r="A33" s="113" t="s">
        <v>158</v>
      </c>
      <c r="B33" s="47">
        <v>8.1</v>
      </c>
      <c r="C33" s="47">
        <v>8</v>
      </c>
      <c r="D33" s="47">
        <v>8.6999999999999993</v>
      </c>
      <c r="E33" s="47">
        <v>10</v>
      </c>
      <c r="F33" s="47">
        <v>8</v>
      </c>
      <c r="G33" s="47">
        <v>8</v>
      </c>
      <c r="H33" s="47">
        <v>8.1999999999999993</v>
      </c>
      <c r="I33" s="47">
        <v>8</v>
      </c>
    </row>
    <row r="34" spans="1:9">
      <c r="A34" s="113" t="s">
        <v>160</v>
      </c>
      <c r="B34" s="47">
        <v>7.7</v>
      </c>
      <c r="C34" s="47">
        <v>7.8</v>
      </c>
      <c r="D34" s="47">
        <v>7.9</v>
      </c>
      <c r="E34" s="47">
        <v>9</v>
      </c>
      <c r="F34" s="47">
        <v>7.7</v>
      </c>
      <c r="G34" s="47"/>
      <c r="H34" s="47">
        <v>7.7</v>
      </c>
      <c r="I34" s="47">
        <v>8</v>
      </c>
    </row>
    <row r="35" spans="1:9">
      <c r="A35" s="127" t="s">
        <v>161</v>
      </c>
      <c r="B35" s="47">
        <v>8.4</v>
      </c>
      <c r="C35" s="47">
        <v>9.1</v>
      </c>
      <c r="D35" s="47">
        <v>8.3000000000000007</v>
      </c>
      <c r="E35" s="47">
        <v>10</v>
      </c>
      <c r="F35" s="47">
        <v>8.1</v>
      </c>
      <c r="G35" s="47"/>
      <c r="H35" s="47">
        <v>8.1999999999999993</v>
      </c>
      <c r="I35" s="47">
        <v>9.1</v>
      </c>
    </row>
    <row r="36" spans="1:9">
      <c r="A36" s="113" t="s">
        <v>162</v>
      </c>
      <c r="B36" s="47"/>
      <c r="C36" s="47"/>
      <c r="D36" s="47">
        <v>8.1</v>
      </c>
      <c r="E36" s="47">
        <v>8</v>
      </c>
      <c r="F36" s="47">
        <v>7.9</v>
      </c>
      <c r="G36" s="47"/>
      <c r="H36" s="47">
        <v>8.1999999999999993</v>
      </c>
      <c r="I36" s="47">
        <v>7.9</v>
      </c>
    </row>
    <row r="37" spans="1:9">
      <c r="A37" s="113" t="s">
        <v>163</v>
      </c>
      <c r="B37" s="47"/>
      <c r="C37" s="47"/>
      <c r="D37" s="47">
        <v>8.3000000000000007</v>
      </c>
      <c r="E37" s="47">
        <v>9</v>
      </c>
      <c r="F37" s="47">
        <v>8.1</v>
      </c>
      <c r="G37" s="47"/>
      <c r="H37" s="47">
        <v>8.4</v>
      </c>
      <c r="I37" s="47">
        <v>8.3000000000000007</v>
      </c>
    </row>
    <row r="38" spans="1:9">
      <c r="A38" s="113" t="s">
        <v>164</v>
      </c>
      <c r="B38" s="47"/>
      <c r="C38" s="47"/>
      <c r="D38" s="47">
        <v>8.5</v>
      </c>
      <c r="E38" s="47">
        <v>10</v>
      </c>
      <c r="F38" s="47">
        <v>8.3000000000000007</v>
      </c>
      <c r="G38" s="47"/>
      <c r="H38" s="47">
        <v>8.6</v>
      </c>
      <c r="I38" s="47">
        <v>8.4</v>
      </c>
    </row>
    <row r="39" spans="1:9">
      <c r="A39" s="113" t="s">
        <v>165</v>
      </c>
      <c r="B39" s="47">
        <v>7.7</v>
      </c>
      <c r="C39" s="47">
        <v>8</v>
      </c>
      <c r="D39" s="47">
        <v>7.8</v>
      </c>
      <c r="E39" s="47">
        <v>5</v>
      </c>
      <c r="F39" s="47">
        <v>7.4</v>
      </c>
      <c r="G39" s="47"/>
      <c r="H39" s="47">
        <v>7.5</v>
      </c>
      <c r="I39" s="44">
        <v>7.2</v>
      </c>
    </row>
    <row r="40" spans="1:9">
      <c r="A40" s="113" t="s">
        <v>166</v>
      </c>
      <c r="B40" s="47">
        <v>7.2</v>
      </c>
      <c r="C40" s="47">
        <v>6.5</v>
      </c>
      <c r="D40" s="47">
        <v>7.1</v>
      </c>
      <c r="E40" s="47">
        <v>8</v>
      </c>
      <c r="F40" s="47">
        <v>7.2</v>
      </c>
      <c r="G40" s="47">
        <v>8.5</v>
      </c>
      <c r="H40" s="47">
        <v>7.2</v>
      </c>
      <c r="I40" s="47">
        <v>7</v>
      </c>
    </row>
    <row r="41" spans="1:9">
      <c r="A41" s="113" t="s">
        <v>167</v>
      </c>
      <c r="B41" s="47">
        <v>7.1</v>
      </c>
      <c r="C41" s="47">
        <v>7</v>
      </c>
      <c r="D41" s="47">
        <v>7.6</v>
      </c>
      <c r="E41" s="47">
        <v>8</v>
      </c>
      <c r="F41" s="47">
        <v>7.6</v>
      </c>
      <c r="G41" s="47"/>
      <c r="H41" s="47">
        <v>7.4</v>
      </c>
      <c r="I41" s="47">
        <v>7</v>
      </c>
    </row>
    <row r="42" spans="1:9">
      <c r="A42" s="113" t="s">
        <v>159</v>
      </c>
      <c r="B42" s="47">
        <v>6.4</v>
      </c>
      <c r="C42" s="47">
        <v>6</v>
      </c>
      <c r="D42" s="47">
        <v>6.7</v>
      </c>
      <c r="E42" s="47">
        <v>10</v>
      </c>
      <c r="F42" s="47">
        <v>6.6</v>
      </c>
      <c r="G42" s="47">
        <v>6.1</v>
      </c>
      <c r="H42" s="47">
        <v>6.3</v>
      </c>
      <c r="I42" s="47">
        <v>7</v>
      </c>
    </row>
    <row r="43" spans="1:9">
      <c r="A43" s="127" t="s">
        <v>168</v>
      </c>
      <c r="B43" s="47">
        <v>7.5</v>
      </c>
      <c r="C43" s="47">
        <v>7.8</v>
      </c>
      <c r="D43" s="47">
        <v>8.3000000000000007</v>
      </c>
      <c r="E43" s="47">
        <v>7</v>
      </c>
      <c r="F43" s="47">
        <v>7.4</v>
      </c>
      <c r="G43" s="47">
        <v>8</v>
      </c>
      <c r="H43" s="47">
        <v>8.3000000000000007</v>
      </c>
      <c r="I43" s="47">
        <v>8.4</v>
      </c>
    </row>
    <row r="44" spans="1:9">
      <c r="A44" s="113" t="s">
        <v>169</v>
      </c>
      <c r="B44" s="47"/>
      <c r="C44" s="47"/>
      <c r="D44" s="47">
        <v>6.9</v>
      </c>
      <c r="E44" s="47"/>
      <c r="F44" s="47">
        <v>6.9</v>
      </c>
      <c r="G44" s="47">
        <v>7.9</v>
      </c>
      <c r="H44" s="47">
        <v>7</v>
      </c>
      <c r="I44" s="47">
        <v>7</v>
      </c>
    </row>
    <row r="45" spans="1:9">
      <c r="A45" s="113" t="s">
        <v>170</v>
      </c>
      <c r="B45" s="47">
        <v>7.9</v>
      </c>
      <c r="C45" s="47">
        <v>7.6</v>
      </c>
      <c r="D45" s="47">
        <v>7.9</v>
      </c>
      <c r="E45" s="47"/>
      <c r="F45" s="47">
        <v>7.7</v>
      </c>
      <c r="G45" s="47">
        <v>7.5</v>
      </c>
      <c r="H45" s="47">
        <v>7.5</v>
      </c>
      <c r="I45" s="47">
        <v>7.6</v>
      </c>
    </row>
    <row r="46" spans="1:9">
      <c r="A46" s="113" t="s">
        <v>171</v>
      </c>
      <c r="B46" s="47"/>
      <c r="C46" s="47"/>
      <c r="D46" s="47">
        <v>7.9</v>
      </c>
      <c r="E46" s="47"/>
      <c r="F46" s="47">
        <v>7.6</v>
      </c>
      <c r="G46" s="47">
        <v>7.8</v>
      </c>
      <c r="H46" s="47">
        <v>7.7</v>
      </c>
      <c r="I46" s="47">
        <v>7.7</v>
      </c>
    </row>
    <row r="47" spans="1:9">
      <c r="A47" s="113" t="s">
        <v>172</v>
      </c>
      <c r="B47" s="47"/>
      <c r="C47" s="47"/>
      <c r="D47" s="47"/>
      <c r="E47" s="47"/>
      <c r="F47" s="47">
        <v>7.2</v>
      </c>
      <c r="G47" s="47"/>
      <c r="H47" s="47">
        <v>7.4</v>
      </c>
      <c r="I47" s="44"/>
    </row>
    <row r="48" spans="1:9">
      <c r="A48" s="113" t="s">
        <v>173</v>
      </c>
      <c r="B48" s="47">
        <v>6.8</v>
      </c>
      <c r="C48" s="47"/>
      <c r="D48" s="47">
        <v>7</v>
      </c>
      <c r="E48" s="47"/>
      <c r="F48" s="47">
        <v>6.9</v>
      </c>
      <c r="G48" s="47">
        <v>7</v>
      </c>
      <c r="H48" s="47">
        <v>7.2</v>
      </c>
      <c r="I48" s="47">
        <v>6.9</v>
      </c>
    </row>
    <row r="49" spans="1:9">
      <c r="A49" s="113" t="s">
        <v>174</v>
      </c>
      <c r="B49" s="47"/>
      <c r="C49" s="47"/>
      <c r="D49" s="47">
        <v>8.3000000000000007</v>
      </c>
      <c r="E49" s="47"/>
      <c r="F49" s="47">
        <v>7.7</v>
      </c>
      <c r="G49" s="47">
        <v>8</v>
      </c>
      <c r="H49" s="47">
        <v>9</v>
      </c>
      <c r="I4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Z992"/>
  <sheetViews>
    <sheetView showGridLines="0" workbookViewId="0"/>
  </sheetViews>
  <sheetFormatPr defaultColWidth="12.5703125" defaultRowHeight="15.75" customHeight="1"/>
  <cols>
    <col min="1" max="1" width="2.5703125" customWidth="1"/>
    <col min="2" max="2" width="2.140625" customWidth="1"/>
    <col min="3" max="3" width="15.5703125" customWidth="1"/>
    <col min="4" max="4" width="12.5703125" customWidth="1"/>
    <col min="5" max="5" width="16" customWidth="1"/>
    <col min="6" max="6" width="15.85546875" customWidth="1"/>
    <col min="7" max="7" width="13.42578125" customWidth="1"/>
    <col min="8" max="8" width="12.7109375" customWidth="1"/>
    <col min="9" max="9" width="12.140625" customWidth="1"/>
    <col min="10" max="10" width="3.140625" customWidth="1"/>
  </cols>
  <sheetData>
    <row r="1" spans="2:26">
      <c r="B1" s="2">
        <f>B23</f>
        <v>0</v>
      </c>
      <c r="C1" s="3"/>
      <c r="D1" s="3"/>
      <c r="E1" s="3"/>
      <c r="F1" s="3"/>
      <c r="G1" s="3"/>
      <c r="H1" s="3"/>
      <c r="I1" s="3"/>
      <c r="J1" s="4"/>
      <c r="K1" s="5"/>
      <c r="L1" s="5"/>
      <c r="M1" s="5"/>
      <c r="N1" s="5"/>
      <c r="O1" s="5"/>
      <c r="P1" s="5"/>
      <c r="Q1" s="5"/>
      <c r="R1" s="5"/>
      <c r="S1" s="5"/>
      <c r="T1" s="5"/>
      <c r="U1" s="5"/>
      <c r="V1" s="5"/>
      <c r="W1" s="5"/>
      <c r="X1" s="5"/>
      <c r="Y1" s="5"/>
      <c r="Z1" s="5"/>
    </row>
    <row r="2" spans="2:26" ht="15.75" customHeight="1">
      <c r="B2" s="6"/>
      <c r="C2" s="137" t="s">
        <v>47</v>
      </c>
      <c r="D2" s="138"/>
      <c r="E2" s="138"/>
      <c r="F2" s="138"/>
      <c r="G2" s="138"/>
      <c r="H2" s="138"/>
      <c r="I2" s="138"/>
      <c r="J2" s="4"/>
      <c r="K2" s="5"/>
      <c r="L2" s="5"/>
      <c r="M2" s="5"/>
      <c r="N2" s="5"/>
      <c r="O2" s="5"/>
      <c r="P2" s="5"/>
      <c r="Q2" s="5"/>
      <c r="R2" s="5"/>
      <c r="S2" s="5"/>
      <c r="T2" s="5"/>
      <c r="U2" s="5"/>
      <c r="V2" s="5"/>
      <c r="W2" s="5"/>
      <c r="X2" s="5"/>
      <c r="Y2" s="5"/>
      <c r="Z2" s="5"/>
    </row>
    <row r="3" spans="2:26">
      <c r="B3" s="2"/>
      <c r="C3" s="3"/>
      <c r="D3" s="3"/>
      <c r="E3" s="3"/>
      <c r="F3" s="3"/>
      <c r="G3" s="3"/>
      <c r="H3" s="3"/>
      <c r="I3" s="3"/>
      <c r="J3" s="4"/>
      <c r="K3" s="5"/>
      <c r="L3" s="5"/>
      <c r="M3" s="5"/>
      <c r="N3" s="5"/>
      <c r="O3" s="5"/>
      <c r="P3" s="5"/>
      <c r="Q3" s="5"/>
      <c r="R3" s="5"/>
      <c r="S3" s="5"/>
      <c r="T3" s="5"/>
      <c r="U3" s="5"/>
      <c r="V3" s="5"/>
      <c r="W3" s="5"/>
      <c r="X3" s="5"/>
      <c r="Y3" s="5"/>
      <c r="Z3" s="5"/>
    </row>
    <row r="4" spans="2:26">
      <c r="B4" s="2"/>
      <c r="C4" s="3"/>
      <c r="D4" s="7" t="s">
        <v>35</v>
      </c>
      <c r="E4" s="8" t="s">
        <v>48</v>
      </c>
      <c r="F4" s="8" t="s">
        <v>37</v>
      </c>
      <c r="G4" s="8" t="s">
        <v>38</v>
      </c>
      <c r="H4" s="8" t="s">
        <v>39</v>
      </c>
      <c r="I4" s="9" t="s">
        <v>49</v>
      </c>
      <c r="J4" s="4"/>
      <c r="K4" s="5"/>
      <c r="L4" s="5"/>
      <c r="M4" s="5"/>
      <c r="N4" s="5"/>
      <c r="O4" s="5"/>
      <c r="P4" s="5"/>
      <c r="Q4" s="5"/>
      <c r="R4" s="5"/>
      <c r="S4" s="5"/>
      <c r="T4" s="5"/>
      <c r="U4" s="5"/>
      <c r="V4" s="5"/>
      <c r="W4" s="5"/>
      <c r="X4" s="5"/>
      <c r="Y4" s="5"/>
      <c r="Z4" s="5"/>
    </row>
    <row r="5" spans="2:26" ht="15.75" customHeight="1">
      <c r="B5" s="10"/>
      <c r="C5" s="11" t="s">
        <v>8</v>
      </c>
      <c r="D5" s="12" t="s">
        <v>50</v>
      </c>
      <c r="E5" s="12" t="s">
        <v>51</v>
      </c>
      <c r="F5" s="11" t="s">
        <v>52</v>
      </c>
      <c r="G5" s="11" t="s">
        <v>53</v>
      </c>
      <c r="H5" s="12" t="s">
        <v>54</v>
      </c>
      <c r="I5" s="12" t="s">
        <v>55</v>
      </c>
      <c r="J5" s="13"/>
      <c r="K5" s="14" t="s">
        <v>13</v>
      </c>
      <c r="L5" s="15"/>
      <c r="M5" s="15"/>
      <c r="N5" s="15"/>
      <c r="O5" s="15"/>
      <c r="P5" s="15"/>
      <c r="Q5" s="15"/>
      <c r="R5" s="15"/>
      <c r="S5" s="15"/>
      <c r="T5" s="15"/>
      <c r="U5" s="15"/>
      <c r="V5" s="15"/>
      <c r="W5" s="15"/>
      <c r="X5" s="15"/>
      <c r="Y5" s="15"/>
      <c r="Z5" s="15"/>
    </row>
    <row r="6" spans="2:26">
      <c r="B6" s="16"/>
      <c r="C6" s="17" t="s">
        <v>14</v>
      </c>
      <c r="D6" s="18">
        <v>6.5</v>
      </c>
      <c r="E6" s="18">
        <v>8.1999999999999993</v>
      </c>
      <c r="F6" s="18">
        <v>9.1</v>
      </c>
      <c r="G6" s="18">
        <v>7.9</v>
      </c>
      <c r="H6" s="18">
        <v>9.3000000000000007</v>
      </c>
      <c r="I6" s="18">
        <v>7.4</v>
      </c>
      <c r="J6" s="15"/>
      <c r="K6" s="20">
        <f t="shared" ref="K6:K13" si="0">COUNT(D6:I6)</f>
        <v>6</v>
      </c>
    </row>
    <row r="7" spans="2:26">
      <c r="B7" s="16"/>
      <c r="C7" s="17" t="s">
        <v>15</v>
      </c>
      <c r="D7" s="18">
        <v>7.5</v>
      </c>
      <c r="E7" s="18">
        <v>8</v>
      </c>
      <c r="F7" s="18">
        <v>9</v>
      </c>
      <c r="G7" s="18">
        <v>7.5</v>
      </c>
      <c r="H7" s="18">
        <v>8.5</v>
      </c>
      <c r="I7" s="18">
        <v>8.5</v>
      </c>
      <c r="J7" s="15"/>
      <c r="K7" s="21">
        <f t="shared" si="0"/>
        <v>6</v>
      </c>
    </row>
    <row r="8" spans="2:26">
      <c r="B8" s="16"/>
      <c r="C8" s="17" t="s">
        <v>16</v>
      </c>
      <c r="D8" s="18">
        <v>7</v>
      </c>
      <c r="E8" s="18">
        <v>8.5</v>
      </c>
      <c r="F8" s="18">
        <v>9</v>
      </c>
      <c r="G8" s="18">
        <v>7.5</v>
      </c>
      <c r="H8" s="18">
        <v>9.5</v>
      </c>
      <c r="I8" s="18">
        <v>7.5</v>
      </c>
      <c r="J8" s="15"/>
      <c r="K8" s="21">
        <f t="shared" si="0"/>
        <v>6</v>
      </c>
    </row>
    <row r="9" spans="2:26">
      <c r="B9" s="16"/>
      <c r="C9" s="17" t="s">
        <v>17</v>
      </c>
      <c r="D9" s="18">
        <v>9.5</v>
      </c>
      <c r="E9" s="18">
        <v>6.5</v>
      </c>
      <c r="F9" s="18">
        <v>8.5</v>
      </c>
      <c r="G9" s="18">
        <v>10</v>
      </c>
      <c r="H9" s="18">
        <v>10</v>
      </c>
      <c r="I9" s="18">
        <v>8.5</v>
      </c>
      <c r="J9" s="15"/>
      <c r="K9" s="21">
        <f t="shared" si="0"/>
        <v>6</v>
      </c>
    </row>
    <row r="10" spans="2:26">
      <c r="B10" s="16"/>
      <c r="C10" s="17" t="s">
        <v>18</v>
      </c>
      <c r="D10" s="19"/>
      <c r="E10" s="19"/>
      <c r="F10" s="19"/>
      <c r="G10" s="19"/>
      <c r="H10" s="19"/>
      <c r="I10" s="19"/>
      <c r="J10" s="15"/>
      <c r="K10" s="21">
        <f t="shared" si="0"/>
        <v>0</v>
      </c>
    </row>
    <row r="11" spans="2:26">
      <c r="B11" s="16"/>
      <c r="C11" s="17" t="s">
        <v>19</v>
      </c>
      <c r="D11" s="19"/>
      <c r="E11" s="19"/>
      <c r="F11" s="19"/>
      <c r="G11" s="19"/>
      <c r="H11" s="19"/>
      <c r="I11" s="19"/>
      <c r="J11" s="15"/>
      <c r="K11" s="21">
        <f t="shared" si="0"/>
        <v>0</v>
      </c>
    </row>
    <row r="12" spans="2:26">
      <c r="B12" s="16"/>
      <c r="C12" s="17" t="s">
        <v>20</v>
      </c>
      <c r="D12" s="18">
        <v>6.9</v>
      </c>
      <c r="E12" s="18">
        <v>8.6999999999999993</v>
      </c>
      <c r="F12" s="18">
        <v>8.6999999999999993</v>
      </c>
      <c r="G12" s="18">
        <v>8.1999999999999993</v>
      </c>
      <c r="H12" s="18">
        <v>8.6</v>
      </c>
      <c r="I12" s="18">
        <v>7.6</v>
      </c>
      <c r="J12" s="15"/>
      <c r="K12" s="21">
        <f t="shared" si="0"/>
        <v>6</v>
      </c>
    </row>
    <row r="13" spans="2:26">
      <c r="B13" s="16"/>
      <c r="C13" s="17" t="s">
        <v>21</v>
      </c>
      <c r="D13" s="30">
        <v>6.8</v>
      </c>
      <c r="E13" s="30">
        <v>8.1999999999999993</v>
      </c>
      <c r="F13" s="18">
        <v>9</v>
      </c>
      <c r="G13" s="30">
        <v>7.3</v>
      </c>
      <c r="H13" s="30">
        <v>9</v>
      </c>
      <c r="I13" s="30">
        <v>7.3</v>
      </c>
      <c r="J13" s="15"/>
      <c r="K13" s="22">
        <f t="shared" si="0"/>
        <v>6</v>
      </c>
    </row>
    <row r="14" spans="2:26" ht="15.75" customHeight="1">
      <c r="B14" s="23"/>
      <c r="C14" s="24" t="s">
        <v>22</v>
      </c>
      <c r="D14" s="25">
        <f t="shared" ref="D14:I14" si="1">IFERROR(AVERAGE(D6:D13),"-")</f>
        <v>7.3666666666666663</v>
      </c>
      <c r="E14" s="25">
        <f t="shared" si="1"/>
        <v>8.0166666666666657</v>
      </c>
      <c r="F14" s="25">
        <f t="shared" si="1"/>
        <v>8.8833333333333329</v>
      </c>
      <c r="G14" s="25">
        <f t="shared" si="1"/>
        <v>8.0666666666666647</v>
      </c>
      <c r="H14" s="25">
        <f t="shared" si="1"/>
        <v>9.15</v>
      </c>
      <c r="I14" s="25">
        <f t="shared" si="1"/>
        <v>7.8</v>
      </c>
      <c r="J14" s="15"/>
      <c r="K14" s="26">
        <f>AVERAGE(D14:I14)</f>
        <v>8.2138888888888868</v>
      </c>
      <c r="L14" s="27" t="s">
        <v>23</v>
      </c>
    </row>
    <row r="15" spans="2:26">
      <c r="B15" s="28"/>
      <c r="J15" s="15"/>
    </row>
    <row r="16" spans="2:26">
      <c r="B16" s="28"/>
      <c r="J16" s="15"/>
    </row>
    <row r="17" spans="2:10">
      <c r="B17" s="28"/>
      <c r="J17" s="15"/>
    </row>
    <row r="18" spans="2:10">
      <c r="B18" s="28"/>
      <c r="J18" s="15"/>
    </row>
    <row r="19" spans="2:10">
      <c r="B19" s="28"/>
      <c r="J19" s="15"/>
    </row>
    <row r="20" spans="2:10" ht="12.75">
      <c r="B20" s="28"/>
      <c r="J20" s="15"/>
    </row>
    <row r="21" spans="2:10" ht="12.75">
      <c r="B21" s="28"/>
      <c r="J21" s="15"/>
    </row>
    <row r="22" spans="2:10" ht="12.75">
      <c r="B22" s="28"/>
      <c r="D22" s="1"/>
      <c r="J22" s="15"/>
    </row>
    <row r="23" spans="2:10" ht="12.75">
      <c r="B23" s="28"/>
      <c r="D23" s="1"/>
      <c r="J23" s="15"/>
    </row>
    <row r="24" spans="2:10" ht="12.75">
      <c r="B24" s="28"/>
      <c r="J24" s="15"/>
    </row>
    <row r="25" spans="2:10" ht="12.75">
      <c r="B25" s="28"/>
      <c r="J25" s="15"/>
    </row>
    <row r="26" spans="2:10" ht="12.75">
      <c r="B26" s="28"/>
      <c r="J26" s="15"/>
    </row>
    <row r="27" spans="2:10" ht="12.75">
      <c r="B27" s="28"/>
      <c r="J27" s="15"/>
    </row>
    <row r="28" spans="2:10" ht="12.75">
      <c r="B28" s="28"/>
      <c r="J28" s="15"/>
    </row>
    <row r="29" spans="2:10" ht="12.75">
      <c r="B29" s="28"/>
      <c r="J29" s="15"/>
    </row>
    <row r="30" spans="2:10" ht="12.75">
      <c r="B30" s="28"/>
      <c r="J30" s="15"/>
    </row>
    <row r="31" spans="2:10" ht="12.75">
      <c r="B31" s="28"/>
      <c r="J31" s="15"/>
    </row>
    <row r="32" spans="2:10" ht="12.75">
      <c r="B32" s="28"/>
      <c r="J32" s="15"/>
    </row>
    <row r="33" spans="2:10" ht="12.75">
      <c r="B33" s="28"/>
      <c r="J33" s="15"/>
    </row>
    <row r="34" spans="2:10" ht="12.75">
      <c r="B34" s="28"/>
      <c r="J34" s="15"/>
    </row>
    <row r="35" spans="2:10" ht="12.75">
      <c r="B35" s="28"/>
      <c r="J35" s="15"/>
    </row>
    <row r="36" spans="2:10" ht="12.75">
      <c r="B36" s="28"/>
      <c r="J36" s="15"/>
    </row>
    <row r="37" spans="2:10" ht="12.75">
      <c r="B37" s="28"/>
      <c r="H37" s="29"/>
      <c r="J37" s="15"/>
    </row>
    <row r="38" spans="2:10" ht="12.75">
      <c r="B38" s="28"/>
      <c r="J38" s="15"/>
    </row>
    <row r="39" spans="2:10" ht="12.75">
      <c r="B39" s="28"/>
      <c r="J39" s="15"/>
    </row>
    <row r="40" spans="2:10" ht="12.75">
      <c r="B40" s="28"/>
      <c r="J40" s="15"/>
    </row>
    <row r="41" spans="2:10" ht="12.75">
      <c r="B41" s="28"/>
      <c r="J41" s="15"/>
    </row>
    <row r="42" spans="2:10" ht="12.75">
      <c r="B42" s="28"/>
      <c r="J42" s="15"/>
    </row>
    <row r="43" spans="2:10" ht="12.75">
      <c r="B43" s="28"/>
      <c r="J43" s="15"/>
    </row>
    <row r="44" spans="2:10" ht="12.75">
      <c r="B44" s="28"/>
      <c r="J44" s="15"/>
    </row>
    <row r="45" spans="2:10" ht="12.75">
      <c r="B45" s="28"/>
      <c r="J45" s="15"/>
    </row>
    <row r="46" spans="2:10" ht="12.75">
      <c r="B46" s="28"/>
      <c r="J46" s="15"/>
    </row>
    <row r="47" spans="2:10" ht="12.75">
      <c r="B47" s="28"/>
      <c r="J47" s="15"/>
    </row>
    <row r="48" spans="2:10" ht="12.75">
      <c r="B48" s="28"/>
      <c r="J48" s="15"/>
    </row>
    <row r="49" spans="2:10" ht="12.75">
      <c r="B49" s="28"/>
      <c r="J49" s="15"/>
    </row>
    <row r="50" spans="2:10" ht="12.75">
      <c r="B50" s="28"/>
      <c r="J50" s="15"/>
    </row>
    <row r="51" spans="2:10" ht="12.75">
      <c r="B51" s="28"/>
      <c r="J51" s="15"/>
    </row>
    <row r="52" spans="2:10" ht="12.75">
      <c r="B52" s="28"/>
      <c r="J52" s="15"/>
    </row>
    <row r="53" spans="2:10" ht="12.75">
      <c r="B53" s="28"/>
      <c r="J53" s="15"/>
    </row>
    <row r="54" spans="2:10" ht="12.75">
      <c r="B54" s="28"/>
      <c r="J54" s="15"/>
    </row>
    <row r="55" spans="2:10" ht="12.75">
      <c r="B55" s="28"/>
      <c r="J55" s="15"/>
    </row>
    <row r="56" spans="2:10" ht="12.75">
      <c r="B56" s="28"/>
      <c r="J56" s="15"/>
    </row>
    <row r="57" spans="2:10" ht="12.75">
      <c r="B57" s="28"/>
      <c r="J57" s="15"/>
    </row>
    <row r="58" spans="2:10" ht="12.75">
      <c r="B58" s="28"/>
      <c r="J58" s="15"/>
    </row>
    <row r="59" spans="2:10" ht="12.75">
      <c r="B59" s="28"/>
      <c r="J59" s="15"/>
    </row>
    <row r="60" spans="2:10" ht="12.75">
      <c r="B60" s="28"/>
      <c r="J60" s="15"/>
    </row>
    <row r="61" spans="2:10" ht="12.75">
      <c r="B61" s="28"/>
      <c r="J61" s="15"/>
    </row>
    <row r="62" spans="2:10" ht="12.75">
      <c r="B62" s="28"/>
      <c r="J62" s="15"/>
    </row>
    <row r="63" spans="2:10" ht="12.75">
      <c r="B63" s="28"/>
      <c r="J63" s="15"/>
    </row>
    <row r="64" spans="2:10" ht="12.75">
      <c r="B64" s="28"/>
      <c r="J64" s="15"/>
    </row>
    <row r="65" spans="2:10" ht="12.75">
      <c r="B65" s="28"/>
      <c r="J65" s="15"/>
    </row>
    <row r="66" spans="2:10" ht="12.75">
      <c r="B66" s="28"/>
      <c r="J66" s="15"/>
    </row>
    <row r="67" spans="2:10" ht="12.75">
      <c r="B67" s="28"/>
      <c r="J67" s="15"/>
    </row>
    <row r="68" spans="2:10" ht="12.75">
      <c r="B68" s="28"/>
      <c r="J68" s="15"/>
    </row>
    <row r="69" spans="2:10" ht="12.75">
      <c r="B69" s="28"/>
      <c r="J69" s="15"/>
    </row>
    <row r="70" spans="2:10" ht="12.75">
      <c r="B70" s="28"/>
      <c r="J70" s="15"/>
    </row>
    <row r="71" spans="2:10" ht="12.75">
      <c r="B71" s="28"/>
      <c r="J71" s="15"/>
    </row>
    <row r="72" spans="2:10" ht="12.75">
      <c r="B72" s="28"/>
      <c r="J72" s="15"/>
    </row>
    <row r="73" spans="2:10" ht="12.75">
      <c r="B73" s="28"/>
      <c r="J73" s="15"/>
    </row>
    <row r="74" spans="2:10" ht="12.75">
      <c r="B74" s="28"/>
      <c r="J74" s="15"/>
    </row>
    <row r="75" spans="2:10" ht="12.75">
      <c r="B75" s="28"/>
      <c r="J75" s="15"/>
    </row>
    <row r="76" spans="2:10" ht="12.75">
      <c r="B76" s="28"/>
      <c r="J76" s="15"/>
    </row>
    <row r="77" spans="2:10" ht="12.75">
      <c r="B77" s="28"/>
      <c r="J77" s="15"/>
    </row>
    <row r="78" spans="2:10" ht="12.75">
      <c r="B78" s="28"/>
      <c r="J78" s="15"/>
    </row>
    <row r="79" spans="2:10" ht="12.75">
      <c r="B79" s="28"/>
      <c r="J79" s="15"/>
    </row>
    <row r="80" spans="2:10" ht="12.75">
      <c r="B80" s="28"/>
      <c r="J80" s="15"/>
    </row>
    <row r="81" spans="2:10" ht="12.75">
      <c r="B81" s="28"/>
      <c r="J81" s="15"/>
    </row>
    <row r="82" spans="2:10" ht="12.75">
      <c r="B82" s="28"/>
      <c r="J82" s="15"/>
    </row>
    <row r="83" spans="2:10" ht="12.75">
      <c r="B83" s="28"/>
      <c r="J83" s="15"/>
    </row>
    <row r="84" spans="2:10" ht="12.75">
      <c r="B84" s="28"/>
      <c r="J84" s="15"/>
    </row>
    <row r="85" spans="2:10" ht="12.75">
      <c r="B85" s="28"/>
      <c r="J85" s="15"/>
    </row>
    <row r="86" spans="2:10" ht="12.75">
      <c r="B86" s="28"/>
      <c r="J86" s="15"/>
    </row>
    <row r="87" spans="2:10" ht="12.75">
      <c r="B87" s="28"/>
      <c r="J87" s="15"/>
    </row>
    <row r="88" spans="2:10" ht="12.75">
      <c r="B88" s="28"/>
      <c r="J88" s="15"/>
    </row>
    <row r="89" spans="2:10" ht="12.75">
      <c r="B89" s="28"/>
      <c r="J89" s="15"/>
    </row>
    <row r="90" spans="2:10" ht="12.75">
      <c r="B90" s="28"/>
      <c r="J90" s="15"/>
    </row>
    <row r="91" spans="2:10" ht="12.75">
      <c r="B91" s="28"/>
      <c r="J91" s="15"/>
    </row>
    <row r="92" spans="2:10" ht="12.75">
      <c r="B92" s="28"/>
      <c r="J92" s="15"/>
    </row>
    <row r="93" spans="2:10" ht="12.75">
      <c r="B93" s="28"/>
      <c r="J93" s="15"/>
    </row>
    <row r="94" spans="2:10" ht="12.75">
      <c r="B94" s="28"/>
      <c r="J94" s="15"/>
    </row>
    <row r="95" spans="2:10" ht="12.75">
      <c r="B95" s="28"/>
      <c r="J95" s="15"/>
    </row>
    <row r="96" spans="2:10" ht="12.75">
      <c r="B96" s="28"/>
      <c r="J96" s="15"/>
    </row>
    <row r="97" spans="2:10" ht="12.75">
      <c r="B97" s="28"/>
      <c r="J97" s="15"/>
    </row>
    <row r="98" spans="2:10" ht="12.75">
      <c r="B98" s="28"/>
      <c r="J98" s="15"/>
    </row>
    <row r="99" spans="2:10" ht="12.75">
      <c r="B99" s="28"/>
      <c r="J99" s="15"/>
    </row>
    <row r="100" spans="2:10" ht="12.75">
      <c r="B100" s="28"/>
      <c r="J100" s="15"/>
    </row>
    <row r="101" spans="2:10" ht="12.75">
      <c r="B101" s="28"/>
      <c r="J101" s="15"/>
    </row>
    <row r="102" spans="2:10" ht="12.75">
      <c r="B102" s="28"/>
      <c r="J102" s="15"/>
    </row>
    <row r="103" spans="2:10" ht="12.75">
      <c r="B103" s="28"/>
      <c r="J103" s="15"/>
    </row>
    <row r="104" spans="2:10" ht="12.75">
      <c r="B104" s="28"/>
      <c r="J104" s="15"/>
    </row>
    <row r="105" spans="2:10" ht="12.75">
      <c r="B105" s="28"/>
      <c r="J105" s="15"/>
    </row>
    <row r="106" spans="2:10" ht="12.75">
      <c r="B106" s="28"/>
      <c r="J106" s="15"/>
    </row>
    <row r="107" spans="2:10" ht="12.75">
      <c r="B107" s="28"/>
      <c r="J107" s="15"/>
    </row>
    <row r="108" spans="2:10" ht="12.75">
      <c r="B108" s="28"/>
      <c r="J108" s="15"/>
    </row>
    <row r="109" spans="2:10" ht="12.75">
      <c r="B109" s="28"/>
      <c r="J109" s="15"/>
    </row>
    <row r="110" spans="2:10" ht="12.75">
      <c r="B110" s="28"/>
      <c r="J110" s="15"/>
    </row>
    <row r="111" spans="2:10" ht="12.75">
      <c r="B111" s="28"/>
      <c r="J111" s="15"/>
    </row>
    <row r="112" spans="2:10" ht="12.75">
      <c r="B112" s="28"/>
      <c r="J112" s="15"/>
    </row>
    <row r="113" spans="2:10" ht="12.75">
      <c r="B113" s="28"/>
      <c r="J113" s="15"/>
    </row>
    <row r="114" spans="2:10" ht="12.75">
      <c r="B114" s="28"/>
      <c r="J114" s="15"/>
    </row>
    <row r="115" spans="2:10" ht="12.75">
      <c r="B115" s="28"/>
      <c r="J115" s="15"/>
    </row>
    <row r="116" spans="2:10" ht="12.75">
      <c r="B116" s="28"/>
      <c r="J116" s="15"/>
    </row>
    <row r="117" spans="2:10" ht="12.75">
      <c r="B117" s="28"/>
      <c r="J117" s="15"/>
    </row>
    <row r="118" spans="2:10" ht="12.75">
      <c r="B118" s="28"/>
      <c r="J118" s="15"/>
    </row>
    <row r="119" spans="2:10" ht="12.75">
      <c r="B119" s="28"/>
      <c r="J119" s="15"/>
    </row>
    <row r="120" spans="2:10" ht="12.75">
      <c r="B120" s="28"/>
      <c r="J120" s="15"/>
    </row>
    <row r="121" spans="2:10" ht="12.75">
      <c r="B121" s="28"/>
      <c r="J121" s="15"/>
    </row>
    <row r="122" spans="2:10" ht="12.75">
      <c r="B122" s="28"/>
      <c r="J122" s="15"/>
    </row>
    <row r="123" spans="2:10" ht="12.75">
      <c r="B123" s="28"/>
      <c r="J123" s="15"/>
    </row>
    <row r="124" spans="2:10" ht="12.75">
      <c r="B124" s="28"/>
      <c r="J124" s="15"/>
    </row>
    <row r="125" spans="2:10" ht="12.75">
      <c r="B125" s="28"/>
      <c r="J125" s="15"/>
    </row>
    <row r="126" spans="2:10" ht="12.75">
      <c r="B126" s="28"/>
      <c r="J126" s="15"/>
    </row>
    <row r="127" spans="2:10" ht="12.75">
      <c r="B127" s="28"/>
      <c r="J127" s="15"/>
    </row>
    <row r="128" spans="2:10" ht="12.75">
      <c r="B128" s="28"/>
      <c r="J128" s="15"/>
    </row>
    <row r="129" spans="2:10" ht="12.75">
      <c r="B129" s="28"/>
      <c r="J129" s="15"/>
    </row>
    <row r="130" spans="2:10" ht="12.75">
      <c r="B130" s="28"/>
      <c r="J130" s="15"/>
    </row>
    <row r="131" spans="2:10" ht="12.75">
      <c r="B131" s="28"/>
      <c r="J131" s="15"/>
    </row>
    <row r="132" spans="2:10" ht="12.75">
      <c r="B132" s="28"/>
      <c r="J132" s="15"/>
    </row>
    <row r="133" spans="2:10" ht="12.75">
      <c r="B133" s="28"/>
      <c r="J133" s="15"/>
    </row>
    <row r="134" spans="2:10" ht="12.75">
      <c r="B134" s="28"/>
      <c r="J134" s="15"/>
    </row>
    <row r="135" spans="2:10" ht="12.75">
      <c r="B135" s="28"/>
      <c r="J135" s="15"/>
    </row>
    <row r="136" spans="2:10" ht="12.75">
      <c r="B136" s="28"/>
      <c r="J136" s="15"/>
    </row>
    <row r="137" spans="2:10" ht="12.75">
      <c r="B137" s="28"/>
      <c r="J137" s="15"/>
    </row>
    <row r="138" spans="2:10" ht="12.75">
      <c r="B138" s="28"/>
      <c r="J138" s="15"/>
    </row>
    <row r="139" spans="2:10" ht="12.75">
      <c r="B139" s="28"/>
      <c r="J139" s="15"/>
    </row>
    <row r="140" spans="2:10" ht="12.75">
      <c r="B140" s="28"/>
      <c r="J140" s="15"/>
    </row>
    <row r="141" spans="2:10" ht="12.75">
      <c r="B141" s="28"/>
      <c r="J141" s="15"/>
    </row>
    <row r="142" spans="2:10" ht="12.75">
      <c r="B142" s="28"/>
      <c r="J142" s="15"/>
    </row>
    <row r="143" spans="2:10" ht="12.75">
      <c r="B143" s="28"/>
      <c r="J143" s="15"/>
    </row>
    <row r="144" spans="2:10" ht="12.75">
      <c r="B144" s="28"/>
      <c r="J144" s="15"/>
    </row>
    <row r="145" spans="2:10" ht="12.75">
      <c r="B145" s="28"/>
      <c r="J145" s="15"/>
    </row>
    <row r="146" spans="2:10" ht="12.75">
      <c r="B146" s="28"/>
      <c r="J146" s="15"/>
    </row>
    <row r="147" spans="2:10" ht="12.75">
      <c r="B147" s="28"/>
      <c r="J147" s="15"/>
    </row>
    <row r="148" spans="2:10" ht="12.75">
      <c r="B148" s="28"/>
      <c r="J148" s="15"/>
    </row>
    <row r="149" spans="2:10" ht="12.75">
      <c r="B149" s="28"/>
      <c r="J149" s="15"/>
    </row>
    <row r="150" spans="2:10" ht="12.75">
      <c r="B150" s="28"/>
      <c r="J150" s="15"/>
    </row>
    <row r="151" spans="2:10" ht="12.75">
      <c r="B151" s="28"/>
      <c r="J151" s="15"/>
    </row>
    <row r="152" spans="2:10" ht="12.75">
      <c r="B152" s="28"/>
      <c r="J152" s="15"/>
    </row>
    <row r="153" spans="2:10" ht="12.75">
      <c r="B153" s="28"/>
      <c r="J153" s="15"/>
    </row>
    <row r="154" spans="2:10" ht="12.75">
      <c r="B154" s="28"/>
      <c r="J154" s="15"/>
    </row>
    <row r="155" spans="2:10" ht="12.75">
      <c r="B155" s="28"/>
      <c r="J155" s="15"/>
    </row>
    <row r="156" spans="2:10" ht="12.75">
      <c r="B156" s="28"/>
      <c r="J156" s="15"/>
    </row>
    <row r="157" spans="2:10" ht="12.75">
      <c r="B157" s="28"/>
      <c r="J157" s="15"/>
    </row>
    <row r="158" spans="2:10" ht="12.75">
      <c r="B158" s="28"/>
      <c r="J158" s="15"/>
    </row>
    <row r="159" spans="2:10" ht="12.75">
      <c r="B159" s="28"/>
      <c r="J159" s="15"/>
    </row>
    <row r="160" spans="2:10" ht="12.75">
      <c r="B160" s="28"/>
      <c r="J160" s="15"/>
    </row>
    <row r="161" spans="2:10" ht="12.75">
      <c r="B161" s="28"/>
      <c r="J161" s="15"/>
    </row>
    <row r="162" spans="2:10" ht="12.75">
      <c r="B162" s="28"/>
      <c r="J162" s="15"/>
    </row>
    <row r="163" spans="2:10" ht="12.75">
      <c r="B163" s="28"/>
      <c r="J163" s="15"/>
    </row>
    <row r="164" spans="2:10" ht="12.75">
      <c r="B164" s="28"/>
      <c r="J164" s="15"/>
    </row>
    <row r="165" spans="2:10" ht="12.75">
      <c r="B165" s="28"/>
      <c r="J165" s="15"/>
    </row>
    <row r="166" spans="2:10" ht="12.75">
      <c r="B166" s="28"/>
      <c r="J166" s="15"/>
    </row>
    <row r="167" spans="2:10" ht="12.75">
      <c r="B167" s="28"/>
      <c r="J167" s="15"/>
    </row>
    <row r="168" spans="2:10" ht="12.75">
      <c r="B168" s="28"/>
      <c r="J168" s="15"/>
    </row>
    <row r="169" spans="2:10" ht="12.75">
      <c r="B169" s="28"/>
      <c r="J169" s="15"/>
    </row>
    <row r="170" spans="2:10" ht="12.75">
      <c r="B170" s="28"/>
      <c r="J170" s="15"/>
    </row>
    <row r="171" spans="2:10" ht="12.75">
      <c r="B171" s="28"/>
      <c r="J171" s="15"/>
    </row>
    <row r="172" spans="2:10" ht="12.75">
      <c r="B172" s="28"/>
      <c r="J172" s="15"/>
    </row>
    <row r="173" spans="2:10" ht="12.75">
      <c r="B173" s="28"/>
      <c r="J173" s="15"/>
    </row>
    <row r="174" spans="2:10" ht="12.75">
      <c r="B174" s="28"/>
      <c r="J174" s="15"/>
    </row>
    <row r="175" spans="2:10" ht="12.75">
      <c r="B175" s="28"/>
      <c r="J175" s="15"/>
    </row>
    <row r="176" spans="2:10" ht="12.75">
      <c r="B176" s="28"/>
      <c r="J176" s="15"/>
    </row>
    <row r="177" spans="2:10" ht="12.75">
      <c r="B177" s="28"/>
      <c r="J177" s="15"/>
    </row>
    <row r="178" spans="2:10" ht="12.75">
      <c r="B178" s="28"/>
      <c r="J178" s="15"/>
    </row>
    <row r="179" spans="2:10" ht="12.75">
      <c r="B179" s="28"/>
      <c r="J179" s="15"/>
    </row>
    <row r="180" spans="2:10" ht="12.75">
      <c r="B180" s="28"/>
      <c r="J180" s="15"/>
    </row>
    <row r="181" spans="2:10" ht="12.75">
      <c r="B181" s="28"/>
      <c r="J181" s="15"/>
    </row>
    <row r="182" spans="2:10" ht="12.75">
      <c r="B182" s="28"/>
      <c r="J182" s="15"/>
    </row>
    <row r="183" spans="2:10" ht="12.75">
      <c r="B183" s="28"/>
      <c r="J183" s="15"/>
    </row>
    <row r="184" spans="2:10" ht="12.75">
      <c r="B184" s="28"/>
      <c r="J184" s="15"/>
    </row>
    <row r="185" spans="2:10" ht="12.75">
      <c r="B185" s="28"/>
      <c r="J185" s="15"/>
    </row>
    <row r="186" spans="2:10" ht="12.75">
      <c r="B186" s="28"/>
      <c r="J186" s="15"/>
    </row>
    <row r="187" spans="2:10" ht="12.75">
      <c r="B187" s="28"/>
      <c r="J187" s="15"/>
    </row>
    <row r="188" spans="2:10" ht="12.75">
      <c r="B188" s="28"/>
      <c r="J188" s="15"/>
    </row>
    <row r="189" spans="2:10" ht="12.75">
      <c r="B189" s="28"/>
      <c r="J189" s="15"/>
    </row>
    <row r="190" spans="2:10" ht="12.75">
      <c r="B190" s="28"/>
      <c r="J190" s="15"/>
    </row>
    <row r="191" spans="2:10" ht="12.75">
      <c r="B191" s="28"/>
      <c r="J191" s="15"/>
    </row>
    <row r="192" spans="2:10" ht="12.75">
      <c r="B192" s="28"/>
      <c r="J192" s="15"/>
    </row>
    <row r="193" spans="2:10" ht="12.75">
      <c r="B193" s="28"/>
      <c r="J193" s="15"/>
    </row>
    <row r="194" spans="2:10" ht="12.75">
      <c r="B194" s="28"/>
      <c r="J194" s="15"/>
    </row>
    <row r="195" spans="2:10" ht="12.75">
      <c r="B195" s="28"/>
      <c r="J195" s="15"/>
    </row>
    <row r="196" spans="2:10" ht="12.75">
      <c r="B196" s="28"/>
      <c r="J196" s="15"/>
    </row>
    <row r="197" spans="2:10" ht="12.75">
      <c r="B197" s="28"/>
      <c r="J197" s="15"/>
    </row>
    <row r="198" spans="2:10" ht="12.75">
      <c r="B198" s="28"/>
      <c r="J198" s="15"/>
    </row>
    <row r="199" spans="2:10" ht="12.75">
      <c r="B199" s="28"/>
      <c r="J199" s="15"/>
    </row>
    <row r="200" spans="2:10" ht="12.75">
      <c r="B200" s="28"/>
      <c r="J200" s="15"/>
    </row>
    <row r="201" spans="2:10" ht="12.75">
      <c r="B201" s="28"/>
      <c r="J201" s="15"/>
    </row>
    <row r="202" spans="2:10" ht="12.75">
      <c r="B202" s="28"/>
      <c r="J202" s="15"/>
    </row>
    <row r="203" spans="2:10" ht="12.75">
      <c r="B203" s="28"/>
      <c r="J203" s="15"/>
    </row>
    <row r="204" spans="2:10" ht="12.75">
      <c r="B204" s="28"/>
      <c r="J204" s="15"/>
    </row>
    <row r="205" spans="2:10" ht="12.75">
      <c r="B205" s="28"/>
      <c r="J205" s="15"/>
    </row>
    <row r="206" spans="2:10" ht="12.75">
      <c r="B206" s="28"/>
      <c r="J206" s="15"/>
    </row>
    <row r="207" spans="2:10" ht="12.75">
      <c r="B207" s="28"/>
      <c r="J207" s="15"/>
    </row>
    <row r="208" spans="2:10" ht="12.75">
      <c r="B208" s="28"/>
      <c r="J208" s="15"/>
    </row>
    <row r="209" spans="2:10" ht="12.75">
      <c r="B209" s="28"/>
      <c r="J209" s="15"/>
    </row>
    <row r="210" spans="2:10" ht="12.75">
      <c r="B210" s="28"/>
      <c r="J210" s="15"/>
    </row>
    <row r="211" spans="2:10" ht="12.75">
      <c r="B211" s="28"/>
      <c r="J211" s="15"/>
    </row>
    <row r="212" spans="2:10" ht="12.75">
      <c r="B212" s="28"/>
      <c r="J212" s="15"/>
    </row>
    <row r="213" spans="2:10" ht="12.75">
      <c r="B213" s="28"/>
      <c r="J213" s="15"/>
    </row>
    <row r="214" spans="2:10" ht="12.75">
      <c r="B214" s="28"/>
      <c r="J214" s="15"/>
    </row>
    <row r="215" spans="2:10" ht="12.75">
      <c r="B215" s="28"/>
      <c r="J215" s="15"/>
    </row>
    <row r="216" spans="2:10" ht="12.75">
      <c r="B216" s="28"/>
      <c r="J216" s="15"/>
    </row>
    <row r="217" spans="2:10" ht="12.75">
      <c r="B217" s="28"/>
      <c r="J217" s="15"/>
    </row>
    <row r="218" spans="2:10" ht="12.75">
      <c r="B218" s="28"/>
      <c r="J218" s="15"/>
    </row>
    <row r="219" spans="2:10" ht="12.75">
      <c r="B219" s="28"/>
      <c r="J219" s="15"/>
    </row>
    <row r="220" spans="2:10" ht="12.75">
      <c r="B220" s="28"/>
      <c r="J220" s="15"/>
    </row>
    <row r="221" spans="2:10" ht="12.75">
      <c r="B221" s="28"/>
      <c r="J221" s="15"/>
    </row>
    <row r="222" spans="2:10" ht="12.75">
      <c r="B222" s="28"/>
      <c r="J222" s="15"/>
    </row>
    <row r="223" spans="2:10" ht="12.75">
      <c r="B223" s="28"/>
      <c r="J223" s="15"/>
    </row>
    <row r="224" spans="2:10" ht="12.75">
      <c r="B224" s="28"/>
      <c r="J224" s="15"/>
    </row>
    <row r="225" spans="2:10" ht="12.75">
      <c r="B225" s="28"/>
      <c r="J225" s="15"/>
    </row>
    <row r="226" spans="2:10" ht="12.75">
      <c r="B226" s="28"/>
      <c r="J226" s="15"/>
    </row>
    <row r="227" spans="2:10" ht="12.75">
      <c r="B227" s="28"/>
      <c r="J227" s="15"/>
    </row>
    <row r="228" spans="2:10" ht="12.75">
      <c r="B228" s="28"/>
      <c r="J228" s="15"/>
    </row>
    <row r="229" spans="2:10" ht="12.75">
      <c r="B229" s="28"/>
      <c r="J229" s="15"/>
    </row>
    <row r="230" spans="2:10" ht="12.75">
      <c r="B230" s="28"/>
      <c r="J230" s="15"/>
    </row>
    <row r="231" spans="2:10" ht="12.75">
      <c r="B231" s="28"/>
      <c r="J231" s="15"/>
    </row>
    <row r="232" spans="2:10" ht="12.75">
      <c r="B232" s="28"/>
      <c r="J232" s="15"/>
    </row>
    <row r="233" spans="2:10" ht="12.75">
      <c r="B233" s="28"/>
      <c r="J233" s="15"/>
    </row>
    <row r="234" spans="2:10" ht="12.75">
      <c r="B234" s="28"/>
      <c r="J234" s="15"/>
    </row>
    <row r="235" spans="2:10" ht="12.75">
      <c r="B235" s="28"/>
      <c r="J235" s="15"/>
    </row>
    <row r="236" spans="2:10" ht="12.75">
      <c r="B236" s="28"/>
      <c r="J236" s="15"/>
    </row>
    <row r="237" spans="2:10" ht="12.75">
      <c r="B237" s="28"/>
      <c r="J237" s="15"/>
    </row>
    <row r="238" spans="2:10" ht="12.75">
      <c r="B238" s="28"/>
      <c r="J238" s="15"/>
    </row>
    <row r="239" spans="2:10" ht="12.75">
      <c r="B239" s="28"/>
      <c r="J239" s="15"/>
    </row>
    <row r="240" spans="2:10" ht="12.75">
      <c r="B240" s="28"/>
      <c r="J240" s="15"/>
    </row>
    <row r="241" spans="2:10" ht="12.75">
      <c r="B241" s="28"/>
      <c r="J241" s="15"/>
    </row>
    <row r="242" spans="2:10" ht="12.75">
      <c r="B242" s="28"/>
      <c r="J242" s="15"/>
    </row>
    <row r="243" spans="2:10" ht="12.75">
      <c r="B243" s="28"/>
      <c r="J243" s="15"/>
    </row>
    <row r="244" spans="2:10" ht="12.75">
      <c r="B244" s="28"/>
      <c r="J244" s="15"/>
    </row>
    <row r="245" spans="2:10" ht="12.75">
      <c r="B245" s="28"/>
      <c r="J245" s="15"/>
    </row>
    <row r="246" spans="2:10" ht="12.75">
      <c r="B246" s="28"/>
      <c r="J246" s="15"/>
    </row>
    <row r="247" spans="2:10" ht="12.75">
      <c r="B247" s="28"/>
      <c r="J247" s="15"/>
    </row>
    <row r="248" spans="2:10" ht="12.75">
      <c r="B248" s="28"/>
      <c r="J248" s="15"/>
    </row>
    <row r="249" spans="2:10" ht="12.75">
      <c r="B249" s="28"/>
      <c r="J249" s="15"/>
    </row>
    <row r="250" spans="2:10" ht="12.75">
      <c r="B250" s="28"/>
      <c r="J250" s="15"/>
    </row>
    <row r="251" spans="2:10" ht="12.75">
      <c r="B251" s="28"/>
      <c r="J251" s="15"/>
    </row>
    <row r="252" spans="2:10" ht="12.75">
      <c r="B252" s="28"/>
      <c r="J252" s="15"/>
    </row>
    <row r="253" spans="2:10" ht="12.75">
      <c r="B253" s="28"/>
      <c r="J253" s="15"/>
    </row>
    <row r="254" spans="2:10" ht="12.75">
      <c r="B254" s="28"/>
      <c r="J254" s="15"/>
    </row>
    <row r="255" spans="2:10" ht="12.75">
      <c r="B255" s="28"/>
      <c r="J255" s="15"/>
    </row>
    <row r="256" spans="2:10" ht="12.75">
      <c r="B256" s="28"/>
      <c r="J256" s="15"/>
    </row>
    <row r="257" spans="2:10" ht="12.75">
      <c r="B257" s="28"/>
      <c r="J257" s="15"/>
    </row>
    <row r="258" spans="2:10" ht="12.75">
      <c r="B258" s="28"/>
      <c r="J258" s="15"/>
    </row>
    <row r="259" spans="2:10" ht="12.75">
      <c r="B259" s="28"/>
      <c r="J259" s="15"/>
    </row>
    <row r="260" spans="2:10" ht="12.75">
      <c r="B260" s="28"/>
      <c r="J260" s="15"/>
    </row>
    <row r="261" spans="2:10" ht="12.75">
      <c r="B261" s="28"/>
      <c r="J261" s="15"/>
    </row>
    <row r="262" spans="2:10" ht="12.75">
      <c r="B262" s="28"/>
      <c r="J262" s="15"/>
    </row>
    <row r="263" spans="2:10" ht="12.75">
      <c r="B263" s="28"/>
      <c r="J263" s="15"/>
    </row>
    <row r="264" spans="2:10" ht="12.75">
      <c r="B264" s="28"/>
      <c r="J264" s="15"/>
    </row>
    <row r="265" spans="2:10" ht="12.75">
      <c r="B265" s="28"/>
      <c r="J265" s="15"/>
    </row>
    <row r="266" spans="2:10" ht="12.75">
      <c r="B266" s="28"/>
      <c r="J266" s="15"/>
    </row>
    <row r="267" spans="2:10" ht="12.75">
      <c r="B267" s="28"/>
      <c r="J267" s="15"/>
    </row>
    <row r="268" spans="2:10" ht="12.75">
      <c r="B268" s="28"/>
      <c r="J268" s="15"/>
    </row>
    <row r="269" spans="2:10" ht="12.75">
      <c r="B269" s="28"/>
      <c r="J269" s="15"/>
    </row>
    <row r="270" spans="2:10" ht="12.75">
      <c r="B270" s="28"/>
      <c r="J270" s="15"/>
    </row>
    <row r="271" spans="2:10" ht="12.75">
      <c r="B271" s="28"/>
      <c r="J271" s="15"/>
    </row>
    <row r="272" spans="2:10" ht="12.75">
      <c r="B272" s="28"/>
      <c r="J272" s="15"/>
    </row>
    <row r="273" spans="2:10" ht="12.75">
      <c r="B273" s="28"/>
      <c r="J273" s="15"/>
    </row>
    <row r="274" spans="2:10" ht="12.75">
      <c r="B274" s="28"/>
      <c r="J274" s="15"/>
    </row>
    <row r="275" spans="2:10" ht="12.75">
      <c r="B275" s="28"/>
      <c r="J275" s="15"/>
    </row>
    <row r="276" spans="2:10" ht="12.75">
      <c r="B276" s="28"/>
      <c r="J276" s="15"/>
    </row>
    <row r="277" spans="2:10" ht="12.75">
      <c r="B277" s="28"/>
      <c r="J277" s="15"/>
    </row>
    <row r="278" spans="2:10" ht="12.75">
      <c r="B278" s="28"/>
      <c r="J278" s="15"/>
    </row>
    <row r="279" spans="2:10" ht="12.75">
      <c r="B279" s="28"/>
      <c r="J279" s="15"/>
    </row>
    <row r="280" spans="2:10" ht="12.75">
      <c r="B280" s="28"/>
      <c r="J280" s="15"/>
    </row>
    <row r="281" spans="2:10" ht="12.75">
      <c r="B281" s="28"/>
      <c r="J281" s="15"/>
    </row>
    <row r="282" spans="2:10" ht="12.75">
      <c r="B282" s="28"/>
      <c r="J282" s="15"/>
    </row>
    <row r="283" spans="2:10" ht="12.75">
      <c r="B283" s="28"/>
      <c r="J283" s="15"/>
    </row>
    <row r="284" spans="2:10" ht="12.75">
      <c r="B284" s="28"/>
      <c r="J284" s="15"/>
    </row>
    <row r="285" spans="2:10" ht="12.75">
      <c r="B285" s="28"/>
      <c r="J285" s="15"/>
    </row>
    <row r="286" spans="2:10" ht="12.75">
      <c r="B286" s="28"/>
      <c r="J286" s="15"/>
    </row>
    <row r="287" spans="2:10" ht="12.75">
      <c r="B287" s="28"/>
      <c r="J287" s="15"/>
    </row>
    <row r="288" spans="2:10" ht="12.75">
      <c r="B288" s="28"/>
      <c r="J288" s="15"/>
    </row>
    <row r="289" spans="2:10" ht="12.75">
      <c r="B289" s="28"/>
      <c r="J289" s="15"/>
    </row>
    <row r="290" spans="2:10" ht="12.75">
      <c r="B290" s="28"/>
      <c r="J290" s="15"/>
    </row>
    <row r="291" spans="2:10" ht="12.75">
      <c r="B291" s="28"/>
      <c r="J291" s="15"/>
    </row>
    <row r="292" spans="2:10" ht="12.75">
      <c r="B292" s="28"/>
      <c r="J292" s="15"/>
    </row>
    <row r="293" spans="2:10" ht="12.75">
      <c r="B293" s="28"/>
      <c r="J293" s="15"/>
    </row>
    <row r="294" spans="2:10" ht="12.75">
      <c r="B294" s="28"/>
      <c r="J294" s="15"/>
    </row>
    <row r="295" spans="2:10" ht="12.75">
      <c r="B295" s="28"/>
      <c r="J295" s="15"/>
    </row>
    <row r="296" spans="2:10" ht="12.75">
      <c r="B296" s="28"/>
      <c r="J296" s="15"/>
    </row>
    <row r="297" spans="2:10" ht="12.75">
      <c r="B297" s="28"/>
      <c r="J297" s="15"/>
    </row>
    <row r="298" spans="2:10" ht="12.75">
      <c r="B298" s="28"/>
      <c r="J298" s="15"/>
    </row>
    <row r="299" spans="2:10" ht="12.75">
      <c r="B299" s="28"/>
      <c r="J299" s="15"/>
    </row>
    <row r="300" spans="2:10" ht="12.75">
      <c r="B300" s="28"/>
      <c r="J300" s="15"/>
    </row>
    <row r="301" spans="2:10" ht="12.75">
      <c r="B301" s="28"/>
      <c r="J301" s="15"/>
    </row>
    <row r="302" spans="2:10" ht="12.75">
      <c r="B302" s="28"/>
      <c r="J302" s="15"/>
    </row>
    <row r="303" spans="2:10" ht="12.75">
      <c r="B303" s="28"/>
      <c r="J303" s="15"/>
    </row>
    <row r="304" spans="2:10" ht="12.75">
      <c r="B304" s="28"/>
      <c r="J304" s="15"/>
    </row>
    <row r="305" spans="2:10" ht="12.75">
      <c r="B305" s="28"/>
      <c r="J305" s="15"/>
    </row>
    <row r="306" spans="2:10" ht="12.75">
      <c r="B306" s="28"/>
      <c r="J306" s="15"/>
    </row>
    <row r="307" spans="2:10" ht="12.75">
      <c r="B307" s="28"/>
      <c r="J307" s="15"/>
    </row>
    <row r="308" spans="2:10" ht="12.75">
      <c r="B308" s="28"/>
      <c r="J308" s="15"/>
    </row>
    <row r="309" spans="2:10" ht="12.75">
      <c r="B309" s="28"/>
      <c r="J309" s="15"/>
    </row>
    <row r="310" spans="2:10" ht="12.75">
      <c r="B310" s="28"/>
      <c r="J310" s="15"/>
    </row>
    <row r="311" spans="2:10" ht="12.75">
      <c r="B311" s="28"/>
      <c r="J311" s="15"/>
    </row>
    <row r="312" spans="2:10" ht="12.75">
      <c r="B312" s="28"/>
      <c r="J312" s="15"/>
    </row>
    <row r="313" spans="2:10" ht="12.75">
      <c r="B313" s="28"/>
      <c r="J313" s="15"/>
    </row>
    <row r="314" spans="2:10" ht="12.75">
      <c r="B314" s="28"/>
      <c r="J314" s="15"/>
    </row>
    <row r="315" spans="2:10" ht="12.75">
      <c r="B315" s="28"/>
      <c r="J315" s="15"/>
    </row>
    <row r="316" spans="2:10" ht="12.75">
      <c r="B316" s="28"/>
      <c r="J316" s="15"/>
    </row>
    <row r="317" spans="2:10" ht="12.75">
      <c r="B317" s="28"/>
      <c r="J317" s="15"/>
    </row>
    <row r="318" spans="2:10" ht="12.75">
      <c r="B318" s="28"/>
      <c r="J318" s="15"/>
    </row>
    <row r="319" spans="2:10" ht="12.75">
      <c r="B319" s="28"/>
      <c r="J319" s="15"/>
    </row>
    <row r="320" spans="2:10" ht="12.75">
      <c r="B320" s="28"/>
      <c r="J320" s="15"/>
    </row>
    <row r="321" spans="2:10" ht="12.75">
      <c r="B321" s="28"/>
      <c r="J321" s="15"/>
    </row>
    <row r="322" spans="2:10" ht="12.75">
      <c r="B322" s="28"/>
      <c r="J322" s="15"/>
    </row>
    <row r="323" spans="2:10" ht="12.75">
      <c r="B323" s="28"/>
      <c r="J323" s="15"/>
    </row>
    <row r="324" spans="2:10" ht="12.75">
      <c r="B324" s="28"/>
      <c r="J324" s="15"/>
    </row>
    <row r="325" spans="2:10" ht="12.75">
      <c r="B325" s="28"/>
      <c r="J325" s="15"/>
    </row>
    <row r="326" spans="2:10" ht="12.75">
      <c r="B326" s="28"/>
      <c r="J326" s="15"/>
    </row>
    <row r="327" spans="2:10" ht="12.75">
      <c r="B327" s="28"/>
      <c r="J327" s="15"/>
    </row>
    <row r="328" spans="2:10" ht="12.75">
      <c r="B328" s="28"/>
      <c r="J328" s="15"/>
    </row>
    <row r="329" spans="2:10" ht="12.75">
      <c r="B329" s="28"/>
      <c r="J329" s="15"/>
    </row>
    <row r="330" spans="2:10" ht="12.75">
      <c r="B330" s="28"/>
      <c r="J330" s="15"/>
    </row>
    <row r="331" spans="2:10" ht="12.75">
      <c r="B331" s="28"/>
      <c r="J331" s="15"/>
    </row>
    <row r="332" spans="2:10" ht="12.75">
      <c r="B332" s="28"/>
      <c r="J332" s="15"/>
    </row>
    <row r="333" spans="2:10" ht="12.75">
      <c r="B333" s="28"/>
      <c r="J333" s="15"/>
    </row>
    <row r="334" spans="2:10" ht="12.75">
      <c r="B334" s="28"/>
      <c r="J334" s="15"/>
    </row>
    <row r="335" spans="2:10" ht="12.75">
      <c r="B335" s="28"/>
      <c r="J335" s="15"/>
    </row>
    <row r="336" spans="2:10" ht="12.75">
      <c r="B336" s="28"/>
      <c r="J336" s="15"/>
    </row>
    <row r="337" spans="2:10" ht="12.75">
      <c r="B337" s="28"/>
      <c r="J337" s="15"/>
    </row>
    <row r="338" spans="2:10" ht="12.75">
      <c r="B338" s="28"/>
      <c r="J338" s="15"/>
    </row>
    <row r="339" spans="2:10" ht="12.75">
      <c r="B339" s="28"/>
      <c r="J339" s="15"/>
    </row>
    <row r="340" spans="2:10" ht="12.75">
      <c r="B340" s="28"/>
      <c r="J340" s="15"/>
    </row>
    <row r="341" spans="2:10" ht="12.75">
      <c r="B341" s="28"/>
      <c r="J341" s="15"/>
    </row>
    <row r="342" spans="2:10" ht="12.75">
      <c r="B342" s="28"/>
      <c r="J342" s="15"/>
    </row>
    <row r="343" spans="2:10" ht="12.75">
      <c r="B343" s="28"/>
      <c r="J343" s="15"/>
    </row>
    <row r="344" spans="2:10" ht="12.75">
      <c r="B344" s="28"/>
      <c r="J344" s="15"/>
    </row>
    <row r="345" spans="2:10" ht="12.75">
      <c r="B345" s="28"/>
      <c r="J345" s="15"/>
    </row>
    <row r="346" spans="2:10" ht="12.75">
      <c r="B346" s="28"/>
      <c r="J346" s="15"/>
    </row>
    <row r="347" spans="2:10" ht="12.75">
      <c r="B347" s="28"/>
      <c r="J347" s="15"/>
    </row>
    <row r="348" spans="2:10" ht="12.75">
      <c r="B348" s="28"/>
      <c r="J348" s="15"/>
    </row>
    <row r="349" spans="2:10" ht="12.75">
      <c r="B349" s="28"/>
      <c r="J349" s="15"/>
    </row>
    <row r="350" spans="2:10" ht="12.75">
      <c r="B350" s="28"/>
      <c r="J350" s="15"/>
    </row>
    <row r="351" spans="2:10" ht="12.75">
      <c r="B351" s="28"/>
      <c r="J351" s="15"/>
    </row>
    <row r="352" spans="2:10" ht="12.75">
      <c r="B352" s="28"/>
      <c r="J352" s="15"/>
    </row>
    <row r="353" spans="2:10" ht="12.75">
      <c r="B353" s="28"/>
      <c r="J353" s="15"/>
    </row>
    <row r="354" spans="2:10" ht="12.75">
      <c r="B354" s="28"/>
      <c r="J354" s="15"/>
    </row>
    <row r="355" spans="2:10" ht="12.75">
      <c r="B355" s="28"/>
      <c r="J355" s="15"/>
    </row>
    <row r="356" spans="2:10" ht="12.75">
      <c r="B356" s="28"/>
      <c r="J356" s="15"/>
    </row>
    <row r="357" spans="2:10" ht="12.75">
      <c r="B357" s="28"/>
      <c r="J357" s="15"/>
    </row>
    <row r="358" spans="2:10" ht="12.75">
      <c r="B358" s="28"/>
      <c r="J358" s="15"/>
    </row>
    <row r="359" spans="2:10" ht="12.75">
      <c r="B359" s="28"/>
      <c r="J359" s="15"/>
    </row>
    <row r="360" spans="2:10" ht="12.75">
      <c r="B360" s="28"/>
      <c r="J360" s="15"/>
    </row>
    <row r="361" spans="2:10" ht="12.75">
      <c r="B361" s="28"/>
      <c r="J361" s="15"/>
    </row>
    <row r="362" spans="2:10" ht="12.75">
      <c r="B362" s="28"/>
      <c r="J362" s="15"/>
    </row>
    <row r="363" spans="2:10" ht="12.75">
      <c r="B363" s="28"/>
      <c r="J363" s="15"/>
    </row>
    <row r="364" spans="2:10" ht="12.75">
      <c r="B364" s="28"/>
      <c r="J364" s="15"/>
    </row>
    <row r="365" spans="2:10" ht="12.75">
      <c r="B365" s="28"/>
      <c r="J365" s="15"/>
    </row>
    <row r="366" spans="2:10" ht="12.75">
      <c r="B366" s="28"/>
      <c r="J366" s="15"/>
    </row>
    <row r="367" spans="2:10" ht="12.75">
      <c r="B367" s="28"/>
      <c r="J367" s="15"/>
    </row>
    <row r="368" spans="2:10" ht="12.75">
      <c r="B368" s="28"/>
      <c r="J368" s="15"/>
    </row>
    <row r="369" spans="2:10" ht="12.75">
      <c r="B369" s="28"/>
      <c r="J369" s="15"/>
    </row>
    <row r="370" spans="2:10" ht="12.75">
      <c r="B370" s="28"/>
      <c r="J370" s="15"/>
    </row>
    <row r="371" spans="2:10" ht="12.75">
      <c r="B371" s="28"/>
      <c r="J371" s="15"/>
    </row>
    <row r="372" spans="2:10" ht="12.75">
      <c r="B372" s="28"/>
      <c r="J372" s="15"/>
    </row>
    <row r="373" spans="2:10" ht="12.75">
      <c r="B373" s="28"/>
      <c r="J373" s="15"/>
    </row>
    <row r="374" spans="2:10" ht="12.75">
      <c r="B374" s="28"/>
      <c r="J374" s="15"/>
    </row>
    <row r="375" spans="2:10" ht="12.75">
      <c r="B375" s="28"/>
      <c r="J375" s="15"/>
    </row>
    <row r="376" spans="2:10" ht="12.75">
      <c r="B376" s="28"/>
      <c r="J376" s="15"/>
    </row>
    <row r="377" spans="2:10" ht="12.75">
      <c r="B377" s="28"/>
      <c r="J377" s="15"/>
    </row>
    <row r="378" spans="2:10" ht="12.75">
      <c r="B378" s="28"/>
      <c r="J378" s="15"/>
    </row>
    <row r="379" spans="2:10" ht="12.75">
      <c r="B379" s="28"/>
      <c r="J379" s="15"/>
    </row>
    <row r="380" spans="2:10" ht="12.75">
      <c r="B380" s="28"/>
      <c r="J380" s="15"/>
    </row>
    <row r="381" spans="2:10" ht="12.75">
      <c r="B381" s="28"/>
      <c r="J381" s="15"/>
    </row>
    <row r="382" spans="2:10" ht="12.75">
      <c r="B382" s="28"/>
      <c r="J382" s="15"/>
    </row>
    <row r="383" spans="2:10" ht="12.75">
      <c r="B383" s="28"/>
      <c r="J383" s="15"/>
    </row>
    <row r="384" spans="2:10" ht="12.75">
      <c r="B384" s="28"/>
      <c r="J384" s="15"/>
    </row>
    <row r="385" spans="2:10" ht="12.75">
      <c r="B385" s="28"/>
      <c r="J385" s="15"/>
    </row>
    <row r="386" spans="2:10" ht="12.75">
      <c r="B386" s="28"/>
      <c r="J386" s="15"/>
    </row>
    <row r="387" spans="2:10" ht="12.75">
      <c r="B387" s="28"/>
      <c r="J387" s="15"/>
    </row>
    <row r="388" spans="2:10" ht="12.75">
      <c r="B388" s="28"/>
      <c r="J388" s="15"/>
    </row>
    <row r="389" spans="2:10" ht="12.75">
      <c r="B389" s="28"/>
      <c r="J389" s="15"/>
    </row>
    <row r="390" spans="2:10" ht="12.75">
      <c r="B390" s="28"/>
      <c r="J390" s="15"/>
    </row>
    <row r="391" spans="2:10" ht="12.75">
      <c r="B391" s="28"/>
      <c r="J391" s="15"/>
    </row>
    <row r="392" spans="2:10" ht="12.75">
      <c r="B392" s="28"/>
      <c r="J392" s="15"/>
    </row>
    <row r="393" spans="2:10" ht="12.75">
      <c r="B393" s="28"/>
      <c r="J393" s="15"/>
    </row>
    <row r="394" spans="2:10" ht="12.75">
      <c r="B394" s="28"/>
      <c r="J394" s="15"/>
    </row>
    <row r="395" spans="2:10" ht="12.75">
      <c r="B395" s="28"/>
      <c r="J395" s="15"/>
    </row>
    <row r="396" spans="2:10" ht="12.75">
      <c r="B396" s="28"/>
      <c r="J396" s="15"/>
    </row>
    <row r="397" spans="2:10" ht="12.75">
      <c r="B397" s="28"/>
      <c r="J397" s="15"/>
    </row>
    <row r="398" spans="2:10" ht="12.75">
      <c r="B398" s="28"/>
      <c r="J398" s="15"/>
    </row>
    <row r="399" spans="2:10" ht="12.75">
      <c r="B399" s="28"/>
      <c r="J399" s="15"/>
    </row>
    <row r="400" spans="2:10" ht="12.75">
      <c r="B400" s="28"/>
      <c r="J400" s="15"/>
    </row>
    <row r="401" spans="2:10" ht="12.75">
      <c r="B401" s="28"/>
      <c r="J401" s="15"/>
    </row>
    <row r="402" spans="2:10" ht="12.75">
      <c r="B402" s="28"/>
      <c r="J402" s="15"/>
    </row>
    <row r="403" spans="2:10" ht="12.75">
      <c r="B403" s="28"/>
      <c r="J403" s="15"/>
    </row>
    <row r="404" spans="2:10" ht="12.75">
      <c r="B404" s="28"/>
      <c r="J404" s="15"/>
    </row>
    <row r="405" spans="2:10" ht="12.75">
      <c r="B405" s="28"/>
      <c r="J405" s="15"/>
    </row>
    <row r="406" spans="2:10" ht="12.75">
      <c r="B406" s="28"/>
      <c r="J406" s="15"/>
    </row>
    <row r="407" spans="2:10" ht="12.75">
      <c r="B407" s="28"/>
      <c r="J407" s="15"/>
    </row>
    <row r="408" spans="2:10" ht="12.75">
      <c r="B408" s="28"/>
      <c r="J408" s="15"/>
    </row>
    <row r="409" spans="2:10" ht="12.75">
      <c r="B409" s="28"/>
      <c r="J409" s="15"/>
    </row>
    <row r="410" spans="2:10" ht="12.75">
      <c r="B410" s="28"/>
      <c r="J410" s="15"/>
    </row>
    <row r="411" spans="2:10" ht="12.75">
      <c r="B411" s="28"/>
      <c r="J411" s="15"/>
    </row>
    <row r="412" spans="2:10" ht="12.75">
      <c r="B412" s="28"/>
      <c r="J412" s="15"/>
    </row>
    <row r="413" spans="2:10" ht="12.75">
      <c r="B413" s="28"/>
      <c r="J413" s="15"/>
    </row>
    <row r="414" spans="2:10" ht="12.75">
      <c r="B414" s="28"/>
      <c r="J414" s="15"/>
    </row>
    <row r="415" spans="2:10" ht="12.75">
      <c r="B415" s="28"/>
      <c r="J415" s="15"/>
    </row>
    <row r="416" spans="2:10" ht="12.75">
      <c r="B416" s="28"/>
      <c r="J416" s="15"/>
    </row>
    <row r="417" spans="2:10" ht="12.75">
      <c r="B417" s="28"/>
      <c r="J417" s="15"/>
    </row>
    <row r="418" spans="2:10" ht="12.75">
      <c r="B418" s="28"/>
      <c r="J418" s="15"/>
    </row>
    <row r="419" spans="2:10" ht="12.75">
      <c r="B419" s="28"/>
      <c r="J419" s="15"/>
    </row>
    <row r="420" spans="2:10" ht="12.75">
      <c r="B420" s="28"/>
      <c r="J420" s="15"/>
    </row>
    <row r="421" spans="2:10" ht="12.75">
      <c r="B421" s="28"/>
      <c r="J421" s="15"/>
    </row>
    <row r="422" spans="2:10" ht="12.75">
      <c r="B422" s="28"/>
      <c r="J422" s="15"/>
    </row>
    <row r="423" spans="2:10" ht="12.75">
      <c r="B423" s="28"/>
      <c r="J423" s="15"/>
    </row>
    <row r="424" spans="2:10" ht="12.75">
      <c r="B424" s="28"/>
      <c r="J424" s="15"/>
    </row>
    <row r="425" spans="2:10" ht="12.75">
      <c r="B425" s="28"/>
      <c r="J425" s="15"/>
    </row>
    <row r="426" spans="2:10" ht="12.75">
      <c r="B426" s="28"/>
      <c r="J426" s="15"/>
    </row>
    <row r="427" spans="2:10" ht="12.75">
      <c r="B427" s="28"/>
      <c r="J427" s="15"/>
    </row>
    <row r="428" spans="2:10" ht="12.75">
      <c r="B428" s="28"/>
      <c r="J428" s="15"/>
    </row>
    <row r="429" spans="2:10" ht="12.75">
      <c r="B429" s="28"/>
      <c r="J429" s="15"/>
    </row>
    <row r="430" spans="2:10" ht="12.75">
      <c r="B430" s="28"/>
      <c r="J430" s="15"/>
    </row>
    <row r="431" spans="2:10" ht="12.75">
      <c r="B431" s="28"/>
      <c r="J431" s="15"/>
    </row>
    <row r="432" spans="2:10" ht="12.75">
      <c r="B432" s="28"/>
      <c r="J432" s="15"/>
    </row>
    <row r="433" spans="2:10" ht="12.75">
      <c r="B433" s="28"/>
      <c r="J433" s="15"/>
    </row>
    <row r="434" spans="2:10" ht="12.75">
      <c r="B434" s="28"/>
      <c r="J434" s="15"/>
    </row>
    <row r="435" spans="2:10" ht="12.75">
      <c r="B435" s="28"/>
      <c r="J435" s="15"/>
    </row>
    <row r="436" spans="2:10" ht="12.75">
      <c r="B436" s="28"/>
      <c r="J436" s="15"/>
    </row>
    <row r="437" spans="2:10" ht="12.75">
      <c r="B437" s="28"/>
      <c r="J437" s="15"/>
    </row>
    <row r="438" spans="2:10" ht="12.75">
      <c r="B438" s="28"/>
      <c r="J438" s="15"/>
    </row>
    <row r="439" spans="2:10" ht="12.75">
      <c r="B439" s="28"/>
      <c r="J439" s="15"/>
    </row>
    <row r="440" spans="2:10" ht="12.75">
      <c r="B440" s="28"/>
      <c r="J440" s="15"/>
    </row>
    <row r="441" spans="2:10" ht="12.75">
      <c r="B441" s="28"/>
      <c r="J441" s="15"/>
    </row>
    <row r="442" spans="2:10" ht="12.75">
      <c r="B442" s="28"/>
      <c r="J442" s="15"/>
    </row>
    <row r="443" spans="2:10" ht="12.75">
      <c r="B443" s="28"/>
      <c r="J443" s="15"/>
    </row>
    <row r="444" spans="2:10" ht="12.75">
      <c r="B444" s="28"/>
      <c r="J444" s="15"/>
    </row>
    <row r="445" spans="2:10" ht="12.75">
      <c r="B445" s="28"/>
      <c r="J445" s="15"/>
    </row>
    <row r="446" spans="2:10" ht="12.75">
      <c r="B446" s="28"/>
      <c r="J446" s="15"/>
    </row>
    <row r="447" spans="2:10" ht="12.75">
      <c r="B447" s="28"/>
      <c r="J447" s="15"/>
    </row>
    <row r="448" spans="2:10" ht="12.75">
      <c r="B448" s="28"/>
      <c r="J448" s="15"/>
    </row>
    <row r="449" spans="2:10" ht="12.75">
      <c r="B449" s="28"/>
      <c r="J449" s="15"/>
    </row>
    <row r="450" spans="2:10" ht="12.75">
      <c r="B450" s="28"/>
      <c r="J450" s="15"/>
    </row>
    <row r="451" spans="2:10" ht="12.75">
      <c r="B451" s="28"/>
      <c r="J451" s="15"/>
    </row>
    <row r="452" spans="2:10" ht="12.75">
      <c r="B452" s="28"/>
      <c r="J452" s="15"/>
    </row>
    <row r="453" spans="2:10" ht="12.75">
      <c r="B453" s="28"/>
      <c r="J453" s="15"/>
    </row>
    <row r="454" spans="2:10" ht="12.75">
      <c r="B454" s="28"/>
      <c r="J454" s="15"/>
    </row>
    <row r="455" spans="2:10" ht="12.75">
      <c r="B455" s="28"/>
      <c r="J455" s="15"/>
    </row>
    <row r="456" spans="2:10" ht="12.75">
      <c r="B456" s="28"/>
      <c r="J456" s="15"/>
    </row>
    <row r="457" spans="2:10" ht="12.75">
      <c r="B457" s="28"/>
      <c r="J457" s="15"/>
    </row>
    <row r="458" spans="2:10" ht="12.75">
      <c r="B458" s="28"/>
      <c r="J458" s="15"/>
    </row>
    <row r="459" spans="2:10" ht="12.75">
      <c r="B459" s="28"/>
      <c r="J459" s="15"/>
    </row>
    <row r="460" spans="2:10" ht="12.75">
      <c r="B460" s="28"/>
      <c r="J460" s="15"/>
    </row>
    <row r="461" spans="2:10" ht="12.75">
      <c r="B461" s="28"/>
      <c r="J461" s="15"/>
    </row>
    <row r="462" spans="2:10" ht="12.75">
      <c r="B462" s="28"/>
      <c r="J462" s="15"/>
    </row>
    <row r="463" spans="2:10" ht="12.75">
      <c r="B463" s="28"/>
      <c r="J463" s="15"/>
    </row>
    <row r="464" spans="2:10" ht="12.75">
      <c r="B464" s="28"/>
      <c r="J464" s="15"/>
    </row>
    <row r="465" spans="2:10" ht="12.75">
      <c r="B465" s="28"/>
      <c r="J465" s="15"/>
    </row>
    <row r="466" spans="2:10" ht="12.75">
      <c r="B466" s="28"/>
      <c r="J466" s="15"/>
    </row>
    <row r="467" spans="2:10" ht="12.75">
      <c r="B467" s="28"/>
      <c r="J467" s="15"/>
    </row>
    <row r="468" spans="2:10" ht="12.75">
      <c r="B468" s="28"/>
      <c r="J468" s="15"/>
    </row>
    <row r="469" spans="2:10" ht="12.75">
      <c r="B469" s="28"/>
      <c r="J469" s="15"/>
    </row>
    <row r="470" spans="2:10" ht="12.75">
      <c r="B470" s="28"/>
      <c r="J470" s="15"/>
    </row>
    <row r="471" spans="2:10" ht="12.75">
      <c r="B471" s="28"/>
      <c r="J471" s="15"/>
    </row>
    <row r="472" spans="2:10" ht="12.75">
      <c r="B472" s="28"/>
      <c r="J472" s="15"/>
    </row>
    <row r="473" spans="2:10" ht="12.75">
      <c r="B473" s="28"/>
      <c r="J473" s="15"/>
    </row>
    <row r="474" spans="2:10" ht="12.75">
      <c r="B474" s="28"/>
      <c r="J474" s="15"/>
    </row>
    <row r="475" spans="2:10" ht="12.75">
      <c r="B475" s="28"/>
      <c r="J475" s="15"/>
    </row>
    <row r="476" spans="2:10" ht="12.75">
      <c r="B476" s="28"/>
      <c r="J476" s="15"/>
    </row>
    <row r="477" spans="2:10" ht="12.75">
      <c r="B477" s="28"/>
      <c r="J477" s="15"/>
    </row>
    <row r="478" spans="2:10" ht="12.75">
      <c r="B478" s="28"/>
      <c r="J478" s="15"/>
    </row>
    <row r="479" spans="2:10" ht="12.75">
      <c r="B479" s="28"/>
      <c r="J479" s="15"/>
    </row>
    <row r="480" spans="2:10" ht="12.75">
      <c r="B480" s="28"/>
      <c r="J480" s="15"/>
    </row>
    <row r="481" spans="2:10" ht="12.75">
      <c r="B481" s="28"/>
      <c r="J481" s="15"/>
    </row>
    <row r="482" spans="2:10" ht="12.75">
      <c r="B482" s="28"/>
      <c r="J482" s="15"/>
    </row>
    <row r="483" spans="2:10" ht="12.75">
      <c r="B483" s="28"/>
      <c r="J483" s="15"/>
    </row>
    <row r="484" spans="2:10" ht="12.75">
      <c r="B484" s="28"/>
      <c r="J484" s="15"/>
    </row>
    <row r="485" spans="2:10" ht="12.75">
      <c r="B485" s="28"/>
      <c r="J485" s="15"/>
    </row>
    <row r="486" spans="2:10" ht="12.75">
      <c r="B486" s="28"/>
      <c r="J486" s="15"/>
    </row>
    <row r="487" spans="2:10" ht="12.75">
      <c r="B487" s="28"/>
      <c r="J487" s="15"/>
    </row>
    <row r="488" spans="2:10" ht="12.75">
      <c r="B488" s="28"/>
      <c r="J488" s="15"/>
    </row>
    <row r="489" spans="2:10" ht="12.75">
      <c r="B489" s="28"/>
      <c r="J489" s="15"/>
    </row>
    <row r="490" spans="2:10" ht="12.75">
      <c r="B490" s="28"/>
      <c r="J490" s="15"/>
    </row>
    <row r="491" spans="2:10" ht="12.75">
      <c r="B491" s="28"/>
      <c r="J491" s="15"/>
    </row>
    <row r="492" spans="2:10" ht="12.75">
      <c r="B492" s="28"/>
      <c r="J492" s="15"/>
    </row>
    <row r="493" spans="2:10" ht="12.75">
      <c r="B493" s="28"/>
      <c r="J493" s="15"/>
    </row>
    <row r="494" spans="2:10" ht="12.75">
      <c r="B494" s="28"/>
      <c r="J494" s="15"/>
    </row>
    <row r="495" spans="2:10" ht="12.75">
      <c r="B495" s="28"/>
      <c r="J495" s="15"/>
    </row>
    <row r="496" spans="2:10" ht="12.75">
      <c r="B496" s="28"/>
      <c r="J496" s="15"/>
    </row>
    <row r="497" spans="2:10" ht="12.75">
      <c r="B497" s="28"/>
      <c r="J497" s="15"/>
    </row>
    <row r="498" spans="2:10" ht="12.75">
      <c r="B498" s="28"/>
      <c r="J498" s="15"/>
    </row>
    <row r="499" spans="2:10" ht="12.75">
      <c r="B499" s="28"/>
      <c r="J499" s="15"/>
    </row>
    <row r="500" spans="2:10" ht="12.75">
      <c r="B500" s="28"/>
      <c r="J500" s="15"/>
    </row>
    <row r="501" spans="2:10" ht="12.75">
      <c r="B501" s="28"/>
      <c r="J501" s="15"/>
    </row>
    <row r="502" spans="2:10" ht="12.75">
      <c r="B502" s="28"/>
      <c r="J502" s="15"/>
    </row>
    <row r="503" spans="2:10" ht="12.75">
      <c r="B503" s="28"/>
      <c r="J503" s="15"/>
    </row>
    <row r="504" spans="2:10" ht="12.75">
      <c r="B504" s="28"/>
      <c r="J504" s="15"/>
    </row>
    <row r="505" spans="2:10" ht="12.75">
      <c r="B505" s="28"/>
      <c r="J505" s="15"/>
    </row>
    <row r="506" spans="2:10" ht="12.75">
      <c r="B506" s="28"/>
      <c r="J506" s="15"/>
    </row>
    <row r="507" spans="2:10" ht="12.75">
      <c r="B507" s="28"/>
      <c r="J507" s="15"/>
    </row>
    <row r="508" spans="2:10" ht="12.75">
      <c r="B508" s="28"/>
      <c r="J508" s="15"/>
    </row>
    <row r="509" spans="2:10" ht="12.75">
      <c r="B509" s="28"/>
      <c r="J509" s="15"/>
    </row>
    <row r="510" spans="2:10" ht="12.75">
      <c r="B510" s="28"/>
      <c r="J510" s="15"/>
    </row>
    <row r="511" spans="2:10" ht="12.75">
      <c r="B511" s="28"/>
      <c r="J511" s="15"/>
    </row>
    <row r="512" spans="2:10" ht="12.75">
      <c r="B512" s="28"/>
      <c r="J512" s="15"/>
    </row>
    <row r="513" spans="2:10" ht="12.75">
      <c r="B513" s="28"/>
      <c r="J513" s="15"/>
    </row>
    <row r="514" spans="2:10" ht="12.75">
      <c r="B514" s="28"/>
      <c r="J514" s="15"/>
    </row>
    <row r="515" spans="2:10" ht="12.75">
      <c r="B515" s="28"/>
      <c r="J515" s="15"/>
    </row>
    <row r="516" spans="2:10" ht="12.75">
      <c r="B516" s="28"/>
      <c r="J516" s="15"/>
    </row>
    <row r="517" spans="2:10" ht="12.75">
      <c r="B517" s="28"/>
      <c r="J517" s="15"/>
    </row>
    <row r="518" spans="2:10" ht="12.75">
      <c r="B518" s="28"/>
      <c r="J518" s="15"/>
    </row>
    <row r="519" spans="2:10" ht="12.75">
      <c r="B519" s="28"/>
      <c r="J519" s="15"/>
    </row>
    <row r="520" spans="2:10" ht="12.75">
      <c r="B520" s="28"/>
      <c r="J520" s="15"/>
    </row>
    <row r="521" spans="2:10" ht="12.75">
      <c r="B521" s="28"/>
      <c r="J521" s="15"/>
    </row>
    <row r="522" spans="2:10" ht="12.75">
      <c r="B522" s="28"/>
      <c r="J522" s="15"/>
    </row>
    <row r="523" spans="2:10" ht="12.75">
      <c r="B523" s="28"/>
      <c r="J523" s="15"/>
    </row>
    <row r="524" spans="2:10" ht="12.75">
      <c r="B524" s="28"/>
      <c r="J524" s="15"/>
    </row>
    <row r="525" spans="2:10" ht="12.75">
      <c r="B525" s="28"/>
      <c r="J525" s="15"/>
    </row>
    <row r="526" spans="2:10" ht="12.75">
      <c r="B526" s="28"/>
      <c r="J526" s="15"/>
    </row>
    <row r="527" spans="2:10" ht="12.75">
      <c r="B527" s="28"/>
      <c r="J527" s="15"/>
    </row>
    <row r="528" spans="2:10" ht="12.75">
      <c r="B528" s="28"/>
      <c r="J528" s="15"/>
    </row>
    <row r="529" spans="2:10" ht="12.75">
      <c r="B529" s="28"/>
      <c r="J529" s="15"/>
    </row>
    <row r="530" spans="2:10" ht="12.75">
      <c r="B530" s="28"/>
      <c r="J530" s="15"/>
    </row>
    <row r="531" spans="2:10" ht="12.75">
      <c r="B531" s="28"/>
      <c r="J531" s="15"/>
    </row>
    <row r="532" spans="2:10" ht="12.75">
      <c r="B532" s="28"/>
      <c r="J532" s="15"/>
    </row>
    <row r="533" spans="2:10" ht="12.75">
      <c r="B533" s="28"/>
      <c r="J533" s="15"/>
    </row>
    <row r="534" spans="2:10" ht="12.75">
      <c r="B534" s="28"/>
      <c r="J534" s="15"/>
    </row>
    <row r="535" spans="2:10" ht="12.75">
      <c r="B535" s="28"/>
      <c r="J535" s="15"/>
    </row>
    <row r="536" spans="2:10" ht="12.75">
      <c r="B536" s="28"/>
      <c r="J536" s="15"/>
    </row>
    <row r="537" spans="2:10" ht="12.75">
      <c r="B537" s="28"/>
      <c r="J537" s="15"/>
    </row>
    <row r="538" spans="2:10" ht="12.75">
      <c r="B538" s="28"/>
      <c r="J538" s="15"/>
    </row>
    <row r="539" spans="2:10" ht="12.75">
      <c r="B539" s="28"/>
      <c r="J539" s="15"/>
    </row>
    <row r="540" spans="2:10" ht="12.75">
      <c r="B540" s="28"/>
      <c r="J540" s="15"/>
    </row>
    <row r="541" spans="2:10" ht="12.75">
      <c r="B541" s="28"/>
      <c r="J541" s="15"/>
    </row>
    <row r="542" spans="2:10" ht="12.75">
      <c r="B542" s="28"/>
      <c r="J542" s="15"/>
    </row>
    <row r="543" spans="2:10" ht="12.75">
      <c r="B543" s="28"/>
      <c r="J543" s="15"/>
    </row>
    <row r="544" spans="2:10" ht="12.75">
      <c r="B544" s="28"/>
      <c r="J544" s="15"/>
    </row>
    <row r="545" spans="2:10" ht="12.75">
      <c r="B545" s="28"/>
      <c r="J545" s="15"/>
    </row>
    <row r="546" spans="2:10" ht="12.75">
      <c r="B546" s="28"/>
      <c r="J546" s="15"/>
    </row>
    <row r="547" spans="2:10" ht="12.75">
      <c r="B547" s="28"/>
      <c r="J547" s="15"/>
    </row>
    <row r="548" spans="2:10" ht="12.75">
      <c r="B548" s="28"/>
      <c r="J548" s="15"/>
    </row>
    <row r="549" spans="2:10" ht="12.75">
      <c r="B549" s="28"/>
      <c r="J549" s="15"/>
    </row>
    <row r="550" spans="2:10" ht="12.75">
      <c r="B550" s="28"/>
      <c r="J550" s="15"/>
    </row>
    <row r="551" spans="2:10" ht="12.75">
      <c r="B551" s="28"/>
      <c r="J551" s="15"/>
    </row>
    <row r="552" spans="2:10" ht="12.75">
      <c r="B552" s="28"/>
      <c r="J552" s="15"/>
    </row>
    <row r="553" spans="2:10" ht="12.75">
      <c r="B553" s="28"/>
      <c r="J553" s="15"/>
    </row>
    <row r="554" spans="2:10" ht="12.75">
      <c r="B554" s="28"/>
      <c r="J554" s="15"/>
    </row>
    <row r="555" spans="2:10" ht="12.75">
      <c r="B555" s="28"/>
      <c r="J555" s="15"/>
    </row>
    <row r="556" spans="2:10" ht="12.75">
      <c r="B556" s="28"/>
      <c r="J556" s="15"/>
    </row>
    <row r="557" spans="2:10" ht="12.75">
      <c r="B557" s="28"/>
      <c r="J557" s="15"/>
    </row>
    <row r="558" spans="2:10" ht="12.75">
      <c r="B558" s="28"/>
      <c r="J558" s="15"/>
    </row>
    <row r="559" spans="2:10" ht="12.75">
      <c r="B559" s="28"/>
      <c r="J559" s="15"/>
    </row>
    <row r="560" spans="2:10" ht="12.75">
      <c r="B560" s="28"/>
      <c r="J560" s="15"/>
    </row>
    <row r="561" spans="2:10" ht="12.75">
      <c r="B561" s="28"/>
      <c r="J561" s="15"/>
    </row>
    <row r="562" spans="2:10" ht="12.75">
      <c r="B562" s="28"/>
      <c r="J562" s="15"/>
    </row>
    <row r="563" spans="2:10" ht="12.75">
      <c r="B563" s="28"/>
      <c r="J563" s="15"/>
    </row>
    <row r="564" spans="2:10" ht="12.75">
      <c r="B564" s="28"/>
      <c r="J564" s="15"/>
    </row>
    <row r="565" spans="2:10" ht="12.75">
      <c r="B565" s="28"/>
      <c r="J565" s="15"/>
    </row>
    <row r="566" spans="2:10" ht="12.75">
      <c r="B566" s="28"/>
      <c r="J566" s="15"/>
    </row>
    <row r="567" spans="2:10" ht="12.75">
      <c r="B567" s="28"/>
      <c r="J567" s="15"/>
    </row>
    <row r="568" spans="2:10" ht="12.75">
      <c r="B568" s="28"/>
      <c r="J568" s="15"/>
    </row>
    <row r="569" spans="2:10" ht="12.75">
      <c r="B569" s="28"/>
      <c r="J569" s="15"/>
    </row>
    <row r="570" spans="2:10" ht="12.75">
      <c r="B570" s="28"/>
      <c r="J570" s="15"/>
    </row>
    <row r="571" spans="2:10" ht="12.75">
      <c r="B571" s="28"/>
      <c r="J571" s="15"/>
    </row>
    <row r="572" spans="2:10" ht="12.75">
      <c r="B572" s="28"/>
      <c r="J572" s="15"/>
    </row>
    <row r="573" spans="2:10" ht="12.75">
      <c r="B573" s="28"/>
      <c r="J573" s="15"/>
    </row>
    <row r="574" spans="2:10" ht="12.75">
      <c r="B574" s="28"/>
      <c r="J574" s="15"/>
    </row>
    <row r="575" spans="2:10" ht="12.75">
      <c r="B575" s="28"/>
      <c r="J575" s="15"/>
    </row>
    <row r="576" spans="2:10" ht="12.75">
      <c r="B576" s="28"/>
      <c r="J576" s="15"/>
    </row>
    <row r="577" spans="2:10" ht="12.75">
      <c r="B577" s="28"/>
      <c r="J577" s="15"/>
    </row>
    <row r="578" spans="2:10" ht="12.75">
      <c r="B578" s="28"/>
      <c r="J578" s="15"/>
    </row>
    <row r="579" spans="2:10" ht="12.75">
      <c r="B579" s="28"/>
      <c r="J579" s="15"/>
    </row>
    <row r="580" spans="2:10" ht="12.75">
      <c r="B580" s="28"/>
      <c r="J580" s="15"/>
    </row>
    <row r="581" spans="2:10" ht="12.75">
      <c r="B581" s="28"/>
      <c r="J581" s="15"/>
    </row>
    <row r="582" spans="2:10" ht="12.75">
      <c r="B582" s="28"/>
      <c r="J582" s="15"/>
    </row>
    <row r="583" spans="2:10" ht="12.75">
      <c r="B583" s="28"/>
      <c r="J583" s="15"/>
    </row>
    <row r="584" spans="2:10" ht="12.75">
      <c r="B584" s="28"/>
      <c r="J584" s="15"/>
    </row>
    <row r="585" spans="2:10" ht="12.75">
      <c r="B585" s="28"/>
      <c r="J585" s="15"/>
    </row>
    <row r="586" spans="2:10" ht="12.75">
      <c r="B586" s="28"/>
      <c r="J586" s="15"/>
    </row>
    <row r="587" spans="2:10" ht="12.75">
      <c r="B587" s="28"/>
      <c r="J587" s="15"/>
    </row>
    <row r="588" spans="2:10" ht="12.75">
      <c r="B588" s="28"/>
      <c r="J588" s="15"/>
    </row>
    <row r="589" spans="2:10" ht="12.75">
      <c r="B589" s="28"/>
      <c r="J589" s="15"/>
    </row>
    <row r="590" spans="2:10" ht="12.75">
      <c r="B590" s="28"/>
      <c r="J590" s="15"/>
    </row>
    <row r="591" spans="2:10" ht="12.75">
      <c r="B591" s="28"/>
      <c r="J591" s="15"/>
    </row>
    <row r="592" spans="2:10" ht="12.75">
      <c r="B592" s="28"/>
      <c r="J592" s="15"/>
    </row>
    <row r="593" spans="2:10" ht="12.75">
      <c r="B593" s="28"/>
      <c r="J593" s="15"/>
    </row>
    <row r="594" spans="2:10" ht="12.75">
      <c r="B594" s="28"/>
      <c r="J594" s="15"/>
    </row>
    <row r="595" spans="2:10" ht="12.75">
      <c r="B595" s="28"/>
      <c r="J595" s="15"/>
    </row>
    <row r="596" spans="2:10" ht="12.75">
      <c r="B596" s="28"/>
      <c r="J596" s="15"/>
    </row>
    <row r="597" spans="2:10" ht="12.75">
      <c r="B597" s="28"/>
      <c r="J597" s="15"/>
    </row>
    <row r="598" spans="2:10" ht="12.75">
      <c r="B598" s="28"/>
      <c r="J598" s="15"/>
    </row>
    <row r="599" spans="2:10" ht="12.75">
      <c r="B599" s="28"/>
      <c r="J599" s="15"/>
    </row>
    <row r="600" spans="2:10" ht="12.75">
      <c r="B600" s="28"/>
      <c r="J600" s="15"/>
    </row>
    <row r="601" spans="2:10" ht="12.75">
      <c r="B601" s="28"/>
      <c r="J601" s="15"/>
    </row>
    <row r="602" spans="2:10" ht="12.75">
      <c r="B602" s="28"/>
      <c r="J602" s="15"/>
    </row>
    <row r="603" spans="2:10" ht="12.75">
      <c r="B603" s="28"/>
      <c r="J603" s="15"/>
    </row>
    <row r="604" spans="2:10" ht="12.75">
      <c r="B604" s="28"/>
      <c r="J604" s="15"/>
    </row>
    <row r="605" spans="2:10" ht="12.75">
      <c r="B605" s="28"/>
      <c r="J605" s="15"/>
    </row>
    <row r="606" spans="2:10" ht="12.75">
      <c r="B606" s="28"/>
      <c r="J606" s="15"/>
    </row>
    <row r="607" spans="2:10" ht="12.75">
      <c r="B607" s="28"/>
      <c r="J607" s="15"/>
    </row>
    <row r="608" spans="2:10" ht="12.75">
      <c r="B608" s="28"/>
      <c r="J608" s="15"/>
    </row>
    <row r="609" spans="2:10" ht="12.75">
      <c r="B609" s="28"/>
      <c r="J609" s="15"/>
    </row>
    <row r="610" spans="2:10" ht="12.75">
      <c r="B610" s="28"/>
      <c r="J610" s="15"/>
    </row>
    <row r="611" spans="2:10" ht="12.75">
      <c r="B611" s="28"/>
      <c r="J611" s="15"/>
    </row>
    <row r="612" spans="2:10" ht="12.75">
      <c r="B612" s="28"/>
      <c r="J612" s="15"/>
    </row>
    <row r="613" spans="2:10" ht="12.75">
      <c r="B613" s="28"/>
      <c r="J613" s="15"/>
    </row>
    <row r="614" spans="2:10" ht="12.75">
      <c r="B614" s="28"/>
      <c r="J614" s="15"/>
    </row>
    <row r="615" spans="2:10" ht="12.75">
      <c r="B615" s="28"/>
      <c r="J615" s="15"/>
    </row>
    <row r="616" spans="2:10" ht="12.75">
      <c r="B616" s="28"/>
      <c r="J616" s="15"/>
    </row>
    <row r="617" spans="2:10" ht="12.75">
      <c r="B617" s="28"/>
      <c r="J617" s="15"/>
    </row>
    <row r="618" spans="2:10" ht="12.75">
      <c r="B618" s="28"/>
      <c r="J618" s="15"/>
    </row>
    <row r="619" spans="2:10" ht="12.75">
      <c r="B619" s="28"/>
      <c r="J619" s="15"/>
    </row>
    <row r="620" spans="2:10" ht="12.75">
      <c r="B620" s="28"/>
      <c r="J620" s="15"/>
    </row>
    <row r="621" spans="2:10" ht="12.75">
      <c r="B621" s="28"/>
      <c r="J621" s="15"/>
    </row>
    <row r="622" spans="2:10" ht="12.75">
      <c r="B622" s="28"/>
      <c r="J622" s="15"/>
    </row>
    <row r="623" spans="2:10" ht="12.75">
      <c r="B623" s="28"/>
      <c r="J623" s="15"/>
    </row>
    <row r="624" spans="2:10" ht="12.75">
      <c r="B624" s="28"/>
      <c r="J624" s="15"/>
    </row>
    <row r="625" spans="2:10" ht="12.75">
      <c r="B625" s="28"/>
      <c r="J625" s="15"/>
    </row>
    <row r="626" spans="2:10" ht="12.75">
      <c r="B626" s="28"/>
      <c r="J626" s="15"/>
    </row>
    <row r="627" spans="2:10" ht="12.75">
      <c r="B627" s="28"/>
      <c r="J627" s="15"/>
    </row>
    <row r="628" spans="2:10" ht="12.75">
      <c r="B628" s="28"/>
      <c r="J628" s="15"/>
    </row>
    <row r="629" spans="2:10" ht="12.75">
      <c r="B629" s="28"/>
      <c r="J629" s="15"/>
    </row>
    <row r="630" spans="2:10" ht="12.75">
      <c r="B630" s="28"/>
      <c r="J630" s="15"/>
    </row>
    <row r="631" spans="2:10" ht="12.75">
      <c r="B631" s="28"/>
      <c r="J631" s="15"/>
    </row>
    <row r="632" spans="2:10" ht="12.75">
      <c r="B632" s="28"/>
      <c r="J632" s="15"/>
    </row>
    <row r="633" spans="2:10" ht="12.75">
      <c r="B633" s="28"/>
      <c r="J633" s="15"/>
    </row>
    <row r="634" spans="2:10" ht="12.75">
      <c r="B634" s="28"/>
      <c r="J634" s="15"/>
    </row>
    <row r="635" spans="2:10" ht="12.75">
      <c r="B635" s="28"/>
      <c r="J635" s="15"/>
    </row>
    <row r="636" spans="2:10" ht="12.75">
      <c r="B636" s="28"/>
      <c r="J636" s="15"/>
    </row>
    <row r="637" spans="2:10" ht="12.75">
      <c r="B637" s="28"/>
      <c r="J637" s="15"/>
    </row>
    <row r="638" spans="2:10" ht="12.75">
      <c r="B638" s="28"/>
      <c r="J638" s="15"/>
    </row>
    <row r="639" spans="2:10" ht="12.75">
      <c r="B639" s="28"/>
      <c r="J639" s="15"/>
    </row>
    <row r="640" spans="2:10" ht="12.75">
      <c r="B640" s="28"/>
      <c r="J640" s="15"/>
    </row>
    <row r="641" spans="2:10" ht="12.75">
      <c r="B641" s="28"/>
      <c r="J641" s="15"/>
    </row>
    <row r="642" spans="2:10" ht="12.75">
      <c r="B642" s="28"/>
      <c r="J642" s="15"/>
    </row>
    <row r="643" spans="2:10" ht="12.75">
      <c r="B643" s="28"/>
      <c r="J643" s="15"/>
    </row>
    <row r="644" spans="2:10" ht="12.75">
      <c r="B644" s="28"/>
      <c r="J644" s="15"/>
    </row>
    <row r="645" spans="2:10" ht="12.75">
      <c r="B645" s="28"/>
      <c r="J645" s="15"/>
    </row>
    <row r="646" spans="2:10" ht="12.75">
      <c r="B646" s="28"/>
      <c r="J646" s="15"/>
    </row>
    <row r="647" spans="2:10" ht="12.75">
      <c r="B647" s="28"/>
      <c r="J647" s="15"/>
    </row>
    <row r="648" spans="2:10" ht="12.75">
      <c r="B648" s="28"/>
      <c r="J648" s="15"/>
    </row>
    <row r="649" spans="2:10" ht="12.75">
      <c r="B649" s="28"/>
      <c r="J649" s="15"/>
    </row>
    <row r="650" spans="2:10" ht="12.75">
      <c r="B650" s="28"/>
      <c r="J650" s="15"/>
    </row>
    <row r="651" spans="2:10" ht="12.75">
      <c r="B651" s="28"/>
      <c r="J651" s="15"/>
    </row>
    <row r="652" spans="2:10" ht="12.75">
      <c r="B652" s="28"/>
      <c r="J652" s="15"/>
    </row>
    <row r="653" spans="2:10" ht="12.75">
      <c r="B653" s="28"/>
      <c r="J653" s="15"/>
    </row>
    <row r="654" spans="2:10" ht="12.75">
      <c r="B654" s="28"/>
      <c r="J654" s="15"/>
    </row>
    <row r="655" spans="2:10" ht="12.75">
      <c r="B655" s="28"/>
      <c r="J655" s="15"/>
    </row>
    <row r="656" spans="2:10" ht="12.75">
      <c r="B656" s="28"/>
      <c r="J656" s="15"/>
    </row>
    <row r="657" spans="2:10" ht="12.75">
      <c r="B657" s="28"/>
      <c r="J657" s="15"/>
    </row>
    <row r="658" spans="2:10" ht="12.75">
      <c r="B658" s="28"/>
      <c r="J658" s="15"/>
    </row>
    <row r="659" spans="2:10" ht="12.75">
      <c r="B659" s="28"/>
      <c r="J659" s="15"/>
    </row>
    <row r="660" spans="2:10" ht="12.75">
      <c r="B660" s="28"/>
      <c r="J660" s="15"/>
    </row>
    <row r="661" spans="2:10" ht="12.75">
      <c r="B661" s="28"/>
      <c r="J661" s="15"/>
    </row>
    <row r="662" spans="2:10" ht="12.75">
      <c r="B662" s="28"/>
      <c r="J662" s="15"/>
    </row>
    <row r="663" spans="2:10" ht="12.75">
      <c r="B663" s="28"/>
      <c r="J663" s="15"/>
    </row>
    <row r="664" spans="2:10" ht="12.75">
      <c r="B664" s="28"/>
      <c r="J664" s="15"/>
    </row>
    <row r="665" spans="2:10" ht="12.75">
      <c r="B665" s="28"/>
      <c r="J665" s="15"/>
    </row>
    <row r="666" spans="2:10" ht="12.75">
      <c r="B666" s="28"/>
      <c r="J666" s="15"/>
    </row>
    <row r="667" spans="2:10" ht="12.75">
      <c r="B667" s="28"/>
      <c r="J667" s="15"/>
    </row>
    <row r="668" spans="2:10" ht="12.75">
      <c r="B668" s="28"/>
      <c r="J668" s="15"/>
    </row>
    <row r="669" spans="2:10" ht="12.75">
      <c r="B669" s="28"/>
      <c r="J669" s="15"/>
    </row>
    <row r="670" spans="2:10" ht="12.75">
      <c r="B670" s="28"/>
      <c r="J670" s="15"/>
    </row>
    <row r="671" spans="2:10" ht="12.75">
      <c r="B671" s="28"/>
      <c r="J671" s="15"/>
    </row>
    <row r="672" spans="2:10" ht="12.75">
      <c r="B672" s="28"/>
      <c r="J672" s="15"/>
    </row>
    <row r="673" spans="2:10" ht="12.75">
      <c r="B673" s="28"/>
      <c r="J673" s="15"/>
    </row>
    <row r="674" spans="2:10" ht="12.75">
      <c r="B674" s="28"/>
      <c r="J674" s="15"/>
    </row>
    <row r="675" spans="2:10" ht="12.75">
      <c r="B675" s="28"/>
      <c r="J675" s="15"/>
    </row>
    <row r="676" spans="2:10" ht="12.75">
      <c r="B676" s="28"/>
      <c r="J676" s="15"/>
    </row>
    <row r="677" spans="2:10" ht="12.75">
      <c r="B677" s="28"/>
      <c r="J677" s="15"/>
    </row>
    <row r="678" spans="2:10" ht="12.75">
      <c r="B678" s="28"/>
      <c r="J678" s="15"/>
    </row>
    <row r="679" spans="2:10" ht="12.75">
      <c r="B679" s="28"/>
      <c r="J679" s="15"/>
    </row>
    <row r="680" spans="2:10" ht="12.75">
      <c r="B680" s="28"/>
      <c r="J680" s="15"/>
    </row>
    <row r="681" spans="2:10" ht="12.75">
      <c r="B681" s="28"/>
      <c r="J681" s="15"/>
    </row>
    <row r="682" spans="2:10" ht="12.75">
      <c r="B682" s="28"/>
      <c r="J682" s="15"/>
    </row>
    <row r="683" spans="2:10" ht="12.75">
      <c r="B683" s="28"/>
      <c r="J683" s="15"/>
    </row>
    <row r="684" spans="2:10" ht="12.75">
      <c r="B684" s="28"/>
      <c r="J684" s="15"/>
    </row>
    <row r="685" spans="2:10" ht="12.75">
      <c r="B685" s="28"/>
      <c r="J685" s="15"/>
    </row>
    <row r="686" spans="2:10" ht="12.75">
      <c r="B686" s="28"/>
      <c r="J686" s="15"/>
    </row>
    <row r="687" spans="2:10" ht="12.75">
      <c r="B687" s="28"/>
      <c r="J687" s="15"/>
    </row>
    <row r="688" spans="2:10" ht="12.75">
      <c r="B688" s="28"/>
      <c r="J688" s="15"/>
    </row>
    <row r="689" spans="2:10" ht="12.75">
      <c r="B689" s="28"/>
      <c r="J689" s="15"/>
    </row>
    <row r="690" spans="2:10" ht="12.75">
      <c r="B690" s="28"/>
      <c r="J690" s="15"/>
    </row>
    <row r="691" spans="2:10" ht="12.75">
      <c r="B691" s="28"/>
      <c r="J691" s="15"/>
    </row>
    <row r="692" spans="2:10" ht="12.75">
      <c r="B692" s="28"/>
      <c r="J692" s="15"/>
    </row>
    <row r="693" spans="2:10" ht="12.75">
      <c r="B693" s="28"/>
      <c r="J693" s="15"/>
    </row>
    <row r="694" spans="2:10" ht="12.75">
      <c r="B694" s="28"/>
      <c r="J694" s="15"/>
    </row>
    <row r="695" spans="2:10" ht="12.75">
      <c r="B695" s="28"/>
      <c r="J695" s="15"/>
    </row>
    <row r="696" spans="2:10" ht="12.75">
      <c r="B696" s="28"/>
      <c r="J696" s="15"/>
    </row>
    <row r="697" spans="2:10" ht="12.75">
      <c r="B697" s="28"/>
      <c r="J697" s="15"/>
    </row>
    <row r="698" spans="2:10" ht="12.75">
      <c r="B698" s="28"/>
      <c r="J698" s="15"/>
    </row>
    <row r="699" spans="2:10" ht="12.75">
      <c r="B699" s="28"/>
      <c r="J699" s="15"/>
    </row>
    <row r="700" spans="2:10" ht="12.75">
      <c r="B700" s="28"/>
      <c r="J700" s="15"/>
    </row>
    <row r="701" spans="2:10" ht="12.75">
      <c r="B701" s="28"/>
      <c r="J701" s="15"/>
    </row>
    <row r="702" spans="2:10" ht="12.75">
      <c r="B702" s="28"/>
      <c r="J702" s="15"/>
    </row>
    <row r="703" spans="2:10" ht="12.75">
      <c r="B703" s="28"/>
      <c r="J703" s="15"/>
    </row>
    <row r="704" spans="2:10" ht="12.75">
      <c r="B704" s="28"/>
      <c r="J704" s="15"/>
    </row>
    <row r="705" spans="2:10" ht="12.75">
      <c r="B705" s="28"/>
      <c r="J705" s="15"/>
    </row>
    <row r="706" spans="2:10" ht="12.75">
      <c r="B706" s="28"/>
      <c r="J706" s="15"/>
    </row>
    <row r="707" spans="2:10" ht="12.75">
      <c r="B707" s="28"/>
      <c r="J707" s="15"/>
    </row>
    <row r="708" spans="2:10" ht="12.75">
      <c r="B708" s="28"/>
      <c r="J708" s="15"/>
    </row>
    <row r="709" spans="2:10" ht="12.75">
      <c r="B709" s="28"/>
      <c r="J709" s="15"/>
    </row>
    <row r="710" spans="2:10" ht="12.75">
      <c r="B710" s="28"/>
      <c r="J710" s="15"/>
    </row>
    <row r="711" spans="2:10" ht="12.75">
      <c r="B711" s="28"/>
      <c r="J711" s="15"/>
    </row>
    <row r="712" spans="2:10" ht="12.75">
      <c r="B712" s="28"/>
      <c r="J712" s="15"/>
    </row>
    <row r="713" spans="2:10" ht="12.75">
      <c r="B713" s="28"/>
      <c r="J713" s="15"/>
    </row>
    <row r="714" spans="2:10" ht="12.75">
      <c r="B714" s="28"/>
      <c r="J714" s="15"/>
    </row>
    <row r="715" spans="2:10" ht="12.75">
      <c r="B715" s="28"/>
      <c r="J715" s="15"/>
    </row>
    <row r="716" spans="2:10" ht="12.75">
      <c r="B716" s="28"/>
      <c r="J716" s="15"/>
    </row>
    <row r="717" spans="2:10" ht="12.75">
      <c r="B717" s="28"/>
      <c r="J717" s="15"/>
    </row>
    <row r="718" spans="2:10" ht="12.75">
      <c r="B718" s="28"/>
      <c r="J718" s="15"/>
    </row>
    <row r="719" spans="2:10" ht="12.75">
      <c r="B719" s="28"/>
      <c r="J719" s="15"/>
    </row>
    <row r="720" spans="2:10" ht="12.75">
      <c r="B720" s="28"/>
      <c r="J720" s="15"/>
    </row>
    <row r="721" spans="2:10" ht="12.75">
      <c r="B721" s="28"/>
      <c r="J721" s="15"/>
    </row>
    <row r="722" spans="2:10" ht="12.75">
      <c r="B722" s="28"/>
      <c r="J722" s="15"/>
    </row>
    <row r="723" spans="2:10" ht="12.75">
      <c r="B723" s="28"/>
      <c r="J723" s="15"/>
    </row>
    <row r="724" spans="2:10" ht="12.75">
      <c r="B724" s="28"/>
      <c r="J724" s="15"/>
    </row>
    <row r="725" spans="2:10" ht="12.75">
      <c r="B725" s="28"/>
      <c r="J725" s="15"/>
    </row>
    <row r="726" spans="2:10" ht="12.75">
      <c r="B726" s="28"/>
      <c r="J726" s="15"/>
    </row>
    <row r="727" spans="2:10" ht="12.75">
      <c r="B727" s="28"/>
      <c r="J727" s="15"/>
    </row>
    <row r="728" spans="2:10" ht="12.75">
      <c r="B728" s="28"/>
      <c r="J728" s="15"/>
    </row>
    <row r="729" spans="2:10" ht="12.75">
      <c r="B729" s="28"/>
      <c r="J729" s="15"/>
    </row>
    <row r="730" spans="2:10" ht="12.75">
      <c r="B730" s="28"/>
      <c r="J730" s="15"/>
    </row>
    <row r="731" spans="2:10" ht="12.75">
      <c r="B731" s="28"/>
      <c r="J731" s="15"/>
    </row>
    <row r="732" spans="2:10" ht="12.75">
      <c r="B732" s="28"/>
      <c r="J732" s="15"/>
    </row>
    <row r="733" spans="2:10" ht="12.75">
      <c r="B733" s="28"/>
      <c r="J733" s="15"/>
    </row>
    <row r="734" spans="2:10" ht="12.75">
      <c r="B734" s="28"/>
      <c r="J734" s="15"/>
    </row>
    <row r="735" spans="2:10" ht="12.75">
      <c r="B735" s="28"/>
      <c r="J735" s="15"/>
    </row>
    <row r="736" spans="2:10" ht="12.75">
      <c r="B736" s="28"/>
      <c r="J736" s="15"/>
    </row>
    <row r="737" spans="2:10" ht="12.75">
      <c r="B737" s="28"/>
      <c r="J737" s="15"/>
    </row>
    <row r="738" spans="2:10" ht="12.75">
      <c r="B738" s="28"/>
      <c r="J738" s="15"/>
    </row>
    <row r="739" spans="2:10" ht="12.75">
      <c r="B739" s="28"/>
      <c r="J739" s="15"/>
    </row>
    <row r="740" spans="2:10" ht="12.75">
      <c r="B740" s="28"/>
      <c r="J740" s="15"/>
    </row>
    <row r="741" spans="2:10" ht="12.75">
      <c r="B741" s="28"/>
      <c r="J741" s="15"/>
    </row>
    <row r="742" spans="2:10" ht="12.75">
      <c r="B742" s="28"/>
      <c r="J742" s="15"/>
    </row>
    <row r="743" spans="2:10" ht="12.75">
      <c r="B743" s="28"/>
      <c r="J743" s="15"/>
    </row>
    <row r="744" spans="2:10" ht="12.75">
      <c r="B744" s="28"/>
      <c r="J744" s="15"/>
    </row>
    <row r="745" spans="2:10" ht="12.75">
      <c r="B745" s="28"/>
      <c r="J745" s="15"/>
    </row>
    <row r="746" spans="2:10" ht="12.75">
      <c r="B746" s="28"/>
      <c r="J746" s="15"/>
    </row>
    <row r="747" spans="2:10" ht="12.75">
      <c r="B747" s="28"/>
      <c r="J747" s="15"/>
    </row>
    <row r="748" spans="2:10" ht="12.75">
      <c r="B748" s="28"/>
      <c r="J748" s="15"/>
    </row>
    <row r="749" spans="2:10" ht="12.75">
      <c r="B749" s="28"/>
      <c r="J749" s="15"/>
    </row>
    <row r="750" spans="2:10" ht="12.75">
      <c r="B750" s="28"/>
      <c r="J750" s="15"/>
    </row>
    <row r="751" spans="2:10" ht="12.75">
      <c r="B751" s="28"/>
      <c r="J751" s="15"/>
    </row>
    <row r="752" spans="2:10" ht="12.75">
      <c r="B752" s="28"/>
      <c r="J752" s="15"/>
    </row>
    <row r="753" spans="2:10" ht="12.75">
      <c r="B753" s="28"/>
      <c r="J753" s="15"/>
    </row>
    <row r="754" spans="2:10" ht="12.75">
      <c r="B754" s="28"/>
      <c r="J754" s="15"/>
    </row>
    <row r="755" spans="2:10" ht="12.75">
      <c r="B755" s="28"/>
      <c r="J755" s="15"/>
    </row>
    <row r="756" spans="2:10" ht="12.75">
      <c r="B756" s="28"/>
      <c r="J756" s="15"/>
    </row>
    <row r="757" spans="2:10" ht="12.75">
      <c r="B757" s="28"/>
      <c r="J757" s="15"/>
    </row>
    <row r="758" spans="2:10" ht="12.75">
      <c r="B758" s="28"/>
      <c r="J758" s="15"/>
    </row>
    <row r="759" spans="2:10" ht="12.75">
      <c r="B759" s="28"/>
      <c r="J759" s="15"/>
    </row>
    <row r="760" spans="2:10" ht="12.75">
      <c r="B760" s="28"/>
      <c r="J760" s="15"/>
    </row>
    <row r="761" spans="2:10" ht="12.75">
      <c r="B761" s="28"/>
      <c r="J761" s="15"/>
    </row>
    <row r="762" spans="2:10" ht="12.75">
      <c r="B762" s="28"/>
      <c r="J762" s="15"/>
    </row>
    <row r="763" spans="2:10" ht="12.75">
      <c r="B763" s="28"/>
      <c r="J763" s="15"/>
    </row>
    <row r="764" spans="2:10" ht="12.75">
      <c r="B764" s="28"/>
      <c r="J764" s="15"/>
    </row>
    <row r="765" spans="2:10" ht="12.75">
      <c r="B765" s="28"/>
      <c r="J765" s="15"/>
    </row>
    <row r="766" spans="2:10" ht="12.75">
      <c r="B766" s="28"/>
      <c r="J766" s="15"/>
    </row>
    <row r="767" spans="2:10" ht="12.75">
      <c r="B767" s="28"/>
      <c r="J767" s="15"/>
    </row>
    <row r="768" spans="2:10" ht="12.75">
      <c r="B768" s="28"/>
      <c r="J768" s="15"/>
    </row>
    <row r="769" spans="2:10" ht="12.75">
      <c r="B769" s="28"/>
      <c r="J769" s="15"/>
    </row>
    <row r="770" spans="2:10" ht="12.75">
      <c r="B770" s="28"/>
      <c r="J770" s="15"/>
    </row>
    <row r="771" spans="2:10" ht="12.75">
      <c r="B771" s="28"/>
      <c r="J771" s="15"/>
    </row>
    <row r="772" spans="2:10" ht="12.75">
      <c r="B772" s="28"/>
      <c r="J772" s="15"/>
    </row>
    <row r="773" spans="2:10" ht="12.75">
      <c r="B773" s="28"/>
      <c r="J773" s="15"/>
    </row>
    <row r="774" spans="2:10" ht="12.75">
      <c r="B774" s="28"/>
      <c r="J774" s="15"/>
    </row>
    <row r="775" spans="2:10" ht="12.75">
      <c r="B775" s="28"/>
      <c r="J775" s="15"/>
    </row>
    <row r="776" spans="2:10" ht="12.75">
      <c r="B776" s="28"/>
      <c r="J776" s="15"/>
    </row>
    <row r="777" spans="2:10" ht="12.75">
      <c r="B777" s="28"/>
      <c r="J777" s="15"/>
    </row>
    <row r="778" spans="2:10" ht="12.75">
      <c r="B778" s="28"/>
      <c r="J778" s="15"/>
    </row>
    <row r="779" spans="2:10" ht="12.75">
      <c r="B779" s="28"/>
      <c r="J779" s="15"/>
    </row>
    <row r="780" spans="2:10" ht="12.75">
      <c r="B780" s="28"/>
      <c r="J780" s="15"/>
    </row>
    <row r="781" spans="2:10" ht="12.75">
      <c r="B781" s="28"/>
      <c r="J781" s="15"/>
    </row>
    <row r="782" spans="2:10" ht="12.75">
      <c r="B782" s="28"/>
      <c r="J782" s="15"/>
    </row>
    <row r="783" spans="2:10" ht="12.75">
      <c r="B783" s="28"/>
      <c r="J783" s="15"/>
    </row>
    <row r="784" spans="2:10" ht="12.75">
      <c r="B784" s="28"/>
      <c r="J784" s="15"/>
    </row>
    <row r="785" spans="2:10" ht="12.75">
      <c r="B785" s="28"/>
      <c r="J785" s="15"/>
    </row>
    <row r="786" spans="2:10" ht="12.75">
      <c r="B786" s="28"/>
      <c r="J786" s="15"/>
    </row>
    <row r="787" spans="2:10" ht="12.75">
      <c r="B787" s="28"/>
      <c r="J787" s="15"/>
    </row>
    <row r="788" spans="2:10" ht="12.75">
      <c r="B788" s="28"/>
      <c r="J788" s="15"/>
    </row>
    <row r="789" spans="2:10" ht="12.75">
      <c r="B789" s="28"/>
      <c r="J789" s="15"/>
    </row>
    <row r="790" spans="2:10" ht="12.75">
      <c r="B790" s="28"/>
      <c r="J790" s="15"/>
    </row>
    <row r="791" spans="2:10" ht="12.75">
      <c r="B791" s="28"/>
      <c r="J791" s="15"/>
    </row>
    <row r="792" spans="2:10" ht="12.75">
      <c r="B792" s="28"/>
      <c r="J792" s="15"/>
    </row>
    <row r="793" spans="2:10" ht="12.75">
      <c r="B793" s="28"/>
      <c r="J793" s="15"/>
    </row>
    <row r="794" spans="2:10" ht="12.75">
      <c r="B794" s="28"/>
      <c r="J794" s="15"/>
    </row>
    <row r="795" spans="2:10" ht="12.75">
      <c r="B795" s="28"/>
      <c r="J795" s="15"/>
    </row>
    <row r="796" spans="2:10" ht="12.75">
      <c r="B796" s="28"/>
      <c r="J796" s="15"/>
    </row>
    <row r="797" spans="2:10" ht="12.75">
      <c r="B797" s="28"/>
      <c r="J797" s="15"/>
    </row>
    <row r="798" spans="2:10" ht="12.75">
      <c r="B798" s="28"/>
      <c r="J798" s="15"/>
    </row>
    <row r="799" spans="2:10" ht="12.75">
      <c r="B799" s="28"/>
      <c r="J799" s="15"/>
    </row>
    <row r="800" spans="2:10" ht="12.75">
      <c r="B800" s="28"/>
      <c r="J800" s="15"/>
    </row>
    <row r="801" spans="2:10" ht="12.75">
      <c r="B801" s="28"/>
      <c r="J801" s="15"/>
    </row>
    <row r="802" spans="2:10" ht="12.75">
      <c r="B802" s="28"/>
      <c r="J802" s="15"/>
    </row>
    <row r="803" spans="2:10" ht="12.75">
      <c r="B803" s="28"/>
      <c r="J803" s="15"/>
    </row>
    <row r="804" spans="2:10" ht="12.75">
      <c r="B804" s="28"/>
      <c r="J804" s="15"/>
    </row>
    <row r="805" spans="2:10" ht="12.75">
      <c r="B805" s="28"/>
      <c r="J805" s="15"/>
    </row>
    <row r="806" spans="2:10" ht="12.75">
      <c r="B806" s="28"/>
      <c r="J806" s="15"/>
    </row>
    <row r="807" spans="2:10" ht="12.75">
      <c r="B807" s="28"/>
      <c r="J807" s="15"/>
    </row>
    <row r="808" spans="2:10" ht="12.75">
      <c r="B808" s="28"/>
      <c r="J808" s="15"/>
    </row>
    <row r="809" spans="2:10" ht="12.75">
      <c r="B809" s="28"/>
      <c r="J809" s="15"/>
    </row>
    <row r="810" spans="2:10" ht="12.75">
      <c r="B810" s="28"/>
      <c r="J810" s="15"/>
    </row>
    <row r="811" spans="2:10" ht="12.75">
      <c r="B811" s="28"/>
      <c r="J811" s="15"/>
    </row>
    <row r="812" spans="2:10" ht="12.75">
      <c r="B812" s="28"/>
      <c r="J812" s="15"/>
    </row>
    <row r="813" spans="2:10" ht="12.75">
      <c r="B813" s="28"/>
      <c r="J813" s="15"/>
    </row>
    <row r="814" spans="2:10" ht="12.75">
      <c r="B814" s="28"/>
      <c r="J814" s="15"/>
    </row>
    <row r="815" spans="2:10" ht="12.75">
      <c r="B815" s="28"/>
      <c r="J815" s="15"/>
    </row>
    <row r="816" spans="2:10" ht="12.75">
      <c r="B816" s="28"/>
      <c r="J816" s="15"/>
    </row>
    <row r="817" spans="2:10" ht="12.75">
      <c r="B817" s="28"/>
      <c r="J817" s="15"/>
    </row>
    <row r="818" spans="2:10" ht="12.75">
      <c r="B818" s="28"/>
      <c r="J818" s="15"/>
    </row>
    <row r="819" spans="2:10" ht="12.75">
      <c r="B819" s="28"/>
      <c r="J819" s="15"/>
    </row>
    <row r="820" spans="2:10" ht="12.75">
      <c r="B820" s="28"/>
      <c r="J820" s="15"/>
    </row>
    <row r="821" spans="2:10" ht="12.75">
      <c r="B821" s="28"/>
      <c r="J821" s="15"/>
    </row>
    <row r="822" spans="2:10" ht="12.75">
      <c r="B822" s="28"/>
      <c r="J822" s="15"/>
    </row>
    <row r="823" spans="2:10" ht="12.75">
      <c r="B823" s="28"/>
      <c r="J823" s="15"/>
    </row>
    <row r="824" spans="2:10" ht="12.75">
      <c r="B824" s="28"/>
      <c r="J824" s="15"/>
    </row>
    <row r="825" spans="2:10" ht="12.75">
      <c r="B825" s="28"/>
      <c r="J825" s="15"/>
    </row>
    <row r="826" spans="2:10" ht="12.75">
      <c r="B826" s="28"/>
      <c r="J826" s="15"/>
    </row>
    <row r="827" spans="2:10" ht="12.75">
      <c r="B827" s="28"/>
      <c r="J827" s="15"/>
    </row>
    <row r="828" spans="2:10" ht="12.75">
      <c r="B828" s="28"/>
      <c r="J828" s="15"/>
    </row>
    <row r="829" spans="2:10" ht="12.75">
      <c r="B829" s="28"/>
      <c r="J829" s="15"/>
    </row>
    <row r="830" spans="2:10" ht="12.75">
      <c r="B830" s="28"/>
      <c r="J830" s="15"/>
    </row>
    <row r="831" spans="2:10" ht="12.75">
      <c r="B831" s="28"/>
      <c r="J831" s="15"/>
    </row>
    <row r="832" spans="2:10" ht="12.75">
      <c r="B832" s="28"/>
      <c r="J832" s="15"/>
    </row>
    <row r="833" spans="2:10" ht="12.75">
      <c r="B833" s="28"/>
      <c r="J833" s="15"/>
    </row>
    <row r="834" spans="2:10" ht="12.75">
      <c r="B834" s="28"/>
      <c r="J834" s="15"/>
    </row>
    <row r="835" spans="2:10" ht="12.75">
      <c r="B835" s="28"/>
      <c r="J835" s="15"/>
    </row>
    <row r="836" spans="2:10" ht="12.75">
      <c r="B836" s="28"/>
      <c r="J836" s="15"/>
    </row>
    <row r="837" spans="2:10" ht="12.75">
      <c r="B837" s="28"/>
      <c r="J837" s="15"/>
    </row>
    <row r="838" spans="2:10" ht="12.75">
      <c r="B838" s="28"/>
      <c r="J838" s="15"/>
    </row>
    <row r="839" spans="2:10" ht="12.75">
      <c r="B839" s="28"/>
      <c r="J839" s="15"/>
    </row>
    <row r="840" spans="2:10" ht="12.75">
      <c r="B840" s="28"/>
      <c r="J840" s="15"/>
    </row>
    <row r="841" spans="2:10" ht="12.75">
      <c r="B841" s="28"/>
      <c r="J841" s="15"/>
    </row>
    <row r="842" spans="2:10" ht="12.75">
      <c r="B842" s="28"/>
      <c r="J842" s="15"/>
    </row>
    <row r="843" spans="2:10" ht="12.75">
      <c r="B843" s="28"/>
      <c r="J843" s="15"/>
    </row>
    <row r="844" spans="2:10" ht="12.75">
      <c r="B844" s="28"/>
      <c r="J844" s="15"/>
    </row>
    <row r="845" spans="2:10" ht="12.75">
      <c r="B845" s="28"/>
      <c r="J845" s="15"/>
    </row>
    <row r="846" spans="2:10" ht="12.75">
      <c r="B846" s="28"/>
      <c r="J846" s="15"/>
    </row>
    <row r="847" spans="2:10" ht="12.75">
      <c r="B847" s="28"/>
      <c r="J847" s="15"/>
    </row>
    <row r="848" spans="2:10" ht="12.75">
      <c r="B848" s="28"/>
      <c r="J848" s="15"/>
    </row>
    <row r="849" spans="2:10" ht="12.75">
      <c r="B849" s="28"/>
      <c r="J849" s="15"/>
    </row>
    <row r="850" spans="2:10" ht="12.75">
      <c r="B850" s="28"/>
      <c r="J850" s="15"/>
    </row>
    <row r="851" spans="2:10" ht="12.75">
      <c r="B851" s="28"/>
      <c r="J851" s="15"/>
    </row>
    <row r="852" spans="2:10" ht="12.75">
      <c r="B852" s="28"/>
      <c r="J852" s="15"/>
    </row>
    <row r="853" spans="2:10" ht="12.75">
      <c r="B853" s="28"/>
      <c r="J853" s="15"/>
    </row>
    <row r="854" spans="2:10" ht="12.75">
      <c r="B854" s="28"/>
      <c r="J854" s="15"/>
    </row>
    <row r="855" spans="2:10" ht="12.75">
      <c r="B855" s="28"/>
      <c r="J855" s="15"/>
    </row>
    <row r="856" spans="2:10" ht="12.75">
      <c r="B856" s="28"/>
      <c r="J856" s="15"/>
    </row>
    <row r="857" spans="2:10" ht="12.75">
      <c r="B857" s="28"/>
      <c r="J857" s="15"/>
    </row>
    <row r="858" spans="2:10" ht="12.75">
      <c r="B858" s="28"/>
      <c r="J858" s="15"/>
    </row>
    <row r="859" spans="2:10" ht="12.75">
      <c r="B859" s="28"/>
      <c r="J859" s="15"/>
    </row>
    <row r="860" spans="2:10" ht="12.75">
      <c r="B860" s="28"/>
      <c r="J860" s="15"/>
    </row>
    <row r="861" spans="2:10" ht="12.75">
      <c r="B861" s="28"/>
      <c r="J861" s="15"/>
    </row>
    <row r="862" spans="2:10" ht="12.75">
      <c r="B862" s="28"/>
      <c r="J862" s="15"/>
    </row>
    <row r="863" spans="2:10" ht="12.75">
      <c r="B863" s="28"/>
      <c r="J863" s="15"/>
    </row>
    <row r="864" spans="2:10" ht="12.75">
      <c r="B864" s="28"/>
      <c r="J864" s="15"/>
    </row>
    <row r="865" spans="2:10" ht="12.75">
      <c r="B865" s="28"/>
      <c r="J865" s="15"/>
    </row>
    <row r="866" spans="2:10" ht="12.75">
      <c r="B866" s="28"/>
      <c r="J866" s="15"/>
    </row>
    <row r="867" spans="2:10" ht="12.75">
      <c r="B867" s="28"/>
      <c r="J867" s="15"/>
    </row>
    <row r="868" spans="2:10" ht="12.75">
      <c r="B868" s="28"/>
      <c r="J868" s="15"/>
    </row>
    <row r="869" spans="2:10" ht="12.75">
      <c r="B869" s="28"/>
      <c r="J869" s="15"/>
    </row>
    <row r="870" spans="2:10" ht="12.75">
      <c r="B870" s="28"/>
      <c r="J870" s="15"/>
    </row>
    <row r="871" spans="2:10" ht="12.75">
      <c r="B871" s="28"/>
      <c r="J871" s="15"/>
    </row>
    <row r="872" spans="2:10" ht="12.75">
      <c r="B872" s="28"/>
      <c r="J872" s="15"/>
    </row>
    <row r="873" spans="2:10" ht="12.75">
      <c r="B873" s="28"/>
      <c r="J873" s="15"/>
    </row>
    <row r="874" spans="2:10" ht="12.75">
      <c r="B874" s="28"/>
      <c r="J874" s="15"/>
    </row>
    <row r="875" spans="2:10" ht="12.75">
      <c r="B875" s="28"/>
      <c r="J875" s="15"/>
    </row>
    <row r="876" spans="2:10" ht="12.75">
      <c r="B876" s="28"/>
      <c r="J876" s="15"/>
    </row>
    <row r="877" spans="2:10" ht="12.75">
      <c r="B877" s="28"/>
      <c r="J877" s="15"/>
    </row>
    <row r="878" spans="2:10" ht="12.75">
      <c r="B878" s="28"/>
      <c r="J878" s="15"/>
    </row>
    <row r="879" spans="2:10" ht="12.75">
      <c r="B879" s="28"/>
      <c r="J879" s="15"/>
    </row>
    <row r="880" spans="2:10" ht="12.75">
      <c r="B880" s="28"/>
      <c r="J880" s="15"/>
    </row>
    <row r="881" spans="2:10" ht="12.75">
      <c r="B881" s="28"/>
      <c r="J881" s="15"/>
    </row>
    <row r="882" spans="2:10" ht="12.75">
      <c r="B882" s="28"/>
      <c r="J882" s="15"/>
    </row>
    <row r="883" spans="2:10" ht="12.75">
      <c r="B883" s="28"/>
      <c r="J883" s="15"/>
    </row>
    <row r="884" spans="2:10" ht="12.75">
      <c r="B884" s="28"/>
      <c r="J884" s="15"/>
    </row>
    <row r="885" spans="2:10" ht="12.75">
      <c r="B885" s="28"/>
      <c r="J885" s="15"/>
    </row>
    <row r="886" spans="2:10" ht="12.75">
      <c r="B886" s="28"/>
      <c r="J886" s="15"/>
    </row>
    <row r="887" spans="2:10" ht="12.75">
      <c r="B887" s="28"/>
      <c r="J887" s="15"/>
    </row>
    <row r="888" spans="2:10" ht="12.75">
      <c r="B888" s="28"/>
      <c r="J888" s="15"/>
    </row>
    <row r="889" spans="2:10" ht="12.75">
      <c r="B889" s="28"/>
      <c r="J889" s="15"/>
    </row>
    <row r="890" spans="2:10" ht="12.75">
      <c r="B890" s="28"/>
      <c r="J890" s="15"/>
    </row>
    <row r="891" spans="2:10" ht="12.75">
      <c r="B891" s="28"/>
      <c r="J891" s="15"/>
    </row>
    <row r="892" spans="2:10" ht="12.75">
      <c r="B892" s="28"/>
      <c r="J892" s="15"/>
    </row>
    <row r="893" spans="2:10" ht="12.75">
      <c r="B893" s="28"/>
      <c r="J893" s="15"/>
    </row>
    <row r="894" spans="2:10" ht="12.75">
      <c r="B894" s="28"/>
      <c r="J894" s="15"/>
    </row>
    <row r="895" spans="2:10" ht="12.75">
      <c r="B895" s="28"/>
      <c r="J895" s="15"/>
    </row>
    <row r="896" spans="2:10" ht="12.75">
      <c r="B896" s="28"/>
      <c r="J896" s="15"/>
    </row>
    <row r="897" spans="2:10" ht="12.75">
      <c r="B897" s="28"/>
      <c r="J897" s="15"/>
    </row>
    <row r="898" spans="2:10" ht="12.75">
      <c r="B898" s="28"/>
      <c r="J898" s="15"/>
    </row>
    <row r="899" spans="2:10" ht="12.75">
      <c r="B899" s="28"/>
      <c r="J899" s="15"/>
    </row>
    <row r="900" spans="2:10" ht="12.75">
      <c r="B900" s="28"/>
      <c r="J900" s="15"/>
    </row>
    <row r="901" spans="2:10" ht="12.75">
      <c r="B901" s="28"/>
      <c r="J901" s="15"/>
    </row>
    <row r="902" spans="2:10" ht="12.75">
      <c r="B902" s="28"/>
      <c r="J902" s="15"/>
    </row>
    <row r="903" spans="2:10" ht="12.75">
      <c r="B903" s="28"/>
      <c r="J903" s="15"/>
    </row>
    <row r="904" spans="2:10" ht="12.75">
      <c r="B904" s="28"/>
      <c r="J904" s="15"/>
    </row>
    <row r="905" spans="2:10" ht="12.75">
      <c r="B905" s="28"/>
      <c r="J905" s="15"/>
    </row>
    <row r="906" spans="2:10" ht="12.75">
      <c r="B906" s="28"/>
      <c r="J906" s="15"/>
    </row>
    <row r="907" spans="2:10" ht="12.75">
      <c r="B907" s="28"/>
      <c r="J907" s="15"/>
    </row>
    <row r="908" spans="2:10" ht="12.75">
      <c r="B908" s="28"/>
      <c r="J908" s="15"/>
    </row>
    <row r="909" spans="2:10" ht="12.75">
      <c r="B909" s="28"/>
      <c r="J909" s="15"/>
    </row>
    <row r="910" spans="2:10" ht="12.75">
      <c r="B910" s="28"/>
      <c r="J910" s="15"/>
    </row>
    <row r="911" spans="2:10" ht="12.75">
      <c r="B911" s="28"/>
      <c r="J911" s="15"/>
    </row>
    <row r="912" spans="2:10" ht="12.75">
      <c r="B912" s="28"/>
      <c r="J912" s="15"/>
    </row>
    <row r="913" spans="2:10" ht="12.75">
      <c r="B913" s="28"/>
      <c r="J913" s="15"/>
    </row>
    <row r="914" spans="2:10" ht="12.75">
      <c r="B914" s="28"/>
      <c r="J914" s="15"/>
    </row>
    <row r="915" spans="2:10" ht="12.75">
      <c r="B915" s="28"/>
      <c r="J915" s="15"/>
    </row>
    <row r="916" spans="2:10" ht="12.75">
      <c r="B916" s="28"/>
      <c r="J916" s="15"/>
    </row>
    <row r="917" spans="2:10" ht="12.75">
      <c r="B917" s="28"/>
      <c r="J917" s="15"/>
    </row>
    <row r="918" spans="2:10" ht="12.75">
      <c r="B918" s="28"/>
      <c r="J918" s="15"/>
    </row>
    <row r="919" spans="2:10" ht="12.75">
      <c r="B919" s="28"/>
      <c r="J919" s="15"/>
    </row>
    <row r="920" spans="2:10" ht="12.75">
      <c r="B920" s="28"/>
      <c r="J920" s="15"/>
    </row>
    <row r="921" spans="2:10" ht="12.75">
      <c r="B921" s="28"/>
      <c r="J921" s="15"/>
    </row>
    <row r="922" spans="2:10" ht="12.75">
      <c r="B922" s="28"/>
      <c r="J922" s="15"/>
    </row>
    <row r="923" spans="2:10" ht="12.75">
      <c r="B923" s="28"/>
      <c r="J923" s="15"/>
    </row>
    <row r="924" spans="2:10" ht="12.75">
      <c r="B924" s="28"/>
      <c r="J924" s="15"/>
    </row>
    <row r="925" spans="2:10" ht="12.75">
      <c r="B925" s="28"/>
      <c r="J925" s="15"/>
    </row>
    <row r="926" spans="2:10" ht="12.75">
      <c r="B926" s="28"/>
      <c r="J926" s="15"/>
    </row>
    <row r="927" spans="2:10" ht="12.75">
      <c r="B927" s="28"/>
      <c r="J927" s="15"/>
    </row>
    <row r="928" spans="2:10" ht="12.75">
      <c r="B928" s="28"/>
      <c r="J928" s="15"/>
    </row>
    <row r="929" spans="2:10" ht="12.75">
      <c r="B929" s="28"/>
      <c r="J929" s="15"/>
    </row>
    <row r="930" spans="2:10" ht="12.75">
      <c r="B930" s="28"/>
      <c r="J930" s="15"/>
    </row>
    <row r="931" spans="2:10" ht="12.75">
      <c r="B931" s="28"/>
      <c r="J931" s="15"/>
    </row>
    <row r="932" spans="2:10" ht="12.75">
      <c r="B932" s="28"/>
      <c r="J932" s="15"/>
    </row>
    <row r="933" spans="2:10" ht="12.75">
      <c r="B933" s="28"/>
      <c r="J933" s="15"/>
    </row>
    <row r="934" spans="2:10" ht="12.75">
      <c r="B934" s="28"/>
      <c r="J934" s="15"/>
    </row>
    <row r="935" spans="2:10" ht="12.75">
      <c r="B935" s="28"/>
      <c r="J935" s="15"/>
    </row>
    <row r="936" spans="2:10" ht="12.75">
      <c r="B936" s="28"/>
      <c r="J936" s="15"/>
    </row>
    <row r="937" spans="2:10" ht="12.75">
      <c r="B937" s="28"/>
      <c r="J937" s="15"/>
    </row>
    <row r="938" spans="2:10" ht="12.75">
      <c r="B938" s="28"/>
      <c r="J938" s="15"/>
    </row>
    <row r="939" spans="2:10" ht="12.75">
      <c r="B939" s="28"/>
      <c r="J939" s="15"/>
    </row>
    <row r="940" spans="2:10" ht="12.75">
      <c r="B940" s="28"/>
      <c r="J940" s="15"/>
    </row>
    <row r="941" spans="2:10" ht="12.75">
      <c r="B941" s="28"/>
      <c r="J941" s="15"/>
    </row>
    <row r="942" spans="2:10" ht="12.75">
      <c r="B942" s="28"/>
      <c r="J942" s="15"/>
    </row>
    <row r="943" spans="2:10" ht="12.75">
      <c r="B943" s="28"/>
      <c r="J943" s="15"/>
    </row>
    <row r="944" spans="2:10" ht="12.75">
      <c r="B944" s="28"/>
      <c r="J944" s="15"/>
    </row>
    <row r="945" spans="2:10" ht="12.75">
      <c r="B945" s="28"/>
      <c r="J945" s="15"/>
    </row>
    <row r="946" spans="2:10" ht="12.75">
      <c r="B946" s="28"/>
      <c r="J946" s="15"/>
    </row>
    <row r="947" spans="2:10" ht="12.75">
      <c r="B947" s="28"/>
      <c r="J947" s="15"/>
    </row>
    <row r="948" spans="2:10" ht="12.75">
      <c r="B948" s="28"/>
      <c r="J948" s="15"/>
    </row>
    <row r="949" spans="2:10" ht="12.75">
      <c r="B949" s="28"/>
      <c r="J949" s="15"/>
    </row>
    <row r="950" spans="2:10" ht="12.75">
      <c r="B950" s="28"/>
      <c r="J950" s="15"/>
    </row>
    <row r="951" spans="2:10" ht="12.75">
      <c r="B951" s="28"/>
      <c r="J951" s="15"/>
    </row>
    <row r="952" spans="2:10" ht="12.75">
      <c r="B952" s="28"/>
      <c r="J952" s="15"/>
    </row>
    <row r="953" spans="2:10" ht="12.75">
      <c r="B953" s="28"/>
      <c r="J953" s="15"/>
    </row>
    <row r="954" spans="2:10" ht="12.75">
      <c r="B954" s="28"/>
      <c r="J954" s="15"/>
    </row>
    <row r="955" spans="2:10" ht="12.75">
      <c r="B955" s="28"/>
      <c r="J955" s="15"/>
    </row>
    <row r="956" spans="2:10" ht="12.75">
      <c r="B956" s="28"/>
      <c r="J956" s="15"/>
    </row>
    <row r="957" spans="2:10" ht="12.75">
      <c r="B957" s="28"/>
      <c r="J957" s="15"/>
    </row>
    <row r="958" spans="2:10" ht="12.75">
      <c r="B958" s="28"/>
      <c r="J958" s="15"/>
    </row>
    <row r="959" spans="2:10" ht="12.75">
      <c r="B959" s="28"/>
      <c r="J959" s="15"/>
    </row>
    <row r="960" spans="2:10" ht="12.75">
      <c r="B960" s="28"/>
      <c r="J960" s="15"/>
    </row>
    <row r="961" spans="2:10" ht="12.75">
      <c r="B961" s="28"/>
      <c r="J961" s="15"/>
    </row>
    <row r="962" spans="2:10" ht="12.75">
      <c r="B962" s="28"/>
      <c r="J962" s="15"/>
    </row>
    <row r="963" spans="2:10" ht="12.75">
      <c r="B963" s="28"/>
      <c r="J963" s="15"/>
    </row>
    <row r="964" spans="2:10" ht="12.75">
      <c r="B964" s="28"/>
      <c r="J964" s="15"/>
    </row>
    <row r="965" spans="2:10" ht="12.75">
      <c r="B965" s="28"/>
      <c r="J965" s="15"/>
    </row>
    <row r="966" spans="2:10" ht="12.75">
      <c r="B966" s="28"/>
      <c r="J966" s="15"/>
    </row>
    <row r="967" spans="2:10" ht="12.75">
      <c r="B967" s="28"/>
      <c r="J967" s="15"/>
    </row>
    <row r="968" spans="2:10" ht="12.75">
      <c r="B968" s="28"/>
      <c r="J968" s="15"/>
    </row>
    <row r="969" spans="2:10" ht="12.75">
      <c r="B969" s="28"/>
      <c r="J969" s="15"/>
    </row>
    <row r="970" spans="2:10" ht="12.75">
      <c r="B970" s="28"/>
      <c r="J970" s="15"/>
    </row>
    <row r="971" spans="2:10" ht="12.75">
      <c r="B971" s="28"/>
      <c r="J971" s="15"/>
    </row>
    <row r="972" spans="2:10" ht="12.75">
      <c r="B972" s="28"/>
      <c r="J972" s="15"/>
    </row>
    <row r="973" spans="2:10" ht="12.75">
      <c r="B973" s="28"/>
      <c r="J973" s="15"/>
    </row>
    <row r="974" spans="2:10" ht="12.75">
      <c r="B974" s="28"/>
      <c r="J974" s="15"/>
    </row>
    <row r="975" spans="2:10" ht="12.75">
      <c r="B975" s="28"/>
      <c r="J975" s="15"/>
    </row>
    <row r="976" spans="2:10" ht="12.75">
      <c r="B976" s="28"/>
      <c r="J976" s="15"/>
    </row>
    <row r="977" spans="2:10" ht="12.75">
      <c r="B977" s="28"/>
      <c r="J977" s="15"/>
    </row>
    <row r="978" spans="2:10" ht="12.75">
      <c r="B978" s="28"/>
      <c r="J978" s="15"/>
    </row>
    <row r="979" spans="2:10" ht="12.75">
      <c r="B979" s="28"/>
      <c r="J979" s="15"/>
    </row>
    <row r="980" spans="2:10" ht="12.75">
      <c r="B980" s="28"/>
      <c r="J980" s="15"/>
    </row>
    <row r="981" spans="2:10" ht="12.75">
      <c r="B981" s="28"/>
      <c r="J981" s="15"/>
    </row>
    <row r="982" spans="2:10" ht="12.75">
      <c r="B982" s="28"/>
      <c r="J982" s="15"/>
    </row>
    <row r="983" spans="2:10" ht="12.75">
      <c r="B983" s="28"/>
      <c r="J983" s="15"/>
    </row>
    <row r="984" spans="2:10" ht="12.75">
      <c r="B984" s="28"/>
      <c r="J984" s="15"/>
    </row>
    <row r="985" spans="2:10" ht="12.75">
      <c r="B985" s="28"/>
      <c r="J985" s="15"/>
    </row>
    <row r="986" spans="2:10" ht="12.75">
      <c r="B986" s="28"/>
      <c r="J986" s="15"/>
    </row>
    <row r="987" spans="2:10" ht="12.75">
      <c r="B987" s="28"/>
      <c r="J987" s="15"/>
    </row>
    <row r="988" spans="2:10" ht="12.75">
      <c r="B988" s="28"/>
      <c r="J988" s="15"/>
    </row>
    <row r="989" spans="2:10" ht="12.75">
      <c r="B989" s="28"/>
      <c r="J989" s="15"/>
    </row>
    <row r="990" spans="2:10" ht="12.75">
      <c r="B990" s="28"/>
      <c r="J990" s="15"/>
    </row>
    <row r="991" spans="2:10" ht="12.75">
      <c r="B991" s="28"/>
      <c r="J991" s="15"/>
    </row>
    <row r="992" spans="2:10" ht="12.75">
      <c r="B992" s="28"/>
      <c r="J992" s="15"/>
    </row>
  </sheetData>
  <mergeCells count="1">
    <mergeCell ref="C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AA992"/>
  <sheetViews>
    <sheetView showGridLines="0" workbookViewId="0"/>
  </sheetViews>
  <sheetFormatPr defaultColWidth="12.5703125" defaultRowHeight="15.75" customHeight="1"/>
  <cols>
    <col min="1" max="1" width="2.5703125" customWidth="1"/>
    <col min="2" max="2" width="2.140625" customWidth="1"/>
    <col min="3" max="3" width="15.5703125" customWidth="1"/>
    <col min="4" max="4" width="13" customWidth="1"/>
    <col min="5" max="5" width="12.85546875" customWidth="1"/>
    <col min="6" max="6" width="15.5703125" customWidth="1"/>
    <col min="7" max="7" width="13.28515625" customWidth="1"/>
    <col min="8" max="8" width="11.42578125" customWidth="1"/>
    <col min="9" max="9" width="12.42578125" customWidth="1"/>
    <col min="10" max="10" width="13" customWidth="1"/>
    <col min="11" max="11" width="3.140625" customWidth="1"/>
  </cols>
  <sheetData>
    <row r="1" spans="2:27">
      <c r="B1" s="2">
        <f>B23</f>
        <v>0</v>
      </c>
      <c r="C1" s="3"/>
      <c r="D1" s="3"/>
      <c r="E1" s="3"/>
      <c r="F1" s="3"/>
      <c r="G1" s="3"/>
      <c r="H1" s="3"/>
      <c r="I1" s="3"/>
      <c r="J1" s="3"/>
      <c r="K1" s="4"/>
      <c r="L1" s="5"/>
      <c r="M1" s="5"/>
      <c r="N1" s="5"/>
      <c r="O1" s="5"/>
      <c r="P1" s="5"/>
      <c r="Q1" s="5"/>
      <c r="R1" s="5"/>
      <c r="S1" s="5"/>
      <c r="T1" s="5"/>
      <c r="U1" s="5"/>
      <c r="V1" s="5"/>
      <c r="W1" s="5"/>
      <c r="X1" s="5"/>
      <c r="Y1" s="5"/>
      <c r="Z1" s="5"/>
      <c r="AA1" s="5"/>
    </row>
    <row r="2" spans="2:27" ht="15.75" customHeight="1">
      <c r="B2" s="6"/>
      <c r="C2" s="137" t="s">
        <v>56</v>
      </c>
      <c r="D2" s="138"/>
      <c r="E2" s="138"/>
      <c r="F2" s="138"/>
      <c r="G2" s="138"/>
      <c r="H2" s="138"/>
      <c r="I2" s="138"/>
      <c r="J2" s="138"/>
      <c r="K2" s="4"/>
      <c r="L2" s="5"/>
      <c r="M2" s="5"/>
      <c r="N2" s="5"/>
      <c r="O2" s="5"/>
      <c r="P2" s="5"/>
      <c r="Q2" s="5"/>
      <c r="R2" s="5"/>
      <c r="S2" s="5"/>
      <c r="T2" s="5"/>
      <c r="U2" s="5"/>
      <c r="V2" s="5"/>
      <c r="W2" s="5"/>
      <c r="X2" s="5"/>
      <c r="Y2" s="5"/>
      <c r="Z2" s="5"/>
      <c r="AA2" s="5"/>
    </row>
    <row r="3" spans="2:27">
      <c r="B3" s="2"/>
      <c r="C3" s="3"/>
      <c r="D3" s="3"/>
      <c r="E3" s="3"/>
      <c r="F3" s="3"/>
      <c r="G3" s="3"/>
      <c r="H3" s="3"/>
      <c r="I3" s="3"/>
      <c r="J3" s="3"/>
      <c r="K3" s="4"/>
      <c r="L3" s="5"/>
      <c r="M3" s="5"/>
      <c r="N3" s="5"/>
      <c r="O3" s="5"/>
      <c r="P3" s="5"/>
      <c r="Q3" s="5"/>
      <c r="R3" s="5"/>
      <c r="S3" s="5"/>
      <c r="T3" s="5"/>
      <c r="U3" s="5"/>
      <c r="V3" s="5"/>
      <c r="W3" s="5"/>
      <c r="X3" s="5"/>
      <c r="Y3" s="5"/>
      <c r="Z3" s="5"/>
      <c r="AA3" s="5"/>
    </row>
    <row r="4" spans="2:27">
      <c r="B4" s="2"/>
      <c r="C4" s="3"/>
      <c r="D4" s="7" t="s">
        <v>57</v>
      </c>
      <c r="E4" s="8" t="s">
        <v>48</v>
      </c>
      <c r="F4" s="8" t="s">
        <v>58</v>
      </c>
      <c r="G4" s="8" t="s">
        <v>26</v>
      </c>
      <c r="H4" s="8" t="s">
        <v>59</v>
      </c>
      <c r="I4" s="8" t="s">
        <v>49</v>
      </c>
      <c r="J4" s="9" t="s">
        <v>60</v>
      </c>
      <c r="K4" s="4"/>
      <c r="L4" s="5"/>
      <c r="M4" s="5"/>
      <c r="N4" s="5"/>
      <c r="O4" s="5"/>
      <c r="P4" s="5"/>
      <c r="Q4" s="5"/>
      <c r="R4" s="5"/>
      <c r="S4" s="5"/>
      <c r="T4" s="5"/>
      <c r="U4" s="5"/>
      <c r="V4" s="5"/>
      <c r="W4" s="5"/>
      <c r="X4" s="5"/>
      <c r="Y4" s="5"/>
      <c r="Z4" s="5"/>
      <c r="AA4" s="5"/>
    </row>
    <row r="5" spans="2:27" ht="15.75" customHeight="1">
      <c r="B5" s="10"/>
      <c r="C5" s="11" t="s">
        <v>8</v>
      </c>
      <c r="D5" s="11" t="s">
        <v>61</v>
      </c>
      <c r="E5" s="12" t="s">
        <v>62</v>
      </c>
      <c r="F5" s="11" t="s">
        <v>63</v>
      </c>
      <c r="G5" s="11" t="s">
        <v>64</v>
      </c>
      <c r="H5" s="12" t="s">
        <v>65</v>
      </c>
      <c r="I5" s="12" t="s">
        <v>66</v>
      </c>
      <c r="J5" s="12" t="s">
        <v>67</v>
      </c>
      <c r="K5" s="13"/>
      <c r="L5" s="14" t="s">
        <v>13</v>
      </c>
      <c r="M5" s="15"/>
      <c r="N5" s="15"/>
      <c r="O5" s="15"/>
      <c r="P5" s="15"/>
      <c r="Q5" s="15"/>
      <c r="R5" s="15"/>
      <c r="S5" s="15"/>
      <c r="T5" s="15"/>
      <c r="U5" s="15"/>
      <c r="V5" s="15"/>
      <c r="W5" s="15"/>
      <c r="X5" s="15"/>
      <c r="Y5" s="15"/>
      <c r="Z5" s="15"/>
      <c r="AA5" s="15"/>
    </row>
    <row r="6" spans="2:27">
      <c r="B6" s="16"/>
      <c r="C6" s="17" t="s">
        <v>14</v>
      </c>
      <c r="D6" s="18">
        <v>8.1</v>
      </c>
      <c r="E6" s="18">
        <v>7.4</v>
      </c>
      <c r="F6" s="18">
        <v>8.3000000000000007</v>
      </c>
      <c r="G6" s="18">
        <v>7.7</v>
      </c>
      <c r="H6" s="18">
        <v>5.8</v>
      </c>
      <c r="I6" s="18">
        <v>5.9</v>
      </c>
      <c r="J6" s="19"/>
      <c r="K6" s="15"/>
      <c r="L6" s="20">
        <f t="shared" ref="L6:L13" si="0">COUNT(D6:J6)</f>
        <v>6</v>
      </c>
    </row>
    <row r="7" spans="2:27">
      <c r="B7" s="16"/>
      <c r="C7" s="17" t="s">
        <v>15</v>
      </c>
      <c r="D7" s="18">
        <v>8</v>
      </c>
      <c r="E7" s="18">
        <v>7</v>
      </c>
      <c r="F7" s="18">
        <v>8.4</v>
      </c>
      <c r="G7" s="18">
        <v>8</v>
      </c>
      <c r="H7" s="18">
        <v>7</v>
      </c>
      <c r="I7" s="18">
        <v>6</v>
      </c>
      <c r="J7" s="18">
        <v>7</v>
      </c>
      <c r="K7" s="15"/>
      <c r="L7" s="21">
        <f t="shared" si="0"/>
        <v>7</v>
      </c>
    </row>
    <row r="8" spans="2:27">
      <c r="B8" s="16"/>
      <c r="C8" s="17" t="s">
        <v>16</v>
      </c>
      <c r="D8" s="18">
        <v>8</v>
      </c>
      <c r="E8" s="18">
        <v>7.5</v>
      </c>
      <c r="F8" s="18">
        <v>7</v>
      </c>
      <c r="G8" s="18">
        <v>8.5</v>
      </c>
      <c r="H8" s="18">
        <v>6</v>
      </c>
      <c r="I8" s="18">
        <v>5</v>
      </c>
      <c r="J8" s="18">
        <v>7.5</v>
      </c>
      <c r="K8" s="15"/>
      <c r="L8" s="21">
        <f t="shared" si="0"/>
        <v>7</v>
      </c>
    </row>
    <row r="9" spans="2:27">
      <c r="B9" s="16"/>
      <c r="C9" s="17" t="s">
        <v>17</v>
      </c>
      <c r="D9" s="18">
        <v>9</v>
      </c>
      <c r="E9" s="18">
        <v>8</v>
      </c>
      <c r="F9" s="18">
        <v>3</v>
      </c>
      <c r="G9" s="19"/>
      <c r="H9" s="19"/>
      <c r="I9" s="19"/>
      <c r="J9" s="18">
        <v>10</v>
      </c>
      <c r="K9" s="15"/>
      <c r="L9" s="21">
        <f t="shared" si="0"/>
        <v>4</v>
      </c>
    </row>
    <row r="10" spans="2:27">
      <c r="B10" s="16"/>
      <c r="C10" s="17" t="s">
        <v>18</v>
      </c>
      <c r="D10" s="19"/>
      <c r="E10" s="19"/>
      <c r="F10" s="19"/>
      <c r="G10" s="19"/>
      <c r="H10" s="19"/>
      <c r="I10" s="19"/>
      <c r="J10" s="19"/>
      <c r="K10" s="15"/>
      <c r="L10" s="21">
        <f t="shared" si="0"/>
        <v>0</v>
      </c>
    </row>
    <row r="11" spans="2:27">
      <c r="B11" s="16"/>
      <c r="C11" s="17" t="s">
        <v>19</v>
      </c>
      <c r="D11" s="19"/>
      <c r="E11" s="19"/>
      <c r="F11" s="19"/>
      <c r="G11" s="19"/>
      <c r="H11" s="19"/>
      <c r="I11" s="19"/>
      <c r="J11" s="19"/>
      <c r="K11" s="15"/>
      <c r="L11" s="21">
        <f t="shared" si="0"/>
        <v>0</v>
      </c>
    </row>
    <row r="12" spans="2:27">
      <c r="B12" s="16"/>
      <c r="C12" s="17" t="s">
        <v>20</v>
      </c>
      <c r="D12" s="18">
        <v>8.3000000000000007</v>
      </c>
      <c r="E12" s="18">
        <v>8.6</v>
      </c>
      <c r="F12" s="18">
        <v>8.4</v>
      </c>
      <c r="G12" s="18">
        <v>8.1</v>
      </c>
      <c r="H12" s="19"/>
      <c r="I12" s="19"/>
      <c r="J12" s="18">
        <v>6.6</v>
      </c>
      <c r="K12" s="15"/>
      <c r="L12" s="21">
        <f t="shared" si="0"/>
        <v>5</v>
      </c>
    </row>
    <row r="13" spans="2:27">
      <c r="B13" s="16"/>
      <c r="C13" s="17" t="s">
        <v>21</v>
      </c>
      <c r="D13" s="30">
        <v>8.5</v>
      </c>
      <c r="E13" s="18">
        <v>8.1</v>
      </c>
      <c r="F13" s="18">
        <v>8.3000000000000007</v>
      </c>
      <c r="G13" s="18">
        <v>7.8</v>
      </c>
      <c r="H13" s="19"/>
      <c r="I13" s="19"/>
      <c r="J13" s="19"/>
      <c r="K13" s="15"/>
      <c r="L13" s="22">
        <f t="shared" si="0"/>
        <v>4</v>
      </c>
    </row>
    <row r="14" spans="2:27" ht="15.75" customHeight="1">
      <c r="B14" s="23"/>
      <c r="C14" s="24" t="s">
        <v>22</v>
      </c>
      <c r="D14" s="25">
        <f t="shared" ref="D14:J14" si="1">IFERROR(AVERAGE(D6:D13),"-")</f>
        <v>8.3166666666666682</v>
      </c>
      <c r="E14" s="25">
        <f t="shared" si="1"/>
        <v>7.7666666666666666</v>
      </c>
      <c r="F14" s="25">
        <f t="shared" si="1"/>
        <v>7.2333333333333343</v>
      </c>
      <c r="G14" s="25">
        <f t="shared" si="1"/>
        <v>8.02</v>
      </c>
      <c r="H14" s="25">
        <f t="shared" si="1"/>
        <v>6.2666666666666666</v>
      </c>
      <c r="I14" s="25">
        <f t="shared" si="1"/>
        <v>5.6333333333333329</v>
      </c>
      <c r="J14" s="25">
        <f t="shared" si="1"/>
        <v>7.7750000000000004</v>
      </c>
      <c r="K14" s="15"/>
      <c r="L14" s="26">
        <f>AVERAGE(D14:J14)</f>
        <v>7.2873809523809525</v>
      </c>
      <c r="M14" s="27" t="s">
        <v>23</v>
      </c>
    </row>
    <row r="15" spans="2:27">
      <c r="B15" s="28"/>
      <c r="K15" s="15"/>
    </row>
    <row r="16" spans="2:27">
      <c r="B16" s="28"/>
      <c r="K16" s="15"/>
    </row>
    <row r="17" spans="2:11">
      <c r="B17" s="28"/>
      <c r="K17" s="15"/>
    </row>
    <row r="18" spans="2:11">
      <c r="B18" s="28"/>
      <c r="K18" s="15"/>
    </row>
    <row r="19" spans="2:11">
      <c r="B19" s="28"/>
      <c r="K19" s="15"/>
    </row>
    <row r="20" spans="2:11" ht="12.75">
      <c r="B20" s="28"/>
      <c r="K20" s="15"/>
    </row>
    <row r="21" spans="2:11" ht="12.75">
      <c r="B21" s="28"/>
      <c r="K21" s="15"/>
    </row>
    <row r="22" spans="2:11" ht="12.75">
      <c r="B22" s="28"/>
      <c r="D22" s="1"/>
      <c r="K22" s="15"/>
    </row>
    <row r="23" spans="2:11" ht="12.75">
      <c r="B23" s="28"/>
      <c r="D23" s="1"/>
      <c r="K23" s="15"/>
    </row>
    <row r="24" spans="2:11" ht="12.75">
      <c r="B24" s="28"/>
      <c r="K24" s="15"/>
    </row>
    <row r="25" spans="2:11" ht="12.75">
      <c r="B25" s="28"/>
      <c r="K25" s="15"/>
    </row>
    <row r="26" spans="2:11" ht="12.75">
      <c r="B26" s="28"/>
      <c r="K26" s="15"/>
    </row>
    <row r="27" spans="2:11" ht="12.75">
      <c r="B27" s="28"/>
      <c r="K27" s="15"/>
    </row>
    <row r="28" spans="2:11" ht="12.75">
      <c r="B28" s="28"/>
      <c r="K28" s="15"/>
    </row>
    <row r="29" spans="2:11" ht="12.75">
      <c r="B29" s="28"/>
      <c r="K29" s="15"/>
    </row>
    <row r="30" spans="2:11" ht="12.75">
      <c r="B30" s="28"/>
      <c r="K30" s="15"/>
    </row>
    <row r="31" spans="2:11" ht="12.75">
      <c r="B31" s="28"/>
      <c r="K31" s="15"/>
    </row>
    <row r="32" spans="2:11" ht="12.75">
      <c r="B32" s="28"/>
      <c r="K32" s="15"/>
    </row>
    <row r="33" spans="2:11" ht="12.75">
      <c r="B33" s="28"/>
      <c r="K33" s="15"/>
    </row>
    <row r="34" spans="2:11" ht="12.75">
      <c r="B34" s="28"/>
      <c r="K34" s="15"/>
    </row>
    <row r="35" spans="2:11" ht="12.75">
      <c r="B35" s="28"/>
      <c r="K35" s="15"/>
    </row>
    <row r="36" spans="2:11" ht="12.75">
      <c r="B36" s="28"/>
      <c r="K36" s="15"/>
    </row>
    <row r="37" spans="2:11" ht="12.75">
      <c r="B37" s="28"/>
      <c r="H37" s="29"/>
      <c r="K37" s="15"/>
    </row>
    <row r="38" spans="2:11" ht="12.75">
      <c r="B38" s="28"/>
      <c r="K38" s="15"/>
    </row>
    <row r="39" spans="2:11" ht="12.75">
      <c r="B39" s="28"/>
      <c r="K39" s="15"/>
    </row>
    <row r="40" spans="2:11" ht="12.75">
      <c r="B40" s="28"/>
      <c r="K40" s="15"/>
    </row>
    <row r="41" spans="2:11" ht="12.75">
      <c r="B41" s="28"/>
      <c r="K41" s="15"/>
    </row>
    <row r="42" spans="2:11" ht="12.75">
      <c r="B42" s="28"/>
      <c r="K42" s="15"/>
    </row>
    <row r="43" spans="2:11" ht="12.75">
      <c r="B43" s="28"/>
      <c r="K43" s="15"/>
    </row>
    <row r="44" spans="2:11" ht="12.75">
      <c r="B44" s="28"/>
      <c r="K44" s="15"/>
    </row>
    <row r="45" spans="2:11" ht="12.75">
      <c r="B45" s="28"/>
      <c r="K45" s="15"/>
    </row>
    <row r="46" spans="2:11" ht="12.75">
      <c r="B46" s="28"/>
      <c r="K46" s="15"/>
    </row>
    <row r="47" spans="2:11" ht="12.75">
      <c r="B47" s="28"/>
      <c r="K47" s="15"/>
    </row>
    <row r="48" spans="2:11" ht="12.75">
      <c r="B48" s="28"/>
      <c r="K48" s="15"/>
    </row>
    <row r="49" spans="2:11" ht="12.75">
      <c r="B49" s="28"/>
      <c r="K49" s="15"/>
    </row>
    <row r="50" spans="2:11" ht="12.75">
      <c r="B50" s="28"/>
      <c r="K50" s="15"/>
    </row>
    <row r="51" spans="2:11" ht="12.75">
      <c r="B51" s="28"/>
      <c r="K51" s="15"/>
    </row>
    <row r="52" spans="2:11" ht="12.75">
      <c r="B52" s="28"/>
      <c r="K52" s="15"/>
    </row>
    <row r="53" spans="2:11" ht="12.75">
      <c r="B53" s="28"/>
      <c r="K53" s="15"/>
    </row>
    <row r="54" spans="2:11" ht="12.75">
      <c r="B54" s="28"/>
      <c r="K54" s="15"/>
    </row>
    <row r="55" spans="2:11" ht="12.75">
      <c r="B55" s="28"/>
      <c r="K55" s="15"/>
    </row>
    <row r="56" spans="2:11" ht="12.75">
      <c r="B56" s="28"/>
      <c r="K56" s="15"/>
    </row>
    <row r="57" spans="2:11" ht="12.75">
      <c r="B57" s="28"/>
      <c r="K57" s="15"/>
    </row>
    <row r="58" spans="2:11" ht="12.75">
      <c r="B58" s="28"/>
      <c r="K58" s="15"/>
    </row>
    <row r="59" spans="2:11" ht="12.75">
      <c r="B59" s="28"/>
      <c r="K59" s="15"/>
    </row>
    <row r="60" spans="2:11" ht="12.75">
      <c r="B60" s="28"/>
      <c r="K60" s="15"/>
    </row>
    <row r="61" spans="2:11" ht="12.75">
      <c r="B61" s="28"/>
      <c r="K61" s="15"/>
    </row>
    <row r="62" spans="2:11" ht="12.75">
      <c r="B62" s="28"/>
      <c r="K62" s="15"/>
    </row>
    <row r="63" spans="2:11" ht="12.75">
      <c r="B63" s="28"/>
      <c r="K63" s="15"/>
    </row>
    <row r="64" spans="2:11" ht="12.75">
      <c r="B64" s="28"/>
      <c r="K64" s="15"/>
    </row>
    <row r="65" spans="2:11" ht="12.75">
      <c r="B65" s="28"/>
      <c r="K65" s="15"/>
    </row>
    <row r="66" spans="2:11" ht="12.75">
      <c r="B66" s="28"/>
      <c r="K66" s="15"/>
    </row>
    <row r="67" spans="2:11" ht="12.75">
      <c r="B67" s="28"/>
      <c r="K67" s="15"/>
    </row>
    <row r="68" spans="2:11" ht="12.75">
      <c r="B68" s="28"/>
      <c r="K68" s="15"/>
    </row>
    <row r="69" spans="2:11" ht="12.75">
      <c r="B69" s="28"/>
      <c r="K69" s="15"/>
    </row>
    <row r="70" spans="2:11" ht="12.75">
      <c r="B70" s="28"/>
      <c r="K70" s="15"/>
    </row>
    <row r="71" spans="2:11" ht="12.75">
      <c r="B71" s="28"/>
      <c r="K71" s="15"/>
    </row>
    <row r="72" spans="2:11" ht="12.75">
      <c r="B72" s="28"/>
      <c r="K72" s="15"/>
    </row>
    <row r="73" spans="2:11" ht="12.75">
      <c r="B73" s="28"/>
      <c r="K73" s="15"/>
    </row>
    <row r="74" spans="2:11" ht="12.75">
      <c r="B74" s="28"/>
      <c r="K74" s="15"/>
    </row>
    <row r="75" spans="2:11" ht="12.75">
      <c r="B75" s="28"/>
      <c r="K75" s="15"/>
    </row>
    <row r="76" spans="2:11" ht="12.75">
      <c r="B76" s="28"/>
      <c r="K76" s="15"/>
    </row>
    <row r="77" spans="2:11" ht="12.75">
      <c r="B77" s="28"/>
      <c r="K77" s="15"/>
    </row>
    <row r="78" spans="2:11" ht="12.75">
      <c r="B78" s="28"/>
      <c r="K78" s="15"/>
    </row>
    <row r="79" spans="2:11" ht="12.75">
      <c r="B79" s="28"/>
      <c r="K79" s="15"/>
    </row>
    <row r="80" spans="2:11" ht="12.75">
      <c r="B80" s="28"/>
      <c r="K80" s="15"/>
    </row>
    <row r="81" spans="2:11" ht="12.75">
      <c r="B81" s="28"/>
      <c r="K81" s="15"/>
    </row>
    <row r="82" spans="2:11" ht="12.75">
      <c r="B82" s="28"/>
      <c r="K82" s="15"/>
    </row>
    <row r="83" spans="2:11" ht="12.75">
      <c r="B83" s="28"/>
      <c r="K83" s="15"/>
    </row>
    <row r="84" spans="2:11" ht="12.75">
      <c r="B84" s="28"/>
      <c r="K84" s="15"/>
    </row>
    <row r="85" spans="2:11" ht="12.75">
      <c r="B85" s="28"/>
      <c r="K85" s="15"/>
    </row>
    <row r="86" spans="2:11" ht="12.75">
      <c r="B86" s="28"/>
      <c r="K86" s="15"/>
    </row>
    <row r="87" spans="2:11" ht="12.75">
      <c r="B87" s="28"/>
      <c r="K87" s="15"/>
    </row>
    <row r="88" spans="2:11" ht="12.75">
      <c r="B88" s="28"/>
      <c r="K88" s="15"/>
    </row>
    <row r="89" spans="2:11" ht="12.75">
      <c r="B89" s="28"/>
      <c r="K89" s="15"/>
    </row>
    <row r="90" spans="2:11" ht="12.75">
      <c r="B90" s="28"/>
      <c r="K90" s="15"/>
    </row>
    <row r="91" spans="2:11" ht="12.75">
      <c r="B91" s="28"/>
      <c r="K91" s="15"/>
    </row>
    <row r="92" spans="2:11" ht="12.75">
      <c r="B92" s="28"/>
      <c r="K92" s="15"/>
    </row>
    <row r="93" spans="2:11" ht="12.75">
      <c r="B93" s="28"/>
      <c r="K93" s="15"/>
    </row>
    <row r="94" spans="2:11" ht="12.75">
      <c r="B94" s="28"/>
      <c r="K94" s="15"/>
    </row>
    <row r="95" spans="2:11" ht="12.75">
      <c r="B95" s="28"/>
      <c r="K95" s="15"/>
    </row>
    <row r="96" spans="2:11" ht="12.75">
      <c r="B96" s="28"/>
      <c r="K96" s="15"/>
    </row>
    <row r="97" spans="2:11" ht="12.75">
      <c r="B97" s="28"/>
      <c r="K97" s="15"/>
    </row>
    <row r="98" spans="2:11" ht="12.75">
      <c r="B98" s="28"/>
      <c r="K98" s="15"/>
    </row>
    <row r="99" spans="2:11" ht="12.75">
      <c r="B99" s="28"/>
      <c r="K99" s="15"/>
    </row>
    <row r="100" spans="2:11" ht="12.75">
      <c r="B100" s="28"/>
      <c r="K100" s="15"/>
    </row>
    <row r="101" spans="2:11" ht="12.75">
      <c r="B101" s="28"/>
      <c r="K101" s="15"/>
    </row>
    <row r="102" spans="2:11" ht="12.75">
      <c r="B102" s="28"/>
      <c r="K102" s="15"/>
    </row>
    <row r="103" spans="2:11" ht="12.75">
      <c r="B103" s="28"/>
      <c r="K103" s="15"/>
    </row>
    <row r="104" spans="2:11" ht="12.75">
      <c r="B104" s="28"/>
      <c r="K104" s="15"/>
    </row>
    <row r="105" spans="2:11" ht="12.75">
      <c r="B105" s="28"/>
      <c r="K105" s="15"/>
    </row>
    <row r="106" spans="2:11" ht="12.75">
      <c r="B106" s="28"/>
      <c r="K106" s="15"/>
    </row>
    <row r="107" spans="2:11" ht="12.75">
      <c r="B107" s="28"/>
      <c r="K107" s="15"/>
    </row>
    <row r="108" spans="2:11" ht="12.75">
      <c r="B108" s="28"/>
      <c r="K108" s="15"/>
    </row>
    <row r="109" spans="2:11" ht="12.75">
      <c r="B109" s="28"/>
      <c r="K109" s="15"/>
    </row>
    <row r="110" spans="2:11" ht="12.75">
      <c r="B110" s="28"/>
      <c r="K110" s="15"/>
    </row>
    <row r="111" spans="2:11" ht="12.75">
      <c r="B111" s="28"/>
      <c r="K111" s="15"/>
    </row>
    <row r="112" spans="2:11" ht="12.75">
      <c r="B112" s="28"/>
      <c r="K112" s="15"/>
    </row>
    <row r="113" spans="2:11" ht="12.75">
      <c r="B113" s="28"/>
      <c r="K113" s="15"/>
    </row>
    <row r="114" spans="2:11" ht="12.75">
      <c r="B114" s="28"/>
      <c r="K114" s="15"/>
    </row>
    <row r="115" spans="2:11" ht="12.75">
      <c r="B115" s="28"/>
      <c r="K115" s="15"/>
    </row>
    <row r="116" spans="2:11" ht="12.75">
      <c r="B116" s="28"/>
      <c r="K116" s="15"/>
    </row>
    <row r="117" spans="2:11" ht="12.75">
      <c r="B117" s="28"/>
      <c r="K117" s="15"/>
    </row>
    <row r="118" spans="2:11" ht="12.75">
      <c r="B118" s="28"/>
      <c r="K118" s="15"/>
    </row>
    <row r="119" spans="2:11" ht="12.75">
      <c r="B119" s="28"/>
      <c r="K119" s="15"/>
    </row>
    <row r="120" spans="2:11" ht="12.75">
      <c r="B120" s="28"/>
      <c r="K120" s="15"/>
    </row>
    <row r="121" spans="2:11" ht="12.75">
      <c r="B121" s="28"/>
      <c r="K121" s="15"/>
    </row>
    <row r="122" spans="2:11" ht="12.75">
      <c r="B122" s="28"/>
      <c r="K122" s="15"/>
    </row>
    <row r="123" spans="2:11" ht="12.75">
      <c r="B123" s="28"/>
      <c r="K123" s="15"/>
    </row>
    <row r="124" spans="2:11" ht="12.75">
      <c r="B124" s="28"/>
      <c r="K124" s="15"/>
    </row>
    <row r="125" spans="2:11" ht="12.75">
      <c r="B125" s="28"/>
      <c r="K125" s="15"/>
    </row>
    <row r="126" spans="2:11" ht="12.75">
      <c r="B126" s="28"/>
      <c r="K126" s="15"/>
    </row>
    <row r="127" spans="2:11" ht="12.75">
      <c r="B127" s="28"/>
      <c r="K127" s="15"/>
    </row>
    <row r="128" spans="2:11" ht="12.75">
      <c r="B128" s="28"/>
      <c r="K128" s="15"/>
    </row>
    <row r="129" spans="2:11" ht="12.75">
      <c r="B129" s="28"/>
      <c r="K129" s="15"/>
    </row>
    <row r="130" spans="2:11" ht="12.75">
      <c r="B130" s="28"/>
      <c r="K130" s="15"/>
    </row>
    <row r="131" spans="2:11" ht="12.75">
      <c r="B131" s="28"/>
      <c r="K131" s="15"/>
    </row>
    <row r="132" spans="2:11" ht="12.75">
      <c r="B132" s="28"/>
      <c r="K132" s="15"/>
    </row>
    <row r="133" spans="2:11" ht="12.75">
      <c r="B133" s="28"/>
      <c r="K133" s="15"/>
    </row>
    <row r="134" spans="2:11" ht="12.75">
      <c r="B134" s="28"/>
      <c r="K134" s="15"/>
    </row>
    <row r="135" spans="2:11" ht="12.75">
      <c r="B135" s="28"/>
      <c r="K135" s="15"/>
    </row>
    <row r="136" spans="2:11" ht="12.75">
      <c r="B136" s="28"/>
      <c r="K136" s="15"/>
    </row>
    <row r="137" spans="2:11" ht="12.75">
      <c r="B137" s="28"/>
      <c r="K137" s="15"/>
    </row>
    <row r="138" spans="2:11" ht="12.75">
      <c r="B138" s="28"/>
      <c r="K138" s="15"/>
    </row>
    <row r="139" spans="2:11" ht="12.75">
      <c r="B139" s="28"/>
      <c r="K139" s="15"/>
    </row>
    <row r="140" spans="2:11" ht="12.75">
      <c r="B140" s="28"/>
      <c r="K140" s="15"/>
    </row>
    <row r="141" spans="2:11" ht="12.75">
      <c r="B141" s="28"/>
      <c r="K141" s="15"/>
    </row>
    <row r="142" spans="2:11" ht="12.75">
      <c r="B142" s="28"/>
      <c r="K142" s="15"/>
    </row>
    <row r="143" spans="2:11" ht="12.75">
      <c r="B143" s="28"/>
      <c r="K143" s="15"/>
    </row>
    <row r="144" spans="2:11" ht="12.75">
      <c r="B144" s="28"/>
      <c r="K144" s="15"/>
    </row>
    <row r="145" spans="2:11" ht="12.75">
      <c r="B145" s="28"/>
      <c r="K145" s="15"/>
    </row>
    <row r="146" spans="2:11" ht="12.75">
      <c r="B146" s="28"/>
      <c r="K146" s="15"/>
    </row>
    <row r="147" spans="2:11" ht="12.75">
      <c r="B147" s="28"/>
      <c r="K147" s="15"/>
    </row>
    <row r="148" spans="2:11" ht="12.75">
      <c r="B148" s="28"/>
      <c r="K148" s="15"/>
    </row>
    <row r="149" spans="2:11" ht="12.75">
      <c r="B149" s="28"/>
      <c r="K149" s="15"/>
    </row>
    <row r="150" spans="2:11" ht="12.75">
      <c r="B150" s="28"/>
      <c r="K150" s="15"/>
    </row>
    <row r="151" spans="2:11" ht="12.75">
      <c r="B151" s="28"/>
      <c r="K151" s="15"/>
    </row>
    <row r="152" spans="2:11" ht="12.75">
      <c r="B152" s="28"/>
      <c r="K152" s="15"/>
    </row>
    <row r="153" spans="2:11" ht="12.75">
      <c r="B153" s="28"/>
      <c r="K153" s="15"/>
    </row>
    <row r="154" spans="2:11" ht="12.75">
      <c r="B154" s="28"/>
      <c r="K154" s="15"/>
    </row>
    <row r="155" spans="2:11" ht="12.75">
      <c r="B155" s="28"/>
      <c r="K155" s="15"/>
    </row>
    <row r="156" spans="2:11" ht="12.75">
      <c r="B156" s="28"/>
      <c r="K156" s="15"/>
    </row>
    <row r="157" spans="2:11" ht="12.75">
      <c r="B157" s="28"/>
      <c r="K157" s="15"/>
    </row>
    <row r="158" spans="2:11" ht="12.75">
      <c r="B158" s="28"/>
      <c r="K158" s="15"/>
    </row>
    <row r="159" spans="2:11" ht="12.75">
      <c r="B159" s="28"/>
      <c r="K159" s="15"/>
    </row>
    <row r="160" spans="2:11" ht="12.75">
      <c r="B160" s="28"/>
      <c r="K160" s="15"/>
    </row>
    <row r="161" spans="2:11" ht="12.75">
      <c r="B161" s="28"/>
      <c r="K161" s="15"/>
    </row>
    <row r="162" spans="2:11" ht="12.75">
      <c r="B162" s="28"/>
      <c r="K162" s="15"/>
    </row>
    <row r="163" spans="2:11" ht="12.75">
      <c r="B163" s="28"/>
      <c r="K163" s="15"/>
    </row>
    <row r="164" spans="2:11" ht="12.75">
      <c r="B164" s="28"/>
      <c r="K164" s="15"/>
    </row>
    <row r="165" spans="2:11" ht="12.75">
      <c r="B165" s="28"/>
      <c r="K165" s="15"/>
    </row>
    <row r="166" spans="2:11" ht="12.75">
      <c r="B166" s="28"/>
      <c r="K166" s="15"/>
    </row>
    <row r="167" spans="2:11" ht="12.75">
      <c r="B167" s="28"/>
      <c r="K167" s="15"/>
    </row>
    <row r="168" spans="2:11" ht="12.75">
      <c r="B168" s="28"/>
      <c r="K168" s="15"/>
    </row>
    <row r="169" spans="2:11" ht="12.75">
      <c r="B169" s="28"/>
      <c r="K169" s="15"/>
    </row>
    <row r="170" spans="2:11" ht="12.75">
      <c r="B170" s="28"/>
      <c r="K170" s="15"/>
    </row>
    <row r="171" spans="2:11" ht="12.75">
      <c r="B171" s="28"/>
      <c r="K171" s="15"/>
    </row>
    <row r="172" spans="2:11" ht="12.75">
      <c r="B172" s="28"/>
      <c r="K172" s="15"/>
    </row>
    <row r="173" spans="2:11" ht="12.75">
      <c r="B173" s="28"/>
      <c r="K173" s="15"/>
    </row>
    <row r="174" spans="2:11" ht="12.75">
      <c r="B174" s="28"/>
      <c r="K174" s="15"/>
    </row>
    <row r="175" spans="2:11" ht="12.75">
      <c r="B175" s="28"/>
      <c r="K175" s="15"/>
    </row>
    <row r="176" spans="2:11" ht="12.75">
      <c r="B176" s="28"/>
      <c r="K176" s="15"/>
    </row>
    <row r="177" spans="2:11" ht="12.75">
      <c r="B177" s="28"/>
      <c r="K177" s="15"/>
    </row>
    <row r="178" spans="2:11" ht="12.75">
      <c r="B178" s="28"/>
      <c r="K178" s="15"/>
    </row>
    <row r="179" spans="2:11" ht="12.75">
      <c r="B179" s="28"/>
      <c r="K179" s="15"/>
    </row>
    <row r="180" spans="2:11" ht="12.75">
      <c r="B180" s="28"/>
      <c r="K180" s="15"/>
    </row>
    <row r="181" spans="2:11" ht="12.75">
      <c r="B181" s="28"/>
      <c r="K181" s="15"/>
    </row>
    <row r="182" spans="2:11" ht="12.75">
      <c r="B182" s="28"/>
      <c r="K182" s="15"/>
    </row>
    <row r="183" spans="2:11" ht="12.75">
      <c r="B183" s="28"/>
      <c r="K183" s="15"/>
    </row>
    <row r="184" spans="2:11" ht="12.75">
      <c r="B184" s="28"/>
      <c r="K184" s="15"/>
    </row>
    <row r="185" spans="2:11" ht="12.75">
      <c r="B185" s="28"/>
      <c r="K185" s="15"/>
    </row>
    <row r="186" spans="2:11" ht="12.75">
      <c r="B186" s="28"/>
      <c r="K186" s="15"/>
    </row>
    <row r="187" spans="2:11" ht="12.75">
      <c r="B187" s="28"/>
      <c r="K187" s="15"/>
    </row>
    <row r="188" spans="2:11" ht="12.75">
      <c r="B188" s="28"/>
      <c r="K188" s="15"/>
    </row>
    <row r="189" spans="2:11" ht="12.75">
      <c r="B189" s="28"/>
      <c r="K189" s="15"/>
    </row>
    <row r="190" spans="2:11" ht="12.75">
      <c r="B190" s="28"/>
      <c r="K190" s="15"/>
    </row>
    <row r="191" spans="2:11" ht="12.75">
      <c r="B191" s="28"/>
      <c r="K191" s="15"/>
    </row>
    <row r="192" spans="2:11" ht="12.75">
      <c r="B192" s="28"/>
      <c r="K192" s="15"/>
    </row>
    <row r="193" spans="2:11" ht="12.75">
      <c r="B193" s="28"/>
      <c r="K193" s="15"/>
    </row>
    <row r="194" spans="2:11" ht="12.75">
      <c r="B194" s="28"/>
      <c r="K194" s="15"/>
    </row>
    <row r="195" spans="2:11" ht="12.75">
      <c r="B195" s="28"/>
      <c r="K195" s="15"/>
    </row>
    <row r="196" spans="2:11" ht="12.75">
      <c r="B196" s="28"/>
      <c r="K196" s="15"/>
    </row>
    <row r="197" spans="2:11" ht="12.75">
      <c r="B197" s="28"/>
      <c r="K197" s="15"/>
    </row>
    <row r="198" spans="2:11" ht="12.75">
      <c r="B198" s="28"/>
      <c r="K198" s="15"/>
    </row>
    <row r="199" spans="2:11" ht="12.75">
      <c r="B199" s="28"/>
      <c r="K199" s="15"/>
    </row>
    <row r="200" spans="2:11" ht="12.75">
      <c r="B200" s="28"/>
      <c r="K200" s="15"/>
    </row>
    <row r="201" spans="2:11" ht="12.75">
      <c r="B201" s="28"/>
      <c r="K201" s="15"/>
    </row>
    <row r="202" spans="2:11" ht="12.75">
      <c r="B202" s="28"/>
      <c r="K202" s="15"/>
    </row>
    <row r="203" spans="2:11" ht="12.75">
      <c r="B203" s="28"/>
      <c r="K203" s="15"/>
    </row>
    <row r="204" spans="2:11" ht="12.75">
      <c r="B204" s="28"/>
      <c r="K204" s="15"/>
    </row>
    <row r="205" spans="2:11" ht="12.75">
      <c r="B205" s="28"/>
      <c r="K205" s="15"/>
    </row>
    <row r="206" spans="2:11" ht="12.75">
      <c r="B206" s="28"/>
      <c r="K206" s="15"/>
    </row>
    <row r="207" spans="2:11" ht="12.75">
      <c r="B207" s="28"/>
      <c r="K207" s="15"/>
    </row>
    <row r="208" spans="2:11" ht="12.75">
      <c r="B208" s="28"/>
      <c r="K208" s="15"/>
    </row>
    <row r="209" spans="2:11" ht="12.75">
      <c r="B209" s="28"/>
      <c r="K209" s="15"/>
    </row>
    <row r="210" spans="2:11" ht="12.75">
      <c r="B210" s="28"/>
      <c r="K210" s="15"/>
    </row>
    <row r="211" spans="2:11" ht="12.75">
      <c r="B211" s="28"/>
      <c r="K211" s="15"/>
    </row>
    <row r="212" spans="2:11" ht="12.75">
      <c r="B212" s="28"/>
      <c r="K212" s="15"/>
    </row>
    <row r="213" spans="2:11" ht="12.75">
      <c r="B213" s="28"/>
      <c r="K213" s="15"/>
    </row>
    <row r="214" spans="2:11" ht="12.75">
      <c r="B214" s="28"/>
      <c r="K214" s="15"/>
    </row>
    <row r="215" spans="2:11" ht="12.75">
      <c r="B215" s="28"/>
      <c r="K215" s="15"/>
    </row>
    <row r="216" spans="2:11" ht="12.75">
      <c r="B216" s="28"/>
      <c r="K216" s="15"/>
    </row>
    <row r="217" spans="2:11" ht="12.75">
      <c r="B217" s="28"/>
      <c r="K217" s="15"/>
    </row>
    <row r="218" spans="2:11" ht="12.75">
      <c r="B218" s="28"/>
      <c r="K218" s="15"/>
    </row>
    <row r="219" spans="2:11" ht="12.75">
      <c r="B219" s="28"/>
      <c r="K219" s="15"/>
    </row>
    <row r="220" spans="2:11" ht="12.75">
      <c r="B220" s="28"/>
      <c r="K220" s="15"/>
    </row>
    <row r="221" spans="2:11" ht="12.75">
      <c r="B221" s="28"/>
      <c r="K221" s="15"/>
    </row>
    <row r="222" spans="2:11" ht="12.75">
      <c r="B222" s="28"/>
      <c r="K222" s="15"/>
    </row>
    <row r="223" spans="2:11" ht="12.75">
      <c r="B223" s="28"/>
      <c r="K223" s="15"/>
    </row>
    <row r="224" spans="2:11" ht="12.75">
      <c r="B224" s="28"/>
      <c r="K224" s="15"/>
    </row>
    <row r="225" spans="2:11" ht="12.75">
      <c r="B225" s="28"/>
      <c r="K225" s="15"/>
    </row>
    <row r="226" spans="2:11" ht="12.75">
      <c r="B226" s="28"/>
      <c r="K226" s="15"/>
    </row>
    <row r="227" spans="2:11" ht="12.75">
      <c r="B227" s="28"/>
      <c r="K227" s="15"/>
    </row>
    <row r="228" spans="2:11" ht="12.75">
      <c r="B228" s="28"/>
      <c r="K228" s="15"/>
    </row>
    <row r="229" spans="2:11" ht="12.75">
      <c r="B229" s="28"/>
      <c r="K229" s="15"/>
    </row>
    <row r="230" spans="2:11" ht="12.75">
      <c r="B230" s="28"/>
      <c r="K230" s="15"/>
    </row>
    <row r="231" spans="2:11" ht="12.75">
      <c r="B231" s="28"/>
      <c r="K231" s="15"/>
    </row>
    <row r="232" spans="2:11" ht="12.75">
      <c r="B232" s="28"/>
      <c r="K232" s="15"/>
    </row>
    <row r="233" spans="2:11" ht="12.75">
      <c r="B233" s="28"/>
      <c r="K233" s="15"/>
    </row>
    <row r="234" spans="2:11" ht="12.75">
      <c r="B234" s="28"/>
      <c r="K234" s="15"/>
    </row>
    <row r="235" spans="2:11" ht="12.75">
      <c r="B235" s="28"/>
      <c r="K235" s="15"/>
    </row>
    <row r="236" spans="2:11" ht="12.75">
      <c r="B236" s="28"/>
      <c r="K236" s="15"/>
    </row>
    <row r="237" spans="2:11" ht="12.75">
      <c r="B237" s="28"/>
      <c r="K237" s="15"/>
    </row>
    <row r="238" spans="2:11" ht="12.75">
      <c r="B238" s="28"/>
      <c r="K238" s="15"/>
    </row>
    <row r="239" spans="2:11" ht="12.75">
      <c r="B239" s="28"/>
      <c r="K239" s="15"/>
    </row>
    <row r="240" spans="2:11" ht="12.75">
      <c r="B240" s="28"/>
      <c r="K240" s="15"/>
    </row>
    <row r="241" spans="2:11" ht="12.75">
      <c r="B241" s="28"/>
      <c r="K241" s="15"/>
    </row>
    <row r="242" spans="2:11" ht="12.75">
      <c r="B242" s="28"/>
      <c r="K242" s="15"/>
    </row>
    <row r="243" spans="2:11" ht="12.75">
      <c r="B243" s="28"/>
      <c r="K243" s="15"/>
    </row>
    <row r="244" spans="2:11" ht="12.75">
      <c r="B244" s="28"/>
      <c r="K244" s="15"/>
    </row>
    <row r="245" spans="2:11" ht="12.75">
      <c r="B245" s="28"/>
      <c r="K245" s="15"/>
    </row>
    <row r="246" spans="2:11" ht="12.75">
      <c r="B246" s="28"/>
      <c r="K246" s="15"/>
    </row>
    <row r="247" spans="2:11" ht="12.75">
      <c r="B247" s="28"/>
      <c r="K247" s="15"/>
    </row>
    <row r="248" spans="2:11" ht="12.75">
      <c r="B248" s="28"/>
      <c r="K248" s="15"/>
    </row>
    <row r="249" spans="2:11" ht="12.75">
      <c r="B249" s="28"/>
      <c r="K249" s="15"/>
    </row>
    <row r="250" spans="2:11" ht="12.75">
      <c r="B250" s="28"/>
      <c r="K250" s="15"/>
    </row>
    <row r="251" spans="2:11" ht="12.75">
      <c r="B251" s="28"/>
      <c r="K251" s="15"/>
    </row>
    <row r="252" spans="2:11" ht="12.75">
      <c r="B252" s="28"/>
      <c r="K252" s="15"/>
    </row>
    <row r="253" spans="2:11" ht="12.75">
      <c r="B253" s="28"/>
      <c r="K253" s="15"/>
    </row>
    <row r="254" spans="2:11" ht="12.75">
      <c r="B254" s="28"/>
      <c r="K254" s="15"/>
    </row>
    <row r="255" spans="2:11" ht="12.75">
      <c r="B255" s="28"/>
      <c r="K255" s="15"/>
    </row>
    <row r="256" spans="2:11" ht="12.75">
      <c r="B256" s="28"/>
      <c r="K256" s="15"/>
    </row>
    <row r="257" spans="2:11" ht="12.75">
      <c r="B257" s="28"/>
      <c r="K257" s="15"/>
    </row>
    <row r="258" spans="2:11" ht="12.75">
      <c r="B258" s="28"/>
      <c r="K258" s="15"/>
    </row>
    <row r="259" spans="2:11" ht="12.75">
      <c r="B259" s="28"/>
      <c r="K259" s="15"/>
    </row>
    <row r="260" spans="2:11" ht="12.75">
      <c r="B260" s="28"/>
      <c r="K260" s="15"/>
    </row>
    <row r="261" spans="2:11" ht="12.75">
      <c r="B261" s="28"/>
      <c r="K261" s="15"/>
    </row>
    <row r="262" spans="2:11" ht="12.75">
      <c r="B262" s="28"/>
      <c r="K262" s="15"/>
    </row>
    <row r="263" spans="2:11" ht="12.75">
      <c r="B263" s="28"/>
      <c r="K263" s="15"/>
    </row>
    <row r="264" spans="2:11" ht="12.75">
      <c r="B264" s="28"/>
      <c r="K264" s="15"/>
    </row>
    <row r="265" spans="2:11" ht="12.75">
      <c r="B265" s="28"/>
      <c r="K265" s="15"/>
    </row>
    <row r="266" spans="2:11" ht="12.75">
      <c r="B266" s="28"/>
      <c r="K266" s="15"/>
    </row>
    <row r="267" spans="2:11" ht="12.75">
      <c r="B267" s="28"/>
      <c r="K267" s="15"/>
    </row>
    <row r="268" spans="2:11" ht="12.75">
      <c r="B268" s="28"/>
      <c r="K268" s="15"/>
    </row>
    <row r="269" spans="2:11" ht="12.75">
      <c r="B269" s="28"/>
      <c r="K269" s="15"/>
    </row>
    <row r="270" spans="2:11" ht="12.75">
      <c r="B270" s="28"/>
      <c r="K270" s="15"/>
    </row>
    <row r="271" spans="2:11" ht="12.75">
      <c r="B271" s="28"/>
      <c r="K271" s="15"/>
    </row>
    <row r="272" spans="2:11" ht="12.75">
      <c r="B272" s="28"/>
      <c r="K272" s="15"/>
    </row>
    <row r="273" spans="2:11" ht="12.75">
      <c r="B273" s="28"/>
      <c r="K273" s="15"/>
    </row>
    <row r="274" spans="2:11" ht="12.75">
      <c r="B274" s="28"/>
      <c r="K274" s="15"/>
    </row>
    <row r="275" spans="2:11" ht="12.75">
      <c r="B275" s="28"/>
      <c r="K275" s="15"/>
    </row>
    <row r="276" spans="2:11" ht="12.75">
      <c r="B276" s="28"/>
      <c r="K276" s="15"/>
    </row>
    <row r="277" spans="2:11" ht="12.75">
      <c r="B277" s="28"/>
      <c r="K277" s="15"/>
    </row>
    <row r="278" spans="2:11" ht="12.75">
      <c r="B278" s="28"/>
      <c r="K278" s="15"/>
    </row>
    <row r="279" spans="2:11" ht="12.75">
      <c r="B279" s="28"/>
      <c r="K279" s="15"/>
    </row>
    <row r="280" spans="2:11" ht="12.75">
      <c r="B280" s="28"/>
      <c r="K280" s="15"/>
    </row>
    <row r="281" spans="2:11" ht="12.75">
      <c r="B281" s="28"/>
      <c r="K281" s="15"/>
    </row>
    <row r="282" spans="2:11" ht="12.75">
      <c r="B282" s="28"/>
      <c r="K282" s="15"/>
    </row>
    <row r="283" spans="2:11" ht="12.75">
      <c r="B283" s="28"/>
      <c r="K283" s="15"/>
    </row>
    <row r="284" spans="2:11" ht="12.75">
      <c r="B284" s="28"/>
      <c r="K284" s="15"/>
    </row>
    <row r="285" spans="2:11" ht="12.75">
      <c r="B285" s="28"/>
      <c r="K285" s="15"/>
    </row>
    <row r="286" spans="2:11" ht="12.75">
      <c r="B286" s="28"/>
      <c r="K286" s="15"/>
    </row>
    <row r="287" spans="2:11" ht="12.75">
      <c r="B287" s="28"/>
      <c r="K287" s="15"/>
    </row>
    <row r="288" spans="2:11" ht="12.75">
      <c r="B288" s="28"/>
      <c r="K288" s="15"/>
    </row>
    <row r="289" spans="2:11" ht="12.75">
      <c r="B289" s="28"/>
      <c r="K289" s="15"/>
    </row>
    <row r="290" spans="2:11" ht="12.75">
      <c r="B290" s="28"/>
      <c r="K290" s="15"/>
    </row>
    <row r="291" spans="2:11" ht="12.75">
      <c r="B291" s="28"/>
      <c r="K291" s="15"/>
    </row>
    <row r="292" spans="2:11" ht="12.75">
      <c r="B292" s="28"/>
      <c r="K292" s="15"/>
    </row>
    <row r="293" spans="2:11" ht="12.75">
      <c r="B293" s="28"/>
      <c r="K293" s="15"/>
    </row>
    <row r="294" spans="2:11" ht="12.75">
      <c r="B294" s="28"/>
      <c r="K294" s="15"/>
    </row>
    <row r="295" spans="2:11" ht="12.75">
      <c r="B295" s="28"/>
      <c r="K295" s="15"/>
    </row>
    <row r="296" spans="2:11" ht="12.75">
      <c r="B296" s="28"/>
      <c r="K296" s="15"/>
    </row>
    <row r="297" spans="2:11" ht="12.75">
      <c r="B297" s="28"/>
      <c r="K297" s="15"/>
    </row>
    <row r="298" spans="2:11" ht="12.75">
      <c r="B298" s="28"/>
      <c r="K298" s="15"/>
    </row>
    <row r="299" spans="2:11" ht="12.75">
      <c r="B299" s="28"/>
      <c r="K299" s="15"/>
    </row>
    <row r="300" spans="2:11" ht="12.75">
      <c r="B300" s="28"/>
      <c r="K300" s="15"/>
    </row>
    <row r="301" spans="2:11" ht="12.75">
      <c r="B301" s="28"/>
      <c r="K301" s="15"/>
    </row>
    <row r="302" spans="2:11" ht="12.75">
      <c r="B302" s="28"/>
      <c r="K302" s="15"/>
    </row>
    <row r="303" spans="2:11" ht="12.75">
      <c r="B303" s="28"/>
      <c r="K303" s="15"/>
    </row>
    <row r="304" spans="2:11" ht="12.75">
      <c r="B304" s="28"/>
      <c r="K304" s="15"/>
    </row>
    <row r="305" spans="2:11" ht="12.75">
      <c r="B305" s="28"/>
      <c r="K305" s="15"/>
    </row>
    <row r="306" spans="2:11" ht="12.75">
      <c r="B306" s="28"/>
      <c r="K306" s="15"/>
    </row>
    <row r="307" spans="2:11" ht="12.75">
      <c r="B307" s="28"/>
      <c r="K307" s="15"/>
    </row>
    <row r="308" spans="2:11" ht="12.75">
      <c r="B308" s="28"/>
      <c r="K308" s="15"/>
    </row>
    <row r="309" spans="2:11" ht="12.75">
      <c r="B309" s="28"/>
      <c r="K309" s="15"/>
    </row>
    <row r="310" spans="2:11" ht="12.75">
      <c r="B310" s="28"/>
      <c r="K310" s="15"/>
    </row>
    <row r="311" spans="2:11" ht="12.75">
      <c r="B311" s="28"/>
      <c r="K311" s="15"/>
    </row>
    <row r="312" spans="2:11" ht="12.75">
      <c r="B312" s="28"/>
      <c r="K312" s="15"/>
    </row>
    <row r="313" spans="2:11" ht="12.75">
      <c r="B313" s="28"/>
      <c r="K313" s="15"/>
    </row>
    <row r="314" spans="2:11" ht="12.75">
      <c r="B314" s="28"/>
      <c r="K314" s="15"/>
    </row>
    <row r="315" spans="2:11" ht="12.75">
      <c r="B315" s="28"/>
      <c r="K315" s="15"/>
    </row>
    <row r="316" spans="2:11" ht="12.75">
      <c r="B316" s="28"/>
      <c r="K316" s="15"/>
    </row>
    <row r="317" spans="2:11" ht="12.75">
      <c r="B317" s="28"/>
      <c r="K317" s="15"/>
    </row>
    <row r="318" spans="2:11" ht="12.75">
      <c r="B318" s="28"/>
      <c r="K318" s="15"/>
    </row>
    <row r="319" spans="2:11" ht="12.75">
      <c r="B319" s="28"/>
      <c r="K319" s="15"/>
    </row>
    <row r="320" spans="2:11" ht="12.75">
      <c r="B320" s="28"/>
      <c r="K320" s="15"/>
    </row>
    <row r="321" spans="2:11" ht="12.75">
      <c r="B321" s="28"/>
      <c r="K321" s="15"/>
    </row>
    <row r="322" spans="2:11" ht="12.75">
      <c r="B322" s="28"/>
      <c r="K322" s="15"/>
    </row>
    <row r="323" spans="2:11" ht="12.75">
      <c r="B323" s="28"/>
      <c r="K323" s="15"/>
    </row>
    <row r="324" spans="2:11" ht="12.75">
      <c r="B324" s="28"/>
      <c r="K324" s="15"/>
    </row>
    <row r="325" spans="2:11" ht="12.75">
      <c r="B325" s="28"/>
      <c r="K325" s="15"/>
    </row>
    <row r="326" spans="2:11" ht="12.75">
      <c r="B326" s="28"/>
      <c r="K326" s="15"/>
    </row>
    <row r="327" spans="2:11" ht="12.75">
      <c r="B327" s="28"/>
      <c r="K327" s="15"/>
    </row>
    <row r="328" spans="2:11" ht="12.75">
      <c r="B328" s="28"/>
      <c r="K328" s="15"/>
    </row>
    <row r="329" spans="2:11" ht="12.75">
      <c r="B329" s="28"/>
      <c r="K329" s="15"/>
    </row>
    <row r="330" spans="2:11" ht="12.75">
      <c r="B330" s="28"/>
      <c r="K330" s="15"/>
    </row>
    <row r="331" spans="2:11" ht="12.75">
      <c r="B331" s="28"/>
      <c r="K331" s="15"/>
    </row>
    <row r="332" spans="2:11" ht="12.75">
      <c r="B332" s="28"/>
      <c r="K332" s="15"/>
    </row>
    <row r="333" spans="2:11" ht="12.75">
      <c r="B333" s="28"/>
      <c r="K333" s="15"/>
    </row>
    <row r="334" spans="2:11" ht="12.75">
      <c r="B334" s="28"/>
      <c r="K334" s="15"/>
    </row>
    <row r="335" spans="2:11" ht="12.75">
      <c r="B335" s="28"/>
      <c r="K335" s="15"/>
    </row>
    <row r="336" spans="2:11" ht="12.75">
      <c r="B336" s="28"/>
      <c r="K336" s="15"/>
    </row>
    <row r="337" spans="2:11" ht="12.75">
      <c r="B337" s="28"/>
      <c r="K337" s="15"/>
    </row>
    <row r="338" spans="2:11" ht="12.75">
      <c r="B338" s="28"/>
      <c r="K338" s="15"/>
    </row>
    <row r="339" spans="2:11" ht="12.75">
      <c r="B339" s="28"/>
      <c r="K339" s="15"/>
    </row>
    <row r="340" spans="2:11" ht="12.75">
      <c r="B340" s="28"/>
      <c r="K340" s="15"/>
    </row>
    <row r="341" spans="2:11" ht="12.75">
      <c r="B341" s="28"/>
      <c r="K341" s="15"/>
    </row>
    <row r="342" spans="2:11" ht="12.75">
      <c r="B342" s="28"/>
      <c r="K342" s="15"/>
    </row>
    <row r="343" spans="2:11" ht="12.75">
      <c r="B343" s="28"/>
      <c r="K343" s="15"/>
    </row>
    <row r="344" spans="2:11" ht="12.75">
      <c r="B344" s="28"/>
      <c r="K344" s="15"/>
    </row>
    <row r="345" spans="2:11" ht="12.75">
      <c r="B345" s="28"/>
      <c r="K345" s="15"/>
    </row>
    <row r="346" spans="2:11" ht="12.75">
      <c r="B346" s="28"/>
      <c r="K346" s="15"/>
    </row>
    <row r="347" spans="2:11" ht="12.75">
      <c r="B347" s="28"/>
      <c r="K347" s="15"/>
    </row>
    <row r="348" spans="2:11" ht="12.75">
      <c r="B348" s="28"/>
      <c r="K348" s="15"/>
    </row>
    <row r="349" spans="2:11" ht="12.75">
      <c r="B349" s="28"/>
      <c r="K349" s="15"/>
    </row>
    <row r="350" spans="2:11" ht="12.75">
      <c r="B350" s="28"/>
      <c r="K350" s="15"/>
    </row>
    <row r="351" spans="2:11" ht="12.75">
      <c r="B351" s="28"/>
      <c r="K351" s="15"/>
    </row>
    <row r="352" spans="2:11" ht="12.75">
      <c r="B352" s="28"/>
      <c r="K352" s="15"/>
    </row>
    <row r="353" spans="2:11" ht="12.75">
      <c r="B353" s="28"/>
      <c r="K353" s="15"/>
    </row>
    <row r="354" spans="2:11" ht="12.75">
      <c r="B354" s="28"/>
      <c r="K354" s="15"/>
    </row>
    <row r="355" spans="2:11" ht="12.75">
      <c r="B355" s="28"/>
      <c r="K355" s="15"/>
    </row>
    <row r="356" spans="2:11" ht="12.75">
      <c r="B356" s="28"/>
      <c r="K356" s="15"/>
    </row>
    <row r="357" spans="2:11" ht="12.75">
      <c r="B357" s="28"/>
      <c r="K357" s="15"/>
    </row>
    <row r="358" spans="2:11" ht="12.75">
      <c r="B358" s="28"/>
      <c r="K358" s="15"/>
    </row>
    <row r="359" spans="2:11" ht="12.75">
      <c r="B359" s="28"/>
      <c r="K359" s="15"/>
    </row>
    <row r="360" spans="2:11" ht="12.75">
      <c r="B360" s="28"/>
      <c r="K360" s="15"/>
    </row>
    <row r="361" spans="2:11" ht="12.75">
      <c r="B361" s="28"/>
      <c r="K361" s="15"/>
    </row>
    <row r="362" spans="2:11" ht="12.75">
      <c r="B362" s="28"/>
      <c r="K362" s="15"/>
    </row>
    <row r="363" spans="2:11" ht="12.75">
      <c r="B363" s="28"/>
      <c r="K363" s="15"/>
    </row>
    <row r="364" spans="2:11" ht="12.75">
      <c r="B364" s="28"/>
      <c r="K364" s="15"/>
    </row>
    <row r="365" spans="2:11" ht="12.75">
      <c r="B365" s="28"/>
      <c r="K365" s="15"/>
    </row>
    <row r="366" spans="2:11" ht="12.75">
      <c r="B366" s="28"/>
      <c r="K366" s="15"/>
    </row>
    <row r="367" spans="2:11" ht="12.75">
      <c r="B367" s="28"/>
      <c r="K367" s="15"/>
    </row>
    <row r="368" spans="2:11" ht="12.75">
      <c r="B368" s="28"/>
      <c r="K368" s="15"/>
    </row>
    <row r="369" spans="2:11" ht="12.75">
      <c r="B369" s="28"/>
      <c r="K369" s="15"/>
    </row>
    <row r="370" spans="2:11" ht="12.75">
      <c r="B370" s="28"/>
      <c r="K370" s="15"/>
    </row>
    <row r="371" spans="2:11" ht="12.75">
      <c r="B371" s="28"/>
      <c r="K371" s="15"/>
    </row>
    <row r="372" spans="2:11" ht="12.75">
      <c r="B372" s="28"/>
      <c r="K372" s="15"/>
    </row>
    <row r="373" spans="2:11" ht="12.75">
      <c r="B373" s="28"/>
      <c r="K373" s="15"/>
    </row>
    <row r="374" spans="2:11" ht="12.75">
      <c r="B374" s="28"/>
      <c r="K374" s="15"/>
    </row>
    <row r="375" spans="2:11" ht="12.75">
      <c r="B375" s="28"/>
      <c r="K375" s="15"/>
    </row>
    <row r="376" spans="2:11" ht="12.75">
      <c r="B376" s="28"/>
      <c r="K376" s="15"/>
    </row>
    <row r="377" spans="2:11" ht="12.75">
      <c r="B377" s="28"/>
      <c r="K377" s="15"/>
    </row>
    <row r="378" spans="2:11" ht="12.75">
      <c r="B378" s="28"/>
      <c r="K378" s="15"/>
    </row>
    <row r="379" spans="2:11" ht="12.75">
      <c r="B379" s="28"/>
      <c r="K379" s="15"/>
    </row>
    <row r="380" spans="2:11" ht="12.75">
      <c r="B380" s="28"/>
      <c r="K380" s="15"/>
    </row>
    <row r="381" spans="2:11" ht="12.75">
      <c r="B381" s="28"/>
      <c r="K381" s="15"/>
    </row>
    <row r="382" spans="2:11" ht="12.75">
      <c r="B382" s="28"/>
      <c r="K382" s="15"/>
    </row>
    <row r="383" spans="2:11" ht="12.75">
      <c r="B383" s="28"/>
      <c r="K383" s="15"/>
    </row>
    <row r="384" spans="2:11" ht="12.75">
      <c r="B384" s="28"/>
      <c r="K384" s="15"/>
    </row>
    <row r="385" spans="2:11" ht="12.75">
      <c r="B385" s="28"/>
      <c r="K385" s="15"/>
    </row>
    <row r="386" spans="2:11" ht="12.75">
      <c r="B386" s="28"/>
      <c r="K386" s="15"/>
    </row>
    <row r="387" spans="2:11" ht="12.75">
      <c r="B387" s="28"/>
      <c r="K387" s="15"/>
    </row>
    <row r="388" spans="2:11" ht="12.75">
      <c r="B388" s="28"/>
      <c r="K388" s="15"/>
    </row>
    <row r="389" spans="2:11" ht="12.75">
      <c r="B389" s="28"/>
      <c r="K389" s="15"/>
    </row>
    <row r="390" spans="2:11" ht="12.75">
      <c r="B390" s="28"/>
      <c r="K390" s="15"/>
    </row>
    <row r="391" spans="2:11" ht="12.75">
      <c r="B391" s="28"/>
      <c r="K391" s="15"/>
    </row>
    <row r="392" spans="2:11" ht="12.75">
      <c r="B392" s="28"/>
      <c r="K392" s="15"/>
    </row>
    <row r="393" spans="2:11" ht="12.75">
      <c r="B393" s="28"/>
      <c r="K393" s="15"/>
    </row>
    <row r="394" spans="2:11" ht="12.75">
      <c r="B394" s="28"/>
      <c r="K394" s="15"/>
    </row>
    <row r="395" spans="2:11" ht="12.75">
      <c r="B395" s="28"/>
      <c r="K395" s="15"/>
    </row>
    <row r="396" spans="2:11" ht="12.75">
      <c r="B396" s="28"/>
      <c r="K396" s="15"/>
    </row>
    <row r="397" spans="2:11" ht="12.75">
      <c r="B397" s="28"/>
      <c r="K397" s="15"/>
    </row>
    <row r="398" spans="2:11" ht="12.75">
      <c r="B398" s="28"/>
      <c r="K398" s="15"/>
    </row>
    <row r="399" spans="2:11" ht="12.75">
      <c r="B399" s="28"/>
      <c r="K399" s="15"/>
    </row>
    <row r="400" spans="2:11" ht="12.75">
      <c r="B400" s="28"/>
      <c r="K400" s="15"/>
    </row>
    <row r="401" spans="2:11" ht="12.75">
      <c r="B401" s="28"/>
      <c r="K401" s="15"/>
    </row>
    <row r="402" spans="2:11" ht="12.75">
      <c r="B402" s="28"/>
      <c r="K402" s="15"/>
    </row>
    <row r="403" spans="2:11" ht="12.75">
      <c r="B403" s="28"/>
      <c r="K403" s="15"/>
    </row>
    <row r="404" spans="2:11" ht="12.75">
      <c r="B404" s="28"/>
      <c r="K404" s="15"/>
    </row>
    <row r="405" spans="2:11" ht="12.75">
      <c r="B405" s="28"/>
      <c r="K405" s="15"/>
    </row>
    <row r="406" spans="2:11" ht="12.75">
      <c r="B406" s="28"/>
      <c r="K406" s="15"/>
    </row>
    <row r="407" spans="2:11" ht="12.75">
      <c r="B407" s="28"/>
      <c r="K407" s="15"/>
    </row>
    <row r="408" spans="2:11" ht="12.75">
      <c r="B408" s="28"/>
      <c r="K408" s="15"/>
    </row>
    <row r="409" spans="2:11" ht="12.75">
      <c r="B409" s="28"/>
      <c r="K409" s="15"/>
    </row>
    <row r="410" spans="2:11" ht="12.75">
      <c r="B410" s="28"/>
      <c r="K410" s="15"/>
    </row>
    <row r="411" spans="2:11" ht="12.75">
      <c r="B411" s="28"/>
      <c r="K411" s="15"/>
    </row>
    <row r="412" spans="2:11" ht="12.75">
      <c r="B412" s="28"/>
      <c r="K412" s="15"/>
    </row>
    <row r="413" spans="2:11" ht="12.75">
      <c r="B413" s="28"/>
      <c r="K413" s="15"/>
    </row>
    <row r="414" spans="2:11" ht="12.75">
      <c r="B414" s="28"/>
      <c r="K414" s="15"/>
    </row>
    <row r="415" spans="2:11" ht="12.75">
      <c r="B415" s="28"/>
      <c r="K415" s="15"/>
    </row>
    <row r="416" spans="2:11" ht="12.75">
      <c r="B416" s="28"/>
      <c r="K416" s="15"/>
    </row>
    <row r="417" spans="2:11" ht="12.75">
      <c r="B417" s="28"/>
      <c r="K417" s="15"/>
    </row>
    <row r="418" spans="2:11" ht="12.75">
      <c r="B418" s="28"/>
      <c r="K418" s="15"/>
    </row>
    <row r="419" spans="2:11" ht="12.75">
      <c r="B419" s="28"/>
      <c r="K419" s="15"/>
    </row>
    <row r="420" spans="2:11" ht="12.75">
      <c r="B420" s="28"/>
      <c r="K420" s="15"/>
    </row>
    <row r="421" spans="2:11" ht="12.75">
      <c r="B421" s="28"/>
      <c r="K421" s="15"/>
    </row>
    <row r="422" spans="2:11" ht="12.75">
      <c r="B422" s="28"/>
      <c r="K422" s="15"/>
    </row>
    <row r="423" spans="2:11" ht="12.75">
      <c r="B423" s="28"/>
      <c r="K423" s="15"/>
    </row>
    <row r="424" spans="2:11" ht="12.75">
      <c r="B424" s="28"/>
      <c r="K424" s="15"/>
    </row>
    <row r="425" spans="2:11" ht="12.75">
      <c r="B425" s="28"/>
      <c r="K425" s="15"/>
    </row>
    <row r="426" spans="2:11" ht="12.75">
      <c r="B426" s="28"/>
      <c r="K426" s="15"/>
    </row>
    <row r="427" spans="2:11" ht="12.75">
      <c r="B427" s="28"/>
      <c r="K427" s="15"/>
    </row>
    <row r="428" spans="2:11" ht="12.75">
      <c r="B428" s="28"/>
      <c r="K428" s="15"/>
    </row>
    <row r="429" spans="2:11" ht="12.75">
      <c r="B429" s="28"/>
      <c r="K429" s="15"/>
    </row>
    <row r="430" spans="2:11" ht="12.75">
      <c r="B430" s="28"/>
      <c r="K430" s="15"/>
    </row>
    <row r="431" spans="2:11" ht="12.75">
      <c r="B431" s="28"/>
      <c r="K431" s="15"/>
    </row>
    <row r="432" spans="2:11" ht="12.75">
      <c r="B432" s="28"/>
      <c r="K432" s="15"/>
    </row>
    <row r="433" spans="2:11" ht="12.75">
      <c r="B433" s="28"/>
      <c r="K433" s="15"/>
    </row>
    <row r="434" spans="2:11" ht="12.75">
      <c r="B434" s="28"/>
      <c r="K434" s="15"/>
    </row>
    <row r="435" spans="2:11" ht="12.75">
      <c r="B435" s="28"/>
      <c r="K435" s="15"/>
    </row>
    <row r="436" spans="2:11" ht="12.75">
      <c r="B436" s="28"/>
      <c r="K436" s="15"/>
    </row>
    <row r="437" spans="2:11" ht="12.75">
      <c r="B437" s="28"/>
      <c r="K437" s="15"/>
    </row>
    <row r="438" spans="2:11" ht="12.75">
      <c r="B438" s="28"/>
      <c r="K438" s="15"/>
    </row>
    <row r="439" spans="2:11" ht="12.75">
      <c r="B439" s="28"/>
      <c r="K439" s="15"/>
    </row>
    <row r="440" spans="2:11" ht="12.75">
      <c r="B440" s="28"/>
      <c r="K440" s="15"/>
    </row>
    <row r="441" spans="2:11" ht="12.75">
      <c r="B441" s="28"/>
      <c r="K441" s="15"/>
    </row>
    <row r="442" spans="2:11" ht="12.75">
      <c r="B442" s="28"/>
      <c r="K442" s="15"/>
    </row>
    <row r="443" spans="2:11" ht="12.75">
      <c r="B443" s="28"/>
      <c r="K443" s="15"/>
    </row>
    <row r="444" spans="2:11" ht="12.75">
      <c r="B444" s="28"/>
      <c r="K444" s="15"/>
    </row>
    <row r="445" spans="2:11" ht="12.75">
      <c r="B445" s="28"/>
      <c r="K445" s="15"/>
    </row>
    <row r="446" spans="2:11" ht="12.75">
      <c r="B446" s="28"/>
      <c r="K446" s="15"/>
    </row>
    <row r="447" spans="2:11" ht="12.75">
      <c r="B447" s="28"/>
      <c r="K447" s="15"/>
    </row>
    <row r="448" spans="2:11" ht="12.75">
      <c r="B448" s="28"/>
      <c r="K448" s="15"/>
    </row>
    <row r="449" spans="2:11" ht="12.75">
      <c r="B449" s="28"/>
      <c r="K449" s="15"/>
    </row>
    <row r="450" spans="2:11" ht="12.75">
      <c r="B450" s="28"/>
      <c r="K450" s="15"/>
    </row>
    <row r="451" spans="2:11" ht="12.75">
      <c r="B451" s="28"/>
      <c r="K451" s="15"/>
    </row>
    <row r="452" spans="2:11" ht="12.75">
      <c r="B452" s="28"/>
      <c r="K452" s="15"/>
    </row>
    <row r="453" spans="2:11" ht="12.75">
      <c r="B453" s="28"/>
      <c r="K453" s="15"/>
    </row>
    <row r="454" spans="2:11" ht="12.75">
      <c r="B454" s="28"/>
      <c r="K454" s="15"/>
    </row>
    <row r="455" spans="2:11" ht="12.75">
      <c r="B455" s="28"/>
      <c r="K455" s="15"/>
    </row>
    <row r="456" spans="2:11" ht="12.75">
      <c r="B456" s="28"/>
      <c r="K456" s="15"/>
    </row>
    <row r="457" spans="2:11" ht="12.75">
      <c r="B457" s="28"/>
      <c r="K457" s="15"/>
    </row>
    <row r="458" spans="2:11" ht="12.75">
      <c r="B458" s="28"/>
      <c r="K458" s="15"/>
    </row>
    <row r="459" spans="2:11" ht="12.75">
      <c r="B459" s="28"/>
      <c r="K459" s="15"/>
    </row>
    <row r="460" spans="2:11" ht="12.75">
      <c r="B460" s="28"/>
      <c r="K460" s="15"/>
    </row>
    <row r="461" spans="2:11" ht="12.75">
      <c r="B461" s="28"/>
      <c r="K461" s="15"/>
    </row>
    <row r="462" spans="2:11" ht="12.75">
      <c r="B462" s="28"/>
      <c r="K462" s="15"/>
    </row>
    <row r="463" spans="2:11" ht="12.75">
      <c r="B463" s="28"/>
      <c r="K463" s="15"/>
    </row>
    <row r="464" spans="2:11" ht="12.75">
      <c r="B464" s="28"/>
      <c r="K464" s="15"/>
    </row>
    <row r="465" spans="2:11" ht="12.75">
      <c r="B465" s="28"/>
      <c r="K465" s="15"/>
    </row>
    <row r="466" spans="2:11" ht="12.75">
      <c r="B466" s="28"/>
      <c r="K466" s="15"/>
    </row>
    <row r="467" spans="2:11" ht="12.75">
      <c r="B467" s="28"/>
      <c r="K467" s="15"/>
    </row>
    <row r="468" spans="2:11" ht="12.75">
      <c r="B468" s="28"/>
      <c r="K468" s="15"/>
    </row>
    <row r="469" spans="2:11" ht="12.75">
      <c r="B469" s="28"/>
      <c r="K469" s="15"/>
    </row>
    <row r="470" spans="2:11" ht="12.75">
      <c r="B470" s="28"/>
      <c r="K470" s="15"/>
    </row>
    <row r="471" spans="2:11" ht="12.75">
      <c r="B471" s="28"/>
      <c r="K471" s="15"/>
    </row>
    <row r="472" spans="2:11" ht="12.75">
      <c r="B472" s="28"/>
      <c r="K472" s="15"/>
    </row>
    <row r="473" spans="2:11" ht="12.75">
      <c r="B473" s="28"/>
      <c r="K473" s="15"/>
    </row>
    <row r="474" spans="2:11" ht="12.75">
      <c r="B474" s="28"/>
      <c r="K474" s="15"/>
    </row>
    <row r="475" spans="2:11" ht="12.75">
      <c r="B475" s="28"/>
      <c r="K475" s="15"/>
    </row>
    <row r="476" spans="2:11" ht="12.75">
      <c r="B476" s="28"/>
      <c r="K476" s="15"/>
    </row>
    <row r="477" spans="2:11" ht="12.75">
      <c r="B477" s="28"/>
      <c r="K477" s="15"/>
    </row>
    <row r="478" spans="2:11" ht="12.75">
      <c r="B478" s="28"/>
      <c r="K478" s="15"/>
    </row>
    <row r="479" spans="2:11" ht="12.75">
      <c r="B479" s="28"/>
      <c r="K479" s="15"/>
    </row>
    <row r="480" spans="2:11" ht="12.75">
      <c r="B480" s="28"/>
      <c r="K480" s="15"/>
    </row>
    <row r="481" spans="2:11" ht="12.75">
      <c r="B481" s="28"/>
      <c r="K481" s="15"/>
    </row>
    <row r="482" spans="2:11" ht="12.75">
      <c r="B482" s="28"/>
      <c r="K482" s="15"/>
    </row>
    <row r="483" spans="2:11" ht="12.75">
      <c r="B483" s="28"/>
      <c r="K483" s="15"/>
    </row>
    <row r="484" spans="2:11" ht="12.75">
      <c r="B484" s="28"/>
      <c r="K484" s="15"/>
    </row>
    <row r="485" spans="2:11" ht="12.75">
      <c r="B485" s="28"/>
      <c r="K485" s="15"/>
    </row>
    <row r="486" spans="2:11" ht="12.75">
      <c r="B486" s="28"/>
      <c r="K486" s="15"/>
    </row>
    <row r="487" spans="2:11" ht="12.75">
      <c r="B487" s="28"/>
      <c r="K487" s="15"/>
    </row>
    <row r="488" spans="2:11" ht="12.75">
      <c r="B488" s="28"/>
      <c r="K488" s="15"/>
    </row>
    <row r="489" spans="2:11" ht="12.75">
      <c r="B489" s="28"/>
      <c r="K489" s="15"/>
    </row>
    <row r="490" spans="2:11" ht="12.75">
      <c r="B490" s="28"/>
      <c r="K490" s="15"/>
    </row>
    <row r="491" spans="2:11" ht="12.75">
      <c r="B491" s="28"/>
      <c r="K491" s="15"/>
    </row>
    <row r="492" spans="2:11" ht="12.75">
      <c r="B492" s="28"/>
      <c r="K492" s="15"/>
    </row>
    <row r="493" spans="2:11" ht="12.75">
      <c r="B493" s="28"/>
      <c r="K493" s="15"/>
    </row>
    <row r="494" spans="2:11" ht="12.75">
      <c r="B494" s="28"/>
      <c r="K494" s="15"/>
    </row>
    <row r="495" spans="2:11" ht="12.75">
      <c r="B495" s="28"/>
      <c r="K495" s="15"/>
    </row>
    <row r="496" spans="2:11" ht="12.75">
      <c r="B496" s="28"/>
      <c r="K496" s="15"/>
    </row>
    <row r="497" spans="2:11" ht="12.75">
      <c r="B497" s="28"/>
      <c r="K497" s="15"/>
    </row>
    <row r="498" spans="2:11" ht="12.75">
      <c r="B498" s="28"/>
      <c r="K498" s="15"/>
    </row>
    <row r="499" spans="2:11" ht="12.75">
      <c r="B499" s="28"/>
      <c r="K499" s="15"/>
    </row>
    <row r="500" spans="2:11" ht="12.75">
      <c r="B500" s="28"/>
      <c r="K500" s="15"/>
    </row>
    <row r="501" spans="2:11" ht="12.75">
      <c r="B501" s="28"/>
      <c r="K501" s="15"/>
    </row>
    <row r="502" spans="2:11" ht="12.75">
      <c r="B502" s="28"/>
      <c r="K502" s="15"/>
    </row>
    <row r="503" spans="2:11" ht="12.75">
      <c r="B503" s="28"/>
      <c r="K503" s="15"/>
    </row>
    <row r="504" spans="2:11" ht="12.75">
      <c r="B504" s="28"/>
      <c r="K504" s="15"/>
    </row>
    <row r="505" spans="2:11" ht="12.75">
      <c r="B505" s="28"/>
      <c r="K505" s="15"/>
    </row>
    <row r="506" spans="2:11" ht="12.75">
      <c r="B506" s="28"/>
      <c r="K506" s="15"/>
    </row>
    <row r="507" spans="2:11" ht="12.75">
      <c r="B507" s="28"/>
      <c r="K507" s="15"/>
    </row>
    <row r="508" spans="2:11" ht="12.75">
      <c r="B508" s="28"/>
      <c r="K508" s="15"/>
    </row>
    <row r="509" spans="2:11" ht="12.75">
      <c r="B509" s="28"/>
      <c r="K509" s="15"/>
    </row>
    <row r="510" spans="2:11" ht="12.75">
      <c r="B510" s="28"/>
      <c r="K510" s="15"/>
    </row>
    <row r="511" spans="2:11" ht="12.75">
      <c r="B511" s="28"/>
      <c r="K511" s="15"/>
    </row>
    <row r="512" spans="2:11" ht="12.75">
      <c r="B512" s="28"/>
      <c r="K512" s="15"/>
    </row>
    <row r="513" spans="2:11" ht="12.75">
      <c r="B513" s="28"/>
      <c r="K513" s="15"/>
    </row>
    <row r="514" spans="2:11" ht="12.75">
      <c r="B514" s="28"/>
      <c r="K514" s="15"/>
    </row>
    <row r="515" spans="2:11" ht="12.75">
      <c r="B515" s="28"/>
      <c r="K515" s="15"/>
    </row>
    <row r="516" spans="2:11" ht="12.75">
      <c r="B516" s="28"/>
      <c r="K516" s="15"/>
    </row>
    <row r="517" spans="2:11" ht="12.75">
      <c r="B517" s="28"/>
      <c r="K517" s="15"/>
    </row>
    <row r="518" spans="2:11" ht="12.75">
      <c r="B518" s="28"/>
      <c r="K518" s="15"/>
    </row>
    <row r="519" spans="2:11" ht="12.75">
      <c r="B519" s="28"/>
      <c r="K519" s="15"/>
    </row>
    <row r="520" spans="2:11" ht="12.75">
      <c r="B520" s="28"/>
      <c r="K520" s="15"/>
    </row>
    <row r="521" spans="2:11" ht="12.75">
      <c r="B521" s="28"/>
      <c r="K521" s="15"/>
    </row>
    <row r="522" spans="2:11" ht="12.75">
      <c r="B522" s="28"/>
      <c r="K522" s="15"/>
    </row>
    <row r="523" spans="2:11" ht="12.75">
      <c r="B523" s="28"/>
      <c r="K523" s="15"/>
    </row>
    <row r="524" spans="2:11" ht="12.75">
      <c r="B524" s="28"/>
      <c r="K524" s="15"/>
    </row>
    <row r="525" spans="2:11" ht="12.75">
      <c r="B525" s="28"/>
      <c r="K525" s="15"/>
    </row>
    <row r="526" spans="2:11" ht="12.75">
      <c r="B526" s="28"/>
      <c r="K526" s="15"/>
    </row>
    <row r="527" spans="2:11" ht="12.75">
      <c r="B527" s="28"/>
      <c r="K527" s="15"/>
    </row>
    <row r="528" spans="2:11" ht="12.75">
      <c r="B528" s="28"/>
      <c r="K528" s="15"/>
    </row>
    <row r="529" spans="2:11" ht="12.75">
      <c r="B529" s="28"/>
      <c r="K529" s="15"/>
    </row>
    <row r="530" spans="2:11" ht="12.75">
      <c r="B530" s="28"/>
      <c r="K530" s="15"/>
    </row>
    <row r="531" spans="2:11" ht="12.75">
      <c r="B531" s="28"/>
      <c r="K531" s="15"/>
    </row>
    <row r="532" spans="2:11" ht="12.75">
      <c r="B532" s="28"/>
      <c r="K532" s="15"/>
    </row>
    <row r="533" spans="2:11" ht="12.75">
      <c r="B533" s="28"/>
      <c r="K533" s="15"/>
    </row>
    <row r="534" spans="2:11" ht="12.75">
      <c r="B534" s="28"/>
      <c r="K534" s="15"/>
    </row>
    <row r="535" spans="2:11" ht="12.75">
      <c r="B535" s="28"/>
      <c r="K535" s="15"/>
    </row>
    <row r="536" spans="2:11" ht="12.75">
      <c r="B536" s="28"/>
      <c r="K536" s="15"/>
    </row>
    <row r="537" spans="2:11" ht="12.75">
      <c r="B537" s="28"/>
      <c r="K537" s="15"/>
    </row>
    <row r="538" spans="2:11" ht="12.75">
      <c r="B538" s="28"/>
      <c r="K538" s="15"/>
    </row>
    <row r="539" spans="2:11" ht="12.75">
      <c r="B539" s="28"/>
      <c r="K539" s="15"/>
    </row>
    <row r="540" spans="2:11" ht="12.75">
      <c r="B540" s="28"/>
      <c r="K540" s="15"/>
    </row>
    <row r="541" spans="2:11" ht="12.75">
      <c r="B541" s="28"/>
      <c r="K541" s="15"/>
    </row>
    <row r="542" spans="2:11" ht="12.75">
      <c r="B542" s="28"/>
      <c r="K542" s="15"/>
    </row>
    <row r="543" spans="2:11" ht="12.75">
      <c r="B543" s="28"/>
      <c r="K543" s="15"/>
    </row>
    <row r="544" spans="2:11" ht="12.75">
      <c r="B544" s="28"/>
      <c r="K544" s="15"/>
    </row>
    <row r="545" spans="2:11" ht="12.75">
      <c r="B545" s="28"/>
      <c r="K545" s="15"/>
    </row>
    <row r="546" spans="2:11" ht="12.75">
      <c r="B546" s="28"/>
      <c r="K546" s="15"/>
    </row>
    <row r="547" spans="2:11" ht="12.75">
      <c r="B547" s="28"/>
      <c r="K547" s="15"/>
    </row>
    <row r="548" spans="2:11" ht="12.75">
      <c r="B548" s="28"/>
      <c r="K548" s="15"/>
    </row>
    <row r="549" spans="2:11" ht="12.75">
      <c r="B549" s="28"/>
      <c r="K549" s="15"/>
    </row>
    <row r="550" spans="2:11" ht="12.75">
      <c r="B550" s="28"/>
      <c r="K550" s="15"/>
    </row>
    <row r="551" spans="2:11" ht="12.75">
      <c r="B551" s="28"/>
      <c r="K551" s="15"/>
    </row>
    <row r="552" spans="2:11" ht="12.75">
      <c r="B552" s="28"/>
      <c r="K552" s="15"/>
    </row>
    <row r="553" spans="2:11" ht="12.75">
      <c r="B553" s="28"/>
      <c r="K553" s="15"/>
    </row>
    <row r="554" spans="2:11" ht="12.75">
      <c r="B554" s="28"/>
      <c r="K554" s="15"/>
    </row>
    <row r="555" spans="2:11" ht="12.75">
      <c r="B555" s="28"/>
      <c r="K555" s="15"/>
    </row>
    <row r="556" spans="2:11" ht="12.75">
      <c r="B556" s="28"/>
      <c r="K556" s="15"/>
    </row>
    <row r="557" spans="2:11" ht="12.75">
      <c r="B557" s="28"/>
      <c r="K557" s="15"/>
    </row>
    <row r="558" spans="2:11" ht="12.75">
      <c r="B558" s="28"/>
      <c r="K558" s="15"/>
    </row>
    <row r="559" spans="2:11" ht="12.75">
      <c r="B559" s="28"/>
      <c r="K559" s="15"/>
    </row>
    <row r="560" spans="2:11" ht="12.75">
      <c r="B560" s="28"/>
      <c r="K560" s="15"/>
    </row>
    <row r="561" spans="2:11" ht="12.75">
      <c r="B561" s="28"/>
      <c r="K561" s="15"/>
    </row>
    <row r="562" spans="2:11" ht="12.75">
      <c r="B562" s="28"/>
      <c r="K562" s="15"/>
    </row>
    <row r="563" spans="2:11" ht="12.75">
      <c r="B563" s="28"/>
      <c r="K563" s="15"/>
    </row>
    <row r="564" spans="2:11" ht="12.75">
      <c r="B564" s="28"/>
      <c r="K564" s="15"/>
    </row>
    <row r="565" spans="2:11" ht="12.75">
      <c r="B565" s="28"/>
      <c r="K565" s="15"/>
    </row>
    <row r="566" spans="2:11" ht="12.75">
      <c r="B566" s="28"/>
      <c r="K566" s="15"/>
    </row>
    <row r="567" spans="2:11" ht="12.75">
      <c r="B567" s="28"/>
      <c r="K567" s="15"/>
    </row>
    <row r="568" spans="2:11" ht="12.75">
      <c r="B568" s="28"/>
      <c r="K568" s="15"/>
    </row>
    <row r="569" spans="2:11" ht="12.75">
      <c r="B569" s="28"/>
      <c r="K569" s="15"/>
    </row>
    <row r="570" spans="2:11" ht="12.75">
      <c r="B570" s="28"/>
      <c r="K570" s="15"/>
    </row>
    <row r="571" spans="2:11" ht="12.75">
      <c r="B571" s="28"/>
      <c r="K571" s="15"/>
    </row>
    <row r="572" spans="2:11" ht="12.75">
      <c r="B572" s="28"/>
      <c r="K572" s="15"/>
    </row>
    <row r="573" spans="2:11" ht="12.75">
      <c r="B573" s="28"/>
      <c r="K573" s="15"/>
    </row>
    <row r="574" spans="2:11" ht="12.75">
      <c r="B574" s="28"/>
      <c r="K574" s="15"/>
    </row>
    <row r="575" spans="2:11" ht="12.75">
      <c r="B575" s="28"/>
      <c r="K575" s="15"/>
    </row>
    <row r="576" spans="2:11" ht="12.75">
      <c r="B576" s="28"/>
      <c r="K576" s="15"/>
    </row>
    <row r="577" spans="2:11" ht="12.75">
      <c r="B577" s="28"/>
      <c r="K577" s="15"/>
    </row>
    <row r="578" spans="2:11" ht="12.75">
      <c r="B578" s="28"/>
      <c r="K578" s="15"/>
    </row>
    <row r="579" spans="2:11" ht="12.75">
      <c r="B579" s="28"/>
      <c r="K579" s="15"/>
    </row>
    <row r="580" spans="2:11" ht="12.75">
      <c r="B580" s="28"/>
      <c r="K580" s="15"/>
    </row>
    <row r="581" spans="2:11" ht="12.75">
      <c r="B581" s="28"/>
      <c r="K581" s="15"/>
    </row>
    <row r="582" spans="2:11" ht="12.75">
      <c r="B582" s="28"/>
      <c r="K582" s="15"/>
    </row>
    <row r="583" spans="2:11" ht="12.75">
      <c r="B583" s="28"/>
      <c r="K583" s="15"/>
    </row>
    <row r="584" spans="2:11" ht="12.75">
      <c r="B584" s="28"/>
      <c r="K584" s="15"/>
    </row>
    <row r="585" spans="2:11" ht="12.75">
      <c r="B585" s="28"/>
      <c r="K585" s="15"/>
    </row>
    <row r="586" spans="2:11" ht="12.75">
      <c r="B586" s="28"/>
      <c r="K586" s="15"/>
    </row>
    <row r="587" spans="2:11" ht="12.75">
      <c r="B587" s="28"/>
      <c r="K587" s="15"/>
    </row>
    <row r="588" spans="2:11" ht="12.75">
      <c r="B588" s="28"/>
      <c r="K588" s="15"/>
    </row>
    <row r="589" spans="2:11" ht="12.75">
      <c r="B589" s="28"/>
      <c r="K589" s="15"/>
    </row>
    <row r="590" spans="2:11" ht="12.75">
      <c r="B590" s="28"/>
      <c r="K590" s="15"/>
    </row>
    <row r="591" spans="2:11" ht="12.75">
      <c r="B591" s="28"/>
      <c r="K591" s="15"/>
    </row>
    <row r="592" spans="2:11" ht="12.75">
      <c r="B592" s="28"/>
      <c r="K592" s="15"/>
    </row>
    <row r="593" spans="2:11" ht="12.75">
      <c r="B593" s="28"/>
      <c r="K593" s="15"/>
    </row>
    <row r="594" spans="2:11" ht="12.75">
      <c r="B594" s="28"/>
      <c r="K594" s="15"/>
    </row>
    <row r="595" spans="2:11" ht="12.75">
      <c r="B595" s="28"/>
      <c r="K595" s="15"/>
    </row>
    <row r="596" spans="2:11" ht="12.75">
      <c r="B596" s="28"/>
      <c r="K596" s="15"/>
    </row>
    <row r="597" spans="2:11" ht="12.75">
      <c r="B597" s="28"/>
      <c r="K597" s="15"/>
    </row>
    <row r="598" spans="2:11" ht="12.75">
      <c r="B598" s="28"/>
      <c r="K598" s="15"/>
    </row>
    <row r="599" spans="2:11" ht="12.75">
      <c r="B599" s="28"/>
      <c r="K599" s="15"/>
    </row>
    <row r="600" spans="2:11" ht="12.75">
      <c r="B600" s="28"/>
      <c r="K600" s="15"/>
    </row>
    <row r="601" spans="2:11" ht="12.75">
      <c r="B601" s="28"/>
      <c r="K601" s="15"/>
    </row>
    <row r="602" spans="2:11" ht="12.75">
      <c r="B602" s="28"/>
      <c r="K602" s="15"/>
    </row>
    <row r="603" spans="2:11" ht="12.75">
      <c r="B603" s="28"/>
      <c r="K603" s="15"/>
    </row>
    <row r="604" spans="2:11" ht="12.75">
      <c r="B604" s="28"/>
      <c r="K604" s="15"/>
    </row>
    <row r="605" spans="2:11" ht="12.75">
      <c r="B605" s="28"/>
      <c r="K605" s="15"/>
    </row>
    <row r="606" spans="2:11" ht="12.75">
      <c r="B606" s="28"/>
      <c r="K606" s="15"/>
    </row>
    <row r="607" spans="2:11" ht="12.75">
      <c r="B607" s="28"/>
      <c r="K607" s="15"/>
    </row>
    <row r="608" spans="2:11" ht="12.75">
      <c r="B608" s="28"/>
      <c r="K608" s="15"/>
    </row>
    <row r="609" spans="2:11" ht="12.75">
      <c r="B609" s="28"/>
      <c r="K609" s="15"/>
    </row>
    <row r="610" spans="2:11" ht="12.75">
      <c r="B610" s="28"/>
      <c r="K610" s="15"/>
    </row>
    <row r="611" spans="2:11" ht="12.75">
      <c r="B611" s="28"/>
      <c r="K611" s="15"/>
    </row>
    <row r="612" spans="2:11" ht="12.75">
      <c r="B612" s="28"/>
      <c r="K612" s="15"/>
    </row>
    <row r="613" spans="2:11" ht="12.75">
      <c r="B613" s="28"/>
      <c r="K613" s="15"/>
    </row>
    <row r="614" spans="2:11" ht="12.75">
      <c r="B614" s="28"/>
      <c r="K614" s="15"/>
    </row>
    <row r="615" spans="2:11" ht="12.75">
      <c r="B615" s="28"/>
      <c r="K615" s="15"/>
    </row>
    <row r="616" spans="2:11" ht="12.75">
      <c r="B616" s="28"/>
      <c r="K616" s="15"/>
    </row>
    <row r="617" spans="2:11" ht="12.75">
      <c r="B617" s="28"/>
      <c r="K617" s="15"/>
    </row>
    <row r="618" spans="2:11" ht="12.75">
      <c r="B618" s="28"/>
      <c r="K618" s="15"/>
    </row>
    <row r="619" spans="2:11" ht="12.75">
      <c r="B619" s="28"/>
      <c r="K619" s="15"/>
    </row>
    <row r="620" spans="2:11" ht="12.75">
      <c r="B620" s="28"/>
      <c r="K620" s="15"/>
    </row>
    <row r="621" spans="2:11" ht="12.75">
      <c r="B621" s="28"/>
      <c r="K621" s="15"/>
    </row>
    <row r="622" spans="2:11" ht="12.75">
      <c r="B622" s="28"/>
      <c r="K622" s="15"/>
    </row>
    <row r="623" spans="2:11" ht="12.75">
      <c r="B623" s="28"/>
      <c r="K623" s="15"/>
    </row>
    <row r="624" spans="2:11" ht="12.75">
      <c r="B624" s="28"/>
      <c r="K624" s="15"/>
    </row>
    <row r="625" spans="2:11" ht="12.75">
      <c r="B625" s="28"/>
      <c r="K625" s="15"/>
    </row>
    <row r="626" spans="2:11" ht="12.75">
      <c r="B626" s="28"/>
      <c r="K626" s="15"/>
    </row>
    <row r="627" spans="2:11" ht="12.75">
      <c r="B627" s="28"/>
      <c r="K627" s="15"/>
    </row>
    <row r="628" spans="2:11" ht="12.75">
      <c r="B628" s="28"/>
      <c r="K628" s="15"/>
    </row>
    <row r="629" spans="2:11" ht="12.75">
      <c r="B629" s="28"/>
      <c r="K629" s="15"/>
    </row>
    <row r="630" spans="2:11" ht="12.75">
      <c r="B630" s="28"/>
      <c r="K630" s="15"/>
    </row>
    <row r="631" spans="2:11" ht="12.75">
      <c r="B631" s="28"/>
      <c r="K631" s="15"/>
    </row>
    <row r="632" spans="2:11" ht="12.75">
      <c r="B632" s="28"/>
      <c r="K632" s="15"/>
    </row>
    <row r="633" spans="2:11" ht="12.75">
      <c r="B633" s="28"/>
      <c r="K633" s="15"/>
    </row>
    <row r="634" spans="2:11" ht="12.75">
      <c r="B634" s="28"/>
      <c r="K634" s="15"/>
    </row>
    <row r="635" spans="2:11" ht="12.75">
      <c r="B635" s="28"/>
      <c r="K635" s="15"/>
    </row>
    <row r="636" spans="2:11" ht="12.75">
      <c r="B636" s="28"/>
      <c r="K636" s="15"/>
    </row>
    <row r="637" spans="2:11" ht="12.75">
      <c r="B637" s="28"/>
      <c r="K637" s="15"/>
    </row>
    <row r="638" spans="2:11" ht="12.75">
      <c r="B638" s="28"/>
      <c r="K638" s="15"/>
    </row>
    <row r="639" spans="2:11" ht="12.75">
      <c r="B639" s="28"/>
      <c r="K639" s="15"/>
    </row>
    <row r="640" spans="2:11" ht="12.75">
      <c r="B640" s="28"/>
      <c r="K640" s="15"/>
    </row>
    <row r="641" spans="2:11" ht="12.75">
      <c r="B641" s="28"/>
      <c r="K641" s="15"/>
    </row>
    <row r="642" spans="2:11" ht="12.75">
      <c r="B642" s="28"/>
      <c r="K642" s="15"/>
    </row>
    <row r="643" spans="2:11" ht="12.75">
      <c r="B643" s="28"/>
      <c r="K643" s="15"/>
    </row>
    <row r="644" spans="2:11" ht="12.75">
      <c r="B644" s="28"/>
      <c r="K644" s="15"/>
    </row>
    <row r="645" spans="2:11" ht="12.75">
      <c r="B645" s="28"/>
      <c r="K645" s="15"/>
    </row>
    <row r="646" spans="2:11" ht="12.75">
      <c r="B646" s="28"/>
      <c r="K646" s="15"/>
    </row>
    <row r="647" spans="2:11" ht="12.75">
      <c r="B647" s="28"/>
      <c r="K647" s="15"/>
    </row>
    <row r="648" spans="2:11" ht="12.75">
      <c r="B648" s="28"/>
      <c r="K648" s="15"/>
    </row>
    <row r="649" spans="2:11" ht="12.75">
      <c r="B649" s="28"/>
      <c r="K649" s="15"/>
    </row>
    <row r="650" spans="2:11" ht="12.75">
      <c r="B650" s="28"/>
      <c r="K650" s="15"/>
    </row>
    <row r="651" spans="2:11" ht="12.75">
      <c r="B651" s="28"/>
      <c r="K651" s="15"/>
    </row>
    <row r="652" spans="2:11" ht="12.75">
      <c r="B652" s="28"/>
      <c r="K652" s="15"/>
    </row>
    <row r="653" spans="2:11" ht="12.75">
      <c r="B653" s="28"/>
      <c r="K653" s="15"/>
    </row>
    <row r="654" spans="2:11" ht="12.75">
      <c r="B654" s="28"/>
      <c r="K654" s="15"/>
    </row>
    <row r="655" spans="2:11" ht="12.75">
      <c r="B655" s="28"/>
      <c r="K655" s="15"/>
    </row>
    <row r="656" spans="2:11" ht="12.75">
      <c r="B656" s="28"/>
      <c r="K656" s="15"/>
    </row>
    <row r="657" spans="2:11" ht="12.75">
      <c r="B657" s="28"/>
      <c r="K657" s="15"/>
    </row>
    <row r="658" spans="2:11" ht="12.75">
      <c r="B658" s="28"/>
      <c r="K658" s="15"/>
    </row>
    <row r="659" spans="2:11" ht="12.75">
      <c r="B659" s="28"/>
      <c r="K659" s="15"/>
    </row>
    <row r="660" spans="2:11" ht="12.75">
      <c r="B660" s="28"/>
      <c r="K660" s="15"/>
    </row>
    <row r="661" spans="2:11" ht="12.75">
      <c r="B661" s="28"/>
      <c r="K661" s="15"/>
    </row>
    <row r="662" spans="2:11" ht="12.75">
      <c r="B662" s="28"/>
      <c r="K662" s="15"/>
    </row>
    <row r="663" spans="2:11" ht="12.75">
      <c r="B663" s="28"/>
      <c r="K663" s="15"/>
    </row>
    <row r="664" spans="2:11" ht="12.75">
      <c r="B664" s="28"/>
      <c r="K664" s="15"/>
    </row>
    <row r="665" spans="2:11" ht="12.75">
      <c r="B665" s="28"/>
      <c r="K665" s="15"/>
    </row>
    <row r="666" spans="2:11" ht="12.75">
      <c r="B666" s="28"/>
      <c r="K666" s="15"/>
    </row>
    <row r="667" spans="2:11" ht="12.75">
      <c r="B667" s="28"/>
      <c r="K667" s="15"/>
    </row>
    <row r="668" spans="2:11" ht="12.75">
      <c r="B668" s="28"/>
      <c r="K668" s="15"/>
    </row>
    <row r="669" spans="2:11" ht="12.75">
      <c r="B669" s="28"/>
      <c r="K669" s="15"/>
    </row>
    <row r="670" spans="2:11" ht="12.75">
      <c r="B670" s="28"/>
      <c r="K670" s="15"/>
    </row>
    <row r="671" spans="2:11" ht="12.75">
      <c r="B671" s="28"/>
      <c r="K671" s="15"/>
    </row>
    <row r="672" spans="2:11" ht="12.75">
      <c r="B672" s="28"/>
      <c r="K672" s="15"/>
    </row>
    <row r="673" spans="2:11" ht="12.75">
      <c r="B673" s="28"/>
      <c r="K673" s="15"/>
    </row>
    <row r="674" spans="2:11" ht="12.75">
      <c r="B674" s="28"/>
      <c r="K674" s="15"/>
    </row>
    <row r="675" spans="2:11" ht="12.75">
      <c r="B675" s="28"/>
      <c r="K675" s="15"/>
    </row>
    <row r="676" spans="2:11" ht="12.75">
      <c r="B676" s="28"/>
      <c r="K676" s="15"/>
    </row>
    <row r="677" spans="2:11" ht="12.75">
      <c r="B677" s="28"/>
      <c r="K677" s="15"/>
    </row>
    <row r="678" spans="2:11" ht="12.75">
      <c r="B678" s="28"/>
      <c r="K678" s="15"/>
    </row>
    <row r="679" spans="2:11" ht="12.75">
      <c r="B679" s="28"/>
      <c r="K679" s="15"/>
    </row>
    <row r="680" spans="2:11" ht="12.75">
      <c r="B680" s="28"/>
      <c r="K680" s="15"/>
    </row>
    <row r="681" spans="2:11" ht="12.75">
      <c r="B681" s="28"/>
      <c r="K681" s="15"/>
    </row>
    <row r="682" spans="2:11" ht="12.75">
      <c r="B682" s="28"/>
      <c r="K682" s="15"/>
    </row>
    <row r="683" spans="2:11" ht="12.75">
      <c r="B683" s="28"/>
      <c r="K683" s="15"/>
    </row>
    <row r="684" spans="2:11" ht="12.75">
      <c r="B684" s="28"/>
      <c r="K684" s="15"/>
    </row>
    <row r="685" spans="2:11" ht="12.75">
      <c r="B685" s="28"/>
      <c r="K685" s="15"/>
    </row>
    <row r="686" spans="2:11" ht="12.75">
      <c r="B686" s="28"/>
      <c r="K686" s="15"/>
    </row>
    <row r="687" spans="2:11" ht="12.75">
      <c r="B687" s="28"/>
      <c r="K687" s="15"/>
    </row>
    <row r="688" spans="2:11" ht="12.75">
      <c r="B688" s="28"/>
      <c r="K688" s="15"/>
    </row>
    <row r="689" spans="2:11" ht="12.75">
      <c r="B689" s="28"/>
      <c r="K689" s="15"/>
    </row>
    <row r="690" spans="2:11" ht="12.75">
      <c r="B690" s="28"/>
      <c r="K690" s="15"/>
    </row>
    <row r="691" spans="2:11" ht="12.75">
      <c r="B691" s="28"/>
      <c r="K691" s="15"/>
    </row>
    <row r="692" spans="2:11" ht="12.75">
      <c r="B692" s="28"/>
      <c r="K692" s="15"/>
    </row>
    <row r="693" spans="2:11" ht="12.75">
      <c r="B693" s="28"/>
      <c r="K693" s="15"/>
    </row>
    <row r="694" spans="2:11" ht="12.75">
      <c r="B694" s="28"/>
      <c r="K694" s="15"/>
    </row>
    <row r="695" spans="2:11" ht="12.75">
      <c r="B695" s="28"/>
      <c r="K695" s="15"/>
    </row>
    <row r="696" spans="2:11" ht="12.75">
      <c r="B696" s="28"/>
      <c r="K696" s="15"/>
    </row>
    <row r="697" spans="2:11" ht="12.75">
      <c r="B697" s="28"/>
      <c r="K697" s="15"/>
    </row>
    <row r="698" spans="2:11" ht="12.75">
      <c r="B698" s="28"/>
      <c r="K698" s="15"/>
    </row>
    <row r="699" spans="2:11" ht="12.75">
      <c r="B699" s="28"/>
      <c r="K699" s="15"/>
    </row>
    <row r="700" spans="2:11" ht="12.75">
      <c r="B700" s="28"/>
      <c r="K700" s="15"/>
    </row>
    <row r="701" spans="2:11" ht="12.75">
      <c r="B701" s="28"/>
      <c r="K701" s="15"/>
    </row>
    <row r="702" spans="2:11" ht="12.75">
      <c r="B702" s="28"/>
      <c r="K702" s="15"/>
    </row>
    <row r="703" spans="2:11" ht="12.75">
      <c r="B703" s="28"/>
      <c r="K703" s="15"/>
    </row>
    <row r="704" spans="2:11" ht="12.75">
      <c r="B704" s="28"/>
      <c r="K704" s="15"/>
    </row>
    <row r="705" spans="2:11" ht="12.75">
      <c r="B705" s="28"/>
      <c r="K705" s="15"/>
    </row>
    <row r="706" spans="2:11" ht="12.75">
      <c r="B706" s="28"/>
      <c r="K706" s="15"/>
    </row>
    <row r="707" spans="2:11" ht="12.75">
      <c r="B707" s="28"/>
      <c r="K707" s="15"/>
    </row>
    <row r="708" spans="2:11" ht="12.75">
      <c r="B708" s="28"/>
      <c r="K708" s="15"/>
    </row>
    <row r="709" spans="2:11" ht="12.75">
      <c r="B709" s="28"/>
      <c r="K709" s="15"/>
    </row>
    <row r="710" spans="2:11" ht="12.75">
      <c r="B710" s="28"/>
      <c r="K710" s="15"/>
    </row>
    <row r="711" spans="2:11" ht="12.75">
      <c r="B711" s="28"/>
      <c r="K711" s="15"/>
    </row>
    <row r="712" spans="2:11" ht="12.75">
      <c r="B712" s="28"/>
      <c r="K712" s="15"/>
    </row>
    <row r="713" spans="2:11" ht="12.75">
      <c r="B713" s="28"/>
      <c r="K713" s="15"/>
    </row>
    <row r="714" spans="2:11" ht="12.75">
      <c r="B714" s="28"/>
      <c r="K714" s="15"/>
    </row>
    <row r="715" spans="2:11" ht="12.75">
      <c r="B715" s="28"/>
      <c r="K715" s="15"/>
    </row>
    <row r="716" spans="2:11" ht="12.75">
      <c r="B716" s="28"/>
      <c r="K716" s="15"/>
    </row>
    <row r="717" spans="2:11" ht="12.75">
      <c r="B717" s="28"/>
      <c r="K717" s="15"/>
    </row>
    <row r="718" spans="2:11" ht="12.75">
      <c r="B718" s="28"/>
      <c r="K718" s="15"/>
    </row>
    <row r="719" spans="2:11" ht="12.75">
      <c r="B719" s="28"/>
      <c r="K719" s="15"/>
    </row>
    <row r="720" spans="2:11" ht="12.75">
      <c r="B720" s="28"/>
      <c r="K720" s="15"/>
    </row>
    <row r="721" spans="2:11" ht="12.75">
      <c r="B721" s="28"/>
      <c r="K721" s="15"/>
    </row>
    <row r="722" spans="2:11" ht="12.75">
      <c r="B722" s="28"/>
      <c r="K722" s="15"/>
    </row>
    <row r="723" spans="2:11" ht="12.75">
      <c r="B723" s="28"/>
      <c r="K723" s="15"/>
    </row>
    <row r="724" spans="2:11" ht="12.75">
      <c r="B724" s="28"/>
      <c r="K724" s="15"/>
    </row>
    <row r="725" spans="2:11" ht="12.75">
      <c r="B725" s="28"/>
      <c r="K725" s="15"/>
    </row>
    <row r="726" spans="2:11" ht="12.75">
      <c r="B726" s="28"/>
      <c r="K726" s="15"/>
    </row>
    <row r="727" spans="2:11" ht="12.75">
      <c r="B727" s="28"/>
      <c r="K727" s="15"/>
    </row>
    <row r="728" spans="2:11" ht="12.75">
      <c r="B728" s="28"/>
      <c r="K728" s="15"/>
    </row>
    <row r="729" spans="2:11" ht="12.75">
      <c r="B729" s="28"/>
      <c r="K729" s="15"/>
    </row>
    <row r="730" spans="2:11" ht="12.75">
      <c r="B730" s="28"/>
      <c r="K730" s="15"/>
    </row>
    <row r="731" spans="2:11" ht="12.75">
      <c r="B731" s="28"/>
      <c r="K731" s="15"/>
    </row>
    <row r="732" spans="2:11" ht="12.75">
      <c r="B732" s="28"/>
      <c r="K732" s="15"/>
    </row>
    <row r="733" spans="2:11" ht="12.75">
      <c r="B733" s="28"/>
      <c r="K733" s="15"/>
    </row>
    <row r="734" spans="2:11" ht="12.75">
      <c r="B734" s="28"/>
      <c r="K734" s="15"/>
    </row>
    <row r="735" spans="2:11" ht="12.75">
      <c r="B735" s="28"/>
      <c r="K735" s="15"/>
    </row>
    <row r="736" spans="2:11" ht="12.75">
      <c r="B736" s="28"/>
      <c r="K736" s="15"/>
    </row>
    <row r="737" spans="2:11" ht="12.75">
      <c r="B737" s="28"/>
      <c r="K737" s="15"/>
    </row>
    <row r="738" spans="2:11" ht="12.75">
      <c r="B738" s="28"/>
      <c r="K738" s="15"/>
    </row>
    <row r="739" spans="2:11" ht="12.75">
      <c r="B739" s="28"/>
      <c r="K739" s="15"/>
    </row>
    <row r="740" spans="2:11" ht="12.75">
      <c r="B740" s="28"/>
      <c r="K740" s="15"/>
    </row>
    <row r="741" spans="2:11" ht="12.75">
      <c r="B741" s="28"/>
      <c r="K741" s="15"/>
    </row>
    <row r="742" spans="2:11" ht="12.75">
      <c r="B742" s="28"/>
      <c r="K742" s="15"/>
    </row>
    <row r="743" spans="2:11" ht="12.75">
      <c r="B743" s="28"/>
      <c r="K743" s="15"/>
    </row>
    <row r="744" spans="2:11" ht="12.75">
      <c r="B744" s="28"/>
      <c r="K744" s="15"/>
    </row>
    <row r="745" spans="2:11" ht="12.75">
      <c r="B745" s="28"/>
      <c r="K745" s="15"/>
    </row>
    <row r="746" spans="2:11" ht="12.75">
      <c r="B746" s="28"/>
      <c r="K746" s="15"/>
    </row>
    <row r="747" spans="2:11" ht="12.75">
      <c r="B747" s="28"/>
      <c r="K747" s="15"/>
    </row>
    <row r="748" spans="2:11" ht="12.75">
      <c r="B748" s="28"/>
      <c r="K748" s="15"/>
    </row>
    <row r="749" spans="2:11" ht="12.75">
      <c r="B749" s="28"/>
      <c r="K749" s="15"/>
    </row>
    <row r="750" spans="2:11" ht="12.75">
      <c r="B750" s="28"/>
      <c r="K750" s="15"/>
    </row>
    <row r="751" spans="2:11" ht="12.75">
      <c r="B751" s="28"/>
      <c r="K751" s="15"/>
    </row>
    <row r="752" spans="2:11" ht="12.75">
      <c r="B752" s="28"/>
      <c r="K752" s="15"/>
    </row>
    <row r="753" spans="2:11" ht="12.75">
      <c r="B753" s="28"/>
      <c r="K753" s="15"/>
    </row>
    <row r="754" spans="2:11" ht="12.75">
      <c r="B754" s="28"/>
      <c r="K754" s="15"/>
    </row>
    <row r="755" spans="2:11" ht="12.75">
      <c r="B755" s="28"/>
      <c r="K755" s="15"/>
    </row>
    <row r="756" spans="2:11" ht="12.75">
      <c r="B756" s="28"/>
      <c r="K756" s="15"/>
    </row>
    <row r="757" spans="2:11" ht="12.75">
      <c r="B757" s="28"/>
      <c r="K757" s="15"/>
    </row>
    <row r="758" spans="2:11" ht="12.75">
      <c r="B758" s="28"/>
      <c r="K758" s="15"/>
    </row>
    <row r="759" spans="2:11" ht="12.75">
      <c r="B759" s="28"/>
      <c r="K759" s="15"/>
    </row>
    <row r="760" spans="2:11" ht="12.75">
      <c r="B760" s="28"/>
      <c r="K760" s="15"/>
    </row>
    <row r="761" spans="2:11" ht="12.75">
      <c r="B761" s="28"/>
      <c r="K761" s="15"/>
    </row>
    <row r="762" spans="2:11" ht="12.75">
      <c r="B762" s="28"/>
      <c r="K762" s="15"/>
    </row>
    <row r="763" spans="2:11" ht="12.75">
      <c r="B763" s="28"/>
      <c r="K763" s="15"/>
    </row>
    <row r="764" spans="2:11" ht="12.75">
      <c r="B764" s="28"/>
      <c r="K764" s="15"/>
    </row>
    <row r="765" spans="2:11" ht="12.75">
      <c r="B765" s="28"/>
      <c r="K765" s="15"/>
    </row>
    <row r="766" spans="2:11" ht="12.75">
      <c r="B766" s="28"/>
      <c r="K766" s="15"/>
    </row>
    <row r="767" spans="2:11" ht="12.75">
      <c r="B767" s="28"/>
      <c r="K767" s="15"/>
    </row>
    <row r="768" spans="2:11" ht="12.75">
      <c r="B768" s="28"/>
      <c r="K768" s="15"/>
    </row>
    <row r="769" spans="2:11" ht="12.75">
      <c r="B769" s="28"/>
      <c r="K769" s="15"/>
    </row>
    <row r="770" spans="2:11" ht="12.75">
      <c r="B770" s="28"/>
      <c r="K770" s="15"/>
    </row>
    <row r="771" spans="2:11" ht="12.75">
      <c r="B771" s="28"/>
      <c r="K771" s="15"/>
    </row>
    <row r="772" spans="2:11" ht="12.75">
      <c r="B772" s="28"/>
      <c r="K772" s="15"/>
    </row>
    <row r="773" spans="2:11" ht="12.75">
      <c r="B773" s="28"/>
      <c r="K773" s="15"/>
    </row>
    <row r="774" spans="2:11" ht="12.75">
      <c r="B774" s="28"/>
      <c r="K774" s="15"/>
    </row>
    <row r="775" spans="2:11" ht="12.75">
      <c r="B775" s="28"/>
      <c r="K775" s="15"/>
    </row>
    <row r="776" spans="2:11" ht="12.75">
      <c r="B776" s="28"/>
      <c r="K776" s="15"/>
    </row>
    <row r="777" spans="2:11" ht="12.75">
      <c r="B777" s="28"/>
      <c r="K777" s="15"/>
    </row>
    <row r="778" spans="2:11" ht="12.75">
      <c r="B778" s="28"/>
      <c r="K778" s="15"/>
    </row>
    <row r="779" spans="2:11" ht="12.75">
      <c r="B779" s="28"/>
      <c r="K779" s="15"/>
    </row>
    <row r="780" spans="2:11" ht="12.75">
      <c r="B780" s="28"/>
      <c r="K780" s="15"/>
    </row>
    <row r="781" spans="2:11" ht="12.75">
      <c r="B781" s="28"/>
      <c r="K781" s="15"/>
    </row>
    <row r="782" spans="2:11" ht="12.75">
      <c r="B782" s="28"/>
      <c r="K782" s="15"/>
    </row>
    <row r="783" spans="2:11" ht="12.75">
      <c r="B783" s="28"/>
      <c r="K783" s="15"/>
    </row>
    <row r="784" spans="2:11" ht="12.75">
      <c r="B784" s="28"/>
      <c r="K784" s="15"/>
    </row>
    <row r="785" spans="2:11" ht="12.75">
      <c r="B785" s="28"/>
      <c r="K785" s="15"/>
    </row>
    <row r="786" spans="2:11" ht="12.75">
      <c r="B786" s="28"/>
      <c r="K786" s="15"/>
    </row>
    <row r="787" spans="2:11" ht="12.75">
      <c r="B787" s="28"/>
      <c r="K787" s="15"/>
    </row>
    <row r="788" spans="2:11" ht="12.75">
      <c r="B788" s="28"/>
      <c r="K788" s="15"/>
    </row>
    <row r="789" spans="2:11" ht="12.75">
      <c r="B789" s="28"/>
      <c r="K789" s="15"/>
    </row>
    <row r="790" spans="2:11" ht="12.75">
      <c r="B790" s="28"/>
      <c r="K790" s="15"/>
    </row>
    <row r="791" spans="2:11" ht="12.75">
      <c r="B791" s="28"/>
      <c r="K791" s="15"/>
    </row>
    <row r="792" spans="2:11" ht="12.75">
      <c r="B792" s="28"/>
      <c r="K792" s="15"/>
    </row>
    <row r="793" spans="2:11" ht="12.75">
      <c r="B793" s="28"/>
      <c r="K793" s="15"/>
    </row>
    <row r="794" spans="2:11" ht="12.75">
      <c r="B794" s="28"/>
      <c r="K794" s="15"/>
    </row>
    <row r="795" spans="2:11" ht="12.75">
      <c r="B795" s="28"/>
      <c r="K795" s="15"/>
    </row>
    <row r="796" spans="2:11" ht="12.75">
      <c r="B796" s="28"/>
      <c r="K796" s="15"/>
    </row>
    <row r="797" spans="2:11" ht="12.75">
      <c r="B797" s="28"/>
      <c r="K797" s="15"/>
    </row>
    <row r="798" spans="2:11" ht="12.75">
      <c r="B798" s="28"/>
      <c r="K798" s="15"/>
    </row>
    <row r="799" spans="2:11" ht="12.75">
      <c r="B799" s="28"/>
      <c r="K799" s="15"/>
    </row>
    <row r="800" spans="2:11" ht="12.75">
      <c r="B800" s="28"/>
      <c r="K800" s="15"/>
    </row>
    <row r="801" spans="2:11" ht="12.75">
      <c r="B801" s="28"/>
      <c r="K801" s="15"/>
    </row>
    <row r="802" spans="2:11" ht="12.75">
      <c r="B802" s="28"/>
      <c r="K802" s="15"/>
    </row>
    <row r="803" spans="2:11" ht="12.75">
      <c r="B803" s="28"/>
      <c r="K803" s="15"/>
    </row>
    <row r="804" spans="2:11" ht="12.75">
      <c r="B804" s="28"/>
      <c r="K804" s="15"/>
    </row>
    <row r="805" spans="2:11" ht="12.75">
      <c r="B805" s="28"/>
      <c r="K805" s="15"/>
    </row>
    <row r="806" spans="2:11" ht="12.75">
      <c r="B806" s="28"/>
      <c r="K806" s="15"/>
    </row>
    <row r="807" spans="2:11" ht="12.75">
      <c r="B807" s="28"/>
      <c r="K807" s="15"/>
    </row>
    <row r="808" spans="2:11" ht="12.75">
      <c r="B808" s="28"/>
      <c r="K808" s="15"/>
    </row>
    <row r="809" spans="2:11" ht="12.75">
      <c r="B809" s="28"/>
      <c r="K809" s="15"/>
    </row>
    <row r="810" spans="2:11" ht="12.75">
      <c r="B810" s="28"/>
      <c r="K810" s="15"/>
    </row>
    <row r="811" spans="2:11" ht="12.75">
      <c r="B811" s="28"/>
      <c r="K811" s="15"/>
    </row>
    <row r="812" spans="2:11" ht="12.75">
      <c r="B812" s="28"/>
      <c r="K812" s="15"/>
    </row>
    <row r="813" spans="2:11" ht="12.75">
      <c r="B813" s="28"/>
      <c r="K813" s="15"/>
    </row>
    <row r="814" spans="2:11" ht="12.75">
      <c r="B814" s="28"/>
      <c r="K814" s="15"/>
    </row>
    <row r="815" spans="2:11" ht="12.75">
      <c r="B815" s="28"/>
      <c r="K815" s="15"/>
    </row>
    <row r="816" spans="2:11" ht="12.75">
      <c r="B816" s="28"/>
      <c r="K816" s="15"/>
    </row>
    <row r="817" spans="2:11" ht="12.75">
      <c r="B817" s="28"/>
      <c r="K817" s="15"/>
    </row>
    <row r="818" spans="2:11" ht="12.75">
      <c r="B818" s="28"/>
      <c r="K818" s="15"/>
    </row>
    <row r="819" spans="2:11" ht="12.75">
      <c r="B819" s="28"/>
      <c r="K819" s="15"/>
    </row>
    <row r="820" spans="2:11" ht="12.75">
      <c r="B820" s="28"/>
      <c r="K820" s="15"/>
    </row>
    <row r="821" spans="2:11" ht="12.75">
      <c r="B821" s="28"/>
      <c r="K821" s="15"/>
    </row>
    <row r="822" spans="2:11" ht="12.75">
      <c r="B822" s="28"/>
      <c r="K822" s="15"/>
    </row>
    <row r="823" spans="2:11" ht="12.75">
      <c r="B823" s="28"/>
      <c r="K823" s="15"/>
    </row>
    <row r="824" spans="2:11" ht="12.75">
      <c r="B824" s="28"/>
      <c r="K824" s="15"/>
    </row>
    <row r="825" spans="2:11" ht="12.75">
      <c r="B825" s="28"/>
      <c r="K825" s="15"/>
    </row>
    <row r="826" spans="2:11" ht="12.75">
      <c r="B826" s="28"/>
      <c r="K826" s="15"/>
    </row>
    <row r="827" spans="2:11" ht="12.75">
      <c r="B827" s="28"/>
      <c r="K827" s="15"/>
    </row>
    <row r="828" spans="2:11" ht="12.75">
      <c r="B828" s="28"/>
      <c r="K828" s="15"/>
    </row>
    <row r="829" spans="2:11" ht="12.75">
      <c r="B829" s="28"/>
      <c r="K829" s="15"/>
    </row>
    <row r="830" spans="2:11" ht="12.75">
      <c r="B830" s="28"/>
      <c r="K830" s="15"/>
    </row>
    <row r="831" spans="2:11" ht="12.75">
      <c r="B831" s="28"/>
      <c r="K831" s="15"/>
    </row>
    <row r="832" spans="2:11" ht="12.75">
      <c r="B832" s="28"/>
      <c r="K832" s="15"/>
    </row>
    <row r="833" spans="2:11" ht="12.75">
      <c r="B833" s="28"/>
      <c r="K833" s="15"/>
    </row>
    <row r="834" spans="2:11" ht="12.75">
      <c r="B834" s="28"/>
      <c r="K834" s="15"/>
    </row>
    <row r="835" spans="2:11" ht="12.75">
      <c r="B835" s="28"/>
      <c r="K835" s="15"/>
    </row>
    <row r="836" spans="2:11" ht="12.75">
      <c r="B836" s="28"/>
      <c r="K836" s="15"/>
    </row>
    <row r="837" spans="2:11" ht="12.75">
      <c r="B837" s="28"/>
      <c r="K837" s="15"/>
    </row>
    <row r="838" spans="2:11" ht="12.75">
      <c r="B838" s="28"/>
      <c r="K838" s="15"/>
    </row>
    <row r="839" spans="2:11" ht="12.75">
      <c r="B839" s="28"/>
      <c r="K839" s="15"/>
    </row>
    <row r="840" spans="2:11" ht="12.75">
      <c r="B840" s="28"/>
      <c r="K840" s="15"/>
    </row>
    <row r="841" spans="2:11" ht="12.75">
      <c r="B841" s="28"/>
      <c r="K841" s="15"/>
    </row>
    <row r="842" spans="2:11" ht="12.75">
      <c r="B842" s="28"/>
      <c r="K842" s="15"/>
    </row>
    <row r="843" spans="2:11" ht="12.75">
      <c r="B843" s="28"/>
      <c r="K843" s="15"/>
    </row>
    <row r="844" spans="2:11" ht="12.75">
      <c r="B844" s="28"/>
      <c r="K844" s="15"/>
    </row>
    <row r="845" spans="2:11" ht="12.75">
      <c r="B845" s="28"/>
      <c r="K845" s="15"/>
    </row>
    <row r="846" spans="2:11" ht="12.75">
      <c r="B846" s="28"/>
      <c r="K846" s="15"/>
    </row>
    <row r="847" spans="2:11" ht="12.75">
      <c r="B847" s="28"/>
      <c r="K847" s="15"/>
    </row>
    <row r="848" spans="2:11" ht="12.75">
      <c r="B848" s="28"/>
      <c r="K848" s="15"/>
    </row>
    <row r="849" spans="2:11" ht="12.75">
      <c r="B849" s="28"/>
      <c r="K849" s="15"/>
    </row>
    <row r="850" spans="2:11" ht="12.75">
      <c r="B850" s="28"/>
      <c r="K850" s="15"/>
    </row>
    <row r="851" spans="2:11" ht="12.75">
      <c r="B851" s="28"/>
      <c r="K851" s="15"/>
    </row>
    <row r="852" spans="2:11" ht="12.75">
      <c r="B852" s="28"/>
      <c r="K852" s="15"/>
    </row>
    <row r="853" spans="2:11" ht="12.75">
      <c r="B853" s="28"/>
      <c r="K853" s="15"/>
    </row>
    <row r="854" spans="2:11" ht="12.75">
      <c r="B854" s="28"/>
      <c r="K854" s="15"/>
    </row>
    <row r="855" spans="2:11" ht="12.75">
      <c r="B855" s="28"/>
      <c r="K855" s="15"/>
    </row>
    <row r="856" spans="2:11" ht="12.75">
      <c r="B856" s="28"/>
      <c r="K856" s="15"/>
    </row>
    <row r="857" spans="2:11" ht="12.75">
      <c r="B857" s="28"/>
      <c r="K857" s="15"/>
    </row>
    <row r="858" spans="2:11" ht="12.75">
      <c r="B858" s="28"/>
      <c r="K858" s="15"/>
    </row>
    <row r="859" spans="2:11" ht="12.75">
      <c r="B859" s="28"/>
      <c r="K859" s="15"/>
    </row>
    <row r="860" spans="2:11" ht="12.75">
      <c r="B860" s="28"/>
      <c r="K860" s="15"/>
    </row>
    <row r="861" spans="2:11" ht="12.75">
      <c r="B861" s="28"/>
      <c r="K861" s="15"/>
    </row>
    <row r="862" spans="2:11" ht="12.75">
      <c r="B862" s="28"/>
      <c r="K862" s="15"/>
    </row>
    <row r="863" spans="2:11" ht="12.75">
      <c r="B863" s="28"/>
      <c r="K863" s="15"/>
    </row>
    <row r="864" spans="2:11" ht="12.75">
      <c r="B864" s="28"/>
      <c r="K864" s="15"/>
    </row>
    <row r="865" spans="2:11" ht="12.75">
      <c r="B865" s="28"/>
      <c r="K865" s="15"/>
    </row>
    <row r="866" spans="2:11" ht="12.75">
      <c r="B866" s="28"/>
      <c r="K866" s="15"/>
    </row>
    <row r="867" spans="2:11" ht="12.75">
      <c r="B867" s="28"/>
      <c r="K867" s="15"/>
    </row>
    <row r="868" spans="2:11" ht="12.75">
      <c r="B868" s="28"/>
      <c r="K868" s="15"/>
    </row>
    <row r="869" spans="2:11" ht="12.75">
      <c r="B869" s="28"/>
      <c r="K869" s="15"/>
    </row>
    <row r="870" spans="2:11" ht="12.75">
      <c r="B870" s="28"/>
      <c r="K870" s="15"/>
    </row>
    <row r="871" spans="2:11" ht="12.75">
      <c r="B871" s="28"/>
      <c r="K871" s="15"/>
    </row>
    <row r="872" spans="2:11" ht="12.75">
      <c r="B872" s="28"/>
      <c r="K872" s="15"/>
    </row>
    <row r="873" spans="2:11" ht="12.75">
      <c r="B873" s="28"/>
      <c r="K873" s="15"/>
    </row>
    <row r="874" spans="2:11" ht="12.75">
      <c r="B874" s="28"/>
      <c r="K874" s="15"/>
    </row>
    <row r="875" spans="2:11" ht="12.75">
      <c r="B875" s="28"/>
      <c r="K875" s="15"/>
    </row>
    <row r="876" spans="2:11" ht="12.75">
      <c r="B876" s="28"/>
      <c r="K876" s="15"/>
    </row>
    <row r="877" spans="2:11" ht="12.75">
      <c r="B877" s="28"/>
      <c r="K877" s="15"/>
    </row>
    <row r="878" spans="2:11" ht="12.75">
      <c r="B878" s="28"/>
      <c r="K878" s="15"/>
    </row>
    <row r="879" spans="2:11" ht="12.75">
      <c r="B879" s="28"/>
      <c r="K879" s="15"/>
    </row>
    <row r="880" spans="2:11" ht="12.75">
      <c r="B880" s="28"/>
      <c r="K880" s="15"/>
    </row>
    <row r="881" spans="2:11" ht="12.75">
      <c r="B881" s="28"/>
      <c r="K881" s="15"/>
    </row>
    <row r="882" spans="2:11" ht="12.75">
      <c r="B882" s="28"/>
      <c r="K882" s="15"/>
    </row>
    <row r="883" spans="2:11" ht="12.75">
      <c r="B883" s="28"/>
      <c r="K883" s="15"/>
    </row>
    <row r="884" spans="2:11" ht="12.75">
      <c r="B884" s="28"/>
      <c r="K884" s="15"/>
    </row>
    <row r="885" spans="2:11" ht="12.75">
      <c r="B885" s="28"/>
      <c r="K885" s="15"/>
    </row>
    <row r="886" spans="2:11" ht="12.75">
      <c r="B886" s="28"/>
      <c r="K886" s="15"/>
    </row>
    <row r="887" spans="2:11" ht="12.75">
      <c r="B887" s="28"/>
      <c r="K887" s="15"/>
    </row>
    <row r="888" spans="2:11" ht="12.75">
      <c r="B888" s="28"/>
      <c r="K888" s="15"/>
    </row>
    <row r="889" spans="2:11" ht="12.75">
      <c r="B889" s="28"/>
      <c r="K889" s="15"/>
    </row>
    <row r="890" spans="2:11" ht="12.75">
      <c r="B890" s="28"/>
      <c r="K890" s="15"/>
    </row>
    <row r="891" spans="2:11" ht="12.75">
      <c r="B891" s="28"/>
      <c r="K891" s="15"/>
    </row>
    <row r="892" spans="2:11" ht="12.75">
      <c r="B892" s="28"/>
      <c r="K892" s="15"/>
    </row>
    <row r="893" spans="2:11" ht="12.75">
      <c r="B893" s="28"/>
      <c r="K893" s="15"/>
    </row>
    <row r="894" spans="2:11" ht="12.75">
      <c r="B894" s="28"/>
      <c r="K894" s="15"/>
    </row>
    <row r="895" spans="2:11" ht="12.75">
      <c r="B895" s="28"/>
      <c r="K895" s="15"/>
    </row>
    <row r="896" spans="2:11" ht="12.75">
      <c r="B896" s="28"/>
      <c r="K896" s="15"/>
    </row>
    <row r="897" spans="2:11" ht="12.75">
      <c r="B897" s="28"/>
      <c r="K897" s="15"/>
    </row>
    <row r="898" spans="2:11" ht="12.75">
      <c r="B898" s="28"/>
      <c r="K898" s="15"/>
    </row>
    <row r="899" spans="2:11" ht="12.75">
      <c r="B899" s="28"/>
      <c r="K899" s="15"/>
    </row>
    <row r="900" spans="2:11" ht="12.75">
      <c r="B900" s="28"/>
      <c r="K900" s="15"/>
    </row>
    <row r="901" spans="2:11" ht="12.75">
      <c r="B901" s="28"/>
      <c r="K901" s="15"/>
    </row>
    <row r="902" spans="2:11" ht="12.75">
      <c r="B902" s="28"/>
      <c r="K902" s="15"/>
    </row>
    <row r="903" spans="2:11" ht="12.75">
      <c r="B903" s="28"/>
      <c r="K903" s="15"/>
    </row>
    <row r="904" spans="2:11" ht="12.75">
      <c r="B904" s="28"/>
      <c r="K904" s="15"/>
    </row>
    <row r="905" spans="2:11" ht="12.75">
      <c r="B905" s="28"/>
      <c r="K905" s="15"/>
    </row>
    <row r="906" spans="2:11" ht="12.75">
      <c r="B906" s="28"/>
      <c r="K906" s="15"/>
    </row>
    <row r="907" spans="2:11" ht="12.75">
      <c r="B907" s="28"/>
      <c r="K907" s="15"/>
    </row>
    <row r="908" spans="2:11" ht="12.75">
      <c r="B908" s="28"/>
      <c r="K908" s="15"/>
    </row>
    <row r="909" spans="2:11" ht="12.75">
      <c r="B909" s="28"/>
      <c r="K909" s="15"/>
    </row>
    <row r="910" spans="2:11" ht="12.75">
      <c r="B910" s="28"/>
      <c r="K910" s="15"/>
    </row>
    <row r="911" spans="2:11" ht="12.75">
      <c r="B911" s="28"/>
      <c r="K911" s="15"/>
    </row>
    <row r="912" spans="2:11" ht="12.75">
      <c r="B912" s="28"/>
      <c r="K912" s="15"/>
    </row>
    <row r="913" spans="2:11" ht="12.75">
      <c r="B913" s="28"/>
      <c r="K913" s="15"/>
    </row>
    <row r="914" spans="2:11" ht="12.75">
      <c r="B914" s="28"/>
      <c r="K914" s="15"/>
    </row>
    <row r="915" spans="2:11" ht="12.75">
      <c r="B915" s="28"/>
      <c r="K915" s="15"/>
    </row>
    <row r="916" spans="2:11" ht="12.75">
      <c r="B916" s="28"/>
      <c r="K916" s="15"/>
    </row>
    <row r="917" spans="2:11" ht="12.75">
      <c r="B917" s="28"/>
      <c r="K917" s="15"/>
    </row>
    <row r="918" spans="2:11" ht="12.75">
      <c r="B918" s="28"/>
      <c r="K918" s="15"/>
    </row>
    <row r="919" spans="2:11" ht="12.75">
      <c r="B919" s="28"/>
      <c r="K919" s="15"/>
    </row>
    <row r="920" spans="2:11" ht="12.75">
      <c r="B920" s="28"/>
      <c r="K920" s="15"/>
    </row>
    <row r="921" spans="2:11" ht="12.75">
      <c r="B921" s="28"/>
      <c r="K921" s="15"/>
    </row>
    <row r="922" spans="2:11" ht="12.75">
      <c r="B922" s="28"/>
      <c r="K922" s="15"/>
    </row>
    <row r="923" spans="2:11" ht="12.75">
      <c r="B923" s="28"/>
      <c r="K923" s="15"/>
    </row>
    <row r="924" spans="2:11" ht="12.75">
      <c r="B924" s="28"/>
      <c r="K924" s="15"/>
    </row>
    <row r="925" spans="2:11" ht="12.75">
      <c r="B925" s="28"/>
      <c r="K925" s="15"/>
    </row>
    <row r="926" spans="2:11" ht="12.75">
      <c r="B926" s="28"/>
      <c r="K926" s="15"/>
    </row>
    <row r="927" spans="2:11" ht="12.75">
      <c r="B927" s="28"/>
      <c r="K927" s="15"/>
    </row>
    <row r="928" spans="2:11" ht="12.75">
      <c r="B928" s="28"/>
      <c r="K928" s="15"/>
    </row>
    <row r="929" spans="2:11" ht="12.75">
      <c r="B929" s="28"/>
      <c r="K929" s="15"/>
    </row>
    <row r="930" spans="2:11" ht="12.75">
      <c r="B930" s="28"/>
      <c r="K930" s="15"/>
    </row>
    <row r="931" spans="2:11" ht="12.75">
      <c r="B931" s="28"/>
      <c r="K931" s="15"/>
    </row>
    <row r="932" spans="2:11" ht="12.75">
      <c r="B932" s="28"/>
      <c r="K932" s="15"/>
    </row>
    <row r="933" spans="2:11" ht="12.75">
      <c r="B933" s="28"/>
      <c r="K933" s="15"/>
    </row>
    <row r="934" spans="2:11" ht="12.75">
      <c r="B934" s="28"/>
      <c r="K934" s="15"/>
    </row>
    <row r="935" spans="2:11" ht="12.75">
      <c r="B935" s="28"/>
      <c r="K935" s="15"/>
    </row>
    <row r="936" spans="2:11" ht="12.75">
      <c r="B936" s="28"/>
      <c r="K936" s="15"/>
    </row>
    <row r="937" spans="2:11" ht="12.75">
      <c r="B937" s="28"/>
      <c r="K937" s="15"/>
    </row>
    <row r="938" spans="2:11" ht="12.75">
      <c r="B938" s="28"/>
      <c r="K938" s="15"/>
    </row>
    <row r="939" spans="2:11" ht="12.75">
      <c r="B939" s="28"/>
      <c r="K939" s="15"/>
    </row>
    <row r="940" spans="2:11" ht="12.75">
      <c r="B940" s="28"/>
      <c r="K940" s="15"/>
    </row>
    <row r="941" spans="2:11" ht="12.75">
      <c r="B941" s="28"/>
      <c r="K941" s="15"/>
    </row>
    <row r="942" spans="2:11" ht="12.75">
      <c r="B942" s="28"/>
      <c r="K942" s="15"/>
    </row>
    <row r="943" spans="2:11" ht="12.75">
      <c r="B943" s="28"/>
      <c r="K943" s="15"/>
    </row>
    <row r="944" spans="2:11" ht="12.75">
      <c r="B944" s="28"/>
      <c r="K944" s="15"/>
    </row>
    <row r="945" spans="2:11" ht="12.75">
      <c r="B945" s="28"/>
      <c r="K945" s="15"/>
    </row>
    <row r="946" spans="2:11" ht="12.75">
      <c r="B946" s="28"/>
      <c r="K946" s="15"/>
    </row>
    <row r="947" spans="2:11" ht="12.75">
      <c r="B947" s="28"/>
      <c r="K947" s="15"/>
    </row>
    <row r="948" spans="2:11" ht="12.75">
      <c r="B948" s="28"/>
      <c r="K948" s="15"/>
    </row>
    <row r="949" spans="2:11" ht="12.75">
      <c r="B949" s="28"/>
      <c r="K949" s="15"/>
    </row>
    <row r="950" spans="2:11" ht="12.75">
      <c r="B950" s="28"/>
      <c r="K950" s="15"/>
    </row>
    <row r="951" spans="2:11" ht="12.75">
      <c r="B951" s="28"/>
      <c r="K951" s="15"/>
    </row>
    <row r="952" spans="2:11" ht="12.75">
      <c r="B952" s="28"/>
      <c r="K952" s="15"/>
    </row>
    <row r="953" spans="2:11" ht="12.75">
      <c r="B953" s="28"/>
      <c r="K953" s="15"/>
    </row>
    <row r="954" spans="2:11" ht="12.75">
      <c r="B954" s="28"/>
      <c r="K954" s="15"/>
    </row>
    <row r="955" spans="2:11" ht="12.75">
      <c r="B955" s="28"/>
      <c r="K955" s="15"/>
    </row>
    <row r="956" spans="2:11" ht="12.75">
      <c r="B956" s="28"/>
      <c r="K956" s="15"/>
    </row>
    <row r="957" spans="2:11" ht="12.75">
      <c r="B957" s="28"/>
      <c r="K957" s="15"/>
    </row>
    <row r="958" spans="2:11" ht="12.75">
      <c r="B958" s="28"/>
      <c r="K958" s="15"/>
    </row>
    <row r="959" spans="2:11" ht="12.75">
      <c r="B959" s="28"/>
      <c r="K959" s="15"/>
    </row>
    <row r="960" spans="2:11" ht="12.75">
      <c r="B960" s="28"/>
      <c r="K960" s="15"/>
    </row>
    <row r="961" spans="2:11" ht="12.75">
      <c r="B961" s="28"/>
      <c r="K961" s="15"/>
    </row>
    <row r="962" spans="2:11" ht="12.75">
      <c r="B962" s="28"/>
      <c r="K962" s="15"/>
    </row>
    <row r="963" spans="2:11" ht="12.75">
      <c r="B963" s="28"/>
      <c r="K963" s="15"/>
    </row>
    <row r="964" spans="2:11" ht="12.75">
      <c r="B964" s="28"/>
      <c r="K964" s="15"/>
    </row>
    <row r="965" spans="2:11" ht="12.75">
      <c r="B965" s="28"/>
      <c r="K965" s="15"/>
    </row>
    <row r="966" spans="2:11" ht="12.75">
      <c r="B966" s="28"/>
      <c r="K966" s="15"/>
    </row>
    <row r="967" spans="2:11" ht="12.75">
      <c r="B967" s="28"/>
      <c r="K967" s="15"/>
    </row>
    <row r="968" spans="2:11" ht="12.75">
      <c r="B968" s="28"/>
      <c r="K968" s="15"/>
    </row>
    <row r="969" spans="2:11" ht="12.75">
      <c r="B969" s="28"/>
      <c r="K969" s="15"/>
    </row>
    <row r="970" spans="2:11" ht="12.75">
      <c r="B970" s="28"/>
      <c r="K970" s="15"/>
    </row>
    <row r="971" spans="2:11" ht="12.75">
      <c r="B971" s="28"/>
      <c r="K971" s="15"/>
    </row>
    <row r="972" spans="2:11" ht="12.75">
      <c r="B972" s="28"/>
      <c r="K972" s="15"/>
    </row>
    <row r="973" spans="2:11" ht="12.75">
      <c r="B973" s="28"/>
      <c r="K973" s="15"/>
    </row>
    <row r="974" spans="2:11" ht="12.75">
      <c r="B974" s="28"/>
      <c r="K974" s="15"/>
    </row>
    <row r="975" spans="2:11" ht="12.75">
      <c r="B975" s="28"/>
      <c r="K975" s="15"/>
    </row>
    <row r="976" spans="2:11" ht="12.75">
      <c r="B976" s="28"/>
      <c r="K976" s="15"/>
    </row>
    <row r="977" spans="2:11" ht="12.75">
      <c r="B977" s="28"/>
      <c r="K977" s="15"/>
    </row>
    <row r="978" spans="2:11" ht="12.75">
      <c r="B978" s="28"/>
      <c r="K978" s="15"/>
    </row>
    <row r="979" spans="2:11" ht="12.75">
      <c r="B979" s="28"/>
      <c r="K979" s="15"/>
    </row>
    <row r="980" spans="2:11" ht="12.75">
      <c r="B980" s="28"/>
      <c r="K980" s="15"/>
    </row>
    <row r="981" spans="2:11" ht="12.75">
      <c r="B981" s="28"/>
      <c r="K981" s="15"/>
    </row>
    <row r="982" spans="2:11" ht="12.75">
      <c r="B982" s="28"/>
      <c r="K982" s="15"/>
    </row>
    <row r="983" spans="2:11" ht="12.75">
      <c r="B983" s="28"/>
      <c r="K983" s="15"/>
    </row>
    <row r="984" spans="2:11" ht="12.75">
      <c r="B984" s="28"/>
      <c r="K984" s="15"/>
    </row>
    <row r="985" spans="2:11" ht="12.75">
      <c r="B985" s="28"/>
      <c r="K985" s="15"/>
    </row>
    <row r="986" spans="2:11" ht="12.75">
      <c r="B986" s="28"/>
      <c r="K986" s="15"/>
    </row>
    <row r="987" spans="2:11" ht="12.75">
      <c r="B987" s="28"/>
      <c r="K987" s="15"/>
    </row>
    <row r="988" spans="2:11" ht="12.75">
      <c r="B988" s="28"/>
      <c r="K988" s="15"/>
    </row>
    <row r="989" spans="2:11" ht="12.75">
      <c r="B989" s="28"/>
      <c r="K989" s="15"/>
    </row>
    <row r="990" spans="2:11" ht="12.75">
      <c r="B990" s="28"/>
      <c r="K990" s="15"/>
    </row>
    <row r="991" spans="2:11" ht="12.75">
      <c r="B991" s="28"/>
      <c r="K991" s="15"/>
    </row>
    <row r="992" spans="2:11" ht="12.75">
      <c r="B992" s="28"/>
      <c r="K992" s="15"/>
    </row>
  </sheetData>
  <mergeCells count="1">
    <mergeCell ref="C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AB992"/>
  <sheetViews>
    <sheetView showGridLines="0" workbookViewId="0"/>
  </sheetViews>
  <sheetFormatPr defaultColWidth="12.5703125" defaultRowHeight="15.75" customHeight="1"/>
  <cols>
    <col min="1" max="1" width="2.5703125" customWidth="1"/>
    <col min="2" max="2" width="2.140625" customWidth="1"/>
    <col min="3" max="3" width="15.5703125" customWidth="1"/>
    <col min="4" max="4" width="13" customWidth="1"/>
    <col min="5" max="5" width="19.28515625" customWidth="1"/>
    <col min="6" max="6" width="12.7109375" customWidth="1"/>
    <col min="7" max="7" width="12.42578125" customWidth="1"/>
    <col min="8" max="8" width="11" customWidth="1"/>
    <col min="9" max="9" width="24" customWidth="1"/>
    <col min="10" max="10" width="12.28515625" customWidth="1"/>
    <col min="11" max="11" width="13.42578125" customWidth="1"/>
    <col min="12" max="12" width="3.140625" customWidth="1"/>
  </cols>
  <sheetData>
    <row r="1" spans="2:28">
      <c r="B1" s="2">
        <f>B23</f>
        <v>0</v>
      </c>
      <c r="C1" s="3"/>
      <c r="D1" s="3"/>
      <c r="E1" s="3"/>
      <c r="F1" s="3"/>
      <c r="G1" s="3"/>
      <c r="H1" s="3"/>
      <c r="I1" s="3"/>
      <c r="J1" s="3"/>
      <c r="K1" s="3"/>
      <c r="L1" s="4"/>
      <c r="M1" s="5"/>
      <c r="N1" s="5"/>
      <c r="O1" s="5"/>
      <c r="P1" s="5"/>
      <c r="Q1" s="5"/>
      <c r="R1" s="5"/>
      <c r="S1" s="5"/>
      <c r="T1" s="5"/>
      <c r="U1" s="5"/>
      <c r="V1" s="5"/>
      <c r="W1" s="5"/>
      <c r="X1" s="5"/>
      <c r="Y1" s="5"/>
      <c r="Z1" s="5"/>
      <c r="AA1" s="5"/>
      <c r="AB1" s="5"/>
    </row>
    <row r="2" spans="2:28" ht="15.75" customHeight="1">
      <c r="B2" s="6"/>
      <c r="C2" s="137" t="s">
        <v>68</v>
      </c>
      <c r="D2" s="138"/>
      <c r="E2" s="138"/>
      <c r="F2" s="138"/>
      <c r="G2" s="138"/>
      <c r="H2" s="138"/>
      <c r="I2" s="138"/>
      <c r="J2" s="138"/>
      <c r="K2" s="138"/>
      <c r="L2" s="4"/>
      <c r="M2" s="5"/>
      <c r="N2" s="5"/>
      <c r="O2" s="5"/>
      <c r="P2" s="5"/>
      <c r="Q2" s="5"/>
      <c r="R2" s="5"/>
      <c r="S2" s="5"/>
      <c r="T2" s="5"/>
      <c r="U2" s="5"/>
      <c r="V2" s="5"/>
      <c r="W2" s="5"/>
      <c r="X2" s="5"/>
      <c r="Y2" s="5"/>
      <c r="Z2" s="5"/>
      <c r="AA2" s="5"/>
      <c r="AB2" s="5"/>
    </row>
    <row r="3" spans="2:28">
      <c r="B3" s="2"/>
      <c r="C3" s="3"/>
      <c r="D3" s="3"/>
      <c r="E3" s="3"/>
      <c r="F3" s="3"/>
      <c r="G3" s="3"/>
      <c r="H3" s="3"/>
      <c r="I3" s="3"/>
      <c r="J3" s="3"/>
      <c r="K3" s="3"/>
      <c r="L3" s="4"/>
      <c r="M3" s="5"/>
      <c r="N3" s="5"/>
      <c r="O3" s="5"/>
      <c r="P3" s="5"/>
      <c r="Q3" s="5"/>
      <c r="R3" s="5"/>
      <c r="S3" s="5"/>
      <c r="T3" s="5"/>
      <c r="U3" s="5"/>
      <c r="V3" s="5"/>
      <c r="W3" s="5"/>
      <c r="X3" s="5"/>
      <c r="Y3" s="5"/>
      <c r="Z3" s="5"/>
      <c r="AA3" s="5"/>
      <c r="AB3" s="5"/>
    </row>
    <row r="4" spans="2:28">
      <c r="B4" s="2"/>
      <c r="C4" s="3"/>
      <c r="D4" s="7" t="s">
        <v>57</v>
      </c>
      <c r="E4" s="8" t="s">
        <v>3</v>
      </c>
      <c r="F4" s="8" t="s">
        <v>4</v>
      </c>
      <c r="G4" s="8" t="s">
        <v>69</v>
      </c>
      <c r="H4" s="8" t="s">
        <v>70</v>
      </c>
      <c r="I4" s="8" t="s">
        <v>71</v>
      </c>
      <c r="J4" s="8" t="s">
        <v>72</v>
      </c>
      <c r="K4" s="9" t="s">
        <v>73</v>
      </c>
      <c r="L4" s="4"/>
      <c r="M4" s="5"/>
      <c r="N4" s="5"/>
      <c r="O4" s="5"/>
      <c r="P4" s="5"/>
      <c r="Q4" s="5"/>
      <c r="R4" s="5"/>
      <c r="S4" s="5"/>
      <c r="T4" s="5"/>
      <c r="U4" s="5"/>
      <c r="V4" s="5"/>
      <c r="W4" s="5"/>
      <c r="X4" s="5"/>
      <c r="Y4" s="5"/>
      <c r="Z4" s="5"/>
      <c r="AA4" s="5"/>
      <c r="AB4" s="5"/>
    </row>
    <row r="5" spans="2:28" ht="15.75" customHeight="1">
      <c r="B5" s="10"/>
      <c r="C5" s="11" t="s">
        <v>8</v>
      </c>
      <c r="D5" s="11" t="s">
        <v>74</v>
      </c>
      <c r="E5" s="12" t="s">
        <v>75</v>
      </c>
      <c r="F5" s="11" t="s">
        <v>76</v>
      </c>
      <c r="G5" s="11" t="s">
        <v>77</v>
      </c>
      <c r="H5" s="11" t="s">
        <v>78</v>
      </c>
      <c r="I5" s="11" t="s">
        <v>79</v>
      </c>
      <c r="J5" s="11" t="s">
        <v>80</v>
      </c>
      <c r="K5" s="11" t="s">
        <v>81</v>
      </c>
      <c r="L5" s="13"/>
      <c r="M5" s="14" t="s">
        <v>13</v>
      </c>
      <c r="N5" s="15"/>
      <c r="O5" s="15"/>
      <c r="P5" s="15"/>
      <c r="Q5" s="15"/>
      <c r="R5" s="15"/>
      <c r="S5" s="15"/>
      <c r="T5" s="15"/>
      <c r="U5" s="15"/>
      <c r="V5" s="15"/>
      <c r="W5" s="15"/>
      <c r="X5" s="15"/>
      <c r="Y5" s="15"/>
      <c r="Z5" s="15"/>
      <c r="AA5" s="15"/>
      <c r="AB5" s="15"/>
    </row>
    <row r="6" spans="2:28">
      <c r="B6" s="16"/>
      <c r="C6" s="17" t="s">
        <v>14</v>
      </c>
      <c r="D6" s="18">
        <v>8.4</v>
      </c>
      <c r="E6" s="18">
        <v>6.9</v>
      </c>
      <c r="F6" s="18">
        <v>7.4</v>
      </c>
      <c r="G6" s="18">
        <v>7.7</v>
      </c>
      <c r="H6" s="18">
        <v>8.4</v>
      </c>
      <c r="I6" s="19"/>
      <c r="J6" s="18">
        <v>6.7</v>
      </c>
      <c r="K6" s="18">
        <v>7.8</v>
      </c>
      <c r="L6" s="15"/>
      <c r="M6" s="20">
        <f t="shared" ref="M6:M13" si="0">COUNT(D6:K6)</f>
        <v>7</v>
      </c>
    </row>
    <row r="7" spans="2:28">
      <c r="B7" s="16"/>
      <c r="C7" s="17" t="s">
        <v>15</v>
      </c>
      <c r="D7" s="18">
        <v>9</v>
      </c>
      <c r="E7" s="18">
        <v>6.7</v>
      </c>
      <c r="F7" s="18">
        <v>6</v>
      </c>
      <c r="G7" s="18">
        <v>7.4</v>
      </c>
      <c r="H7" s="18">
        <v>8.6999999999999993</v>
      </c>
      <c r="I7" s="18">
        <v>6</v>
      </c>
      <c r="J7" s="18">
        <v>6.5</v>
      </c>
      <c r="K7" s="18">
        <v>7</v>
      </c>
      <c r="L7" s="15"/>
      <c r="M7" s="21">
        <f t="shared" si="0"/>
        <v>8</v>
      </c>
    </row>
    <row r="8" spans="2:28">
      <c r="B8" s="16"/>
      <c r="C8" s="17" t="s">
        <v>16</v>
      </c>
      <c r="D8" s="18">
        <v>7.5</v>
      </c>
      <c r="E8" s="18">
        <v>5.5</v>
      </c>
      <c r="F8" s="18">
        <v>6</v>
      </c>
      <c r="G8" s="18">
        <v>7.5</v>
      </c>
      <c r="H8" s="18">
        <v>9</v>
      </c>
      <c r="I8" s="18">
        <v>4</v>
      </c>
      <c r="J8" s="18">
        <v>6</v>
      </c>
      <c r="K8" s="18">
        <v>8</v>
      </c>
      <c r="L8" s="15"/>
      <c r="M8" s="21">
        <f t="shared" si="0"/>
        <v>8</v>
      </c>
    </row>
    <row r="9" spans="2:28">
      <c r="B9" s="16"/>
      <c r="C9" s="17" t="s">
        <v>17</v>
      </c>
      <c r="D9" s="18">
        <v>9.5</v>
      </c>
      <c r="E9" s="18">
        <v>10</v>
      </c>
      <c r="F9" s="18">
        <v>6.5</v>
      </c>
      <c r="G9" s="18">
        <v>9.5</v>
      </c>
      <c r="H9" s="18">
        <v>9.5</v>
      </c>
      <c r="I9" s="18">
        <v>7</v>
      </c>
      <c r="J9" s="18">
        <v>7</v>
      </c>
      <c r="K9" s="18">
        <v>4.5</v>
      </c>
      <c r="L9" s="15"/>
      <c r="M9" s="21">
        <f t="shared" si="0"/>
        <v>8</v>
      </c>
    </row>
    <row r="10" spans="2:28">
      <c r="B10" s="16"/>
      <c r="C10" s="17" t="s">
        <v>18</v>
      </c>
      <c r="D10" s="19"/>
      <c r="E10" s="19"/>
      <c r="F10" s="19"/>
      <c r="G10" s="19"/>
      <c r="H10" s="19"/>
      <c r="I10" s="19"/>
      <c r="J10" s="19"/>
      <c r="K10" s="19"/>
      <c r="L10" s="15"/>
      <c r="M10" s="21">
        <f t="shared" si="0"/>
        <v>0</v>
      </c>
    </row>
    <row r="11" spans="2:28">
      <c r="B11" s="16"/>
      <c r="C11" s="17" t="s">
        <v>19</v>
      </c>
      <c r="D11" s="19"/>
      <c r="E11" s="18">
        <v>6.3</v>
      </c>
      <c r="F11" s="19"/>
      <c r="G11" s="18">
        <v>8.6</v>
      </c>
      <c r="H11" s="19"/>
      <c r="I11" s="19"/>
      <c r="J11" s="18">
        <v>7</v>
      </c>
      <c r="K11" s="18">
        <v>8.5</v>
      </c>
      <c r="L11" s="15"/>
      <c r="M11" s="21">
        <f t="shared" si="0"/>
        <v>4</v>
      </c>
    </row>
    <row r="12" spans="2:28">
      <c r="B12" s="16"/>
      <c r="C12" s="17" t="s">
        <v>20</v>
      </c>
      <c r="D12" s="18">
        <v>7.5</v>
      </c>
      <c r="E12" s="18">
        <v>5.8</v>
      </c>
      <c r="F12" s="18">
        <v>6.8</v>
      </c>
      <c r="G12" s="18">
        <v>8.4</v>
      </c>
      <c r="H12" s="18">
        <v>8.8000000000000007</v>
      </c>
      <c r="I12" s="18">
        <v>5.2</v>
      </c>
      <c r="J12" s="18">
        <v>5.4</v>
      </c>
      <c r="K12" s="18">
        <v>8.1</v>
      </c>
      <c r="L12" s="15"/>
      <c r="M12" s="21">
        <f t="shared" si="0"/>
        <v>8</v>
      </c>
    </row>
    <row r="13" spans="2:28">
      <c r="B13" s="16"/>
      <c r="C13" s="17" t="s">
        <v>21</v>
      </c>
      <c r="D13" s="18">
        <v>8.8000000000000007</v>
      </c>
      <c r="E13" s="18">
        <v>6.3</v>
      </c>
      <c r="F13" s="18">
        <v>7.1</v>
      </c>
      <c r="G13" s="18">
        <v>8.1</v>
      </c>
      <c r="H13" s="30">
        <v>8.5</v>
      </c>
      <c r="I13" s="19"/>
      <c r="J13" s="30">
        <v>6.2</v>
      </c>
      <c r="K13" s="19"/>
      <c r="L13" s="15"/>
      <c r="M13" s="22">
        <f t="shared" si="0"/>
        <v>6</v>
      </c>
    </row>
    <row r="14" spans="2:28" ht="15.75" customHeight="1">
      <c r="B14" s="23"/>
      <c r="C14" s="24" t="s">
        <v>22</v>
      </c>
      <c r="D14" s="25">
        <f t="shared" ref="D14:K14" si="1">IFERROR(AVERAGE(D6:D13),"-")</f>
        <v>8.4500000000000011</v>
      </c>
      <c r="E14" s="25">
        <f t="shared" si="1"/>
        <v>6.7857142857142847</v>
      </c>
      <c r="F14" s="25">
        <f t="shared" si="1"/>
        <v>6.6333333333333329</v>
      </c>
      <c r="G14" s="25">
        <f t="shared" si="1"/>
        <v>8.1714285714285726</v>
      </c>
      <c r="H14" s="25">
        <f t="shared" si="1"/>
        <v>8.8166666666666682</v>
      </c>
      <c r="I14" s="25">
        <f t="shared" si="1"/>
        <v>5.55</v>
      </c>
      <c r="J14" s="25">
        <f t="shared" si="1"/>
        <v>6.4</v>
      </c>
      <c r="K14" s="25">
        <f t="shared" si="1"/>
        <v>7.3166666666666664</v>
      </c>
      <c r="L14" s="15"/>
      <c r="M14" s="26">
        <f>AVERAGE(D14:K14)</f>
        <v>7.2654761904761909</v>
      </c>
      <c r="N14" s="27" t="s">
        <v>23</v>
      </c>
    </row>
    <row r="15" spans="2:28">
      <c r="B15" s="28"/>
      <c r="L15" s="15"/>
    </row>
    <row r="16" spans="2:28">
      <c r="B16" s="28"/>
      <c r="L16" s="15"/>
    </row>
    <row r="17" spans="2:12">
      <c r="B17" s="28"/>
      <c r="L17" s="15"/>
    </row>
    <row r="18" spans="2:12">
      <c r="B18" s="28"/>
      <c r="L18" s="15"/>
    </row>
    <row r="19" spans="2:12">
      <c r="B19" s="28"/>
      <c r="L19" s="15"/>
    </row>
    <row r="20" spans="2:12" ht="12.75">
      <c r="B20" s="28"/>
      <c r="L20" s="15"/>
    </row>
    <row r="21" spans="2:12" ht="12.75">
      <c r="B21" s="28"/>
      <c r="L21" s="15"/>
    </row>
    <row r="22" spans="2:12" ht="12.75">
      <c r="B22" s="28"/>
      <c r="D22" s="1"/>
      <c r="L22" s="15"/>
    </row>
    <row r="23" spans="2:12" ht="12.75">
      <c r="B23" s="28"/>
      <c r="D23" s="1"/>
      <c r="L23" s="15"/>
    </row>
    <row r="24" spans="2:12" ht="12.75">
      <c r="B24" s="28"/>
      <c r="L24" s="15"/>
    </row>
    <row r="25" spans="2:12" ht="12.75">
      <c r="B25" s="28"/>
      <c r="L25" s="15"/>
    </row>
    <row r="26" spans="2:12" ht="12.75">
      <c r="B26" s="28"/>
      <c r="L26" s="15"/>
    </row>
    <row r="27" spans="2:12" ht="12.75">
      <c r="B27" s="28"/>
      <c r="L27" s="15"/>
    </row>
    <row r="28" spans="2:12" ht="12.75">
      <c r="B28" s="28"/>
      <c r="L28" s="15"/>
    </row>
    <row r="29" spans="2:12" ht="12.75">
      <c r="B29" s="28"/>
      <c r="L29" s="15"/>
    </row>
    <row r="30" spans="2:12" ht="12.75">
      <c r="B30" s="28"/>
      <c r="L30" s="15"/>
    </row>
    <row r="31" spans="2:12" ht="12.75">
      <c r="B31" s="28"/>
      <c r="L31" s="15"/>
    </row>
    <row r="32" spans="2:12" ht="12.75">
      <c r="B32" s="28"/>
      <c r="L32" s="15"/>
    </row>
    <row r="33" spans="2:12" ht="12.75">
      <c r="B33" s="28"/>
      <c r="L33" s="15"/>
    </row>
    <row r="34" spans="2:12" ht="12.75">
      <c r="B34" s="28"/>
      <c r="L34" s="15"/>
    </row>
    <row r="35" spans="2:12" ht="12.75">
      <c r="B35" s="28"/>
      <c r="L35" s="15"/>
    </row>
    <row r="36" spans="2:12" ht="12.75">
      <c r="B36" s="28"/>
      <c r="L36" s="15"/>
    </row>
    <row r="37" spans="2:12" ht="12.75">
      <c r="B37" s="28"/>
      <c r="H37" s="29"/>
      <c r="L37" s="15"/>
    </row>
    <row r="38" spans="2:12" ht="12.75">
      <c r="B38" s="28"/>
      <c r="L38" s="15"/>
    </row>
    <row r="39" spans="2:12" ht="12.75">
      <c r="B39" s="28"/>
      <c r="L39" s="15"/>
    </row>
    <row r="40" spans="2:12" ht="12.75">
      <c r="B40" s="28"/>
      <c r="L40" s="15"/>
    </row>
    <row r="41" spans="2:12" ht="12.75">
      <c r="B41" s="28"/>
      <c r="L41" s="15"/>
    </row>
    <row r="42" spans="2:12" ht="12.75">
      <c r="B42" s="28"/>
      <c r="L42" s="15"/>
    </row>
    <row r="43" spans="2:12" ht="12.75">
      <c r="B43" s="28"/>
      <c r="L43" s="15"/>
    </row>
    <row r="44" spans="2:12" ht="12.75">
      <c r="B44" s="28"/>
      <c r="L44" s="15"/>
    </row>
    <row r="45" spans="2:12" ht="12.75">
      <c r="B45" s="28"/>
      <c r="L45" s="15"/>
    </row>
    <row r="46" spans="2:12" ht="12.75">
      <c r="B46" s="28"/>
      <c r="L46" s="15"/>
    </row>
    <row r="47" spans="2:12" ht="12.75">
      <c r="B47" s="28"/>
      <c r="L47" s="15"/>
    </row>
    <row r="48" spans="2:12" ht="12.75">
      <c r="B48" s="28"/>
      <c r="L48" s="15"/>
    </row>
    <row r="49" spans="2:12" ht="12.75">
      <c r="B49" s="28"/>
      <c r="L49" s="15"/>
    </row>
    <row r="50" spans="2:12" ht="12.75">
      <c r="B50" s="28"/>
      <c r="L50" s="15"/>
    </row>
    <row r="51" spans="2:12" ht="12.75">
      <c r="B51" s="28"/>
      <c r="L51" s="15"/>
    </row>
    <row r="52" spans="2:12" ht="12.75">
      <c r="B52" s="28"/>
      <c r="L52" s="15"/>
    </row>
    <row r="53" spans="2:12" ht="12.75">
      <c r="B53" s="28"/>
      <c r="L53" s="15"/>
    </row>
    <row r="54" spans="2:12" ht="12.75">
      <c r="B54" s="28"/>
      <c r="L54" s="15"/>
    </row>
    <row r="55" spans="2:12" ht="12.75">
      <c r="B55" s="28"/>
      <c r="L55" s="15"/>
    </row>
    <row r="56" spans="2:12" ht="12.75">
      <c r="B56" s="28"/>
      <c r="L56" s="15"/>
    </row>
    <row r="57" spans="2:12" ht="12.75">
      <c r="B57" s="28"/>
      <c r="L57" s="15"/>
    </row>
    <row r="58" spans="2:12" ht="12.75">
      <c r="B58" s="28"/>
      <c r="L58" s="15"/>
    </row>
    <row r="59" spans="2:12" ht="12.75">
      <c r="B59" s="28"/>
      <c r="L59" s="15"/>
    </row>
    <row r="60" spans="2:12" ht="12.75">
      <c r="B60" s="28"/>
      <c r="L60" s="15"/>
    </row>
    <row r="61" spans="2:12" ht="12.75">
      <c r="B61" s="28"/>
      <c r="L61" s="15"/>
    </row>
    <row r="62" spans="2:12" ht="12.75">
      <c r="B62" s="28"/>
      <c r="L62" s="15"/>
    </row>
    <row r="63" spans="2:12" ht="12.75">
      <c r="B63" s="28"/>
      <c r="L63" s="15"/>
    </row>
    <row r="64" spans="2:12" ht="12.75">
      <c r="B64" s="28"/>
      <c r="L64" s="15"/>
    </row>
    <row r="65" spans="2:12" ht="12.75">
      <c r="B65" s="28"/>
      <c r="L65" s="15"/>
    </row>
    <row r="66" spans="2:12" ht="12.75">
      <c r="B66" s="28"/>
      <c r="L66" s="15"/>
    </row>
    <row r="67" spans="2:12" ht="12.75">
      <c r="B67" s="28"/>
      <c r="L67" s="15"/>
    </row>
    <row r="68" spans="2:12" ht="12.75">
      <c r="B68" s="28"/>
      <c r="L68" s="15"/>
    </row>
    <row r="69" spans="2:12" ht="12.75">
      <c r="B69" s="28"/>
      <c r="L69" s="15"/>
    </row>
    <row r="70" spans="2:12" ht="12.75">
      <c r="B70" s="28"/>
      <c r="L70" s="15"/>
    </row>
    <row r="71" spans="2:12" ht="12.75">
      <c r="B71" s="28"/>
      <c r="L71" s="15"/>
    </row>
    <row r="72" spans="2:12" ht="12.75">
      <c r="B72" s="28"/>
      <c r="L72" s="15"/>
    </row>
    <row r="73" spans="2:12" ht="12.75">
      <c r="B73" s="28"/>
      <c r="L73" s="15"/>
    </row>
    <row r="74" spans="2:12" ht="12.75">
      <c r="B74" s="28"/>
      <c r="L74" s="15"/>
    </row>
    <row r="75" spans="2:12" ht="12.75">
      <c r="B75" s="28"/>
      <c r="L75" s="15"/>
    </row>
    <row r="76" spans="2:12" ht="12.75">
      <c r="B76" s="28"/>
      <c r="L76" s="15"/>
    </row>
    <row r="77" spans="2:12" ht="12.75">
      <c r="B77" s="28"/>
      <c r="L77" s="15"/>
    </row>
    <row r="78" spans="2:12" ht="12.75">
      <c r="B78" s="28"/>
      <c r="L78" s="15"/>
    </row>
    <row r="79" spans="2:12" ht="12.75">
      <c r="B79" s="28"/>
      <c r="L79" s="15"/>
    </row>
    <row r="80" spans="2:12" ht="12.75">
      <c r="B80" s="28"/>
      <c r="L80" s="15"/>
    </row>
    <row r="81" spans="2:12" ht="12.75">
      <c r="B81" s="28"/>
      <c r="L81" s="15"/>
    </row>
    <row r="82" spans="2:12" ht="12.75">
      <c r="B82" s="28"/>
      <c r="L82" s="15"/>
    </row>
    <row r="83" spans="2:12" ht="12.75">
      <c r="B83" s="28"/>
      <c r="L83" s="15"/>
    </row>
    <row r="84" spans="2:12" ht="12.75">
      <c r="B84" s="28"/>
      <c r="L84" s="15"/>
    </row>
    <row r="85" spans="2:12" ht="12.75">
      <c r="B85" s="28"/>
      <c r="L85" s="15"/>
    </row>
    <row r="86" spans="2:12" ht="12.75">
      <c r="B86" s="28"/>
      <c r="L86" s="15"/>
    </row>
    <row r="87" spans="2:12" ht="12.75">
      <c r="B87" s="28"/>
      <c r="L87" s="15"/>
    </row>
    <row r="88" spans="2:12" ht="12.75">
      <c r="B88" s="28"/>
      <c r="L88" s="15"/>
    </row>
    <row r="89" spans="2:12" ht="12.75">
      <c r="B89" s="28"/>
      <c r="L89" s="15"/>
    </row>
    <row r="90" spans="2:12" ht="12.75">
      <c r="B90" s="28"/>
      <c r="L90" s="15"/>
    </row>
    <row r="91" spans="2:12" ht="12.75">
      <c r="B91" s="28"/>
      <c r="L91" s="15"/>
    </row>
    <row r="92" spans="2:12" ht="12.75">
      <c r="B92" s="28"/>
      <c r="L92" s="15"/>
    </row>
    <row r="93" spans="2:12" ht="12.75">
      <c r="B93" s="28"/>
      <c r="L93" s="15"/>
    </row>
    <row r="94" spans="2:12" ht="12.75">
      <c r="B94" s="28"/>
      <c r="L94" s="15"/>
    </row>
    <row r="95" spans="2:12" ht="12.75">
      <c r="B95" s="28"/>
      <c r="L95" s="15"/>
    </row>
    <row r="96" spans="2:12" ht="12.75">
      <c r="B96" s="28"/>
      <c r="L96" s="15"/>
    </row>
    <row r="97" spans="2:12" ht="12.75">
      <c r="B97" s="28"/>
      <c r="L97" s="15"/>
    </row>
    <row r="98" spans="2:12" ht="12.75">
      <c r="B98" s="28"/>
      <c r="L98" s="15"/>
    </row>
    <row r="99" spans="2:12" ht="12.75">
      <c r="B99" s="28"/>
      <c r="L99" s="15"/>
    </row>
    <row r="100" spans="2:12" ht="12.75">
      <c r="B100" s="28"/>
      <c r="L100" s="15"/>
    </row>
    <row r="101" spans="2:12" ht="12.75">
      <c r="B101" s="28"/>
      <c r="L101" s="15"/>
    </row>
    <row r="102" spans="2:12" ht="12.75">
      <c r="B102" s="28"/>
      <c r="L102" s="15"/>
    </row>
    <row r="103" spans="2:12" ht="12.75">
      <c r="B103" s="28"/>
      <c r="L103" s="15"/>
    </row>
    <row r="104" spans="2:12" ht="12.75">
      <c r="B104" s="28"/>
      <c r="L104" s="15"/>
    </row>
    <row r="105" spans="2:12" ht="12.75">
      <c r="B105" s="28"/>
      <c r="L105" s="15"/>
    </row>
    <row r="106" spans="2:12" ht="12.75">
      <c r="B106" s="28"/>
      <c r="L106" s="15"/>
    </row>
    <row r="107" spans="2:12" ht="12.75">
      <c r="B107" s="28"/>
      <c r="L107" s="15"/>
    </row>
    <row r="108" spans="2:12" ht="12.75">
      <c r="B108" s="28"/>
      <c r="L108" s="15"/>
    </row>
    <row r="109" spans="2:12" ht="12.75">
      <c r="B109" s="28"/>
      <c r="L109" s="15"/>
    </row>
    <row r="110" spans="2:12" ht="12.75">
      <c r="B110" s="28"/>
      <c r="L110" s="15"/>
    </row>
    <row r="111" spans="2:12" ht="12.75">
      <c r="B111" s="28"/>
      <c r="L111" s="15"/>
    </row>
    <row r="112" spans="2:12" ht="12.75">
      <c r="B112" s="28"/>
      <c r="L112" s="15"/>
    </row>
    <row r="113" spans="2:12" ht="12.75">
      <c r="B113" s="28"/>
      <c r="L113" s="15"/>
    </row>
    <row r="114" spans="2:12" ht="12.75">
      <c r="B114" s="28"/>
      <c r="L114" s="15"/>
    </row>
    <row r="115" spans="2:12" ht="12.75">
      <c r="B115" s="28"/>
      <c r="L115" s="15"/>
    </row>
    <row r="116" spans="2:12" ht="12.75">
      <c r="B116" s="28"/>
      <c r="L116" s="15"/>
    </row>
    <row r="117" spans="2:12" ht="12.75">
      <c r="B117" s="28"/>
      <c r="L117" s="15"/>
    </row>
    <row r="118" spans="2:12" ht="12.75">
      <c r="B118" s="28"/>
      <c r="L118" s="15"/>
    </row>
    <row r="119" spans="2:12" ht="12.75">
      <c r="B119" s="28"/>
      <c r="L119" s="15"/>
    </row>
    <row r="120" spans="2:12" ht="12.75">
      <c r="B120" s="28"/>
      <c r="L120" s="15"/>
    </row>
    <row r="121" spans="2:12" ht="12.75">
      <c r="B121" s="28"/>
      <c r="L121" s="15"/>
    </row>
    <row r="122" spans="2:12" ht="12.75">
      <c r="B122" s="28"/>
      <c r="L122" s="15"/>
    </row>
    <row r="123" spans="2:12" ht="12.75">
      <c r="B123" s="28"/>
      <c r="L123" s="15"/>
    </row>
    <row r="124" spans="2:12" ht="12.75">
      <c r="B124" s="28"/>
      <c r="L124" s="15"/>
    </row>
    <row r="125" spans="2:12" ht="12.75">
      <c r="B125" s="28"/>
      <c r="L125" s="15"/>
    </row>
    <row r="126" spans="2:12" ht="12.75">
      <c r="B126" s="28"/>
      <c r="L126" s="15"/>
    </row>
    <row r="127" spans="2:12" ht="12.75">
      <c r="B127" s="28"/>
      <c r="L127" s="15"/>
    </row>
    <row r="128" spans="2:12" ht="12.75">
      <c r="B128" s="28"/>
      <c r="L128" s="15"/>
    </row>
    <row r="129" spans="2:12" ht="12.75">
      <c r="B129" s="28"/>
      <c r="L129" s="15"/>
    </row>
    <row r="130" spans="2:12" ht="12.75">
      <c r="B130" s="28"/>
      <c r="L130" s="15"/>
    </row>
    <row r="131" spans="2:12" ht="12.75">
      <c r="B131" s="28"/>
      <c r="L131" s="15"/>
    </row>
    <row r="132" spans="2:12" ht="12.75">
      <c r="B132" s="28"/>
      <c r="L132" s="15"/>
    </row>
    <row r="133" spans="2:12" ht="12.75">
      <c r="B133" s="28"/>
      <c r="L133" s="15"/>
    </row>
    <row r="134" spans="2:12" ht="12.75">
      <c r="B134" s="28"/>
      <c r="L134" s="15"/>
    </row>
    <row r="135" spans="2:12" ht="12.75">
      <c r="B135" s="28"/>
      <c r="L135" s="15"/>
    </row>
    <row r="136" spans="2:12" ht="12.75">
      <c r="B136" s="28"/>
      <c r="L136" s="15"/>
    </row>
    <row r="137" spans="2:12" ht="12.75">
      <c r="B137" s="28"/>
      <c r="L137" s="15"/>
    </row>
    <row r="138" spans="2:12" ht="12.75">
      <c r="B138" s="28"/>
      <c r="L138" s="15"/>
    </row>
    <row r="139" spans="2:12" ht="12.75">
      <c r="B139" s="28"/>
      <c r="L139" s="15"/>
    </row>
    <row r="140" spans="2:12" ht="12.75">
      <c r="B140" s="28"/>
      <c r="L140" s="15"/>
    </row>
    <row r="141" spans="2:12" ht="12.75">
      <c r="B141" s="28"/>
      <c r="L141" s="15"/>
    </row>
    <row r="142" spans="2:12" ht="12.75">
      <c r="B142" s="28"/>
      <c r="L142" s="15"/>
    </row>
    <row r="143" spans="2:12" ht="12.75">
      <c r="B143" s="28"/>
      <c r="L143" s="15"/>
    </row>
    <row r="144" spans="2:12" ht="12.75">
      <c r="B144" s="28"/>
      <c r="L144" s="15"/>
    </row>
    <row r="145" spans="2:12" ht="12.75">
      <c r="B145" s="28"/>
      <c r="L145" s="15"/>
    </row>
    <row r="146" spans="2:12" ht="12.75">
      <c r="B146" s="28"/>
      <c r="L146" s="15"/>
    </row>
    <row r="147" spans="2:12" ht="12.75">
      <c r="B147" s="28"/>
      <c r="L147" s="15"/>
    </row>
    <row r="148" spans="2:12" ht="12.75">
      <c r="B148" s="28"/>
      <c r="L148" s="15"/>
    </row>
    <row r="149" spans="2:12" ht="12.75">
      <c r="B149" s="28"/>
      <c r="L149" s="15"/>
    </row>
    <row r="150" spans="2:12" ht="12.75">
      <c r="B150" s="28"/>
      <c r="L150" s="15"/>
    </row>
    <row r="151" spans="2:12" ht="12.75">
      <c r="B151" s="28"/>
      <c r="L151" s="15"/>
    </row>
    <row r="152" spans="2:12" ht="12.75">
      <c r="B152" s="28"/>
      <c r="L152" s="15"/>
    </row>
    <row r="153" spans="2:12" ht="12.75">
      <c r="B153" s="28"/>
      <c r="L153" s="15"/>
    </row>
    <row r="154" spans="2:12" ht="12.75">
      <c r="B154" s="28"/>
      <c r="L154" s="15"/>
    </row>
    <row r="155" spans="2:12" ht="12.75">
      <c r="B155" s="28"/>
      <c r="L155" s="15"/>
    </row>
    <row r="156" spans="2:12" ht="12.75">
      <c r="B156" s="28"/>
      <c r="L156" s="15"/>
    </row>
    <row r="157" spans="2:12" ht="12.75">
      <c r="B157" s="28"/>
      <c r="L157" s="15"/>
    </row>
    <row r="158" spans="2:12" ht="12.75">
      <c r="B158" s="28"/>
      <c r="L158" s="15"/>
    </row>
    <row r="159" spans="2:12" ht="12.75">
      <c r="B159" s="28"/>
      <c r="L159" s="15"/>
    </row>
    <row r="160" spans="2:12" ht="12.75">
      <c r="B160" s="28"/>
      <c r="L160" s="15"/>
    </row>
    <row r="161" spans="2:12" ht="12.75">
      <c r="B161" s="28"/>
      <c r="L161" s="15"/>
    </row>
    <row r="162" spans="2:12" ht="12.75">
      <c r="B162" s="28"/>
      <c r="L162" s="15"/>
    </row>
    <row r="163" spans="2:12" ht="12.75">
      <c r="B163" s="28"/>
      <c r="L163" s="15"/>
    </row>
    <row r="164" spans="2:12" ht="12.75">
      <c r="B164" s="28"/>
      <c r="L164" s="15"/>
    </row>
    <row r="165" spans="2:12" ht="12.75">
      <c r="B165" s="28"/>
      <c r="L165" s="15"/>
    </row>
    <row r="166" spans="2:12" ht="12.75">
      <c r="B166" s="28"/>
      <c r="L166" s="15"/>
    </row>
    <row r="167" spans="2:12" ht="12.75">
      <c r="B167" s="28"/>
      <c r="L167" s="15"/>
    </row>
    <row r="168" spans="2:12" ht="12.75">
      <c r="B168" s="28"/>
      <c r="L168" s="15"/>
    </row>
    <row r="169" spans="2:12" ht="12.75">
      <c r="B169" s="28"/>
      <c r="L169" s="15"/>
    </row>
    <row r="170" spans="2:12" ht="12.75">
      <c r="B170" s="28"/>
      <c r="L170" s="15"/>
    </row>
    <row r="171" spans="2:12" ht="12.75">
      <c r="B171" s="28"/>
      <c r="L171" s="15"/>
    </row>
    <row r="172" spans="2:12" ht="12.75">
      <c r="B172" s="28"/>
      <c r="L172" s="15"/>
    </row>
    <row r="173" spans="2:12" ht="12.75">
      <c r="B173" s="28"/>
      <c r="L173" s="15"/>
    </row>
    <row r="174" spans="2:12" ht="12.75">
      <c r="B174" s="28"/>
      <c r="L174" s="15"/>
    </row>
    <row r="175" spans="2:12" ht="12.75">
      <c r="B175" s="28"/>
      <c r="L175" s="15"/>
    </row>
    <row r="176" spans="2:12" ht="12.75">
      <c r="B176" s="28"/>
      <c r="L176" s="15"/>
    </row>
    <row r="177" spans="2:12" ht="12.75">
      <c r="B177" s="28"/>
      <c r="L177" s="15"/>
    </row>
    <row r="178" spans="2:12" ht="12.75">
      <c r="B178" s="28"/>
      <c r="L178" s="15"/>
    </row>
    <row r="179" spans="2:12" ht="12.75">
      <c r="B179" s="28"/>
      <c r="L179" s="15"/>
    </row>
    <row r="180" spans="2:12" ht="12.75">
      <c r="B180" s="28"/>
      <c r="L180" s="15"/>
    </row>
    <row r="181" spans="2:12" ht="12.75">
      <c r="B181" s="28"/>
      <c r="L181" s="15"/>
    </row>
    <row r="182" spans="2:12" ht="12.75">
      <c r="B182" s="28"/>
      <c r="L182" s="15"/>
    </row>
    <row r="183" spans="2:12" ht="12.75">
      <c r="B183" s="28"/>
      <c r="L183" s="15"/>
    </row>
    <row r="184" spans="2:12" ht="12.75">
      <c r="B184" s="28"/>
      <c r="L184" s="15"/>
    </row>
    <row r="185" spans="2:12" ht="12.75">
      <c r="B185" s="28"/>
      <c r="L185" s="15"/>
    </row>
    <row r="186" spans="2:12" ht="12.75">
      <c r="B186" s="28"/>
      <c r="L186" s="15"/>
    </row>
    <row r="187" spans="2:12" ht="12.75">
      <c r="B187" s="28"/>
      <c r="L187" s="15"/>
    </row>
    <row r="188" spans="2:12" ht="12.75">
      <c r="B188" s="28"/>
      <c r="L188" s="15"/>
    </row>
    <row r="189" spans="2:12" ht="12.75">
      <c r="B189" s="28"/>
      <c r="L189" s="15"/>
    </row>
    <row r="190" spans="2:12" ht="12.75">
      <c r="B190" s="28"/>
      <c r="L190" s="15"/>
    </row>
    <row r="191" spans="2:12" ht="12.75">
      <c r="B191" s="28"/>
      <c r="L191" s="15"/>
    </row>
    <row r="192" spans="2:12" ht="12.75">
      <c r="B192" s="28"/>
      <c r="L192" s="15"/>
    </row>
    <row r="193" spans="2:12" ht="12.75">
      <c r="B193" s="28"/>
      <c r="L193" s="15"/>
    </row>
    <row r="194" spans="2:12" ht="12.75">
      <c r="B194" s="28"/>
      <c r="L194" s="15"/>
    </row>
    <row r="195" spans="2:12" ht="12.75">
      <c r="B195" s="28"/>
      <c r="L195" s="15"/>
    </row>
    <row r="196" spans="2:12" ht="12.75">
      <c r="B196" s="28"/>
      <c r="L196" s="15"/>
    </row>
    <row r="197" spans="2:12" ht="12.75">
      <c r="B197" s="28"/>
      <c r="L197" s="15"/>
    </row>
    <row r="198" spans="2:12" ht="12.75">
      <c r="B198" s="28"/>
      <c r="L198" s="15"/>
    </row>
    <row r="199" spans="2:12" ht="12.75">
      <c r="B199" s="28"/>
      <c r="L199" s="15"/>
    </row>
    <row r="200" spans="2:12" ht="12.75">
      <c r="B200" s="28"/>
      <c r="L200" s="15"/>
    </row>
    <row r="201" spans="2:12" ht="12.75">
      <c r="B201" s="28"/>
      <c r="L201" s="15"/>
    </row>
    <row r="202" spans="2:12" ht="12.75">
      <c r="B202" s="28"/>
      <c r="L202" s="15"/>
    </row>
    <row r="203" spans="2:12" ht="12.75">
      <c r="B203" s="28"/>
      <c r="L203" s="15"/>
    </row>
    <row r="204" spans="2:12" ht="12.75">
      <c r="B204" s="28"/>
      <c r="L204" s="15"/>
    </row>
    <row r="205" spans="2:12" ht="12.75">
      <c r="B205" s="28"/>
      <c r="L205" s="15"/>
    </row>
    <row r="206" spans="2:12" ht="12.75">
      <c r="B206" s="28"/>
      <c r="L206" s="15"/>
    </row>
    <row r="207" spans="2:12" ht="12.75">
      <c r="B207" s="28"/>
      <c r="L207" s="15"/>
    </row>
    <row r="208" spans="2:12" ht="12.75">
      <c r="B208" s="28"/>
      <c r="L208" s="15"/>
    </row>
    <row r="209" spans="2:12" ht="12.75">
      <c r="B209" s="28"/>
      <c r="L209" s="15"/>
    </row>
    <row r="210" spans="2:12" ht="12.75">
      <c r="B210" s="28"/>
      <c r="L210" s="15"/>
    </row>
    <row r="211" spans="2:12" ht="12.75">
      <c r="B211" s="28"/>
      <c r="L211" s="15"/>
    </row>
    <row r="212" spans="2:12" ht="12.75">
      <c r="B212" s="28"/>
      <c r="L212" s="15"/>
    </row>
    <row r="213" spans="2:12" ht="12.75">
      <c r="B213" s="28"/>
      <c r="L213" s="15"/>
    </row>
    <row r="214" spans="2:12" ht="12.75">
      <c r="B214" s="28"/>
      <c r="L214" s="15"/>
    </row>
    <row r="215" spans="2:12" ht="12.75">
      <c r="B215" s="28"/>
      <c r="L215" s="15"/>
    </row>
    <row r="216" spans="2:12" ht="12.75">
      <c r="B216" s="28"/>
      <c r="L216" s="15"/>
    </row>
    <row r="217" spans="2:12" ht="12.75">
      <c r="B217" s="28"/>
      <c r="L217" s="15"/>
    </row>
    <row r="218" spans="2:12" ht="12.75">
      <c r="B218" s="28"/>
      <c r="L218" s="15"/>
    </row>
    <row r="219" spans="2:12" ht="12.75">
      <c r="B219" s="28"/>
      <c r="L219" s="15"/>
    </row>
    <row r="220" spans="2:12" ht="12.75">
      <c r="B220" s="28"/>
      <c r="L220" s="15"/>
    </row>
    <row r="221" spans="2:12" ht="12.75">
      <c r="B221" s="28"/>
      <c r="L221" s="15"/>
    </row>
    <row r="222" spans="2:12" ht="12.75">
      <c r="B222" s="28"/>
      <c r="L222" s="15"/>
    </row>
    <row r="223" spans="2:12" ht="12.75">
      <c r="B223" s="28"/>
      <c r="L223" s="15"/>
    </row>
    <row r="224" spans="2:12" ht="12.75">
      <c r="B224" s="28"/>
      <c r="L224" s="15"/>
    </row>
    <row r="225" spans="2:12" ht="12.75">
      <c r="B225" s="28"/>
      <c r="L225" s="15"/>
    </row>
    <row r="226" spans="2:12" ht="12.75">
      <c r="B226" s="28"/>
      <c r="L226" s="15"/>
    </row>
    <row r="227" spans="2:12" ht="12.75">
      <c r="B227" s="28"/>
      <c r="L227" s="15"/>
    </row>
    <row r="228" spans="2:12" ht="12.75">
      <c r="B228" s="28"/>
      <c r="L228" s="15"/>
    </row>
    <row r="229" spans="2:12" ht="12.75">
      <c r="B229" s="28"/>
      <c r="L229" s="15"/>
    </row>
    <row r="230" spans="2:12" ht="12.75">
      <c r="B230" s="28"/>
      <c r="L230" s="15"/>
    </row>
    <row r="231" spans="2:12" ht="12.75">
      <c r="B231" s="28"/>
      <c r="L231" s="15"/>
    </row>
    <row r="232" spans="2:12" ht="12.75">
      <c r="B232" s="28"/>
      <c r="L232" s="15"/>
    </row>
    <row r="233" spans="2:12" ht="12.75">
      <c r="B233" s="28"/>
      <c r="L233" s="15"/>
    </row>
    <row r="234" spans="2:12" ht="12.75">
      <c r="B234" s="28"/>
      <c r="L234" s="15"/>
    </row>
    <row r="235" spans="2:12" ht="12.75">
      <c r="B235" s="28"/>
      <c r="L235" s="15"/>
    </row>
    <row r="236" spans="2:12" ht="12.75">
      <c r="B236" s="28"/>
      <c r="L236" s="15"/>
    </row>
    <row r="237" spans="2:12" ht="12.75">
      <c r="B237" s="28"/>
      <c r="L237" s="15"/>
    </row>
    <row r="238" spans="2:12" ht="12.75">
      <c r="B238" s="28"/>
      <c r="L238" s="15"/>
    </row>
    <row r="239" spans="2:12" ht="12.75">
      <c r="B239" s="28"/>
      <c r="L239" s="15"/>
    </row>
    <row r="240" spans="2:12" ht="12.75">
      <c r="B240" s="28"/>
      <c r="L240" s="15"/>
    </row>
    <row r="241" spans="2:12" ht="12.75">
      <c r="B241" s="28"/>
      <c r="L241" s="15"/>
    </row>
    <row r="242" spans="2:12" ht="12.75">
      <c r="B242" s="28"/>
      <c r="L242" s="15"/>
    </row>
    <row r="243" spans="2:12" ht="12.75">
      <c r="B243" s="28"/>
      <c r="L243" s="15"/>
    </row>
    <row r="244" spans="2:12" ht="12.75">
      <c r="B244" s="28"/>
      <c r="L244" s="15"/>
    </row>
    <row r="245" spans="2:12" ht="12.75">
      <c r="B245" s="28"/>
      <c r="L245" s="15"/>
    </row>
    <row r="246" spans="2:12" ht="12.75">
      <c r="B246" s="28"/>
      <c r="L246" s="15"/>
    </row>
    <row r="247" spans="2:12" ht="12.75">
      <c r="B247" s="28"/>
      <c r="L247" s="15"/>
    </row>
    <row r="248" spans="2:12" ht="12.75">
      <c r="B248" s="28"/>
      <c r="L248" s="15"/>
    </row>
    <row r="249" spans="2:12" ht="12.75">
      <c r="B249" s="28"/>
      <c r="L249" s="15"/>
    </row>
    <row r="250" spans="2:12" ht="12.75">
      <c r="B250" s="28"/>
      <c r="L250" s="15"/>
    </row>
    <row r="251" spans="2:12" ht="12.75">
      <c r="B251" s="28"/>
      <c r="L251" s="15"/>
    </row>
    <row r="252" spans="2:12" ht="12.75">
      <c r="B252" s="28"/>
      <c r="L252" s="15"/>
    </row>
    <row r="253" spans="2:12" ht="12.75">
      <c r="B253" s="28"/>
      <c r="L253" s="15"/>
    </row>
    <row r="254" spans="2:12" ht="12.75">
      <c r="B254" s="28"/>
      <c r="L254" s="15"/>
    </row>
    <row r="255" spans="2:12" ht="12.75">
      <c r="B255" s="28"/>
      <c r="L255" s="15"/>
    </row>
    <row r="256" spans="2:12" ht="12.75">
      <c r="B256" s="28"/>
      <c r="L256" s="15"/>
    </row>
    <row r="257" spans="2:12" ht="12.75">
      <c r="B257" s="28"/>
      <c r="L257" s="15"/>
    </row>
    <row r="258" spans="2:12" ht="12.75">
      <c r="B258" s="28"/>
      <c r="L258" s="15"/>
    </row>
    <row r="259" spans="2:12" ht="12.75">
      <c r="B259" s="28"/>
      <c r="L259" s="15"/>
    </row>
    <row r="260" spans="2:12" ht="12.75">
      <c r="B260" s="28"/>
      <c r="L260" s="15"/>
    </row>
    <row r="261" spans="2:12" ht="12.75">
      <c r="B261" s="28"/>
      <c r="L261" s="15"/>
    </row>
    <row r="262" spans="2:12" ht="12.75">
      <c r="B262" s="28"/>
      <c r="L262" s="15"/>
    </row>
    <row r="263" spans="2:12" ht="12.75">
      <c r="B263" s="28"/>
      <c r="L263" s="15"/>
    </row>
    <row r="264" spans="2:12" ht="12.75">
      <c r="B264" s="28"/>
      <c r="L264" s="15"/>
    </row>
    <row r="265" spans="2:12" ht="12.75">
      <c r="B265" s="28"/>
      <c r="L265" s="15"/>
    </row>
    <row r="266" spans="2:12" ht="12.75">
      <c r="B266" s="28"/>
      <c r="L266" s="15"/>
    </row>
    <row r="267" spans="2:12" ht="12.75">
      <c r="B267" s="28"/>
      <c r="L267" s="15"/>
    </row>
    <row r="268" spans="2:12" ht="12.75">
      <c r="B268" s="28"/>
      <c r="L268" s="15"/>
    </row>
    <row r="269" spans="2:12" ht="12.75">
      <c r="B269" s="28"/>
      <c r="L269" s="15"/>
    </row>
    <row r="270" spans="2:12" ht="12.75">
      <c r="B270" s="28"/>
      <c r="L270" s="15"/>
    </row>
    <row r="271" spans="2:12" ht="12.75">
      <c r="B271" s="28"/>
      <c r="L271" s="15"/>
    </row>
    <row r="272" spans="2:12" ht="12.75">
      <c r="B272" s="28"/>
      <c r="L272" s="15"/>
    </row>
    <row r="273" spans="2:12" ht="12.75">
      <c r="B273" s="28"/>
      <c r="L273" s="15"/>
    </row>
    <row r="274" spans="2:12" ht="12.75">
      <c r="B274" s="28"/>
      <c r="L274" s="15"/>
    </row>
    <row r="275" spans="2:12" ht="12.75">
      <c r="B275" s="28"/>
      <c r="L275" s="15"/>
    </row>
    <row r="276" spans="2:12" ht="12.75">
      <c r="B276" s="28"/>
      <c r="L276" s="15"/>
    </row>
    <row r="277" spans="2:12" ht="12.75">
      <c r="B277" s="28"/>
      <c r="L277" s="15"/>
    </row>
    <row r="278" spans="2:12" ht="12.75">
      <c r="B278" s="28"/>
      <c r="L278" s="15"/>
    </row>
    <row r="279" spans="2:12" ht="12.75">
      <c r="B279" s="28"/>
      <c r="L279" s="15"/>
    </row>
    <row r="280" spans="2:12" ht="12.75">
      <c r="B280" s="28"/>
      <c r="L280" s="15"/>
    </row>
    <row r="281" spans="2:12" ht="12.75">
      <c r="B281" s="28"/>
      <c r="L281" s="15"/>
    </row>
    <row r="282" spans="2:12" ht="12.75">
      <c r="B282" s="28"/>
      <c r="L282" s="15"/>
    </row>
    <row r="283" spans="2:12" ht="12.75">
      <c r="B283" s="28"/>
      <c r="L283" s="15"/>
    </row>
    <row r="284" spans="2:12" ht="12.75">
      <c r="B284" s="28"/>
      <c r="L284" s="15"/>
    </row>
    <row r="285" spans="2:12" ht="12.75">
      <c r="B285" s="28"/>
      <c r="L285" s="15"/>
    </row>
    <row r="286" spans="2:12" ht="12.75">
      <c r="B286" s="28"/>
      <c r="L286" s="15"/>
    </row>
    <row r="287" spans="2:12" ht="12.75">
      <c r="B287" s="28"/>
      <c r="L287" s="15"/>
    </row>
    <row r="288" spans="2:12" ht="12.75">
      <c r="B288" s="28"/>
      <c r="L288" s="15"/>
    </row>
    <row r="289" spans="2:12" ht="12.75">
      <c r="B289" s="28"/>
      <c r="L289" s="15"/>
    </row>
    <row r="290" spans="2:12" ht="12.75">
      <c r="B290" s="28"/>
      <c r="L290" s="15"/>
    </row>
    <row r="291" spans="2:12" ht="12.75">
      <c r="B291" s="28"/>
      <c r="L291" s="15"/>
    </row>
    <row r="292" spans="2:12" ht="12.75">
      <c r="B292" s="28"/>
      <c r="L292" s="15"/>
    </row>
    <row r="293" spans="2:12" ht="12.75">
      <c r="B293" s="28"/>
      <c r="L293" s="15"/>
    </row>
    <row r="294" spans="2:12" ht="12.75">
      <c r="B294" s="28"/>
      <c r="L294" s="15"/>
    </row>
    <row r="295" spans="2:12" ht="12.75">
      <c r="B295" s="28"/>
      <c r="L295" s="15"/>
    </row>
    <row r="296" spans="2:12" ht="12.75">
      <c r="B296" s="28"/>
      <c r="L296" s="15"/>
    </row>
    <row r="297" spans="2:12" ht="12.75">
      <c r="B297" s="28"/>
      <c r="L297" s="15"/>
    </row>
    <row r="298" spans="2:12" ht="12.75">
      <c r="B298" s="28"/>
      <c r="L298" s="15"/>
    </row>
    <row r="299" spans="2:12" ht="12.75">
      <c r="B299" s="28"/>
      <c r="L299" s="15"/>
    </row>
    <row r="300" spans="2:12" ht="12.75">
      <c r="B300" s="28"/>
      <c r="L300" s="15"/>
    </row>
    <row r="301" spans="2:12" ht="12.75">
      <c r="B301" s="28"/>
      <c r="L301" s="15"/>
    </row>
    <row r="302" spans="2:12" ht="12.75">
      <c r="B302" s="28"/>
      <c r="L302" s="15"/>
    </row>
    <row r="303" spans="2:12" ht="12.75">
      <c r="B303" s="28"/>
      <c r="L303" s="15"/>
    </row>
    <row r="304" spans="2:12" ht="12.75">
      <c r="B304" s="28"/>
      <c r="L304" s="15"/>
    </row>
    <row r="305" spans="2:12" ht="12.75">
      <c r="B305" s="28"/>
      <c r="L305" s="15"/>
    </row>
    <row r="306" spans="2:12" ht="12.75">
      <c r="B306" s="28"/>
      <c r="L306" s="15"/>
    </row>
    <row r="307" spans="2:12" ht="12.75">
      <c r="B307" s="28"/>
      <c r="L307" s="15"/>
    </row>
    <row r="308" spans="2:12" ht="12.75">
      <c r="B308" s="28"/>
      <c r="L308" s="15"/>
    </row>
    <row r="309" spans="2:12" ht="12.75">
      <c r="B309" s="28"/>
      <c r="L309" s="15"/>
    </row>
    <row r="310" spans="2:12" ht="12.75">
      <c r="B310" s="28"/>
      <c r="L310" s="15"/>
    </row>
    <row r="311" spans="2:12" ht="12.75">
      <c r="B311" s="28"/>
      <c r="L311" s="15"/>
    </row>
    <row r="312" spans="2:12" ht="12.75">
      <c r="B312" s="28"/>
      <c r="L312" s="15"/>
    </row>
    <row r="313" spans="2:12" ht="12.75">
      <c r="B313" s="28"/>
      <c r="L313" s="15"/>
    </row>
    <row r="314" spans="2:12" ht="12.75">
      <c r="B314" s="28"/>
      <c r="L314" s="15"/>
    </row>
    <row r="315" spans="2:12" ht="12.75">
      <c r="B315" s="28"/>
      <c r="L315" s="15"/>
    </row>
    <row r="316" spans="2:12" ht="12.75">
      <c r="B316" s="28"/>
      <c r="L316" s="15"/>
    </row>
    <row r="317" spans="2:12" ht="12.75">
      <c r="B317" s="28"/>
      <c r="L317" s="15"/>
    </row>
    <row r="318" spans="2:12" ht="12.75">
      <c r="B318" s="28"/>
      <c r="L318" s="15"/>
    </row>
    <row r="319" spans="2:12" ht="12.75">
      <c r="B319" s="28"/>
      <c r="L319" s="15"/>
    </row>
    <row r="320" spans="2:12" ht="12.75">
      <c r="B320" s="28"/>
      <c r="L320" s="15"/>
    </row>
    <row r="321" spans="2:12" ht="12.75">
      <c r="B321" s="28"/>
      <c r="L321" s="15"/>
    </row>
    <row r="322" spans="2:12" ht="12.75">
      <c r="B322" s="28"/>
      <c r="L322" s="15"/>
    </row>
    <row r="323" spans="2:12" ht="12.75">
      <c r="B323" s="28"/>
      <c r="L323" s="15"/>
    </row>
    <row r="324" spans="2:12" ht="12.75">
      <c r="B324" s="28"/>
      <c r="L324" s="15"/>
    </row>
    <row r="325" spans="2:12" ht="12.75">
      <c r="B325" s="28"/>
      <c r="L325" s="15"/>
    </row>
    <row r="326" spans="2:12" ht="12.75">
      <c r="B326" s="28"/>
      <c r="L326" s="15"/>
    </row>
    <row r="327" spans="2:12" ht="12.75">
      <c r="B327" s="28"/>
      <c r="L327" s="15"/>
    </row>
    <row r="328" spans="2:12" ht="12.75">
      <c r="B328" s="28"/>
      <c r="L328" s="15"/>
    </row>
    <row r="329" spans="2:12" ht="12.75">
      <c r="B329" s="28"/>
      <c r="L329" s="15"/>
    </row>
    <row r="330" spans="2:12" ht="12.75">
      <c r="B330" s="28"/>
      <c r="L330" s="15"/>
    </row>
    <row r="331" spans="2:12" ht="12.75">
      <c r="B331" s="28"/>
      <c r="L331" s="15"/>
    </row>
    <row r="332" spans="2:12" ht="12.75">
      <c r="B332" s="28"/>
      <c r="L332" s="15"/>
    </row>
    <row r="333" spans="2:12" ht="12.75">
      <c r="B333" s="28"/>
      <c r="L333" s="15"/>
    </row>
    <row r="334" spans="2:12" ht="12.75">
      <c r="B334" s="28"/>
      <c r="L334" s="15"/>
    </row>
    <row r="335" spans="2:12" ht="12.75">
      <c r="B335" s="28"/>
      <c r="L335" s="15"/>
    </row>
    <row r="336" spans="2:12" ht="12.75">
      <c r="B336" s="28"/>
      <c r="L336" s="15"/>
    </row>
    <row r="337" spans="2:12" ht="12.75">
      <c r="B337" s="28"/>
      <c r="L337" s="15"/>
    </row>
    <row r="338" spans="2:12" ht="12.75">
      <c r="B338" s="28"/>
      <c r="L338" s="15"/>
    </row>
    <row r="339" spans="2:12" ht="12.75">
      <c r="B339" s="28"/>
      <c r="L339" s="15"/>
    </row>
    <row r="340" spans="2:12" ht="12.75">
      <c r="B340" s="28"/>
      <c r="L340" s="15"/>
    </row>
    <row r="341" spans="2:12" ht="12.75">
      <c r="B341" s="28"/>
      <c r="L341" s="15"/>
    </row>
    <row r="342" spans="2:12" ht="12.75">
      <c r="B342" s="28"/>
      <c r="L342" s="15"/>
    </row>
    <row r="343" spans="2:12" ht="12.75">
      <c r="B343" s="28"/>
      <c r="L343" s="15"/>
    </row>
    <row r="344" spans="2:12" ht="12.75">
      <c r="B344" s="28"/>
      <c r="L344" s="15"/>
    </row>
    <row r="345" spans="2:12" ht="12.75">
      <c r="B345" s="28"/>
      <c r="L345" s="15"/>
    </row>
    <row r="346" spans="2:12" ht="12.75">
      <c r="B346" s="28"/>
      <c r="L346" s="15"/>
    </row>
    <row r="347" spans="2:12" ht="12.75">
      <c r="B347" s="28"/>
      <c r="L347" s="15"/>
    </row>
    <row r="348" spans="2:12" ht="12.75">
      <c r="B348" s="28"/>
      <c r="L348" s="15"/>
    </row>
    <row r="349" spans="2:12" ht="12.75">
      <c r="B349" s="28"/>
      <c r="L349" s="15"/>
    </row>
    <row r="350" spans="2:12" ht="12.75">
      <c r="B350" s="28"/>
      <c r="L350" s="15"/>
    </row>
    <row r="351" spans="2:12" ht="12.75">
      <c r="B351" s="28"/>
      <c r="L351" s="15"/>
    </row>
    <row r="352" spans="2:12" ht="12.75">
      <c r="B352" s="28"/>
      <c r="L352" s="15"/>
    </row>
    <row r="353" spans="2:12" ht="12.75">
      <c r="B353" s="28"/>
      <c r="L353" s="15"/>
    </row>
    <row r="354" spans="2:12" ht="12.75">
      <c r="B354" s="28"/>
      <c r="L354" s="15"/>
    </row>
    <row r="355" spans="2:12" ht="12.75">
      <c r="B355" s="28"/>
      <c r="L355" s="15"/>
    </row>
    <row r="356" spans="2:12" ht="12.75">
      <c r="B356" s="28"/>
      <c r="L356" s="15"/>
    </row>
    <row r="357" spans="2:12" ht="12.75">
      <c r="B357" s="28"/>
      <c r="L357" s="15"/>
    </row>
    <row r="358" spans="2:12" ht="12.75">
      <c r="B358" s="28"/>
      <c r="L358" s="15"/>
    </row>
    <row r="359" spans="2:12" ht="12.75">
      <c r="B359" s="28"/>
      <c r="L359" s="15"/>
    </row>
    <row r="360" spans="2:12" ht="12.75">
      <c r="B360" s="28"/>
      <c r="L360" s="15"/>
    </row>
    <row r="361" spans="2:12" ht="12.75">
      <c r="B361" s="28"/>
      <c r="L361" s="15"/>
    </row>
    <row r="362" spans="2:12" ht="12.75">
      <c r="B362" s="28"/>
      <c r="L362" s="15"/>
    </row>
    <row r="363" spans="2:12" ht="12.75">
      <c r="B363" s="28"/>
      <c r="L363" s="15"/>
    </row>
    <row r="364" spans="2:12" ht="12.75">
      <c r="B364" s="28"/>
      <c r="L364" s="15"/>
    </row>
    <row r="365" spans="2:12" ht="12.75">
      <c r="B365" s="28"/>
      <c r="L365" s="15"/>
    </row>
    <row r="366" spans="2:12" ht="12.75">
      <c r="B366" s="28"/>
      <c r="L366" s="15"/>
    </row>
    <row r="367" spans="2:12" ht="12.75">
      <c r="B367" s="28"/>
      <c r="L367" s="15"/>
    </row>
    <row r="368" spans="2:12" ht="12.75">
      <c r="B368" s="28"/>
      <c r="L368" s="15"/>
    </row>
    <row r="369" spans="2:12" ht="12.75">
      <c r="B369" s="28"/>
      <c r="L369" s="15"/>
    </row>
    <row r="370" spans="2:12" ht="12.75">
      <c r="B370" s="28"/>
      <c r="L370" s="15"/>
    </row>
    <row r="371" spans="2:12" ht="12.75">
      <c r="B371" s="28"/>
      <c r="L371" s="15"/>
    </row>
    <row r="372" spans="2:12" ht="12.75">
      <c r="B372" s="28"/>
      <c r="L372" s="15"/>
    </row>
    <row r="373" spans="2:12" ht="12.75">
      <c r="B373" s="28"/>
      <c r="L373" s="15"/>
    </row>
    <row r="374" spans="2:12" ht="12.75">
      <c r="B374" s="28"/>
      <c r="L374" s="15"/>
    </row>
    <row r="375" spans="2:12" ht="12.75">
      <c r="B375" s="28"/>
      <c r="L375" s="15"/>
    </row>
    <row r="376" spans="2:12" ht="12.75">
      <c r="B376" s="28"/>
      <c r="L376" s="15"/>
    </row>
    <row r="377" spans="2:12" ht="12.75">
      <c r="B377" s="28"/>
      <c r="L377" s="15"/>
    </row>
    <row r="378" spans="2:12" ht="12.75">
      <c r="B378" s="28"/>
      <c r="L378" s="15"/>
    </row>
    <row r="379" spans="2:12" ht="12.75">
      <c r="B379" s="28"/>
      <c r="L379" s="15"/>
    </row>
    <row r="380" spans="2:12" ht="12.75">
      <c r="B380" s="28"/>
      <c r="L380" s="15"/>
    </row>
    <row r="381" spans="2:12" ht="12.75">
      <c r="B381" s="28"/>
      <c r="L381" s="15"/>
    </row>
    <row r="382" spans="2:12" ht="12.75">
      <c r="B382" s="28"/>
      <c r="L382" s="15"/>
    </row>
    <row r="383" spans="2:12" ht="12.75">
      <c r="B383" s="28"/>
      <c r="L383" s="15"/>
    </row>
    <row r="384" spans="2:12" ht="12.75">
      <c r="B384" s="28"/>
      <c r="L384" s="15"/>
    </row>
    <row r="385" spans="2:12" ht="12.75">
      <c r="B385" s="28"/>
      <c r="L385" s="15"/>
    </row>
    <row r="386" spans="2:12" ht="12.75">
      <c r="B386" s="28"/>
      <c r="L386" s="15"/>
    </row>
    <row r="387" spans="2:12" ht="12.75">
      <c r="B387" s="28"/>
      <c r="L387" s="15"/>
    </row>
    <row r="388" spans="2:12" ht="12.75">
      <c r="B388" s="28"/>
      <c r="L388" s="15"/>
    </row>
    <row r="389" spans="2:12" ht="12.75">
      <c r="B389" s="28"/>
      <c r="L389" s="15"/>
    </row>
    <row r="390" spans="2:12" ht="12.75">
      <c r="B390" s="28"/>
      <c r="L390" s="15"/>
    </row>
    <row r="391" spans="2:12" ht="12.75">
      <c r="B391" s="28"/>
      <c r="L391" s="15"/>
    </row>
    <row r="392" spans="2:12" ht="12.75">
      <c r="B392" s="28"/>
      <c r="L392" s="15"/>
    </row>
    <row r="393" spans="2:12" ht="12.75">
      <c r="B393" s="28"/>
      <c r="L393" s="15"/>
    </row>
    <row r="394" spans="2:12" ht="12.75">
      <c r="B394" s="28"/>
      <c r="L394" s="15"/>
    </row>
    <row r="395" spans="2:12" ht="12.75">
      <c r="B395" s="28"/>
      <c r="L395" s="15"/>
    </row>
    <row r="396" spans="2:12" ht="12.75">
      <c r="B396" s="28"/>
      <c r="L396" s="15"/>
    </row>
    <row r="397" spans="2:12" ht="12.75">
      <c r="B397" s="28"/>
      <c r="L397" s="15"/>
    </row>
    <row r="398" spans="2:12" ht="12.75">
      <c r="B398" s="28"/>
      <c r="L398" s="15"/>
    </row>
    <row r="399" spans="2:12" ht="12.75">
      <c r="B399" s="28"/>
      <c r="L399" s="15"/>
    </row>
    <row r="400" spans="2:12" ht="12.75">
      <c r="B400" s="28"/>
      <c r="L400" s="15"/>
    </row>
    <row r="401" spans="2:12" ht="12.75">
      <c r="B401" s="28"/>
      <c r="L401" s="15"/>
    </row>
    <row r="402" spans="2:12" ht="12.75">
      <c r="B402" s="28"/>
      <c r="L402" s="15"/>
    </row>
    <row r="403" spans="2:12" ht="12.75">
      <c r="B403" s="28"/>
      <c r="L403" s="15"/>
    </row>
    <row r="404" spans="2:12" ht="12.75">
      <c r="B404" s="28"/>
      <c r="L404" s="15"/>
    </row>
    <row r="405" spans="2:12" ht="12.75">
      <c r="B405" s="28"/>
      <c r="L405" s="15"/>
    </row>
    <row r="406" spans="2:12" ht="12.75">
      <c r="B406" s="28"/>
      <c r="L406" s="15"/>
    </row>
    <row r="407" spans="2:12" ht="12.75">
      <c r="B407" s="28"/>
      <c r="L407" s="15"/>
    </row>
    <row r="408" spans="2:12" ht="12.75">
      <c r="B408" s="28"/>
      <c r="L408" s="15"/>
    </row>
    <row r="409" spans="2:12" ht="12.75">
      <c r="B409" s="28"/>
      <c r="L409" s="15"/>
    </row>
    <row r="410" spans="2:12" ht="12.75">
      <c r="B410" s="28"/>
      <c r="L410" s="15"/>
    </row>
    <row r="411" spans="2:12" ht="12.75">
      <c r="B411" s="28"/>
      <c r="L411" s="15"/>
    </row>
    <row r="412" spans="2:12" ht="12.75">
      <c r="B412" s="28"/>
      <c r="L412" s="15"/>
    </row>
    <row r="413" spans="2:12" ht="12.75">
      <c r="B413" s="28"/>
      <c r="L413" s="15"/>
    </row>
    <row r="414" spans="2:12" ht="12.75">
      <c r="B414" s="28"/>
      <c r="L414" s="15"/>
    </row>
    <row r="415" spans="2:12" ht="12.75">
      <c r="B415" s="28"/>
      <c r="L415" s="15"/>
    </row>
    <row r="416" spans="2:12" ht="12.75">
      <c r="B416" s="28"/>
      <c r="L416" s="15"/>
    </row>
    <row r="417" spans="2:12" ht="12.75">
      <c r="B417" s="28"/>
      <c r="L417" s="15"/>
    </row>
    <row r="418" spans="2:12" ht="12.75">
      <c r="B418" s="28"/>
      <c r="L418" s="15"/>
    </row>
    <row r="419" spans="2:12" ht="12.75">
      <c r="B419" s="28"/>
      <c r="L419" s="15"/>
    </row>
    <row r="420" spans="2:12" ht="12.75">
      <c r="B420" s="28"/>
      <c r="L420" s="15"/>
    </row>
    <row r="421" spans="2:12" ht="12.75">
      <c r="B421" s="28"/>
      <c r="L421" s="15"/>
    </row>
    <row r="422" spans="2:12" ht="12.75">
      <c r="B422" s="28"/>
      <c r="L422" s="15"/>
    </row>
    <row r="423" spans="2:12" ht="12.75">
      <c r="B423" s="28"/>
      <c r="L423" s="15"/>
    </row>
    <row r="424" spans="2:12" ht="12.75">
      <c r="B424" s="28"/>
      <c r="L424" s="15"/>
    </row>
    <row r="425" spans="2:12" ht="12.75">
      <c r="B425" s="28"/>
      <c r="L425" s="15"/>
    </row>
    <row r="426" spans="2:12" ht="12.75">
      <c r="B426" s="28"/>
      <c r="L426" s="15"/>
    </row>
    <row r="427" spans="2:12" ht="12.75">
      <c r="B427" s="28"/>
      <c r="L427" s="15"/>
    </row>
    <row r="428" spans="2:12" ht="12.75">
      <c r="B428" s="28"/>
      <c r="L428" s="15"/>
    </row>
    <row r="429" spans="2:12" ht="12.75">
      <c r="B429" s="28"/>
      <c r="L429" s="15"/>
    </row>
    <row r="430" spans="2:12" ht="12.75">
      <c r="B430" s="28"/>
      <c r="L430" s="15"/>
    </row>
    <row r="431" spans="2:12" ht="12.75">
      <c r="B431" s="28"/>
      <c r="L431" s="15"/>
    </row>
    <row r="432" spans="2:12" ht="12.75">
      <c r="B432" s="28"/>
      <c r="L432" s="15"/>
    </row>
    <row r="433" spans="2:12" ht="12.75">
      <c r="B433" s="28"/>
      <c r="L433" s="15"/>
    </row>
    <row r="434" spans="2:12" ht="12.75">
      <c r="B434" s="28"/>
      <c r="L434" s="15"/>
    </row>
    <row r="435" spans="2:12" ht="12.75">
      <c r="B435" s="28"/>
      <c r="L435" s="15"/>
    </row>
    <row r="436" spans="2:12" ht="12.75">
      <c r="B436" s="28"/>
      <c r="L436" s="15"/>
    </row>
    <row r="437" spans="2:12" ht="12.75">
      <c r="B437" s="28"/>
      <c r="L437" s="15"/>
    </row>
    <row r="438" spans="2:12" ht="12.75">
      <c r="B438" s="28"/>
      <c r="L438" s="15"/>
    </row>
    <row r="439" spans="2:12" ht="12.75">
      <c r="B439" s="28"/>
      <c r="L439" s="15"/>
    </row>
    <row r="440" spans="2:12" ht="12.75">
      <c r="B440" s="28"/>
      <c r="L440" s="15"/>
    </row>
    <row r="441" spans="2:12" ht="12.75">
      <c r="B441" s="28"/>
      <c r="L441" s="15"/>
    </row>
    <row r="442" spans="2:12" ht="12.75">
      <c r="B442" s="28"/>
      <c r="L442" s="15"/>
    </row>
    <row r="443" spans="2:12" ht="12.75">
      <c r="B443" s="28"/>
      <c r="L443" s="15"/>
    </row>
    <row r="444" spans="2:12" ht="12.75">
      <c r="B444" s="28"/>
      <c r="L444" s="15"/>
    </row>
    <row r="445" spans="2:12" ht="12.75">
      <c r="B445" s="28"/>
      <c r="L445" s="15"/>
    </row>
    <row r="446" spans="2:12" ht="12.75">
      <c r="B446" s="28"/>
      <c r="L446" s="15"/>
    </row>
    <row r="447" spans="2:12" ht="12.75">
      <c r="B447" s="28"/>
      <c r="L447" s="15"/>
    </row>
    <row r="448" spans="2:12" ht="12.75">
      <c r="B448" s="28"/>
      <c r="L448" s="15"/>
    </row>
    <row r="449" spans="2:12" ht="12.75">
      <c r="B449" s="28"/>
      <c r="L449" s="15"/>
    </row>
    <row r="450" spans="2:12" ht="12.75">
      <c r="B450" s="28"/>
      <c r="L450" s="15"/>
    </row>
    <row r="451" spans="2:12" ht="12.75">
      <c r="B451" s="28"/>
      <c r="L451" s="15"/>
    </row>
    <row r="452" spans="2:12" ht="12.75">
      <c r="B452" s="28"/>
      <c r="L452" s="15"/>
    </row>
    <row r="453" spans="2:12" ht="12.75">
      <c r="B453" s="28"/>
      <c r="L453" s="15"/>
    </row>
    <row r="454" spans="2:12" ht="12.75">
      <c r="B454" s="28"/>
      <c r="L454" s="15"/>
    </row>
    <row r="455" spans="2:12" ht="12.75">
      <c r="B455" s="28"/>
      <c r="L455" s="15"/>
    </row>
    <row r="456" spans="2:12" ht="12.75">
      <c r="B456" s="28"/>
      <c r="L456" s="15"/>
    </row>
    <row r="457" spans="2:12" ht="12.75">
      <c r="B457" s="28"/>
      <c r="L457" s="15"/>
    </row>
    <row r="458" spans="2:12" ht="12.75">
      <c r="B458" s="28"/>
      <c r="L458" s="15"/>
    </row>
    <row r="459" spans="2:12" ht="12.75">
      <c r="B459" s="28"/>
      <c r="L459" s="15"/>
    </row>
    <row r="460" spans="2:12" ht="12.75">
      <c r="B460" s="28"/>
      <c r="L460" s="15"/>
    </row>
    <row r="461" spans="2:12" ht="12.75">
      <c r="B461" s="28"/>
      <c r="L461" s="15"/>
    </row>
    <row r="462" spans="2:12" ht="12.75">
      <c r="B462" s="28"/>
      <c r="L462" s="15"/>
    </row>
    <row r="463" spans="2:12" ht="12.75">
      <c r="B463" s="28"/>
      <c r="L463" s="15"/>
    </row>
    <row r="464" spans="2:12" ht="12.75">
      <c r="B464" s="28"/>
      <c r="L464" s="15"/>
    </row>
    <row r="465" spans="2:12" ht="12.75">
      <c r="B465" s="28"/>
      <c r="L465" s="15"/>
    </row>
    <row r="466" spans="2:12" ht="12.75">
      <c r="B466" s="28"/>
      <c r="L466" s="15"/>
    </row>
    <row r="467" spans="2:12" ht="12.75">
      <c r="B467" s="28"/>
      <c r="L467" s="15"/>
    </row>
    <row r="468" spans="2:12" ht="12.75">
      <c r="B468" s="28"/>
      <c r="L468" s="15"/>
    </row>
    <row r="469" spans="2:12" ht="12.75">
      <c r="B469" s="28"/>
      <c r="L469" s="15"/>
    </row>
    <row r="470" spans="2:12" ht="12.75">
      <c r="B470" s="28"/>
      <c r="L470" s="15"/>
    </row>
    <row r="471" spans="2:12" ht="12.75">
      <c r="B471" s="28"/>
      <c r="L471" s="15"/>
    </row>
    <row r="472" spans="2:12" ht="12.75">
      <c r="B472" s="28"/>
      <c r="L472" s="15"/>
    </row>
    <row r="473" spans="2:12" ht="12.75">
      <c r="B473" s="28"/>
      <c r="L473" s="15"/>
    </row>
    <row r="474" spans="2:12" ht="12.75">
      <c r="B474" s="28"/>
      <c r="L474" s="15"/>
    </row>
    <row r="475" spans="2:12" ht="12.75">
      <c r="B475" s="28"/>
      <c r="L475" s="15"/>
    </row>
    <row r="476" spans="2:12" ht="12.75">
      <c r="B476" s="28"/>
      <c r="L476" s="15"/>
    </row>
    <row r="477" spans="2:12" ht="12.75">
      <c r="B477" s="28"/>
      <c r="L477" s="15"/>
    </row>
    <row r="478" spans="2:12" ht="12.75">
      <c r="B478" s="28"/>
      <c r="L478" s="15"/>
    </row>
    <row r="479" spans="2:12" ht="12.75">
      <c r="B479" s="28"/>
      <c r="L479" s="15"/>
    </row>
    <row r="480" spans="2:12" ht="12.75">
      <c r="B480" s="28"/>
      <c r="L480" s="15"/>
    </row>
    <row r="481" spans="2:12" ht="12.75">
      <c r="B481" s="28"/>
      <c r="L481" s="15"/>
    </row>
    <row r="482" spans="2:12" ht="12.75">
      <c r="B482" s="28"/>
      <c r="L482" s="15"/>
    </row>
    <row r="483" spans="2:12" ht="12.75">
      <c r="B483" s="28"/>
      <c r="L483" s="15"/>
    </row>
    <row r="484" spans="2:12" ht="12.75">
      <c r="B484" s="28"/>
      <c r="L484" s="15"/>
    </row>
    <row r="485" spans="2:12" ht="12.75">
      <c r="B485" s="28"/>
      <c r="L485" s="15"/>
    </row>
    <row r="486" spans="2:12" ht="12.75">
      <c r="B486" s="28"/>
      <c r="L486" s="15"/>
    </row>
    <row r="487" spans="2:12" ht="12.75">
      <c r="B487" s="28"/>
      <c r="L487" s="15"/>
    </row>
    <row r="488" spans="2:12" ht="12.75">
      <c r="B488" s="28"/>
      <c r="L488" s="15"/>
    </row>
    <row r="489" spans="2:12" ht="12.75">
      <c r="B489" s="28"/>
      <c r="L489" s="15"/>
    </row>
    <row r="490" spans="2:12" ht="12.75">
      <c r="B490" s="28"/>
      <c r="L490" s="15"/>
    </row>
    <row r="491" spans="2:12" ht="12.75">
      <c r="B491" s="28"/>
      <c r="L491" s="15"/>
    </row>
    <row r="492" spans="2:12" ht="12.75">
      <c r="B492" s="28"/>
      <c r="L492" s="15"/>
    </row>
    <row r="493" spans="2:12" ht="12.75">
      <c r="B493" s="28"/>
      <c r="L493" s="15"/>
    </row>
    <row r="494" spans="2:12" ht="12.75">
      <c r="B494" s="28"/>
      <c r="L494" s="15"/>
    </row>
    <row r="495" spans="2:12" ht="12.75">
      <c r="B495" s="28"/>
      <c r="L495" s="15"/>
    </row>
    <row r="496" spans="2:12" ht="12.75">
      <c r="B496" s="28"/>
      <c r="L496" s="15"/>
    </row>
    <row r="497" spans="2:12" ht="12.75">
      <c r="B497" s="28"/>
      <c r="L497" s="15"/>
    </row>
    <row r="498" spans="2:12" ht="12.75">
      <c r="B498" s="28"/>
      <c r="L498" s="15"/>
    </row>
    <row r="499" spans="2:12" ht="12.75">
      <c r="B499" s="28"/>
      <c r="L499" s="15"/>
    </row>
    <row r="500" spans="2:12" ht="12.75">
      <c r="B500" s="28"/>
      <c r="L500" s="15"/>
    </row>
    <row r="501" spans="2:12" ht="12.75">
      <c r="B501" s="28"/>
      <c r="L501" s="15"/>
    </row>
    <row r="502" spans="2:12" ht="12.75">
      <c r="B502" s="28"/>
      <c r="L502" s="15"/>
    </row>
    <row r="503" spans="2:12" ht="12.75">
      <c r="B503" s="28"/>
      <c r="L503" s="15"/>
    </row>
    <row r="504" spans="2:12" ht="12.75">
      <c r="B504" s="28"/>
      <c r="L504" s="15"/>
    </row>
    <row r="505" spans="2:12" ht="12.75">
      <c r="B505" s="28"/>
      <c r="L505" s="15"/>
    </row>
    <row r="506" spans="2:12" ht="12.75">
      <c r="B506" s="28"/>
      <c r="L506" s="15"/>
    </row>
    <row r="507" spans="2:12" ht="12.75">
      <c r="B507" s="28"/>
      <c r="L507" s="15"/>
    </row>
    <row r="508" spans="2:12" ht="12.75">
      <c r="B508" s="28"/>
      <c r="L508" s="15"/>
    </row>
    <row r="509" spans="2:12" ht="12.75">
      <c r="B509" s="28"/>
      <c r="L509" s="15"/>
    </row>
    <row r="510" spans="2:12" ht="12.75">
      <c r="B510" s="28"/>
      <c r="L510" s="15"/>
    </row>
    <row r="511" spans="2:12" ht="12.75">
      <c r="B511" s="28"/>
      <c r="L511" s="15"/>
    </row>
    <row r="512" spans="2:12" ht="12.75">
      <c r="B512" s="28"/>
      <c r="L512" s="15"/>
    </row>
    <row r="513" spans="2:12" ht="12.75">
      <c r="B513" s="28"/>
      <c r="L513" s="15"/>
    </row>
    <row r="514" spans="2:12" ht="12.75">
      <c r="B514" s="28"/>
      <c r="L514" s="15"/>
    </row>
    <row r="515" spans="2:12" ht="12.75">
      <c r="B515" s="28"/>
      <c r="L515" s="15"/>
    </row>
    <row r="516" spans="2:12" ht="12.75">
      <c r="B516" s="28"/>
      <c r="L516" s="15"/>
    </row>
    <row r="517" spans="2:12" ht="12.75">
      <c r="B517" s="28"/>
      <c r="L517" s="15"/>
    </row>
    <row r="518" spans="2:12" ht="12.75">
      <c r="B518" s="28"/>
      <c r="L518" s="15"/>
    </row>
    <row r="519" spans="2:12" ht="12.75">
      <c r="B519" s="28"/>
      <c r="L519" s="15"/>
    </row>
    <row r="520" spans="2:12" ht="12.75">
      <c r="B520" s="28"/>
      <c r="L520" s="15"/>
    </row>
    <row r="521" spans="2:12" ht="12.75">
      <c r="B521" s="28"/>
      <c r="L521" s="15"/>
    </row>
    <row r="522" spans="2:12" ht="12.75">
      <c r="B522" s="28"/>
      <c r="L522" s="15"/>
    </row>
    <row r="523" spans="2:12" ht="12.75">
      <c r="B523" s="28"/>
      <c r="L523" s="15"/>
    </row>
    <row r="524" spans="2:12" ht="12.75">
      <c r="B524" s="28"/>
      <c r="L524" s="15"/>
    </row>
    <row r="525" spans="2:12" ht="12.75">
      <c r="B525" s="28"/>
      <c r="L525" s="15"/>
    </row>
    <row r="526" spans="2:12" ht="12.75">
      <c r="B526" s="28"/>
      <c r="L526" s="15"/>
    </row>
    <row r="527" spans="2:12" ht="12.75">
      <c r="B527" s="28"/>
      <c r="L527" s="15"/>
    </row>
    <row r="528" spans="2:12" ht="12.75">
      <c r="B528" s="28"/>
      <c r="L528" s="15"/>
    </row>
    <row r="529" spans="2:12" ht="12.75">
      <c r="B529" s="28"/>
      <c r="L529" s="15"/>
    </row>
    <row r="530" spans="2:12" ht="12.75">
      <c r="B530" s="28"/>
      <c r="L530" s="15"/>
    </row>
    <row r="531" spans="2:12" ht="12.75">
      <c r="B531" s="28"/>
      <c r="L531" s="15"/>
    </row>
    <row r="532" spans="2:12" ht="12.75">
      <c r="B532" s="28"/>
      <c r="L532" s="15"/>
    </row>
    <row r="533" spans="2:12" ht="12.75">
      <c r="B533" s="28"/>
      <c r="L533" s="15"/>
    </row>
    <row r="534" spans="2:12" ht="12.75">
      <c r="B534" s="28"/>
      <c r="L534" s="15"/>
    </row>
    <row r="535" spans="2:12" ht="12.75">
      <c r="B535" s="28"/>
      <c r="L535" s="15"/>
    </row>
    <row r="536" spans="2:12" ht="12.75">
      <c r="B536" s="28"/>
      <c r="L536" s="15"/>
    </row>
    <row r="537" spans="2:12" ht="12.75">
      <c r="B537" s="28"/>
      <c r="L537" s="15"/>
    </row>
    <row r="538" spans="2:12" ht="12.75">
      <c r="B538" s="28"/>
      <c r="L538" s="15"/>
    </row>
    <row r="539" spans="2:12" ht="12.75">
      <c r="B539" s="28"/>
      <c r="L539" s="15"/>
    </row>
    <row r="540" spans="2:12" ht="12.75">
      <c r="B540" s="28"/>
      <c r="L540" s="15"/>
    </row>
    <row r="541" spans="2:12" ht="12.75">
      <c r="B541" s="28"/>
      <c r="L541" s="15"/>
    </row>
    <row r="542" spans="2:12" ht="12.75">
      <c r="B542" s="28"/>
      <c r="L542" s="15"/>
    </row>
    <row r="543" spans="2:12" ht="12.75">
      <c r="B543" s="28"/>
      <c r="L543" s="15"/>
    </row>
    <row r="544" spans="2:12" ht="12.75">
      <c r="B544" s="28"/>
      <c r="L544" s="15"/>
    </row>
    <row r="545" spans="2:12" ht="12.75">
      <c r="B545" s="28"/>
      <c r="L545" s="15"/>
    </row>
    <row r="546" spans="2:12" ht="12.75">
      <c r="B546" s="28"/>
      <c r="L546" s="15"/>
    </row>
    <row r="547" spans="2:12" ht="12.75">
      <c r="B547" s="28"/>
      <c r="L547" s="15"/>
    </row>
    <row r="548" spans="2:12" ht="12.75">
      <c r="B548" s="28"/>
      <c r="L548" s="15"/>
    </row>
    <row r="549" spans="2:12" ht="12.75">
      <c r="B549" s="28"/>
      <c r="L549" s="15"/>
    </row>
    <row r="550" spans="2:12" ht="12.75">
      <c r="B550" s="28"/>
      <c r="L550" s="15"/>
    </row>
    <row r="551" spans="2:12" ht="12.75">
      <c r="B551" s="28"/>
      <c r="L551" s="15"/>
    </row>
    <row r="552" spans="2:12" ht="12.75">
      <c r="B552" s="28"/>
      <c r="L552" s="15"/>
    </row>
    <row r="553" spans="2:12" ht="12.75">
      <c r="B553" s="28"/>
      <c r="L553" s="15"/>
    </row>
    <row r="554" spans="2:12" ht="12.75">
      <c r="B554" s="28"/>
      <c r="L554" s="15"/>
    </row>
    <row r="555" spans="2:12" ht="12.75">
      <c r="B555" s="28"/>
      <c r="L555" s="15"/>
    </row>
    <row r="556" spans="2:12" ht="12.75">
      <c r="B556" s="28"/>
      <c r="L556" s="15"/>
    </row>
    <row r="557" spans="2:12" ht="12.75">
      <c r="B557" s="28"/>
      <c r="L557" s="15"/>
    </row>
    <row r="558" spans="2:12" ht="12.75">
      <c r="B558" s="28"/>
      <c r="L558" s="15"/>
    </row>
    <row r="559" spans="2:12" ht="12.75">
      <c r="B559" s="28"/>
      <c r="L559" s="15"/>
    </row>
    <row r="560" spans="2:12" ht="12.75">
      <c r="B560" s="28"/>
      <c r="L560" s="15"/>
    </row>
    <row r="561" spans="2:12" ht="12.75">
      <c r="B561" s="28"/>
      <c r="L561" s="15"/>
    </row>
    <row r="562" spans="2:12" ht="12.75">
      <c r="B562" s="28"/>
      <c r="L562" s="15"/>
    </row>
    <row r="563" spans="2:12" ht="12.75">
      <c r="B563" s="28"/>
      <c r="L563" s="15"/>
    </row>
    <row r="564" spans="2:12" ht="12.75">
      <c r="B564" s="28"/>
      <c r="L564" s="15"/>
    </row>
    <row r="565" spans="2:12" ht="12.75">
      <c r="B565" s="28"/>
      <c r="L565" s="15"/>
    </row>
    <row r="566" spans="2:12" ht="12.75">
      <c r="B566" s="28"/>
      <c r="L566" s="15"/>
    </row>
    <row r="567" spans="2:12" ht="12.75">
      <c r="B567" s="28"/>
      <c r="L567" s="15"/>
    </row>
    <row r="568" spans="2:12" ht="12.75">
      <c r="B568" s="28"/>
      <c r="L568" s="15"/>
    </row>
    <row r="569" spans="2:12" ht="12.75">
      <c r="B569" s="28"/>
      <c r="L569" s="15"/>
    </row>
    <row r="570" spans="2:12" ht="12.75">
      <c r="B570" s="28"/>
      <c r="L570" s="15"/>
    </row>
    <row r="571" spans="2:12" ht="12.75">
      <c r="B571" s="28"/>
      <c r="L571" s="15"/>
    </row>
    <row r="572" spans="2:12" ht="12.75">
      <c r="B572" s="28"/>
      <c r="L572" s="15"/>
    </row>
    <row r="573" spans="2:12" ht="12.75">
      <c r="B573" s="28"/>
      <c r="L573" s="15"/>
    </row>
    <row r="574" spans="2:12" ht="12.75">
      <c r="B574" s="28"/>
      <c r="L574" s="15"/>
    </row>
    <row r="575" spans="2:12" ht="12.75">
      <c r="B575" s="28"/>
      <c r="L575" s="15"/>
    </row>
    <row r="576" spans="2:12" ht="12.75">
      <c r="B576" s="28"/>
      <c r="L576" s="15"/>
    </row>
    <row r="577" spans="2:12" ht="12.75">
      <c r="B577" s="28"/>
      <c r="L577" s="15"/>
    </row>
    <row r="578" spans="2:12" ht="12.75">
      <c r="B578" s="28"/>
      <c r="L578" s="15"/>
    </row>
    <row r="579" spans="2:12" ht="12.75">
      <c r="B579" s="28"/>
      <c r="L579" s="15"/>
    </row>
    <row r="580" spans="2:12" ht="12.75">
      <c r="B580" s="28"/>
      <c r="L580" s="15"/>
    </row>
    <row r="581" spans="2:12" ht="12.75">
      <c r="B581" s="28"/>
      <c r="L581" s="15"/>
    </row>
    <row r="582" spans="2:12" ht="12.75">
      <c r="B582" s="28"/>
      <c r="L582" s="15"/>
    </row>
    <row r="583" spans="2:12" ht="12.75">
      <c r="B583" s="28"/>
      <c r="L583" s="15"/>
    </row>
    <row r="584" spans="2:12" ht="12.75">
      <c r="B584" s="28"/>
      <c r="L584" s="15"/>
    </row>
    <row r="585" spans="2:12" ht="12.75">
      <c r="B585" s="28"/>
      <c r="L585" s="15"/>
    </row>
    <row r="586" spans="2:12" ht="12.75">
      <c r="B586" s="28"/>
      <c r="L586" s="15"/>
    </row>
    <row r="587" spans="2:12" ht="12.75">
      <c r="B587" s="28"/>
      <c r="L587" s="15"/>
    </row>
    <row r="588" spans="2:12" ht="12.75">
      <c r="B588" s="28"/>
      <c r="L588" s="15"/>
    </row>
    <row r="589" spans="2:12" ht="12.75">
      <c r="B589" s="28"/>
      <c r="L589" s="15"/>
    </row>
    <row r="590" spans="2:12" ht="12.75">
      <c r="B590" s="28"/>
      <c r="L590" s="15"/>
    </row>
    <row r="591" spans="2:12" ht="12.75">
      <c r="B591" s="28"/>
      <c r="L591" s="15"/>
    </row>
    <row r="592" spans="2:12" ht="12.75">
      <c r="B592" s="28"/>
      <c r="L592" s="15"/>
    </row>
    <row r="593" spans="2:12" ht="12.75">
      <c r="B593" s="28"/>
      <c r="L593" s="15"/>
    </row>
    <row r="594" spans="2:12" ht="12.75">
      <c r="B594" s="28"/>
      <c r="L594" s="15"/>
    </row>
    <row r="595" spans="2:12" ht="12.75">
      <c r="B595" s="28"/>
      <c r="L595" s="15"/>
    </row>
    <row r="596" spans="2:12" ht="12.75">
      <c r="B596" s="28"/>
      <c r="L596" s="15"/>
    </row>
    <row r="597" spans="2:12" ht="12.75">
      <c r="B597" s="28"/>
      <c r="L597" s="15"/>
    </row>
    <row r="598" spans="2:12" ht="12.75">
      <c r="B598" s="28"/>
      <c r="L598" s="15"/>
    </row>
    <row r="599" spans="2:12" ht="12.75">
      <c r="B599" s="28"/>
      <c r="L599" s="15"/>
    </row>
    <row r="600" spans="2:12" ht="12.75">
      <c r="B600" s="28"/>
      <c r="L600" s="15"/>
    </row>
    <row r="601" spans="2:12" ht="12.75">
      <c r="B601" s="28"/>
      <c r="L601" s="15"/>
    </row>
    <row r="602" spans="2:12" ht="12.75">
      <c r="B602" s="28"/>
      <c r="L602" s="15"/>
    </row>
    <row r="603" spans="2:12" ht="12.75">
      <c r="B603" s="28"/>
      <c r="L603" s="15"/>
    </row>
    <row r="604" spans="2:12" ht="12.75">
      <c r="B604" s="28"/>
      <c r="L604" s="15"/>
    </row>
    <row r="605" spans="2:12" ht="12.75">
      <c r="B605" s="28"/>
      <c r="L605" s="15"/>
    </row>
    <row r="606" spans="2:12" ht="12.75">
      <c r="B606" s="28"/>
      <c r="L606" s="15"/>
    </row>
    <row r="607" spans="2:12" ht="12.75">
      <c r="B607" s="28"/>
      <c r="L607" s="15"/>
    </row>
    <row r="608" spans="2:12" ht="12.75">
      <c r="B608" s="28"/>
      <c r="L608" s="15"/>
    </row>
    <row r="609" spans="2:12" ht="12.75">
      <c r="B609" s="28"/>
      <c r="L609" s="15"/>
    </row>
    <row r="610" spans="2:12" ht="12.75">
      <c r="B610" s="28"/>
      <c r="L610" s="15"/>
    </row>
    <row r="611" spans="2:12" ht="12.75">
      <c r="B611" s="28"/>
      <c r="L611" s="15"/>
    </row>
    <row r="612" spans="2:12" ht="12.75">
      <c r="B612" s="28"/>
      <c r="L612" s="15"/>
    </row>
    <row r="613" spans="2:12" ht="12.75">
      <c r="B613" s="28"/>
      <c r="L613" s="15"/>
    </row>
    <row r="614" spans="2:12" ht="12.75">
      <c r="B614" s="28"/>
      <c r="L614" s="15"/>
    </row>
    <row r="615" spans="2:12" ht="12.75">
      <c r="B615" s="28"/>
      <c r="L615" s="15"/>
    </row>
    <row r="616" spans="2:12" ht="12.75">
      <c r="B616" s="28"/>
      <c r="L616" s="15"/>
    </row>
    <row r="617" spans="2:12" ht="12.75">
      <c r="B617" s="28"/>
      <c r="L617" s="15"/>
    </row>
    <row r="618" spans="2:12" ht="12.75">
      <c r="B618" s="28"/>
      <c r="L618" s="15"/>
    </row>
    <row r="619" spans="2:12" ht="12.75">
      <c r="B619" s="28"/>
      <c r="L619" s="15"/>
    </row>
    <row r="620" spans="2:12" ht="12.75">
      <c r="B620" s="28"/>
      <c r="L620" s="15"/>
    </row>
    <row r="621" spans="2:12" ht="12.75">
      <c r="B621" s="28"/>
      <c r="L621" s="15"/>
    </row>
    <row r="622" spans="2:12" ht="12.75">
      <c r="B622" s="28"/>
      <c r="L622" s="15"/>
    </row>
    <row r="623" spans="2:12" ht="12.75">
      <c r="B623" s="28"/>
      <c r="L623" s="15"/>
    </row>
    <row r="624" spans="2:12" ht="12.75">
      <c r="B624" s="28"/>
      <c r="L624" s="15"/>
    </row>
    <row r="625" spans="2:12" ht="12.75">
      <c r="B625" s="28"/>
      <c r="L625" s="15"/>
    </row>
    <row r="626" spans="2:12" ht="12.75">
      <c r="B626" s="28"/>
      <c r="L626" s="15"/>
    </row>
    <row r="627" spans="2:12" ht="12.75">
      <c r="B627" s="28"/>
      <c r="L627" s="15"/>
    </row>
    <row r="628" spans="2:12" ht="12.75">
      <c r="B628" s="28"/>
      <c r="L628" s="15"/>
    </row>
    <row r="629" spans="2:12" ht="12.75">
      <c r="B629" s="28"/>
      <c r="L629" s="15"/>
    </row>
    <row r="630" spans="2:12" ht="12.75">
      <c r="B630" s="28"/>
      <c r="L630" s="15"/>
    </row>
    <row r="631" spans="2:12" ht="12.75">
      <c r="B631" s="28"/>
      <c r="L631" s="15"/>
    </row>
    <row r="632" spans="2:12" ht="12.75">
      <c r="B632" s="28"/>
      <c r="L632" s="15"/>
    </row>
    <row r="633" spans="2:12" ht="12.75">
      <c r="B633" s="28"/>
      <c r="L633" s="15"/>
    </row>
    <row r="634" spans="2:12" ht="12.75">
      <c r="B634" s="28"/>
      <c r="L634" s="15"/>
    </row>
    <row r="635" spans="2:12" ht="12.75">
      <c r="B635" s="28"/>
      <c r="L635" s="15"/>
    </row>
    <row r="636" spans="2:12" ht="12.75">
      <c r="B636" s="28"/>
      <c r="L636" s="15"/>
    </row>
    <row r="637" spans="2:12" ht="12.75">
      <c r="B637" s="28"/>
      <c r="L637" s="15"/>
    </row>
    <row r="638" spans="2:12" ht="12.75">
      <c r="B638" s="28"/>
      <c r="L638" s="15"/>
    </row>
    <row r="639" spans="2:12" ht="12.75">
      <c r="B639" s="28"/>
      <c r="L639" s="15"/>
    </row>
    <row r="640" spans="2:12" ht="12.75">
      <c r="B640" s="28"/>
      <c r="L640" s="15"/>
    </row>
    <row r="641" spans="2:12" ht="12.75">
      <c r="B641" s="28"/>
      <c r="L641" s="15"/>
    </row>
    <row r="642" spans="2:12" ht="12.75">
      <c r="B642" s="28"/>
      <c r="L642" s="15"/>
    </row>
    <row r="643" spans="2:12" ht="12.75">
      <c r="B643" s="28"/>
      <c r="L643" s="15"/>
    </row>
    <row r="644" spans="2:12" ht="12.75">
      <c r="B644" s="28"/>
      <c r="L644" s="15"/>
    </row>
    <row r="645" spans="2:12" ht="12.75">
      <c r="B645" s="28"/>
      <c r="L645" s="15"/>
    </row>
    <row r="646" spans="2:12" ht="12.75">
      <c r="B646" s="28"/>
      <c r="L646" s="15"/>
    </row>
    <row r="647" spans="2:12" ht="12.75">
      <c r="B647" s="28"/>
      <c r="L647" s="15"/>
    </row>
    <row r="648" spans="2:12" ht="12.75">
      <c r="B648" s="28"/>
      <c r="L648" s="15"/>
    </row>
    <row r="649" spans="2:12" ht="12.75">
      <c r="B649" s="28"/>
      <c r="L649" s="15"/>
    </row>
    <row r="650" spans="2:12" ht="12.75">
      <c r="B650" s="28"/>
      <c r="L650" s="15"/>
    </row>
    <row r="651" spans="2:12" ht="12.75">
      <c r="B651" s="28"/>
      <c r="L651" s="15"/>
    </row>
    <row r="652" spans="2:12" ht="12.75">
      <c r="B652" s="28"/>
      <c r="L652" s="15"/>
    </row>
    <row r="653" spans="2:12" ht="12.75">
      <c r="B653" s="28"/>
      <c r="L653" s="15"/>
    </row>
    <row r="654" spans="2:12" ht="12.75">
      <c r="B654" s="28"/>
      <c r="L654" s="15"/>
    </row>
    <row r="655" spans="2:12" ht="12.75">
      <c r="B655" s="28"/>
      <c r="L655" s="15"/>
    </row>
    <row r="656" spans="2:12" ht="12.75">
      <c r="B656" s="28"/>
      <c r="L656" s="15"/>
    </row>
    <row r="657" spans="2:12" ht="12.75">
      <c r="B657" s="28"/>
      <c r="L657" s="15"/>
    </row>
    <row r="658" spans="2:12" ht="12.75">
      <c r="B658" s="28"/>
      <c r="L658" s="15"/>
    </row>
    <row r="659" spans="2:12" ht="12.75">
      <c r="B659" s="28"/>
      <c r="L659" s="15"/>
    </row>
    <row r="660" spans="2:12" ht="12.75">
      <c r="B660" s="28"/>
      <c r="L660" s="15"/>
    </row>
    <row r="661" spans="2:12" ht="12.75">
      <c r="B661" s="28"/>
      <c r="L661" s="15"/>
    </row>
    <row r="662" spans="2:12" ht="12.75">
      <c r="B662" s="28"/>
      <c r="L662" s="15"/>
    </row>
    <row r="663" spans="2:12" ht="12.75">
      <c r="B663" s="28"/>
      <c r="L663" s="15"/>
    </row>
    <row r="664" spans="2:12" ht="12.75">
      <c r="B664" s="28"/>
      <c r="L664" s="15"/>
    </row>
    <row r="665" spans="2:12" ht="12.75">
      <c r="B665" s="28"/>
      <c r="L665" s="15"/>
    </row>
    <row r="666" spans="2:12" ht="12.75">
      <c r="B666" s="28"/>
      <c r="L666" s="15"/>
    </row>
    <row r="667" spans="2:12" ht="12.75">
      <c r="B667" s="28"/>
      <c r="L667" s="15"/>
    </row>
    <row r="668" spans="2:12" ht="12.75">
      <c r="B668" s="28"/>
      <c r="L668" s="15"/>
    </row>
    <row r="669" spans="2:12" ht="12.75">
      <c r="B669" s="28"/>
      <c r="L669" s="15"/>
    </row>
    <row r="670" spans="2:12" ht="12.75">
      <c r="B670" s="28"/>
      <c r="L670" s="15"/>
    </row>
    <row r="671" spans="2:12" ht="12.75">
      <c r="B671" s="28"/>
      <c r="L671" s="15"/>
    </row>
    <row r="672" spans="2:12" ht="12.75">
      <c r="B672" s="28"/>
      <c r="L672" s="15"/>
    </row>
    <row r="673" spans="2:12" ht="12.75">
      <c r="B673" s="28"/>
      <c r="L673" s="15"/>
    </row>
    <row r="674" spans="2:12" ht="12.75">
      <c r="B674" s="28"/>
      <c r="L674" s="15"/>
    </row>
    <row r="675" spans="2:12" ht="12.75">
      <c r="B675" s="28"/>
      <c r="L675" s="15"/>
    </row>
    <row r="676" spans="2:12" ht="12.75">
      <c r="B676" s="28"/>
      <c r="L676" s="15"/>
    </row>
    <row r="677" spans="2:12" ht="12.75">
      <c r="B677" s="28"/>
      <c r="L677" s="15"/>
    </row>
    <row r="678" spans="2:12" ht="12.75">
      <c r="B678" s="28"/>
      <c r="L678" s="15"/>
    </row>
    <row r="679" spans="2:12" ht="12.75">
      <c r="B679" s="28"/>
      <c r="L679" s="15"/>
    </row>
    <row r="680" spans="2:12" ht="12.75">
      <c r="B680" s="28"/>
      <c r="L680" s="15"/>
    </row>
    <row r="681" spans="2:12" ht="12.75">
      <c r="B681" s="28"/>
      <c r="L681" s="15"/>
    </row>
    <row r="682" spans="2:12" ht="12.75">
      <c r="B682" s="28"/>
      <c r="L682" s="15"/>
    </row>
    <row r="683" spans="2:12" ht="12.75">
      <c r="B683" s="28"/>
      <c r="L683" s="15"/>
    </row>
    <row r="684" spans="2:12" ht="12.75">
      <c r="B684" s="28"/>
      <c r="L684" s="15"/>
    </row>
    <row r="685" spans="2:12" ht="12.75">
      <c r="B685" s="28"/>
      <c r="L685" s="15"/>
    </row>
    <row r="686" spans="2:12" ht="12.75">
      <c r="B686" s="28"/>
      <c r="L686" s="15"/>
    </row>
    <row r="687" spans="2:12" ht="12.75">
      <c r="B687" s="28"/>
      <c r="L687" s="15"/>
    </row>
    <row r="688" spans="2:12" ht="12.75">
      <c r="B688" s="28"/>
      <c r="L688" s="15"/>
    </row>
    <row r="689" spans="2:12" ht="12.75">
      <c r="B689" s="28"/>
      <c r="L689" s="15"/>
    </row>
    <row r="690" spans="2:12" ht="12.75">
      <c r="B690" s="28"/>
      <c r="L690" s="15"/>
    </row>
    <row r="691" spans="2:12" ht="12.75">
      <c r="B691" s="28"/>
      <c r="L691" s="15"/>
    </row>
    <row r="692" spans="2:12" ht="12.75">
      <c r="B692" s="28"/>
      <c r="L692" s="15"/>
    </row>
    <row r="693" spans="2:12" ht="12.75">
      <c r="B693" s="28"/>
      <c r="L693" s="15"/>
    </row>
    <row r="694" spans="2:12" ht="12.75">
      <c r="B694" s="28"/>
      <c r="L694" s="15"/>
    </row>
    <row r="695" spans="2:12" ht="12.75">
      <c r="B695" s="28"/>
      <c r="L695" s="15"/>
    </row>
    <row r="696" spans="2:12" ht="12.75">
      <c r="B696" s="28"/>
      <c r="L696" s="15"/>
    </row>
    <row r="697" spans="2:12" ht="12.75">
      <c r="B697" s="28"/>
      <c r="L697" s="15"/>
    </row>
    <row r="698" spans="2:12" ht="12.75">
      <c r="B698" s="28"/>
      <c r="L698" s="15"/>
    </row>
    <row r="699" spans="2:12" ht="12.75">
      <c r="B699" s="28"/>
      <c r="L699" s="15"/>
    </row>
    <row r="700" spans="2:12" ht="12.75">
      <c r="B700" s="28"/>
      <c r="L700" s="15"/>
    </row>
    <row r="701" spans="2:12" ht="12.75">
      <c r="B701" s="28"/>
      <c r="L701" s="15"/>
    </row>
    <row r="702" spans="2:12" ht="12.75">
      <c r="B702" s="28"/>
      <c r="L702" s="15"/>
    </row>
    <row r="703" spans="2:12" ht="12.75">
      <c r="B703" s="28"/>
      <c r="L703" s="15"/>
    </row>
    <row r="704" spans="2:12" ht="12.75">
      <c r="B704" s="28"/>
      <c r="L704" s="15"/>
    </row>
    <row r="705" spans="2:12" ht="12.75">
      <c r="B705" s="28"/>
      <c r="L705" s="15"/>
    </row>
    <row r="706" spans="2:12" ht="12.75">
      <c r="B706" s="28"/>
      <c r="L706" s="15"/>
    </row>
    <row r="707" spans="2:12" ht="12.75">
      <c r="B707" s="28"/>
      <c r="L707" s="15"/>
    </row>
    <row r="708" spans="2:12" ht="12.75">
      <c r="B708" s="28"/>
      <c r="L708" s="15"/>
    </row>
    <row r="709" spans="2:12" ht="12.75">
      <c r="B709" s="28"/>
      <c r="L709" s="15"/>
    </row>
    <row r="710" spans="2:12" ht="12.75">
      <c r="B710" s="28"/>
      <c r="L710" s="15"/>
    </row>
    <row r="711" spans="2:12" ht="12.75">
      <c r="B711" s="28"/>
      <c r="L711" s="15"/>
    </row>
    <row r="712" spans="2:12" ht="12.75">
      <c r="B712" s="28"/>
      <c r="L712" s="15"/>
    </row>
    <row r="713" spans="2:12" ht="12.75">
      <c r="B713" s="28"/>
      <c r="L713" s="15"/>
    </row>
    <row r="714" spans="2:12" ht="12.75">
      <c r="B714" s="28"/>
      <c r="L714" s="15"/>
    </row>
    <row r="715" spans="2:12" ht="12.75">
      <c r="B715" s="28"/>
      <c r="L715" s="15"/>
    </row>
    <row r="716" spans="2:12" ht="12.75">
      <c r="B716" s="28"/>
      <c r="L716" s="15"/>
    </row>
    <row r="717" spans="2:12" ht="12.75">
      <c r="B717" s="28"/>
      <c r="L717" s="15"/>
    </row>
    <row r="718" spans="2:12" ht="12.75">
      <c r="B718" s="28"/>
      <c r="L718" s="15"/>
    </row>
    <row r="719" spans="2:12" ht="12.75">
      <c r="B719" s="28"/>
      <c r="L719" s="15"/>
    </row>
    <row r="720" spans="2:12" ht="12.75">
      <c r="B720" s="28"/>
      <c r="L720" s="15"/>
    </row>
    <row r="721" spans="2:12" ht="12.75">
      <c r="B721" s="28"/>
      <c r="L721" s="15"/>
    </row>
    <row r="722" spans="2:12" ht="12.75">
      <c r="B722" s="28"/>
      <c r="L722" s="15"/>
    </row>
    <row r="723" spans="2:12" ht="12.75">
      <c r="B723" s="28"/>
      <c r="L723" s="15"/>
    </row>
    <row r="724" spans="2:12" ht="12.75">
      <c r="B724" s="28"/>
      <c r="L724" s="15"/>
    </row>
    <row r="725" spans="2:12" ht="12.75">
      <c r="B725" s="28"/>
      <c r="L725" s="15"/>
    </row>
    <row r="726" spans="2:12" ht="12.75">
      <c r="B726" s="28"/>
      <c r="L726" s="15"/>
    </row>
    <row r="727" spans="2:12" ht="12.75">
      <c r="B727" s="28"/>
      <c r="L727" s="15"/>
    </row>
    <row r="728" spans="2:12" ht="12.75">
      <c r="B728" s="28"/>
      <c r="L728" s="15"/>
    </row>
    <row r="729" spans="2:12" ht="12.75">
      <c r="B729" s="28"/>
      <c r="L729" s="15"/>
    </row>
    <row r="730" spans="2:12" ht="12.75">
      <c r="B730" s="28"/>
      <c r="L730" s="15"/>
    </row>
    <row r="731" spans="2:12" ht="12.75">
      <c r="B731" s="28"/>
      <c r="L731" s="15"/>
    </row>
    <row r="732" spans="2:12" ht="12.75">
      <c r="B732" s="28"/>
      <c r="L732" s="15"/>
    </row>
    <row r="733" spans="2:12" ht="12.75">
      <c r="B733" s="28"/>
      <c r="L733" s="15"/>
    </row>
    <row r="734" spans="2:12" ht="12.75">
      <c r="B734" s="28"/>
      <c r="L734" s="15"/>
    </row>
    <row r="735" spans="2:12" ht="12.75">
      <c r="B735" s="28"/>
      <c r="L735" s="15"/>
    </row>
    <row r="736" spans="2:12" ht="12.75">
      <c r="B736" s="28"/>
      <c r="L736" s="15"/>
    </row>
    <row r="737" spans="2:12" ht="12.75">
      <c r="B737" s="28"/>
      <c r="L737" s="15"/>
    </row>
    <row r="738" spans="2:12" ht="12.75">
      <c r="B738" s="28"/>
      <c r="L738" s="15"/>
    </row>
    <row r="739" spans="2:12" ht="12.75">
      <c r="B739" s="28"/>
      <c r="L739" s="15"/>
    </row>
    <row r="740" spans="2:12" ht="12.75">
      <c r="B740" s="28"/>
      <c r="L740" s="15"/>
    </row>
    <row r="741" spans="2:12" ht="12.75">
      <c r="B741" s="28"/>
      <c r="L741" s="15"/>
    </row>
    <row r="742" spans="2:12" ht="12.75">
      <c r="B742" s="28"/>
      <c r="L742" s="15"/>
    </row>
    <row r="743" spans="2:12" ht="12.75">
      <c r="B743" s="28"/>
      <c r="L743" s="15"/>
    </row>
    <row r="744" spans="2:12" ht="12.75">
      <c r="B744" s="28"/>
      <c r="L744" s="15"/>
    </row>
    <row r="745" spans="2:12" ht="12.75">
      <c r="B745" s="28"/>
      <c r="L745" s="15"/>
    </row>
    <row r="746" spans="2:12" ht="12.75">
      <c r="B746" s="28"/>
      <c r="L746" s="15"/>
    </row>
    <row r="747" spans="2:12" ht="12.75">
      <c r="B747" s="28"/>
      <c r="L747" s="15"/>
    </row>
    <row r="748" spans="2:12" ht="12.75">
      <c r="B748" s="28"/>
      <c r="L748" s="15"/>
    </row>
    <row r="749" spans="2:12" ht="12.75">
      <c r="B749" s="28"/>
      <c r="L749" s="15"/>
    </row>
    <row r="750" spans="2:12" ht="12.75">
      <c r="B750" s="28"/>
      <c r="L750" s="15"/>
    </row>
    <row r="751" spans="2:12" ht="12.75">
      <c r="B751" s="28"/>
      <c r="L751" s="15"/>
    </row>
    <row r="752" spans="2:12" ht="12.75">
      <c r="B752" s="28"/>
      <c r="L752" s="15"/>
    </row>
    <row r="753" spans="2:12" ht="12.75">
      <c r="B753" s="28"/>
      <c r="L753" s="15"/>
    </row>
    <row r="754" spans="2:12" ht="12.75">
      <c r="B754" s="28"/>
      <c r="L754" s="15"/>
    </row>
    <row r="755" spans="2:12" ht="12.75">
      <c r="B755" s="28"/>
      <c r="L755" s="15"/>
    </row>
    <row r="756" spans="2:12" ht="12.75">
      <c r="B756" s="28"/>
      <c r="L756" s="15"/>
    </row>
    <row r="757" spans="2:12" ht="12.75">
      <c r="B757" s="28"/>
      <c r="L757" s="15"/>
    </row>
    <row r="758" spans="2:12" ht="12.75">
      <c r="B758" s="28"/>
      <c r="L758" s="15"/>
    </row>
    <row r="759" spans="2:12" ht="12.75">
      <c r="B759" s="28"/>
      <c r="L759" s="15"/>
    </row>
    <row r="760" spans="2:12" ht="12.75">
      <c r="B760" s="28"/>
      <c r="L760" s="15"/>
    </row>
    <row r="761" spans="2:12" ht="12.75">
      <c r="B761" s="28"/>
      <c r="L761" s="15"/>
    </row>
    <row r="762" spans="2:12" ht="12.75">
      <c r="B762" s="28"/>
      <c r="L762" s="15"/>
    </row>
    <row r="763" spans="2:12" ht="12.75">
      <c r="B763" s="28"/>
      <c r="L763" s="15"/>
    </row>
    <row r="764" spans="2:12" ht="12.75">
      <c r="B764" s="28"/>
      <c r="L764" s="15"/>
    </row>
    <row r="765" spans="2:12" ht="12.75">
      <c r="B765" s="28"/>
      <c r="L765" s="15"/>
    </row>
    <row r="766" spans="2:12" ht="12.75">
      <c r="B766" s="28"/>
      <c r="L766" s="15"/>
    </row>
    <row r="767" spans="2:12" ht="12.75">
      <c r="B767" s="28"/>
      <c r="L767" s="15"/>
    </row>
    <row r="768" spans="2:12" ht="12.75">
      <c r="B768" s="28"/>
      <c r="L768" s="15"/>
    </row>
    <row r="769" spans="2:12" ht="12.75">
      <c r="B769" s="28"/>
      <c r="L769" s="15"/>
    </row>
    <row r="770" spans="2:12" ht="12.75">
      <c r="B770" s="28"/>
      <c r="L770" s="15"/>
    </row>
    <row r="771" spans="2:12" ht="12.75">
      <c r="B771" s="28"/>
      <c r="L771" s="15"/>
    </row>
    <row r="772" spans="2:12" ht="12.75">
      <c r="B772" s="28"/>
      <c r="L772" s="15"/>
    </row>
    <row r="773" spans="2:12" ht="12.75">
      <c r="B773" s="28"/>
      <c r="L773" s="15"/>
    </row>
    <row r="774" spans="2:12" ht="12.75">
      <c r="B774" s="28"/>
      <c r="L774" s="15"/>
    </row>
    <row r="775" spans="2:12" ht="12.75">
      <c r="B775" s="28"/>
      <c r="L775" s="15"/>
    </row>
    <row r="776" spans="2:12" ht="12.75">
      <c r="B776" s="28"/>
      <c r="L776" s="15"/>
    </row>
    <row r="777" spans="2:12" ht="12.75">
      <c r="B777" s="28"/>
      <c r="L777" s="15"/>
    </row>
    <row r="778" spans="2:12" ht="12.75">
      <c r="B778" s="28"/>
      <c r="L778" s="15"/>
    </row>
    <row r="779" spans="2:12" ht="12.75">
      <c r="B779" s="28"/>
      <c r="L779" s="15"/>
    </row>
    <row r="780" spans="2:12" ht="12.75">
      <c r="B780" s="28"/>
      <c r="L780" s="15"/>
    </row>
    <row r="781" spans="2:12" ht="12.75">
      <c r="B781" s="28"/>
      <c r="L781" s="15"/>
    </row>
    <row r="782" spans="2:12" ht="12.75">
      <c r="B782" s="28"/>
      <c r="L782" s="15"/>
    </row>
    <row r="783" spans="2:12" ht="12.75">
      <c r="B783" s="28"/>
      <c r="L783" s="15"/>
    </row>
    <row r="784" spans="2:12" ht="12.75">
      <c r="B784" s="28"/>
      <c r="L784" s="15"/>
    </row>
    <row r="785" spans="2:12" ht="12.75">
      <c r="B785" s="28"/>
      <c r="L785" s="15"/>
    </row>
    <row r="786" spans="2:12" ht="12.75">
      <c r="B786" s="28"/>
      <c r="L786" s="15"/>
    </row>
    <row r="787" spans="2:12" ht="12.75">
      <c r="B787" s="28"/>
      <c r="L787" s="15"/>
    </row>
    <row r="788" spans="2:12" ht="12.75">
      <c r="B788" s="28"/>
      <c r="L788" s="15"/>
    </row>
    <row r="789" spans="2:12" ht="12.75">
      <c r="B789" s="28"/>
      <c r="L789" s="15"/>
    </row>
    <row r="790" spans="2:12" ht="12.75">
      <c r="B790" s="28"/>
      <c r="L790" s="15"/>
    </row>
    <row r="791" spans="2:12" ht="12.75">
      <c r="B791" s="28"/>
      <c r="L791" s="15"/>
    </row>
    <row r="792" spans="2:12" ht="12.75">
      <c r="B792" s="28"/>
      <c r="L792" s="15"/>
    </row>
    <row r="793" spans="2:12" ht="12.75">
      <c r="B793" s="28"/>
      <c r="L793" s="15"/>
    </row>
    <row r="794" spans="2:12" ht="12.75">
      <c r="B794" s="28"/>
      <c r="L794" s="15"/>
    </row>
    <row r="795" spans="2:12" ht="12.75">
      <c r="B795" s="28"/>
      <c r="L795" s="15"/>
    </row>
    <row r="796" spans="2:12" ht="12.75">
      <c r="B796" s="28"/>
      <c r="L796" s="15"/>
    </row>
    <row r="797" spans="2:12" ht="12.75">
      <c r="B797" s="28"/>
      <c r="L797" s="15"/>
    </row>
    <row r="798" spans="2:12" ht="12.75">
      <c r="B798" s="28"/>
      <c r="L798" s="15"/>
    </row>
    <row r="799" spans="2:12" ht="12.75">
      <c r="B799" s="28"/>
      <c r="L799" s="15"/>
    </row>
    <row r="800" spans="2:12" ht="12.75">
      <c r="B800" s="28"/>
      <c r="L800" s="15"/>
    </row>
    <row r="801" spans="2:12" ht="12.75">
      <c r="B801" s="28"/>
      <c r="L801" s="15"/>
    </row>
    <row r="802" spans="2:12" ht="12.75">
      <c r="B802" s="28"/>
      <c r="L802" s="15"/>
    </row>
    <row r="803" spans="2:12" ht="12.75">
      <c r="B803" s="28"/>
      <c r="L803" s="15"/>
    </row>
    <row r="804" spans="2:12" ht="12.75">
      <c r="B804" s="28"/>
      <c r="L804" s="15"/>
    </row>
    <row r="805" spans="2:12" ht="12.75">
      <c r="B805" s="28"/>
      <c r="L805" s="15"/>
    </row>
    <row r="806" spans="2:12" ht="12.75">
      <c r="B806" s="28"/>
      <c r="L806" s="15"/>
    </row>
    <row r="807" spans="2:12" ht="12.75">
      <c r="B807" s="28"/>
      <c r="L807" s="15"/>
    </row>
    <row r="808" spans="2:12" ht="12.75">
      <c r="B808" s="28"/>
      <c r="L808" s="15"/>
    </row>
    <row r="809" spans="2:12" ht="12.75">
      <c r="B809" s="28"/>
      <c r="L809" s="15"/>
    </row>
    <row r="810" spans="2:12" ht="12.75">
      <c r="B810" s="28"/>
      <c r="L810" s="15"/>
    </row>
    <row r="811" spans="2:12" ht="12.75">
      <c r="B811" s="28"/>
      <c r="L811" s="15"/>
    </row>
    <row r="812" spans="2:12" ht="12.75">
      <c r="B812" s="28"/>
      <c r="L812" s="15"/>
    </row>
    <row r="813" spans="2:12" ht="12.75">
      <c r="B813" s="28"/>
      <c r="L813" s="15"/>
    </row>
    <row r="814" spans="2:12" ht="12.75">
      <c r="B814" s="28"/>
      <c r="L814" s="15"/>
    </row>
    <row r="815" spans="2:12" ht="12.75">
      <c r="B815" s="28"/>
      <c r="L815" s="15"/>
    </row>
    <row r="816" spans="2:12" ht="12.75">
      <c r="B816" s="28"/>
      <c r="L816" s="15"/>
    </row>
    <row r="817" spans="2:12" ht="12.75">
      <c r="B817" s="28"/>
      <c r="L817" s="15"/>
    </row>
    <row r="818" spans="2:12" ht="12.75">
      <c r="B818" s="28"/>
      <c r="L818" s="15"/>
    </row>
    <row r="819" spans="2:12" ht="12.75">
      <c r="B819" s="28"/>
      <c r="L819" s="15"/>
    </row>
    <row r="820" spans="2:12" ht="12.75">
      <c r="B820" s="28"/>
      <c r="L820" s="15"/>
    </row>
    <row r="821" spans="2:12" ht="12.75">
      <c r="B821" s="28"/>
      <c r="L821" s="15"/>
    </row>
    <row r="822" spans="2:12" ht="12.75">
      <c r="B822" s="28"/>
      <c r="L822" s="15"/>
    </row>
    <row r="823" spans="2:12" ht="12.75">
      <c r="B823" s="28"/>
      <c r="L823" s="15"/>
    </row>
    <row r="824" spans="2:12" ht="12.75">
      <c r="B824" s="28"/>
      <c r="L824" s="15"/>
    </row>
    <row r="825" spans="2:12" ht="12.75">
      <c r="B825" s="28"/>
      <c r="L825" s="15"/>
    </row>
    <row r="826" spans="2:12" ht="12.75">
      <c r="B826" s="28"/>
      <c r="L826" s="15"/>
    </row>
    <row r="827" spans="2:12" ht="12.75">
      <c r="B827" s="28"/>
      <c r="L827" s="15"/>
    </row>
    <row r="828" spans="2:12" ht="12.75">
      <c r="B828" s="28"/>
      <c r="L828" s="15"/>
    </row>
    <row r="829" spans="2:12" ht="12.75">
      <c r="B829" s="28"/>
      <c r="L829" s="15"/>
    </row>
    <row r="830" spans="2:12" ht="12.75">
      <c r="B830" s="28"/>
      <c r="L830" s="15"/>
    </row>
    <row r="831" spans="2:12" ht="12.75">
      <c r="B831" s="28"/>
      <c r="L831" s="15"/>
    </row>
    <row r="832" spans="2:12" ht="12.75">
      <c r="B832" s="28"/>
      <c r="L832" s="15"/>
    </row>
    <row r="833" spans="2:12" ht="12.75">
      <c r="B833" s="28"/>
      <c r="L833" s="15"/>
    </row>
    <row r="834" spans="2:12" ht="12.75">
      <c r="B834" s="28"/>
      <c r="L834" s="15"/>
    </row>
    <row r="835" spans="2:12" ht="12.75">
      <c r="B835" s="28"/>
      <c r="L835" s="15"/>
    </row>
    <row r="836" spans="2:12" ht="12.75">
      <c r="B836" s="28"/>
      <c r="L836" s="15"/>
    </row>
    <row r="837" spans="2:12" ht="12.75">
      <c r="B837" s="28"/>
      <c r="L837" s="15"/>
    </row>
    <row r="838" spans="2:12" ht="12.75">
      <c r="B838" s="28"/>
      <c r="L838" s="15"/>
    </row>
    <row r="839" spans="2:12" ht="12.75">
      <c r="B839" s="28"/>
      <c r="L839" s="15"/>
    </row>
    <row r="840" spans="2:12" ht="12.75">
      <c r="B840" s="28"/>
      <c r="L840" s="15"/>
    </row>
    <row r="841" spans="2:12" ht="12.75">
      <c r="B841" s="28"/>
      <c r="L841" s="15"/>
    </row>
    <row r="842" spans="2:12" ht="12.75">
      <c r="B842" s="28"/>
      <c r="L842" s="15"/>
    </row>
    <row r="843" spans="2:12" ht="12.75">
      <c r="B843" s="28"/>
      <c r="L843" s="15"/>
    </row>
    <row r="844" spans="2:12" ht="12.75">
      <c r="B844" s="28"/>
      <c r="L844" s="15"/>
    </row>
    <row r="845" spans="2:12" ht="12.75">
      <c r="B845" s="28"/>
      <c r="L845" s="15"/>
    </row>
    <row r="846" spans="2:12" ht="12.75">
      <c r="B846" s="28"/>
      <c r="L846" s="15"/>
    </row>
    <row r="847" spans="2:12" ht="12.75">
      <c r="B847" s="28"/>
      <c r="L847" s="15"/>
    </row>
    <row r="848" spans="2:12" ht="12.75">
      <c r="B848" s="28"/>
      <c r="L848" s="15"/>
    </row>
    <row r="849" spans="2:12" ht="12.75">
      <c r="B849" s="28"/>
      <c r="L849" s="15"/>
    </row>
    <row r="850" spans="2:12" ht="12.75">
      <c r="B850" s="28"/>
      <c r="L850" s="15"/>
    </row>
    <row r="851" spans="2:12" ht="12.75">
      <c r="B851" s="28"/>
      <c r="L851" s="15"/>
    </row>
    <row r="852" spans="2:12" ht="12.75">
      <c r="B852" s="28"/>
      <c r="L852" s="15"/>
    </row>
    <row r="853" spans="2:12" ht="12.75">
      <c r="B853" s="28"/>
      <c r="L853" s="15"/>
    </row>
    <row r="854" spans="2:12" ht="12.75">
      <c r="B854" s="28"/>
      <c r="L854" s="15"/>
    </row>
    <row r="855" spans="2:12" ht="12.75">
      <c r="B855" s="28"/>
      <c r="L855" s="15"/>
    </row>
    <row r="856" spans="2:12" ht="12.75">
      <c r="B856" s="28"/>
      <c r="L856" s="15"/>
    </row>
    <row r="857" spans="2:12" ht="12.75">
      <c r="B857" s="28"/>
      <c r="L857" s="15"/>
    </row>
    <row r="858" spans="2:12" ht="12.75">
      <c r="B858" s="28"/>
      <c r="L858" s="15"/>
    </row>
    <row r="859" spans="2:12" ht="12.75">
      <c r="B859" s="28"/>
      <c r="L859" s="15"/>
    </row>
    <row r="860" spans="2:12" ht="12.75">
      <c r="B860" s="28"/>
      <c r="L860" s="15"/>
    </row>
    <row r="861" spans="2:12" ht="12.75">
      <c r="B861" s="28"/>
      <c r="L861" s="15"/>
    </row>
    <row r="862" spans="2:12" ht="12.75">
      <c r="B862" s="28"/>
      <c r="L862" s="15"/>
    </row>
    <row r="863" spans="2:12" ht="12.75">
      <c r="B863" s="28"/>
      <c r="L863" s="15"/>
    </row>
    <row r="864" spans="2:12" ht="12.75">
      <c r="B864" s="28"/>
      <c r="L864" s="15"/>
    </row>
    <row r="865" spans="2:12" ht="12.75">
      <c r="B865" s="28"/>
      <c r="L865" s="15"/>
    </row>
    <row r="866" spans="2:12" ht="12.75">
      <c r="B866" s="28"/>
      <c r="L866" s="15"/>
    </row>
    <row r="867" spans="2:12" ht="12.75">
      <c r="B867" s="28"/>
      <c r="L867" s="15"/>
    </row>
    <row r="868" spans="2:12" ht="12.75">
      <c r="B868" s="28"/>
      <c r="L868" s="15"/>
    </row>
    <row r="869" spans="2:12" ht="12.75">
      <c r="B869" s="28"/>
      <c r="L869" s="15"/>
    </row>
    <row r="870" spans="2:12" ht="12.75">
      <c r="B870" s="28"/>
      <c r="L870" s="15"/>
    </row>
    <row r="871" spans="2:12" ht="12.75">
      <c r="B871" s="28"/>
      <c r="L871" s="15"/>
    </row>
    <row r="872" spans="2:12" ht="12.75">
      <c r="B872" s="28"/>
      <c r="L872" s="15"/>
    </row>
    <row r="873" spans="2:12" ht="12.75">
      <c r="B873" s="28"/>
      <c r="L873" s="15"/>
    </row>
    <row r="874" spans="2:12" ht="12.75">
      <c r="B874" s="28"/>
      <c r="L874" s="15"/>
    </row>
    <row r="875" spans="2:12" ht="12.75">
      <c r="B875" s="28"/>
      <c r="L875" s="15"/>
    </row>
    <row r="876" spans="2:12" ht="12.75">
      <c r="B876" s="28"/>
      <c r="L876" s="15"/>
    </row>
    <row r="877" spans="2:12" ht="12.75">
      <c r="B877" s="28"/>
      <c r="L877" s="15"/>
    </row>
    <row r="878" spans="2:12" ht="12.75">
      <c r="B878" s="28"/>
      <c r="L878" s="15"/>
    </row>
    <row r="879" spans="2:12" ht="12.75">
      <c r="B879" s="28"/>
      <c r="L879" s="15"/>
    </row>
    <row r="880" spans="2:12" ht="12.75">
      <c r="B880" s="28"/>
      <c r="L880" s="15"/>
    </row>
    <row r="881" spans="2:12" ht="12.75">
      <c r="B881" s="28"/>
      <c r="L881" s="15"/>
    </row>
    <row r="882" spans="2:12" ht="12.75">
      <c r="B882" s="28"/>
      <c r="L882" s="15"/>
    </row>
    <row r="883" spans="2:12" ht="12.75">
      <c r="B883" s="28"/>
      <c r="L883" s="15"/>
    </row>
    <row r="884" spans="2:12" ht="12.75">
      <c r="B884" s="28"/>
      <c r="L884" s="15"/>
    </row>
    <row r="885" spans="2:12" ht="12.75">
      <c r="B885" s="28"/>
      <c r="L885" s="15"/>
    </row>
    <row r="886" spans="2:12" ht="12.75">
      <c r="B886" s="28"/>
      <c r="L886" s="15"/>
    </row>
    <row r="887" spans="2:12" ht="12.75">
      <c r="B887" s="28"/>
      <c r="L887" s="15"/>
    </row>
    <row r="888" spans="2:12" ht="12.75">
      <c r="B888" s="28"/>
      <c r="L888" s="15"/>
    </row>
    <row r="889" spans="2:12" ht="12.75">
      <c r="B889" s="28"/>
      <c r="L889" s="15"/>
    </row>
    <row r="890" spans="2:12" ht="12.75">
      <c r="B890" s="28"/>
      <c r="L890" s="15"/>
    </row>
    <row r="891" spans="2:12" ht="12.75">
      <c r="B891" s="28"/>
      <c r="L891" s="15"/>
    </row>
    <row r="892" spans="2:12" ht="12.75">
      <c r="B892" s="28"/>
      <c r="L892" s="15"/>
    </row>
    <row r="893" spans="2:12" ht="12.75">
      <c r="B893" s="28"/>
      <c r="L893" s="15"/>
    </row>
    <row r="894" spans="2:12" ht="12.75">
      <c r="B894" s="28"/>
      <c r="L894" s="15"/>
    </row>
    <row r="895" spans="2:12" ht="12.75">
      <c r="B895" s="28"/>
      <c r="L895" s="15"/>
    </row>
    <row r="896" spans="2:12" ht="12.75">
      <c r="B896" s="28"/>
      <c r="L896" s="15"/>
    </row>
    <row r="897" spans="2:12" ht="12.75">
      <c r="B897" s="28"/>
      <c r="L897" s="15"/>
    </row>
    <row r="898" spans="2:12" ht="12.75">
      <c r="B898" s="28"/>
      <c r="L898" s="15"/>
    </row>
    <row r="899" spans="2:12" ht="12.75">
      <c r="B899" s="28"/>
      <c r="L899" s="15"/>
    </row>
    <row r="900" spans="2:12" ht="12.75">
      <c r="B900" s="28"/>
      <c r="L900" s="15"/>
    </row>
    <row r="901" spans="2:12" ht="12.75">
      <c r="B901" s="28"/>
      <c r="L901" s="15"/>
    </row>
    <row r="902" spans="2:12" ht="12.75">
      <c r="B902" s="28"/>
      <c r="L902" s="15"/>
    </row>
    <row r="903" spans="2:12" ht="12.75">
      <c r="B903" s="28"/>
      <c r="L903" s="15"/>
    </row>
    <row r="904" spans="2:12" ht="12.75">
      <c r="B904" s="28"/>
      <c r="L904" s="15"/>
    </row>
    <row r="905" spans="2:12" ht="12.75">
      <c r="B905" s="28"/>
      <c r="L905" s="15"/>
    </row>
    <row r="906" spans="2:12" ht="12.75">
      <c r="B906" s="28"/>
      <c r="L906" s="15"/>
    </row>
    <row r="907" spans="2:12" ht="12.75">
      <c r="B907" s="28"/>
      <c r="L907" s="15"/>
    </row>
    <row r="908" spans="2:12" ht="12.75">
      <c r="B908" s="28"/>
      <c r="L908" s="15"/>
    </row>
    <row r="909" spans="2:12" ht="12.75">
      <c r="B909" s="28"/>
      <c r="L909" s="15"/>
    </row>
    <row r="910" spans="2:12" ht="12.75">
      <c r="B910" s="28"/>
      <c r="L910" s="15"/>
    </row>
    <row r="911" spans="2:12" ht="12.75">
      <c r="B911" s="28"/>
      <c r="L911" s="15"/>
    </row>
    <row r="912" spans="2:12" ht="12.75">
      <c r="B912" s="28"/>
      <c r="L912" s="15"/>
    </row>
    <row r="913" spans="2:12" ht="12.75">
      <c r="B913" s="28"/>
      <c r="L913" s="15"/>
    </row>
    <row r="914" spans="2:12" ht="12.75">
      <c r="B914" s="28"/>
      <c r="L914" s="15"/>
    </row>
    <row r="915" spans="2:12" ht="12.75">
      <c r="B915" s="28"/>
      <c r="L915" s="15"/>
    </row>
    <row r="916" spans="2:12" ht="12.75">
      <c r="B916" s="28"/>
      <c r="L916" s="15"/>
    </row>
    <row r="917" spans="2:12" ht="12.75">
      <c r="B917" s="28"/>
      <c r="L917" s="15"/>
    </row>
    <row r="918" spans="2:12" ht="12.75">
      <c r="B918" s="28"/>
      <c r="L918" s="15"/>
    </row>
    <row r="919" spans="2:12" ht="12.75">
      <c r="B919" s="28"/>
      <c r="L919" s="15"/>
    </row>
    <row r="920" spans="2:12" ht="12.75">
      <c r="B920" s="28"/>
      <c r="L920" s="15"/>
    </row>
    <row r="921" spans="2:12" ht="12.75">
      <c r="B921" s="28"/>
      <c r="L921" s="15"/>
    </row>
    <row r="922" spans="2:12" ht="12.75">
      <c r="B922" s="28"/>
      <c r="L922" s="15"/>
    </row>
    <row r="923" spans="2:12" ht="12.75">
      <c r="B923" s="28"/>
      <c r="L923" s="15"/>
    </row>
    <row r="924" spans="2:12" ht="12.75">
      <c r="B924" s="28"/>
      <c r="L924" s="15"/>
    </row>
    <row r="925" spans="2:12" ht="12.75">
      <c r="B925" s="28"/>
      <c r="L925" s="15"/>
    </row>
    <row r="926" spans="2:12" ht="12.75">
      <c r="B926" s="28"/>
      <c r="L926" s="15"/>
    </row>
    <row r="927" spans="2:12" ht="12.75">
      <c r="B927" s="28"/>
      <c r="L927" s="15"/>
    </row>
    <row r="928" spans="2:12" ht="12.75">
      <c r="B928" s="28"/>
      <c r="L928" s="15"/>
    </row>
    <row r="929" spans="2:12" ht="12.75">
      <c r="B929" s="28"/>
      <c r="L929" s="15"/>
    </row>
    <row r="930" spans="2:12" ht="12.75">
      <c r="B930" s="28"/>
      <c r="L930" s="15"/>
    </row>
    <row r="931" spans="2:12" ht="12.75">
      <c r="B931" s="28"/>
      <c r="L931" s="15"/>
    </row>
    <row r="932" spans="2:12" ht="12.75">
      <c r="B932" s="28"/>
      <c r="L932" s="15"/>
    </row>
    <row r="933" spans="2:12" ht="12.75">
      <c r="B933" s="28"/>
      <c r="L933" s="15"/>
    </row>
    <row r="934" spans="2:12" ht="12.75">
      <c r="B934" s="28"/>
      <c r="L934" s="15"/>
    </row>
    <row r="935" spans="2:12" ht="12.75">
      <c r="B935" s="28"/>
      <c r="L935" s="15"/>
    </row>
    <row r="936" spans="2:12" ht="12.75">
      <c r="B936" s="28"/>
      <c r="L936" s="15"/>
    </row>
    <row r="937" spans="2:12" ht="12.75">
      <c r="B937" s="28"/>
      <c r="L937" s="15"/>
    </row>
    <row r="938" spans="2:12" ht="12.75">
      <c r="B938" s="28"/>
      <c r="L938" s="15"/>
    </row>
    <row r="939" spans="2:12" ht="12.75">
      <c r="B939" s="28"/>
      <c r="L939" s="15"/>
    </row>
    <row r="940" spans="2:12" ht="12.75">
      <c r="B940" s="28"/>
      <c r="L940" s="15"/>
    </row>
    <row r="941" spans="2:12" ht="12.75">
      <c r="B941" s="28"/>
      <c r="L941" s="15"/>
    </row>
    <row r="942" spans="2:12" ht="12.75">
      <c r="B942" s="28"/>
      <c r="L942" s="15"/>
    </row>
    <row r="943" spans="2:12" ht="12.75">
      <c r="B943" s="28"/>
      <c r="L943" s="15"/>
    </row>
    <row r="944" spans="2:12" ht="12.75">
      <c r="B944" s="28"/>
      <c r="L944" s="15"/>
    </row>
    <row r="945" spans="2:12" ht="12.75">
      <c r="B945" s="28"/>
      <c r="L945" s="15"/>
    </row>
    <row r="946" spans="2:12" ht="12.75">
      <c r="B946" s="28"/>
      <c r="L946" s="15"/>
    </row>
    <row r="947" spans="2:12" ht="12.75">
      <c r="B947" s="28"/>
      <c r="L947" s="15"/>
    </row>
    <row r="948" spans="2:12" ht="12.75">
      <c r="B948" s="28"/>
      <c r="L948" s="15"/>
    </row>
    <row r="949" spans="2:12" ht="12.75">
      <c r="B949" s="28"/>
      <c r="L949" s="15"/>
    </row>
    <row r="950" spans="2:12" ht="12.75">
      <c r="B950" s="28"/>
      <c r="L950" s="15"/>
    </row>
    <row r="951" spans="2:12" ht="12.75">
      <c r="B951" s="28"/>
      <c r="L951" s="15"/>
    </row>
    <row r="952" spans="2:12" ht="12.75">
      <c r="B952" s="28"/>
      <c r="L952" s="15"/>
    </row>
    <row r="953" spans="2:12" ht="12.75">
      <c r="B953" s="28"/>
      <c r="L953" s="15"/>
    </row>
    <row r="954" spans="2:12" ht="12.75">
      <c r="B954" s="28"/>
      <c r="L954" s="15"/>
    </row>
    <row r="955" spans="2:12" ht="12.75">
      <c r="B955" s="28"/>
      <c r="L955" s="15"/>
    </row>
    <row r="956" spans="2:12" ht="12.75">
      <c r="B956" s="28"/>
      <c r="L956" s="15"/>
    </row>
    <row r="957" spans="2:12" ht="12.75">
      <c r="B957" s="28"/>
      <c r="L957" s="15"/>
    </row>
    <row r="958" spans="2:12" ht="12.75">
      <c r="B958" s="28"/>
      <c r="L958" s="15"/>
    </row>
    <row r="959" spans="2:12" ht="12.75">
      <c r="B959" s="28"/>
      <c r="L959" s="15"/>
    </row>
    <row r="960" spans="2:12" ht="12.75">
      <c r="B960" s="28"/>
      <c r="L960" s="15"/>
    </row>
    <row r="961" spans="2:12" ht="12.75">
      <c r="B961" s="28"/>
      <c r="L961" s="15"/>
    </row>
    <row r="962" spans="2:12" ht="12.75">
      <c r="B962" s="28"/>
      <c r="L962" s="15"/>
    </row>
    <row r="963" spans="2:12" ht="12.75">
      <c r="B963" s="28"/>
      <c r="L963" s="15"/>
    </row>
    <row r="964" spans="2:12" ht="12.75">
      <c r="B964" s="28"/>
      <c r="L964" s="15"/>
    </row>
    <row r="965" spans="2:12" ht="12.75">
      <c r="B965" s="28"/>
      <c r="L965" s="15"/>
    </row>
    <row r="966" spans="2:12" ht="12.75">
      <c r="B966" s="28"/>
      <c r="L966" s="15"/>
    </row>
    <row r="967" spans="2:12" ht="12.75">
      <c r="B967" s="28"/>
      <c r="L967" s="15"/>
    </row>
    <row r="968" spans="2:12" ht="12.75">
      <c r="B968" s="28"/>
      <c r="L968" s="15"/>
    </row>
    <row r="969" spans="2:12" ht="12.75">
      <c r="B969" s="28"/>
      <c r="L969" s="15"/>
    </row>
    <row r="970" spans="2:12" ht="12.75">
      <c r="B970" s="28"/>
      <c r="L970" s="15"/>
    </row>
    <row r="971" spans="2:12" ht="12.75">
      <c r="B971" s="28"/>
      <c r="L971" s="15"/>
    </row>
    <row r="972" spans="2:12" ht="12.75">
      <c r="B972" s="28"/>
      <c r="L972" s="15"/>
    </row>
    <row r="973" spans="2:12" ht="12.75">
      <c r="B973" s="28"/>
      <c r="L973" s="15"/>
    </row>
    <row r="974" spans="2:12" ht="12.75">
      <c r="B974" s="28"/>
      <c r="L974" s="15"/>
    </row>
    <row r="975" spans="2:12" ht="12.75">
      <c r="B975" s="28"/>
      <c r="L975" s="15"/>
    </row>
    <row r="976" spans="2:12" ht="12.75">
      <c r="B976" s="28"/>
      <c r="L976" s="15"/>
    </row>
    <row r="977" spans="2:12" ht="12.75">
      <c r="B977" s="28"/>
      <c r="L977" s="15"/>
    </row>
    <row r="978" spans="2:12" ht="12.75">
      <c r="B978" s="28"/>
      <c r="L978" s="15"/>
    </row>
    <row r="979" spans="2:12" ht="12.75">
      <c r="B979" s="28"/>
      <c r="L979" s="15"/>
    </row>
    <row r="980" spans="2:12" ht="12.75">
      <c r="B980" s="28"/>
      <c r="L980" s="15"/>
    </row>
    <row r="981" spans="2:12" ht="12.75">
      <c r="B981" s="28"/>
      <c r="L981" s="15"/>
    </row>
    <row r="982" spans="2:12" ht="12.75">
      <c r="B982" s="28"/>
      <c r="L982" s="15"/>
    </row>
    <row r="983" spans="2:12" ht="12.75">
      <c r="B983" s="28"/>
      <c r="L983" s="15"/>
    </row>
    <row r="984" spans="2:12" ht="12.75">
      <c r="B984" s="28"/>
      <c r="L984" s="15"/>
    </row>
    <row r="985" spans="2:12" ht="12.75">
      <c r="B985" s="28"/>
      <c r="L985" s="15"/>
    </row>
    <row r="986" spans="2:12" ht="12.75">
      <c r="B986" s="28"/>
      <c r="L986" s="15"/>
    </row>
    <row r="987" spans="2:12" ht="12.75">
      <c r="B987" s="28"/>
      <c r="L987" s="15"/>
    </row>
    <row r="988" spans="2:12" ht="12.75">
      <c r="B988" s="28"/>
      <c r="L988" s="15"/>
    </row>
    <row r="989" spans="2:12" ht="12.75">
      <c r="B989" s="28"/>
      <c r="L989" s="15"/>
    </row>
    <row r="990" spans="2:12" ht="12.75">
      <c r="B990" s="28"/>
      <c r="L990" s="15"/>
    </row>
    <row r="991" spans="2:12" ht="12.75">
      <c r="B991" s="28"/>
      <c r="L991" s="15"/>
    </row>
    <row r="992" spans="2:12" ht="12.75">
      <c r="B992" s="28"/>
      <c r="L992" s="15"/>
    </row>
  </sheetData>
  <mergeCells count="1">
    <mergeCell ref="C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O232"/>
  <sheetViews>
    <sheetView workbookViewId="0">
      <pane ySplit="1" topLeftCell="A2" activePane="bottomLeft" state="frozen"/>
      <selection pane="bottomLeft" activeCell="B3" sqref="B3"/>
    </sheetView>
  </sheetViews>
  <sheetFormatPr defaultColWidth="12.5703125" defaultRowHeight="15.75" customHeight="1"/>
  <cols>
    <col min="1" max="2" width="8.42578125" customWidth="1"/>
    <col min="3" max="3" width="7.7109375" customWidth="1"/>
    <col min="4" max="4" width="21.85546875" customWidth="1"/>
    <col min="5" max="5" width="38.42578125" customWidth="1"/>
    <col min="6" max="6" width="13" customWidth="1"/>
    <col min="7" max="7" width="13.5703125" customWidth="1"/>
    <col min="8" max="8" width="13" customWidth="1"/>
    <col min="10" max="10" width="16.7109375" customWidth="1"/>
    <col min="11" max="12" width="15.5703125" customWidth="1"/>
    <col min="14" max="15" width="15.5703125" customWidth="1"/>
    <col min="16" max="16" width="11.140625" customWidth="1"/>
    <col min="17" max="17" width="13" customWidth="1"/>
    <col min="18" max="18" width="14.42578125" customWidth="1"/>
    <col min="19" max="19" width="19.42578125" customWidth="1"/>
    <col min="20" max="20" width="24" customWidth="1"/>
    <col min="21" max="21" width="12.42578125" customWidth="1"/>
    <col min="22" max="22" width="12" customWidth="1"/>
    <col min="23" max="23" width="13.28515625" customWidth="1"/>
    <col min="24" max="24" width="10.7109375" customWidth="1"/>
    <col min="25" max="25" width="11.140625" customWidth="1"/>
    <col min="26" max="26" width="16.28515625" customWidth="1"/>
    <col min="27" max="27" width="13" customWidth="1"/>
    <col min="28" max="28" width="15.28515625" customWidth="1"/>
    <col min="29" max="29" width="13.7109375" customWidth="1"/>
    <col min="30" max="30" width="20.140625" customWidth="1"/>
    <col min="31" max="31" width="12.42578125" customWidth="1"/>
    <col min="32" max="32" width="11.28515625" customWidth="1"/>
    <col min="33" max="33" width="24.42578125" customWidth="1"/>
    <col min="34" max="34" width="19.28515625" customWidth="1"/>
    <col min="35" max="35" width="16.7109375" customWidth="1"/>
    <col min="36" max="36" width="13" customWidth="1"/>
    <col min="37" max="38" width="11.140625" customWidth="1"/>
    <col min="39" max="39" width="17.5703125" customWidth="1"/>
    <col min="40" max="40" width="12.42578125" customWidth="1"/>
    <col min="41" max="41" width="13" customWidth="1"/>
    <col min="42" max="42" width="20" customWidth="1"/>
    <col min="43" max="43" width="24.7109375" customWidth="1"/>
    <col min="44" max="44" width="10.7109375" customWidth="1"/>
    <col min="45" max="46" width="11.140625" customWidth="1"/>
    <col min="47" max="47" width="15.5703125" customWidth="1"/>
    <col min="48" max="48" width="13.28515625" customWidth="1"/>
    <col min="49" max="49" width="12.42578125" customWidth="1"/>
    <col min="50" max="50" width="23.42578125" customWidth="1"/>
    <col min="51" max="51" width="13" customWidth="1"/>
    <col min="52" max="52" width="25" customWidth="1"/>
    <col min="53" max="53" width="14" customWidth="1"/>
    <col min="54" max="54" width="13.85546875" customWidth="1"/>
    <col min="55" max="55" width="13.7109375" customWidth="1"/>
    <col min="56" max="56" width="13.28515625" customWidth="1"/>
    <col min="57" max="57" width="20.5703125" customWidth="1"/>
    <col min="58" max="58" width="13.7109375" customWidth="1"/>
    <col min="59" max="59" width="21.7109375" customWidth="1"/>
    <col min="60" max="60" width="22.42578125" customWidth="1"/>
    <col min="61" max="61" width="12.42578125" customWidth="1"/>
    <col min="62" max="62" width="20" customWidth="1"/>
    <col min="63" max="63" width="12.42578125" customWidth="1"/>
    <col min="64" max="64" width="13" customWidth="1"/>
    <col min="65" max="65" width="14.5703125" customWidth="1"/>
    <col min="66" max="66" width="11.42578125" customWidth="1"/>
    <col min="67" max="67" width="17.42578125" customWidth="1"/>
    <col min="68" max="68" width="13.28515625" customWidth="1"/>
    <col min="69" max="69" width="15.5703125" customWidth="1"/>
    <col min="70" max="70" width="13.7109375" customWidth="1"/>
    <col min="71" max="71" width="18.140625" customWidth="1"/>
    <col min="72" max="119" width="13.7109375" customWidth="1"/>
  </cols>
  <sheetData>
    <row r="1" spans="1:119" ht="15.75" customHeight="1">
      <c r="A1" s="31"/>
      <c r="B1" s="11" t="s">
        <v>82</v>
      </c>
      <c r="C1" s="11" t="s">
        <v>83</v>
      </c>
      <c r="D1" s="11" t="s">
        <v>84</v>
      </c>
      <c r="E1" s="11" t="s">
        <v>85</v>
      </c>
      <c r="F1" s="11" t="s">
        <v>86</v>
      </c>
      <c r="G1" s="32" t="s">
        <v>87</v>
      </c>
      <c r="H1" s="32" t="s">
        <v>88</v>
      </c>
      <c r="J1" s="139" t="s">
        <v>89</v>
      </c>
      <c r="K1" s="140"/>
      <c r="L1" s="33"/>
      <c r="M1" s="33"/>
      <c r="N1" s="34"/>
      <c r="O1" s="35" t="s">
        <v>90</v>
      </c>
      <c r="P1" s="36" t="s">
        <v>91</v>
      </c>
      <c r="Q1" s="36" t="s">
        <v>92</v>
      </c>
      <c r="R1" s="36" t="s">
        <v>26</v>
      </c>
      <c r="S1" s="36" t="s">
        <v>6</v>
      </c>
      <c r="T1" s="36" t="s">
        <v>71</v>
      </c>
      <c r="U1" s="36" t="s">
        <v>72</v>
      </c>
      <c r="V1" s="36" t="s">
        <v>93</v>
      </c>
      <c r="W1" s="36" t="s">
        <v>57</v>
      </c>
      <c r="X1" s="36" t="s">
        <v>94</v>
      </c>
      <c r="Y1" s="36" t="s">
        <v>95</v>
      </c>
      <c r="Z1" s="36" t="s">
        <v>96</v>
      </c>
      <c r="AA1" s="36" t="s">
        <v>97</v>
      </c>
      <c r="AB1" s="36" t="s">
        <v>27</v>
      </c>
      <c r="AC1" s="36" t="s">
        <v>98</v>
      </c>
      <c r="AD1" s="36" t="s">
        <v>73</v>
      </c>
      <c r="AE1" s="36" t="s">
        <v>2</v>
      </c>
      <c r="AF1" s="36" t="s">
        <v>99</v>
      </c>
      <c r="AG1" s="36" t="s">
        <v>100</v>
      </c>
      <c r="AH1" s="36" t="s">
        <v>69</v>
      </c>
      <c r="AI1" s="36" t="s">
        <v>6</v>
      </c>
      <c r="AJ1" s="36" t="s">
        <v>101</v>
      </c>
      <c r="AK1" s="36" t="s">
        <v>102</v>
      </c>
      <c r="AL1" s="36" t="s">
        <v>103</v>
      </c>
      <c r="AM1" s="36" t="s">
        <v>57</v>
      </c>
      <c r="AN1" s="36" t="s">
        <v>104</v>
      </c>
      <c r="AO1" s="36" t="s">
        <v>92</v>
      </c>
      <c r="AP1" s="36" t="s">
        <v>105</v>
      </c>
      <c r="AQ1" s="36" t="s">
        <v>39</v>
      </c>
      <c r="AR1" s="36" t="s">
        <v>106</v>
      </c>
      <c r="AS1" s="36" t="s">
        <v>107</v>
      </c>
      <c r="AT1" s="36" t="s">
        <v>93</v>
      </c>
      <c r="AU1" s="36" t="s">
        <v>35</v>
      </c>
      <c r="AV1" s="36" t="s">
        <v>57</v>
      </c>
      <c r="AW1" s="36" t="s">
        <v>104</v>
      </c>
      <c r="AX1" s="36" t="s">
        <v>108</v>
      </c>
      <c r="AY1" s="36" t="s">
        <v>5</v>
      </c>
      <c r="AZ1" s="36" t="s">
        <v>97</v>
      </c>
      <c r="BA1" s="36" t="s">
        <v>109</v>
      </c>
      <c r="BB1" s="36" t="s">
        <v>110</v>
      </c>
      <c r="BC1" s="36" t="s">
        <v>111</v>
      </c>
      <c r="BD1" s="36" t="s">
        <v>112</v>
      </c>
      <c r="BE1" s="36" t="s">
        <v>113</v>
      </c>
      <c r="BF1" s="36" t="s">
        <v>105</v>
      </c>
      <c r="BG1" s="36" t="s">
        <v>39</v>
      </c>
      <c r="BH1" s="36" t="s">
        <v>109</v>
      </c>
      <c r="BI1" s="36" t="s">
        <v>72</v>
      </c>
      <c r="BJ1" s="36" t="s">
        <v>93</v>
      </c>
      <c r="BK1" s="36" t="s">
        <v>2</v>
      </c>
      <c r="BL1" s="36" t="s">
        <v>3</v>
      </c>
      <c r="BM1" s="36" t="s">
        <v>95</v>
      </c>
      <c r="BN1" s="36" t="s">
        <v>26</v>
      </c>
      <c r="BO1" s="36" t="s">
        <v>59</v>
      </c>
      <c r="BP1" s="36" t="s">
        <v>114</v>
      </c>
      <c r="BQ1" s="36" t="s">
        <v>107</v>
      </c>
      <c r="BR1" s="36" t="s">
        <v>111</v>
      </c>
      <c r="BS1" s="36" t="s">
        <v>35</v>
      </c>
      <c r="BT1" s="36" t="s">
        <v>115</v>
      </c>
      <c r="BU1" s="36" t="s">
        <v>108</v>
      </c>
      <c r="BV1" s="36" t="s">
        <v>38</v>
      </c>
      <c r="BW1" s="36" t="s">
        <v>70</v>
      </c>
      <c r="BX1" s="36" t="s">
        <v>114</v>
      </c>
      <c r="BY1" s="36" t="s">
        <v>110</v>
      </c>
      <c r="BZ1" s="36" t="s">
        <v>103</v>
      </c>
      <c r="CA1" s="36" t="s">
        <v>57</v>
      </c>
      <c r="CB1" s="36" t="s">
        <v>48</v>
      </c>
      <c r="CC1" s="36" t="s">
        <v>113</v>
      </c>
      <c r="CD1" s="36" t="s">
        <v>26</v>
      </c>
      <c r="CE1" s="36" t="s">
        <v>116</v>
      </c>
      <c r="CF1" s="36" t="s">
        <v>101</v>
      </c>
      <c r="CG1" s="36" t="s">
        <v>98</v>
      </c>
      <c r="CH1" s="36" t="s">
        <v>103</v>
      </c>
      <c r="CI1" s="36" t="s">
        <v>117</v>
      </c>
      <c r="CJ1" s="36" t="s">
        <v>94</v>
      </c>
      <c r="CK1" s="36" t="s">
        <v>100</v>
      </c>
      <c r="CL1" s="36" t="s">
        <v>5</v>
      </c>
      <c r="CM1" s="36" t="s">
        <v>97</v>
      </c>
      <c r="CN1" s="36" t="s">
        <v>27</v>
      </c>
      <c r="CO1" s="36" t="s">
        <v>107</v>
      </c>
      <c r="CP1" s="36" t="s">
        <v>118</v>
      </c>
      <c r="CQ1" s="36" t="s">
        <v>57</v>
      </c>
      <c r="CR1" s="36" t="s">
        <v>91</v>
      </c>
      <c r="CS1" s="36" t="s">
        <v>95</v>
      </c>
      <c r="CT1" s="36" t="s">
        <v>26</v>
      </c>
      <c r="CU1" s="36" t="s">
        <v>97</v>
      </c>
      <c r="CV1" s="36" t="s">
        <v>106</v>
      </c>
      <c r="CW1" s="36" t="s">
        <v>98</v>
      </c>
      <c r="CX1" s="36" t="s">
        <v>119</v>
      </c>
      <c r="CY1" s="36" t="s">
        <v>25</v>
      </c>
      <c r="CZ1" s="36" t="s">
        <v>91</v>
      </c>
      <c r="DA1" s="36" t="s">
        <v>100</v>
      </c>
      <c r="DB1" s="36" t="s">
        <v>120</v>
      </c>
      <c r="DC1" s="36" t="s">
        <v>39</v>
      </c>
      <c r="DD1" s="36" t="s">
        <v>106</v>
      </c>
      <c r="DE1" s="36" t="s">
        <v>60</v>
      </c>
      <c r="DF1" s="36" t="s">
        <v>119</v>
      </c>
      <c r="DG1" s="36" t="s">
        <v>2</v>
      </c>
      <c r="DH1" s="36" t="s">
        <v>99</v>
      </c>
      <c r="DI1" s="36" t="s">
        <v>37</v>
      </c>
      <c r="DJ1" s="36" t="s">
        <v>105</v>
      </c>
      <c r="DK1" s="36" t="s">
        <v>121</v>
      </c>
      <c r="DL1" s="36" t="s">
        <v>40</v>
      </c>
      <c r="DM1" s="36" t="s">
        <v>60</v>
      </c>
      <c r="DN1" s="36" t="s">
        <v>122</v>
      </c>
      <c r="DO1" s="36"/>
    </row>
    <row r="2" spans="1:119" ht="15.75" customHeight="1">
      <c r="B2" s="37">
        <v>1</v>
      </c>
      <c r="C2" s="37">
        <v>1962</v>
      </c>
      <c r="D2" s="37" t="s">
        <v>123</v>
      </c>
      <c r="E2" s="38" t="s">
        <v>124</v>
      </c>
      <c r="F2" s="39">
        <v>8.8666666666666654</v>
      </c>
      <c r="G2" s="39">
        <v>1.1696007934540043</v>
      </c>
      <c r="H2" s="37" t="s">
        <v>20</v>
      </c>
      <c r="J2" s="37" t="s">
        <v>125</v>
      </c>
      <c r="K2" s="40" t="s">
        <v>126</v>
      </c>
      <c r="N2" s="41" t="s">
        <v>8</v>
      </c>
      <c r="O2" s="11" t="s">
        <v>127</v>
      </c>
      <c r="P2" s="11" t="s">
        <v>128</v>
      </c>
      <c r="Q2" s="11" t="s">
        <v>129</v>
      </c>
      <c r="R2" s="11" t="s">
        <v>130</v>
      </c>
      <c r="S2" s="11" t="s">
        <v>131</v>
      </c>
      <c r="T2" s="11" t="s">
        <v>132</v>
      </c>
      <c r="U2" s="11" t="s">
        <v>133</v>
      </c>
      <c r="V2" s="11" t="s">
        <v>134</v>
      </c>
      <c r="W2" s="11" t="s">
        <v>135</v>
      </c>
      <c r="X2" s="11" t="s">
        <v>136</v>
      </c>
      <c r="Y2" s="11" t="s">
        <v>137</v>
      </c>
      <c r="Z2" s="11" t="s">
        <v>138</v>
      </c>
      <c r="AA2" s="11" t="s">
        <v>139</v>
      </c>
      <c r="AB2" s="11" t="s">
        <v>140</v>
      </c>
      <c r="AC2" s="11" t="s">
        <v>141</v>
      </c>
      <c r="AD2" s="11" t="s">
        <v>142</v>
      </c>
      <c r="AE2" s="11" t="s">
        <v>143</v>
      </c>
      <c r="AF2" s="11" t="s">
        <v>144</v>
      </c>
      <c r="AG2" s="11" t="s">
        <v>145</v>
      </c>
      <c r="AH2" s="11" t="s">
        <v>146</v>
      </c>
      <c r="AI2" s="11" t="s">
        <v>147</v>
      </c>
      <c r="AJ2" s="11" t="s">
        <v>148</v>
      </c>
      <c r="AK2" s="11" t="s">
        <v>149</v>
      </c>
      <c r="AL2" s="11" t="s">
        <v>150</v>
      </c>
      <c r="AM2" s="11" t="s">
        <v>151</v>
      </c>
      <c r="AN2" s="12" t="s">
        <v>152</v>
      </c>
      <c r="AO2" s="11" t="s">
        <v>153</v>
      </c>
      <c r="AP2" s="11" t="s">
        <v>154</v>
      </c>
      <c r="AQ2" s="11" t="s">
        <v>155</v>
      </c>
      <c r="AR2" s="11" t="s">
        <v>156</v>
      </c>
      <c r="AS2" s="11" t="s">
        <v>157</v>
      </c>
      <c r="AT2" s="11" t="s">
        <v>158</v>
      </c>
      <c r="AU2" s="11" t="s">
        <v>159</v>
      </c>
      <c r="AV2" s="11" t="s">
        <v>160</v>
      </c>
      <c r="AW2" s="12" t="s">
        <v>161</v>
      </c>
      <c r="AX2" s="11" t="s">
        <v>162</v>
      </c>
      <c r="AY2" s="11" t="s">
        <v>163</v>
      </c>
      <c r="AZ2" s="11" t="s">
        <v>164</v>
      </c>
      <c r="BA2" s="11" t="s">
        <v>165</v>
      </c>
      <c r="BB2" s="11" t="s">
        <v>166</v>
      </c>
      <c r="BC2" s="11" t="s">
        <v>167</v>
      </c>
      <c r="BD2" s="12" t="s">
        <v>168</v>
      </c>
      <c r="BE2" s="11" t="s">
        <v>169</v>
      </c>
      <c r="BF2" s="11" t="s">
        <v>170</v>
      </c>
      <c r="BG2" s="11" t="s">
        <v>171</v>
      </c>
      <c r="BH2" s="11" t="s">
        <v>172</v>
      </c>
      <c r="BI2" s="11" t="s">
        <v>173</v>
      </c>
      <c r="BJ2" s="11" t="s">
        <v>174</v>
      </c>
      <c r="BK2" s="11" t="s">
        <v>175</v>
      </c>
      <c r="BL2" s="12" t="s">
        <v>176</v>
      </c>
      <c r="BM2" s="11" t="s">
        <v>177</v>
      </c>
      <c r="BN2" s="11" t="s">
        <v>178</v>
      </c>
      <c r="BO2" s="11" t="s">
        <v>179</v>
      </c>
      <c r="BP2" s="11" t="s">
        <v>180</v>
      </c>
      <c r="BQ2" s="11" t="s">
        <v>181</v>
      </c>
      <c r="BR2" s="11" t="s">
        <v>182</v>
      </c>
      <c r="BS2" s="42" t="s">
        <v>183</v>
      </c>
      <c r="BT2" s="43" t="s">
        <v>184</v>
      </c>
      <c r="BU2" s="42" t="s">
        <v>185</v>
      </c>
      <c r="BV2" s="42" t="s">
        <v>186</v>
      </c>
      <c r="BW2" s="42" t="s">
        <v>187</v>
      </c>
      <c r="BX2" s="42" t="s">
        <v>188</v>
      </c>
      <c r="BY2" s="42" t="s">
        <v>189</v>
      </c>
      <c r="BZ2" s="42" t="s">
        <v>190</v>
      </c>
      <c r="CA2" s="42" t="s">
        <v>191</v>
      </c>
      <c r="CB2" s="42" t="s">
        <v>192</v>
      </c>
      <c r="CC2" s="42" t="s">
        <v>193</v>
      </c>
      <c r="CD2" s="42" t="s">
        <v>194</v>
      </c>
      <c r="CE2" s="42" t="s">
        <v>195</v>
      </c>
      <c r="CF2" s="42" t="s">
        <v>196</v>
      </c>
      <c r="CG2" s="42" t="s">
        <v>197</v>
      </c>
      <c r="CH2" s="42" t="s">
        <v>198</v>
      </c>
      <c r="CI2" s="42" t="s">
        <v>199</v>
      </c>
      <c r="CJ2" s="42" t="s">
        <v>200</v>
      </c>
      <c r="CK2" s="42" t="s">
        <v>201</v>
      </c>
      <c r="CL2" s="42" t="s">
        <v>124</v>
      </c>
      <c r="CM2" s="42" t="s">
        <v>202</v>
      </c>
      <c r="CN2" s="42" t="s">
        <v>203</v>
      </c>
      <c r="CO2" s="42" t="s">
        <v>204</v>
      </c>
      <c r="CP2" s="42" t="s">
        <v>205</v>
      </c>
      <c r="CQ2" s="42" t="s">
        <v>206</v>
      </c>
      <c r="CR2" s="43" t="s">
        <v>207</v>
      </c>
      <c r="CS2" s="42" t="s">
        <v>208</v>
      </c>
      <c r="CT2" s="42" t="s">
        <v>209</v>
      </c>
      <c r="CU2" s="42" t="s">
        <v>210</v>
      </c>
      <c r="CV2" s="42" t="s">
        <v>211</v>
      </c>
      <c r="CW2" s="42" t="s">
        <v>212</v>
      </c>
      <c r="CX2" s="42" t="s">
        <v>213</v>
      </c>
      <c r="CY2" s="42" t="s">
        <v>214</v>
      </c>
      <c r="CZ2" s="43" t="s">
        <v>215</v>
      </c>
      <c r="DA2" s="42" t="s">
        <v>216</v>
      </c>
      <c r="DB2" s="42" t="s">
        <v>217</v>
      </c>
      <c r="DC2" s="42" t="s">
        <v>218</v>
      </c>
      <c r="DD2" s="42" t="s">
        <v>219</v>
      </c>
      <c r="DE2" s="42" t="s">
        <v>220</v>
      </c>
      <c r="DF2" s="42" t="s">
        <v>221</v>
      </c>
      <c r="DG2" s="42" t="s">
        <v>222</v>
      </c>
      <c r="DH2" s="43" t="s">
        <v>223</v>
      </c>
      <c r="DI2" s="42" t="s">
        <v>224</v>
      </c>
      <c r="DJ2" s="42" t="s">
        <v>225</v>
      </c>
      <c r="DK2" s="42" t="s">
        <v>226</v>
      </c>
      <c r="DL2" s="42" t="s">
        <v>227</v>
      </c>
      <c r="DM2" s="42" t="s">
        <v>228</v>
      </c>
      <c r="DN2" s="42" t="s">
        <v>229</v>
      </c>
    </row>
    <row r="3" spans="1:119" ht="15.75" customHeight="1">
      <c r="A3" s="31"/>
      <c r="B3" s="44">
        <v>2</v>
      </c>
      <c r="C3" s="44">
        <v>1993</v>
      </c>
      <c r="D3" s="44" t="s">
        <v>230</v>
      </c>
      <c r="E3" s="45" t="s">
        <v>131</v>
      </c>
      <c r="F3" s="39">
        <v>8.7624999999999993</v>
      </c>
      <c r="G3" s="39">
        <v>1.1193766667450271</v>
      </c>
      <c r="H3" s="46" t="s">
        <v>21</v>
      </c>
      <c r="J3" s="37" t="s">
        <v>231</v>
      </c>
      <c r="K3" s="40" t="s">
        <v>232</v>
      </c>
      <c r="L3" s="33"/>
      <c r="M3" s="33"/>
      <c r="N3" s="38" t="s">
        <v>14</v>
      </c>
      <c r="O3" s="18">
        <v>6.9</v>
      </c>
      <c r="P3" s="18">
        <v>6.7</v>
      </c>
      <c r="Q3" s="18">
        <v>7.3</v>
      </c>
      <c r="R3" s="18">
        <v>7.3</v>
      </c>
      <c r="S3" s="18">
        <v>8.5</v>
      </c>
      <c r="T3" s="18">
        <v>7.6</v>
      </c>
      <c r="U3" s="18">
        <v>8.1</v>
      </c>
      <c r="V3" s="18">
        <v>8</v>
      </c>
      <c r="W3" s="18">
        <v>8.1999999999999993</v>
      </c>
      <c r="X3" s="18">
        <v>7.3</v>
      </c>
      <c r="Y3" s="18">
        <v>8.4</v>
      </c>
      <c r="Z3" s="18">
        <v>8.3000000000000007</v>
      </c>
      <c r="AA3" s="47">
        <v>7</v>
      </c>
      <c r="AB3" s="18">
        <v>7.7</v>
      </c>
      <c r="AC3" s="18">
        <v>8</v>
      </c>
      <c r="AD3" s="18">
        <v>7.2</v>
      </c>
      <c r="AE3" s="18">
        <v>7.6</v>
      </c>
      <c r="AF3" s="18">
        <v>8.1</v>
      </c>
      <c r="AG3" s="18">
        <v>7.5</v>
      </c>
      <c r="AH3" s="18">
        <v>8.1</v>
      </c>
      <c r="AI3" s="18">
        <v>7.4</v>
      </c>
      <c r="AJ3" s="18">
        <v>7.5</v>
      </c>
      <c r="AK3" s="18">
        <v>7.9</v>
      </c>
      <c r="AL3" s="18">
        <v>8</v>
      </c>
      <c r="AM3" s="18">
        <v>8.3000000000000007</v>
      </c>
      <c r="AN3" s="18">
        <v>7.8</v>
      </c>
      <c r="AO3" s="18">
        <v>7.4</v>
      </c>
      <c r="AP3" s="18">
        <v>7</v>
      </c>
      <c r="AQ3" s="18">
        <v>7.1</v>
      </c>
      <c r="AR3" s="18">
        <v>6.8</v>
      </c>
      <c r="AS3" s="19"/>
      <c r="AT3" s="18">
        <v>8.1</v>
      </c>
      <c r="AU3" s="47">
        <v>6.4</v>
      </c>
      <c r="AV3" s="18">
        <v>7.7</v>
      </c>
      <c r="AW3" s="18">
        <v>8.4</v>
      </c>
      <c r="AX3" s="19"/>
      <c r="AY3" s="18">
        <v>8.1</v>
      </c>
      <c r="AZ3" s="19"/>
      <c r="BA3" s="18">
        <v>7.7</v>
      </c>
      <c r="BB3" s="18">
        <v>7.2</v>
      </c>
      <c r="BC3" s="18">
        <v>7.1</v>
      </c>
      <c r="BD3" s="48">
        <v>7.5</v>
      </c>
      <c r="BE3" s="19"/>
      <c r="BF3" s="18">
        <v>7.9</v>
      </c>
      <c r="BG3" s="19"/>
      <c r="BH3" s="19"/>
      <c r="BI3" s="18">
        <v>6.8</v>
      </c>
      <c r="BJ3" s="19"/>
      <c r="BK3" s="47">
        <v>6.4</v>
      </c>
      <c r="BL3" s="18">
        <v>7.6</v>
      </c>
      <c r="BM3" s="18">
        <v>8</v>
      </c>
      <c r="BN3" s="48">
        <v>7.7</v>
      </c>
      <c r="BO3" s="48">
        <v>6.3</v>
      </c>
      <c r="BP3" s="48">
        <v>8.3000000000000007</v>
      </c>
      <c r="BQ3" s="48">
        <v>6.5</v>
      </c>
      <c r="BR3" s="48">
        <v>7.9</v>
      </c>
      <c r="BS3" s="18">
        <v>7.7</v>
      </c>
      <c r="BT3" s="19"/>
      <c r="BU3" s="18">
        <v>8.1</v>
      </c>
      <c r="BV3" s="18">
        <v>8.1</v>
      </c>
      <c r="BW3" s="19"/>
      <c r="BX3" s="19"/>
      <c r="BY3" s="19"/>
      <c r="BZ3" s="18">
        <v>8.8000000000000007</v>
      </c>
      <c r="CA3" s="19"/>
      <c r="CB3" s="19"/>
      <c r="CC3" s="19"/>
      <c r="CD3" s="19"/>
      <c r="CE3" s="18">
        <v>8.4</v>
      </c>
      <c r="CF3" s="18">
        <v>7.7</v>
      </c>
      <c r="CG3" s="18">
        <v>7.9</v>
      </c>
      <c r="CH3" s="18">
        <v>7.2</v>
      </c>
      <c r="CI3" s="18">
        <v>7.6</v>
      </c>
      <c r="CJ3" s="18">
        <v>8.1</v>
      </c>
      <c r="CK3" s="18">
        <v>6.5</v>
      </c>
      <c r="CL3" s="19"/>
      <c r="CM3" s="18">
        <v>7.9</v>
      </c>
      <c r="CN3" s="18">
        <v>6.9</v>
      </c>
      <c r="CO3" s="18">
        <v>6.8</v>
      </c>
      <c r="CP3" s="18">
        <v>7.9</v>
      </c>
      <c r="CQ3" s="18">
        <v>7.1</v>
      </c>
      <c r="CR3" s="18">
        <v>8</v>
      </c>
      <c r="CS3" s="19"/>
      <c r="CT3" s="18">
        <v>7.5</v>
      </c>
      <c r="CU3" s="18">
        <v>7.8</v>
      </c>
      <c r="CV3" s="19"/>
      <c r="CW3" s="18">
        <v>8.1</v>
      </c>
      <c r="CX3" s="18">
        <v>8</v>
      </c>
      <c r="CY3" s="18">
        <v>7.7</v>
      </c>
      <c r="CZ3" s="18">
        <v>8.1999999999999993</v>
      </c>
      <c r="DA3" s="48">
        <v>8</v>
      </c>
      <c r="DB3" s="47">
        <v>7.4</v>
      </c>
      <c r="DC3" s="47">
        <v>7.7</v>
      </c>
      <c r="DD3" s="47">
        <v>8.1</v>
      </c>
      <c r="DE3" s="48">
        <v>10</v>
      </c>
      <c r="DF3" s="19"/>
      <c r="DG3" s="47">
        <v>8.1</v>
      </c>
      <c r="DH3" s="18">
        <v>8.1</v>
      </c>
      <c r="DI3" s="18">
        <v>8.1999999999999993</v>
      </c>
      <c r="DJ3" s="19"/>
      <c r="DK3" s="18">
        <v>8.1999999999999993</v>
      </c>
      <c r="DL3" s="19"/>
      <c r="DM3" s="18">
        <v>6.2</v>
      </c>
      <c r="DN3" s="19"/>
      <c r="DO3" s="49"/>
    </row>
    <row r="4" spans="1:119" ht="15.75" customHeight="1">
      <c r="A4" s="50"/>
      <c r="B4" s="44">
        <v>3</v>
      </c>
      <c r="C4" s="44">
        <v>1993</v>
      </c>
      <c r="D4" s="44" t="s">
        <v>233</v>
      </c>
      <c r="E4" s="45" t="s">
        <v>164</v>
      </c>
      <c r="F4" s="39">
        <v>8.76</v>
      </c>
      <c r="G4" s="39">
        <v>1.1053054844877432</v>
      </c>
      <c r="H4" s="46" t="s">
        <v>17</v>
      </c>
      <c r="J4" s="37" t="s">
        <v>234</v>
      </c>
      <c r="K4" s="40" t="s">
        <v>235</v>
      </c>
      <c r="L4" s="33"/>
      <c r="M4" s="33"/>
      <c r="N4" s="38" t="s">
        <v>236</v>
      </c>
      <c r="O4" s="18">
        <v>6.2</v>
      </c>
      <c r="P4" s="18">
        <v>7.3</v>
      </c>
      <c r="Q4" s="18">
        <v>6.9</v>
      </c>
      <c r="R4" s="18">
        <v>6.1</v>
      </c>
      <c r="S4" s="18">
        <v>8.1</v>
      </c>
      <c r="T4" s="18">
        <v>7.9</v>
      </c>
      <c r="U4" s="18">
        <v>8.4</v>
      </c>
      <c r="V4" s="18">
        <v>7.8</v>
      </c>
      <c r="W4" s="18">
        <v>7.1</v>
      </c>
      <c r="X4" s="48">
        <v>7.4</v>
      </c>
      <c r="Y4" s="18">
        <v>8</v>
      </c>
      <c r="Z4" s="18">
        <v>8.3000000000000007</v>
      </c>
      <c r="AA4" s="47">
        <v>6.8</v>
      </c>
      <c r="AB4" s="18">
        <v>7.8</v>
      </c>
      <c r="AC4" s="18">
        <v>8.1999999999999993</v>
      </c>
      <c r="AD4" s="18">
        <v>6.9</v>
      </c>
      <c r="AE4" s="18">
        <v>7.6</v>
      </c>
      <c r="AF4" s="48">
        <v>7.8</v>
      </c>
      <c r="AG4" s="18">
        <v>7.6</v>
      </c>
      <c r="AH4" s="18">
        <v>8.1999999999999993</v>
      </c>
      <c r="AI4" s="18">
        <v>7.2</v>
      </c>
      <c r="AJ4" s="18">
        <v>7</v>
      </c>
      <c r="AK4" s="18">
        <v>8.1</v>
      </c>
      <c r="AL4" s="18">
        <v>8.4</v>
      </c>
      <c r="AM4" s="18">
        <v>8.4</v>
      </c>
      <c r="AN4" s="48">
        <v>7.9</v>
      </c>
      <c r="AO4" s="18">
        <v>7.8</v>
      </c>
      <c r="AP4" s="18">
        <v>6.9</v>
      </c>
      <c r="AQ4" s="48">
        <v>7</v>
      </c>
      <c r="AR4" s="48">
        <v>7.5</v>
      </c>
      <c r="AS4" s="48">
        <v>7.1</v>
      </c>
      <c r="AT4" s="48">
        <v>8</v>
      </c>
      <c r="AU4" s="47">
        <v>6</v>
      </c>
      <c r="AV4" s="18">
        <v>7.8</v>
      </c>
      <c r="AW4" s="48">
        <v>9.1</v>
      </c>
      <c r="AX4" s="19"/>
      <c r="AY4" s="18">
        <v>8.8000000000000007</v>
      </c>
      <c r="AZ4" s="19"/>
      <c r="BA4" s="18">
        <v>8</v>
      </c>
      <c r="BB4" s="18">
        <v>6.5</v>
      </c>
      <c r="BC4" s="18">
        <v>7</v>
      </c>
      <c r="BD4" s="48">
        <v>7.8</v>
      </c>
      <c r="BE4" s="19"/>
      <c r="BF4" s="18">
        <v>7.6</v>
      </c>
      <c r="BG4" s="19"/>
      <c r="BH4" s="19"/>
      <c r="BI4" s="18">
        <v>6.6</v>
      </c>
      <c r="BJ4" s="19"/>
      <c r="BK4" s="47">
        <v>6.1</v>
      </c>
      <c r="BL4" s="18">
        <v>8</v>
      </c>
      <c r="BM4" s="18">
        <v>8.3000000000000007</v>
      </c>
      <c r="BN4" s="48">
        <v>7.5</v>
      </c>
      <c r="BO4" s="48">
        <v>6.1</v>
      </c>
      <c r="BP4" s="48">
        <v>8.5</v>
      </c>
      <c r="BQ4" s="48">
        <v>7.5</v>
      </c>
      <c r="BR4" s="48">
        <v>7.6</v>
      </c>
      <c r="BS4" s="18">
        <v>7.1</v>
      </c>
      <c r="BT4" s="19"/>
      <c r="BU4" s="18">
        <v>7.5</v>
      </c>
      <c r="BV4" s="18">
        <v>7.9</v>
      </c>
      <c r="BW4" s="19"/>
      <c r="BX4" s="19"/>
      <c r="BY4" s="19"/>
      <c r="BZ4" s="18">
        <v>8</v>
      </c>
      <c r="CA4" s="19"/>
      <c r="CB4" s="19"/>
      <c r="CC4" s="19"/>
      <c r="CD4" s="19"/>
      <c r="CE4" s="18">
        <v>8.5</v>
      </c>
      <c r="CF4" s="19"/>
      <c r="CG4" s="18">
        <v>7</v>
      </c>
      <c r="CH4" s="18">
        <v>7</v>
      </c>
      <c r="CI4" s="18">
        <v>7.3</v>
      </c>
      <c r="CJ4" s="18">
        <v>8.1</v>
      </c>
      <c r="CK4" s="18">
        <v>6</v>
      </c>
      <c r="CL4" s="19"/>
      <c r="CM4" s="19"/>
      <c r="CN4" s="19"/>
      <c r="CO4" s="19"/>
      <c r="CP4" s="19"/>
      <c r="CQ4" s="18">
        <v>6</v>
      </c>
      <c r="CR4" s="18">
        <v>8.1999999999999993</v>
      </c>
      <c r="CS4" s="19"/>
      <c r="CT4" s="18">
        <v>7.3</v>
      </c>
      <c r="CU4" s="18">
        <v>6</v>
      </c>
      <c r="CV4" s="19"/>
      <c r="CW4" s="19"/>
      <c r="CX4" s="19"/>
      <c r="CY4" s="19"/>
      <c r="CZ4" s="19"/>
      <c r="DA4" s="19"/>
      <c r="DB4" s="19"/>
      <c r="DC4" s="19"/>
      <c r="DD4" s="19"/>
      <c r="DE4" s="48">
        <v>10</v>
      </c>
      <c r="DF4" s="48">
        <v>8.1999999999999993</v>
      </c>
      <c r="DG4" s="19"/>
      <c r="DH4" s="19"/>
      <c r="DI4" s="19"/>
      <c r="DJ4" s="19"/>
      <c r="DK4" s="19"/>
      <c r="DL4" s="19"/>
      <c r="DM4" s="19"/>
      <c r="DN4" s="19"/>
      <c r="DO4" s="51"/>
    </row>
    <row r="5" spans="1:119" ht="15.75" customHeight="1">
      <c r="A5" s="50"/>
      <c r="B5" s="44">
        <v>4</v>
      </c>
      <c r="C5" s="44">
        <v>1973</v>
      </c>
      <c r="D5" s="44" t="s">
        <v>237</v>
      </c>
      <c r="E5" s="52" t="s">
        <v>161</v>
      </c>
      <c r="F5" s="39">
        <v>8.742857142857142</v>
      </c>
      <c r="G5" s="39">
        <v>1.1189850198802493</v>
      </c>
      <c r="H5" s="46" t="s">
        <v>14</v>
      </c>
      <c r="J5" s="37" t="s">
        <v>238</v>
      </c>
      <c r="K5" s="40" t="s">
        <v>239</v>
      </c>
      <c r="L5" s="33"/>
      <c r="M5" s="33"/>
      <c r="N5" s="38" t="s">
        <v>16</v>
      </c>
      <c r="O5" s="18">
        <v>8.1</v>
      </c>
      <c r="P5" s="48">
        <v>6.9</v>
      </c>
      <c r="Q5" s="18">
        <v>7.2</v>
      </c>
      <c r="R5" s="18">
        <v>8.3000000000000007</v>
      </c>
      <c r="S5" s="18">
        <v>8.9</v>
      </c>
      <c r="T5" s="18">
        <v>8</v>
      </c>
      <c r="U5" s="18">
        <v>8.1999999999999993</v>
      </c>
      <c r="V5" s="18">
        <v>8.5</v>
      </c>
      <c r="W5" s="18">
        <v>8.6</v>
      </c>
      <c r="X5" s="48">
        <v>7.6</v>
      </c>
      <c r="Y5" s="18">
        <v>8</v>
      </c>
      <c r="Z5" s="18">
        <v>7.2</v>
      </c>
      <c r="AA5" s="18">
        <v>7.1</v>
      </c>
      <c r="AB5" s="18">
        <v>7.7</v>
      </c>
      <c r="AC5" s="18">
        <v>8.5</v>
      </c>
      <c r="AD5" s="18">
        <v>8.4</v>
      </c>
      <c r="AE5" s="18">
        <v>7.4</v>
      </c>
      <c r="AF5" s="48">
        <v>9</v>
      </c>
      <c r="AG5" s="18">
        <v>8.4</v>
      </c>
      <c r="AH5" s="18">
        <v>8.4</v>
      </c>
      <c r="AI5" s="18">
        <v>8</v>
      </c>
      <c r="AJ5" s="18">
        <v>7.2</v>
      </c>
      <c r="AK5" s="18">
        <v>8</v>
      </c>
      <c r="AL5" s="18">
        <v>8.3000000000000007</v>
      </c>
      <c r="AM5" s="18">
        <v>8.6</v>
      </c>
      <c r="AN5" s="48">
        <v>8.3000000000000007</v>
      </c>
      <c r="AO5" s="18">
        <v>7.8</v>
      </c>
      <c r="AP5" s="18">
        <v>7</v>
      </c>
      <c r="AQ5" s="18">
        <v>7.5</v>
      </c>
      <c r="AR5" s="18">
        <v>8.3000000000000007</v>
      </c>
      <c r="AS5" s="18">
        <v>7.1</v>
      </c>
      <c r="AT5" s="18">
        <v>8.6999999999999993</v>
      </c>
      <c r="AU5" s="48">
        <v>6.7</v>
      </c>
      <c r="AV5" s="18">
        <v>7.9</v>
      </c>
      <c r="AW5" s="48">
        <v>8.3000000000000007</v>
      </c>
      <c r="AX5" s="18">
        <v>8.1</v>
      </c>
      <c r="AY5" s="18">
        <v>8.3000000000000007</v>
      </c>
      <c r="AZ5" s="18">
        <v>8.5</v>
      </c>
      <c r="BA5" s="18">
        <v>7.8</v>
      </c>
      <c r="BB5" s="18">
        <v>7.1</v>
      </c>
      <c r="BC5" s="30">
        <v>7.6</v>
      </c>
      <c r="BD5" s="48">
        <v>8.3000000000000007</v>
      </c>
      <c r="BE5" s="48">
        <v>6.9</v>
      </c>
      <c r="BF5" s="48">
        <v>7.9</v>
      </c>
      <c r="BG5" s="48">
        <v>7.9</v>
      </c>
      <c r="BH5" s="19"/>
      <c r="BI5" s="48">
        <v>7</v>
      </c>
      <c r="BJ5" s="48">
        <v>8.3000000000000007</v>
      </c>
      <c r="BK5" s="48" t="s">
        <v>240</v>
      </c>
      <c r="BL5" s="48">
        <v>7.8</v>
      </c>
      <c r="BM5" s="48">
        <v>8.6999999999999993</v>
      </c>
      <c r="BN5" s="48">
        <v>8.6999999999999993</v>
      </c>
      <c r="BO5" s="48">
        <v>6.3</v>
      </c>
      <c r="BP5" s="48">
        <v>8.3000000000000007</v>
      </c>
      <c r="BQ5" s="48">
        <v>6.8</v>
      </c>
      <c r="BR5" s="48">
        <v>8.6999999999999993</v>
      </c>
      <c r="BS5" s="18">
        <v>7.4</v>
      </c>
      <c r="BT5" s="18">
        <v>8.1999999999999993</v>
      </c>
      <c r="BU5" s="18">
        <v>8.4</v>
      </c>
      <c r="BV5" s="19"/>
      <c r="BW5" s="18">
        <v>7.9</v>
      </c>
      <c r="BX5" s="19"/>
      <c r="BY5" s="18">
        <v>6.9</v>
      </c>
      <c r="BZ5" s="18">
        <v>7.4</v>
      </c>
      <c r="CA5" s="18">
        <v>7.7</v>
      </c>
      <c r="CB5" s="18">
        <v>8.1999999999999993</v>
      </c>
      <c r="CC5" s="18">
        <v>8.4</v>
      </c>
      <c r="CD5" s="18">
        <v>8.8000000000000007</v>
      </c>
      <c r="CE5" s="18">
        <v>8.5</v>
      </c>
      <c r="CF5" s="18">
        <v>7.2</v>
      </c>
      <c r="CG5" s="18">
        <v>8</v>
      </c>
      <c r="CH5" s="18">
        <v>6.9</v>
      </c>
      <c r="CI5" s="18">
        <v>8.1999999999999993</v>
      </c>
      <c r="CJ5" s="18">
        <v>7.8</v>
      </c>
      <c r="CK5" s="18">
        <v>7.7</v>
      </c>
      <c r="CL5" s="18">
        <v>8.6</v>
      </c>
      <c r="CM5" s="18">
        <v>8.1999999999999993</v>
      </c>
      <c r="CN5" s="18">
        <v>6.6</v>
      </c>
      <c r="CO5" s="18">
        <v>6.4</v>
      </c>
      <c r="CP5" s="18">
        <v>7.6</v>
      </c>
      <c r="CQ5" s="18">
        <v>6.2</v>
      </c>
      <c r="CR5" s="18">
        <v>8.4</v>
      </c>
      <c r="CS5" s="18">
        <v>8.4</v>
      </c>
      <c r="CT5" s="18">
        <v>7.9</v>
      </c>
      <c r="CU5" s="18">
        <v>6.8</v>
      </c>
      <c r="CV5" s="19"/>
      <c r="CW5" s="18">
        <v>8.4</v>
      </c>
      <c r="CX5" s="18">
        <v>7.9</v>
      </c>
      <c r="CY5" s="30">
        <v>7.8</v>
      </c>
      <c r="CZ5" s="30">
        <v>8.1</v>
      </c>
      <c r="DA5" s="48">
        <v>8.1</v>
      </c>
      <c r="DB5" s="48">
        <v>7.6</v>
      </c>
      <c r="DC5" s="18">
        <v>8.4</v>
      </c>
      <c r="DD5" s="48">
        <v>8.5</v>
      </c>
      <c r="DE5" s="53">
        <v>7.4</v>
      </c>
      <c r="DF5" s="48">
        <v>8.1</v>
      </c>
      <c r="DG5" s="18">
        <v>7.7</v>
      </c>
      <c r="DH5" s="18">
        <v>8.1999999999999993</v>
      </c>
      <c r="DI5" s="18">
        <v>8.1999999999999993</v>
      </c>
      <c r="DJ5" s="18">
        <v>8.1</v>
      </c>
      <c r="DK5" s="18">
        <v>7.9</v>
      </c>
      <c r="DL5" s="18">
        <v>8.1999999999999993</v>
      </c>
      <c r="DM5" s="54">
        <v>6.9</v>
      </c>
      <c r="DN5" s="18">
        <v>7.1</v>
      </c>
      <c r="DO5" s="51"/>
    </row>
    <row r="6" spans="1:119" ht="15.75" customHeight="1">
      <c r="A6" s="50"/>
      <c r="B6" s="37">
        <v>5</v>
      </c>
      <c r="C6" s="37">
        <v>1957</v>
      </c>
      <c r="D6" s="37" t="s">
        <v>241</v>
      </c>
      <c r="E6" s="40" t="s">
        <v>177</v>
      </c>
      <c r="F6" s="39">
        <v>8.7375000000000007</v>
      </c>
      <c r="G6" s="39">
        <v>1.1041751527838455</v>
      </c>
      <c r="H6" s="37" t="s">
        <v>20</v>
      </c>
      <c r="J6" s="37" t="s">
        <v>242</v>
      </c>
      <c r="K6" s="40" t="s">
        <v>243</v>
      </c>
      <c r="L6" s="33"/>
      <c r="M6" s="33"/>
      <c r="N6" s="38" t="s">
        <v>17</v>
      </c>
      <c r="O6" s="18">
        <v>10</v>
      </c>
      <c r="P6" s="18">
        <v>8</v>
      </c>
      <c r="Q6" s="18">
        <v>10</v>
      </c>
      <c r="R6" s="18">
        <v>10</v>
      </c>
      <c r="S6" s="18">
        <v>9.9</v>
      </c>
      <c r="T6" s="18">
        <v>10</v>
      </c>
      <c r="U6" s="48">
        <v>9</v>
      </c>
      <c r="V6" s="48">
        <v>10</v>
      </c>
      <c r="W6" s="18">
        <v>4</v>
      </c>
      <c r="X6" s="48">
        <v>10</v>
      </c>
      <c r="Y6" s="18">
        <v>10</v>
      </c>
      <c r="Z6" s="18">
        <v>7</v>
      </c>
      <c r="AA6" s="18">
        <v>10</v>
      </c>
      <c r="AB6" s="18">
        <v>8</v>
      </c>
      <c r="AC6" s="18">
        <v>10</v>
      </c>
      <c r="AD6" s="18">
        <v>7</v>
      </c>
      <c r="AE6" s="18">
        <v>7</v>
      </c>
      <c r="AF6" s="48">
        <v>10</v>
      </c>
      <c r="AG6" s="18">
        <v>10</v>
      </c>
      <c r="AH6" s="18">
        <v>10</v>
      </c>
      <c r="AI6" s="18">
        <v>10</v>
      </c>
      <c r="AJ6" s="18">
        <v>10</v>
      </c>
      <c r="AK6" s="18">
        <v>8.5</v>
      </c>
      <c r="AL6" s="30">
        <v>4</v>
      </c>
      <c r="AM6" s="18">
        <v>6</v>
      </c>
      <c r="AN6" s="48">
        <v>9</v>
      </c>
      <c r="AO6" s="30">
        <v>10</v>
      </c>
      <c r="AP6" s="30">
        <v>7</v>
      </c>
      <c r="AQ6" s="30">
        <v>8</v>
      </c>
      <c r="AR6" s="30">
        <v>2</v>
      </c>
      <c r="AS6" s="30">
        <v>9</v>
      </c>
      <c r="AT6" s="30">
        <v>10</v>
      </c>
      <c r="AU6" s="47">
        <v>10</v>
      </c>
      <c r="AV6" s="30">
        <v>9</v>
      </c>
      <c r="AW6" s="30">
        <v>10</v>
      </c>
      <c r="AX6" s="30">
        <v>8</v>
      </c>
      <c r="AY6" s="30">
        <v>9</v>
      </c>
      <c r="AZ6" s="30">
        <v>10</v>
      </c>
      <c r="BA6" s="30">
        <v>5</v>
      </c>
      <c r="BB6" s="30">
        <v>8</v>
      </c>
      <c r="BC6" s="30">
        <v>8</v>
      </c>
      <c r="BD6" s="48">
        <v>7</v>
      </c>
      <c r="BE6" s="18">
        <v>6</v>
      </c>
      <c r="BF6" s="18">
        <v>7</v>
      </c>
      <c r="BG6" s="18">
        <v>8</v>
      </c>
      <c r="BH6" s="19"/>
      <c r="BI6" s="18">
        <v>8</v>
      </c>
      <c r="BJ6" s="19"/>
      <c r="BK6" s="18">
        <v>6.5</v>
      </c>
      <c r="BL6" s="18">
        <v>8</v>
      </c>
      <c r="BM6" s="18">
        <v>10</v>
      </c>
      <c r="BN6" s="18">
        <v>6</v>
      </c>
      <c r="BO6" s="18">
        <v>7.5</v>
      </c>
      <c r="BP6" s="18">
        <v>8</v>
      </c>
      <c r="BQ6" s="48"/>
      <c r="BR6" s="48"/>
      <c r="BS6" s="19"/>
      <c r="BT6" s="19"/>
      <c r="BU6" s="19"/>
      <c r="BV6" s="19"/>
      <c r="BW6" s="19"/>
      <c r="BX6" s="19"/>
      <c r="BY6" s="19"/>
      <c r="BZ6" s="19"/>
      <c r="CA6" s="19"/>
      <c r="CB6" s="19"/>
      <c r="CC6" s="19"/>
      <c r="CD6" s="19" t="s">
        <v>244</v>
      </c>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55"/>
      <c r="DF6" s="19"/>
      <c r="DG6" s="19"/>
      <c r="DH6" s="19"/>
      <c r="DI6" s="19"/>
      <c r="DJ6" s="19"/>
      <c r="DK6" s="19"/>
      <c r="DL6" s="19"/>
      <c r="DM6" s="55"/>
      <c r="DN6" s="19"/>
      <c r="DO6" s="54"/>
    </row>
    <row r="7" spans="1:119" ht="15.75" customHeight="1">
      <c r="A7" s="50"/>
      <c r="B7" s="56">
        <v>6</v>
      </c>
      <c r="C7" s="44">
        <v>1974</v>
      </c>
      <c r="D7" s="44" t="s">
        <v>245</v>
      </c>
      <c r="E7" s="45" t="s">
        <v>144</v>
      </c>
      <c r="F7" s="39">
        <v>8.6999999999999993</v>
      </c>
      <c r="G7" s="39">
        <v>1.110834083200577</v>
      </c>
      <c r="H7" s="46" t="s">
        <v>16</v>
      </c>
      <c r="J7" s="37" t="s">
        <v>242</v>
      </c>
      <c r="K7" s="40" t="s">
        <v>243</v>
      </c>
      <c r="L7" s="33"/>
      <c r="M7" s="33"/>
      <c r="N7" s="38" t="s">
        <v>18</v>
      </c>
      <c r="O7" s="18">
        <v>8.1999999999999993</v>
      </c>
      <c r="P7" s="18">
        <v>6.8</v>
      </c>
      <c r="Q7" s="18">
        <v>7.7</v>
      </c>
      <c r="R7" s="18">
        <v>8.3000000000000007</v>
      </c>
      <c r="S7" s="18">
        <v>8.5</v>
      </c>
      <c r="T7" s="18">
        <v>8.6999999999999993</v>
      </c>
      <c r="U7" s="18">
        <v>7.5</v>
      </c>
      <c r="V7" s="18">
        <v>8.5</v>
      </c>
      <c r="W7" s="18">
        <v>7.2</v>
      </c>
      <c r="X7" s="48">
        <v>8.5</v>
      </c>
      <c r="Y7" s="18">
        <v>8.3000000000000007</v>
      </c>
      <c r="Z7" s="18">
        <v>7.4</v>
      </c>
      <c r="AA7" s="18">
        <v>7.3</v>
      </c>
      <c r="AB7" s="18">
        <v>6.9</v>
      </c>
      <c r="AC7" s="18">
        <v>8.1</v>
      </c>
      <c r="AD7" s="18">
        <v>7.8</v>
      </c>
      <c r="AE7" s="18">
        <v>6.9</v>
      </c>
      <c r="AF7" s="48">
        <v>8.1999999999999993</v>
      </c>
      <c r="AG7" s="18">
        <v>8.5</v>
      </c>
      <c r="AH7" s="18">
        <v>8.6</v>
      </c>
      <c r="AI7" s="18">
        <v>8</v>
      </c>
      <c r="AJ7" s="18">
        <v>10</v>
      </c>
      <c r="AK7" s="18">
        <v>8</v>
      </c>
      <c r="AL7" s="18">
        <v>8</v>
      </c>
      <c r="AM7" s="18">
        <v>8.3000000000000007</v>
      </c>
      <c r="AN7" s="18">
        <v>8</v>
      </c>
      <c r="AO7" s="18">
        <v>7.9</v>
      </c>
      <c r="AP7" s="18">
        <v>7.5</v>
      </c>
      <c r="AQ7" s="18">
        <v>7.2</v>
      </c>
      <c r="AR7" s="18">
        <v>7.2</v>
      </c>
      <c r="AS7" s="18">
        <v>7.3</v>
      </c>
      <c r="AT7" s="18">
        <v>8</v>
      </c>
      <c r="AU7" s="18">
        <v>6.6</v>
      </c>
      <c r="AV7" s="18">
        <v>7.7</v>
      </c>
      <c r="AW7" s="48">
        <v>8.1</v>
      </c>
      <c r="AX7" s="18">
        <v>7.9</v>
      </c>
      <c r="AY7" s="18">
        <v>8.1</v>
      </c>
      <c r="AZ7" s="18">
        <v>8.3000000000000007</v>
      </c>
      <c r="BA7" s="18">
        <v>7.4</v>
      </c>
      <c r="BB7" s="18">
        <v>7.2</v>
      </c>
      <c r="BC7" s="18">
        <v>7.6</v>
      </c>
      <c r="BD7" s="48">
        <v>7.4</v>
      </c>
      <c r="BE7" s="48">
        <v>6.9</v>
      </c>
      <c r="BF7" s="48">
        <v>7.7</v>
      </c>
      <c r="BG7" s="48">
        <v>7.6</v>
      </c>
      <c r="BH7" s="48">
        <v>7.2</v>
      </c>
      <c r="BI7" s="48">
        <v>6.9</v>
      </c>
      <c r="BJ7" s="48">
        <v>7.7</v>
      </c>
      <c r="BK7" s="18">
        <v>6.8</v>
      </c>
      <c r="BL7" s="48">
        <v>7.8</v>
      </c>
      <c r="BM7" s="48">
        <v>8.5</v>
      </c>
      <c r="BN7" s="18">
        <v>8</v>
      </c>
      <c r="BO7" s="18">
        <v>6.2</v>
      </c>
      <c r="BP7" s="18">
        <v>8</v>
      </c>
      <c r="BQ7" s="48">
        <v>7.4</v>
      </c>
      <c r="BR7" s="48"/>
      <c r="BS7" s="19"/>
      <c r="BT7" s="19"/>
      <c r="BU7" s="19"/>
      <c r="BV7" s="19"/>
      <c r="BW7" s="19"/>
      <c r="BX7" s="19"/>
      <c r="BY7" s="19"/>
      <c r="BZ7" s="19"/>
      <c r="CA7" s="19"/>
      <c r="CB7" s="19"/>
      <c r="CC7" s="18">
        <v>7.4</v>
      </c>
      <c r="CD7" s="18">
        <v>7.9</v>
      </c>
      <c r="CE7" s="18">
        <v>8.5</v>
      </c>
      <c r="CF7" s="19"/>
      <c r="CG7" s="18">
        <v>8</v>
      </c>
      <c r="CH7" s="18">
        <v>7</v>
      </c>
      <c r="CI7" s="18">
        <v>8</v>
      </c>
      <c r="CJ7" s="18">
        <v>7.9</v>
      </c>
      <c r="CK7" s="18">
        <v>7.6</v>
      </c>
      <c r="CL7" s="18">
        <v>8.8000000000000007</v>
      </c>
      <c r="CM7" s="18">
        <v>8</v>
      </c>
      <c r="CN7" s="18">
        <v>6.6</v>
      </c>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row>
    <row r="8" spans="1:119" ht="15.75" customHeight="1">
      <c r="B8" s="37">
        <v>7</v>
      </c>
      <c r="C8" s="37">
        <v>1997</v>
      </c>
      <c r="D8" s="37" t="s">
        <v>246</v>
      </c>
      <c r="E8" s="38" t="s">
        <v>195</v>
      </c>
      <c r="F8" s="39">
        <v>8.6333333333333329</v>
      </c>
      <c r="G8" s="39">
        <v>1.0995123563930902</v>
      </c>
      <c r="H8" s="37" t="s">
        <v>14</v>
      </c>
      <c r="J8" s="37" t="s">
        <v>247</v>
      </c>
      <c r="K8" s="40" t="s">
        <v>248</v>
      </c>
      <c r="N8" s="33" t="s">
        <v>19</v>
      </c>
      <c r="O8" s="54">
        <v>8</v>
      </c>
      <c r="P8" s="57">
        <v>6.9</v>
      </c>
      <c r="Q8" s="54">
        <v>6</v>
      </c>
      <c r="R8" s="54">
        <v>8.5</v>
      </c>
      <c r="S8" s="54">
        <v>9</v>
      </c>
      <c r="T8" s="54">
        <v>8.8000000000000007</v>
      </c>
      <c r="U8" s="54">
        <v>8</v>
      </c>
      <c r="V8" s="54">
        <v>8.5</v>
      </c>
      <c r="W8" s="51"/>
      <c r="X8" s="53">
        <v>8</v>
      </c>
      <c r="Y8" s="54">
        <v>8.3000000000000007</v>
      </c>
      <c r="Z8" s="58">
        <v>7.6</v>
      </c>
      <c r="AA8" s="58">
        <v>6</v>
      </c>
      <c r="AB8" s="58">
        <v>7.9</v>
      </c>
      <c r="AC8" s="58">
        <v>8</v>
      </c>
      <c r="AD8" s="54">
        <v>8.1999999999999993</v>
      </c>
      <c r="AE8" s="54">
        <v>7</v>
      </c>
      <c r="AF8" s="53">
        <v>9</v>
      </c>
      <c r="AG8" s="54">
        <v>8.5</v>
      </c>
      <c r="AH8" s="54">
        <v>8.6999999999999993</v>
      </c>
      <c r="AI8" s="54">
        <v>8</v>
      </c>
      <c r="AJ8" s="54">
        <v>7.3</v>
      </c>
      <c r="AK8" s="54">
        <v>8.5</v>
      </c>
      <c r="AL8" s="54">
        <v>8.1999999999999993</v>
      </c>
      <c r="AM8" s="54">
        <v>8.5</v>
      </c>
      <c r="AN8" s="51"/>
      <c r="AO8" s="54">
        <v>8</v>
      </c>
      <c r="AP8" s="58">
        <v>6.9</v>
      </c>
      <c r="AQ8" s="58">
        <v>7</v>
      </c>
      <c r="AR8" s="58">
        <v>8</v>
      </c>
      <c r="AS8" s="58">
        <v>7.2</v>
      </c>
      <c r="AT8" s="58">
        <v>8</v>
      </c>
      <c r="AU8" s="53">
        <v>6.1</v>
      </c>
      <c r="AV8" s="51"/>
      <c r="AW8" s="51"/>
      <c r="AX8" s="51"/>
      <c r="AY8" s="51"/>
      <c r="AZ8" s="51"/>
      <c r="BA8" s="51"/>
      <c r="BB8" s="54">
        <v>8.5</v>
      </c>
      <c r="BC8" s="51"/>
      <c r="BD8" s="53">
        <v>8</v>
      </c>
      <c r="BE8" s="53">
        <v>7.9</v>
      </c>
      <c r="BF8" s="53">
        <v>7.5</v>
      </c>
      <c r="BG8" s="53">
        <v>7.8</v>
      </c>
      <c r="BH8" s="51"/>
      <c r="BI8" s="53">
        <v>7</v>
      </c>
      <c r="BJ8" s="54">
        <v>8</v>
      </c>
      <c r="BK8" s="51"/>
      <c r="BL8" s="53">
        <v>8.5</v>
      </c>
      <c r="BM8" s="53">
        <v>8.6999999999999993</v>
      </c>
      <c r="BN8" s="53">
        <v>9.5</v>
      </c>
      <c r="BO8" s="51"/>
      <c r="BP8" s="51"/>
      <c r="BQ8" s="53"/>
      <c r="BR8" s="53"/>
      <c r="BS8" s="54">
        <v>7.2</v>
      </c>
      <c r="BT8" s="54">
        <v>7</v>
      </c>
      <c r="BU8" s="54">
        <v>8</v>
      </c>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row>
    <row r="9" spans="1:119" ht="15.75" customHeight="1">
      <c r="A9" s="50"/>
      <c r="B9" s="44">
        <v>8</v>
      </c>
      <c r="C9" s="44">
        <v>2014</v>
      </c>
      <c r="D9" s="44" t="s">
        <v>249</v>
      </c>
      <c r="E9" s="45" t="s">
        <v>134</v>
      </c>
      <c r="F9" s="39">
        <v>8.625</v>
      </c>
      <c r="G9" s="39">
        <v>1.1013946414526705</v>
      </c>
      <c r="H9" s="46" t="s">
        <v>20</v>
      </c>
      <c r="J9" s="37" t="s">
        <v>250</v>
      </c>
      <c r="K9" s="40" t="s">
        <v>251</v>
      </c>
      <c r="L9" s="33"/>
      <c r="M9" s="33"/>
      <c r="N9" s="33" t="s">
        <v>20</v>
      </c>
      <c r="O9" s="54">
        <v>7.7</v>
      </c>
      <c r="P9" s="54">
        <v>7.1</v>
      </c>
      <c r="Q9" s="54">
        <v>7.2</v>
      </c>
      <c r="R9" s="54">
        <v>7.4</v>
      </c>
      <c r="S9" s="54">
        <v>8.4</v>
      </c>
      <c r="T9" s="54">
        <v>7.7</v>
      </c>
      <c r="U9" s="54">
        <v>7</v>
      </c>
      <c r="V9" s="54">
        <v>9</v>
      </c>
      <c r="W9" s="54">
        <v>8.3000000000000007</v>
      </c>
      <c r="X9" s="54">
        <v>7.5</v>
      </c>
      <c r="Y9" s="54">
        <v>8.8000000000000007</v>
      </c>
      <c r="Z9" s="54">
        <v>7.9</v>
      </c>
      <c r="AA9" s="54">
        <v>7.2</v>
      </c>
      <c r="AB9" s="54">
        <v>7.8</v>
      </c>
      <c r="AC9" s="54">
        <v>7.9</v>
      </c>
      <c r="AD9" s="54">
        <v>8.4</v>
      </c>
      <c r="AE9" s="54">
        <v>7.3</v>
      </c>
      <c r="AF9" s="54">
        <v>8.4</v>
      </c>
      <c r="AG9" s="54">
        <v>7.8</v>
      </c>
      <c r="AH9" s="54">
        <v>8</v>
      </c>
      <c r="AI9" s="54">
        <v>8.1</v>
      </c>
      <c r="AJ9" s="54">
        <v>7</v>
      </c>
      <c r="AK9" s="54">
        <v>8.6999999999999993</v>
      </c>
      <c r="AL9" s="54">
        <v>7.5</v>
      </c>
      <c r="AM9" s="54">
        <v>8.5</v>
      </c>
      <c r="AN9" s="54">
        <v>8.6</v>
      </c>
      <c r="AO9" s="54">
        <v>8</v>
      </c>
      <c r="AP9" s="54">
        <v>6.6</v>
      </c>
      <c r="AQ9" s="54">
        <v>7</v>
      </c>
      <c r="AR9" s="54">
        <v>8</v>
      </c>
      <c r="AS9" s="54">
        <v>7.1</v>
      </c>
      <c r="AT9" s="54">
        <v>8.1999999999999993</v>
      </c>
      <c r="AU9" s="53">
        <v>6.3</v>
      </c>
      <c r="AV9" s="54">
        <v>7.7</v>
      </c>
      <c r="AW9" s="54">
        <v>8.1999999999999993</v>
      </c>
      <c r="AX9" s="54">
        <v>8.1999999999999993</v>
      </c>
      <c r="AY9" s="54">
        <v>8.4</v>
      </c>
      <c r="AZ9" s="54">
        <v>8.6</v>
      </c>
      <c r="BA9" s="54">
        <v>7.5</v>
      </c>
      <c r="BB9" s="54">
        <v>7.2</v>
      </c>
      <c r="BC9" s="54">
        <v>7.4</v>
      </c>
      <c r="BD9" s="53">
        <v>8.3000000000000007</v>
      </c>
      <c r="BE9" s="53">
        <v>7</v>
      </c>
      <c r="BF9" s="53">
        <v>7.5</v>
      </c>
      <c r="BG9" s="53">
        <v>7.7</v>
      </c>
      <c r="BH9" s="53">
        <v>7.4</v>
      </c>
      <c r="BI9" s="53">
        <v>7.2</v>
      </c>
      <c r="BJ9" s="53">
        <v>9</v>
      </c>
      <c r="BK9" s="53">
        <v>7.2</v>
      </c>
      <c r="BL9" s="53">
        <v>7.4</v>
      </c>
      <c r="BM9" s="53">
        <v>9.1</v>
      </c>
      <c r="BN9" s="53">
        <v>8.6999999999999993</v>
      </c>
      <c r="BO9" s="53">
        <v>6.8</v>
      </c>
      <c r="BP9" s="53">
        <v>8.8000000000000007</v>
      </c>
      <c r="BQ9" s="53">
        <v>6.9</v>
      </c>
      <c r="BR9" s="53">
        <v>8.8000000000000007</v>
      </c>
      <c r="BS9" s="54">
        <v>7.6</v>
      </c>
      <c r="BT9" s="54">
        <v>7.4</v>
      </c>
      <c r="BU9" s="54">
        <v>8</v>
      </c>
      <c r="BV9" s="54">
        <v>7.8</v>
      </c>
      <c r="BW9" s="54">
        <v>9.1</v>
      </c>
      <c r="BX9" s="54">
        <v>7.5</v>
      </c>
      <c r="BY9" s="54">
        <v>6.9</v>
      </c>
      <c r="BZ9" s="54">
        <v>7</v>
      </c>
      <c r="CA9" s="54">
        <v>7.6</v>
      </c>
      <c r="CB9" s="54">
        <v>8.6999999999999993</v>
      </c>
      <c r="CC9" s="54">
        <v>7.7</v>
      </c>
      <c r="CD9" s="54">
        <v>8.1999999999999993</v>
      </c>
      <c r="CE9" s="54">
        <v>8.5</v>
      </c>
      <c r="CF9" s="54">
        <v>7</v>
      </c>
      <c r="CG9" s="54">
        <v>8</v>
      </c>
      <c r="CH9" s="54">
        <v>6.6</v>
      </c>
      <c r="CI9" s="54">
        <v>8.3000000000000007</v>
      </c>
      <c r="CJ9" s="54">
        <v>8.6</v>
      </c>
      <c r="CK9" s="54">
        <v>6.7</v>
      </c>
      <c r="CL9" s="54">
        <v>9.1999999999999993</v>
      </c>
      <c r="CM9" s="54">
        <v>8.3000000000000007</v>
      </c>
      <c r="CN9" s="54">
        <v>7.2</v>
      </c>
      <c r="CO9" s="54">
        <v>6.6</v>
      </c>
      <c r="CP9" s="54">
        <v>7.6</v>
      </c>
      <c r="CQ9" s="54">
        <v>7.6</v>
      </c>
      <c r="CR9" s="54">
        <v>7.8</v>
      </c>
      <c r="CS9" s="54">
        <v>9</v>
      </c>
      <c r="CT9" s="54">
        <v>7.7</v>
      </c>
      <c r="CU9" s="54">
        <v>6.6</v>
      </c>
      <c r="CV9" s="54">
        <v>8.1999999999999993</v>
      </c>
      <c r="CW9" s="54">
        <v>8.5</v>
      </c>
      <c r="CX9" s="54">
        <v>8</v>
      </c>
      <c r="CY9" s="53">
        <v>8.6</v>
      </c>
      <c r="CZ9" s="53">
        <v>8.8000000000000007</v>
      </c>
      <c r="DA9" s="53">
        <v>7.5</v>
      </c>
      <c r="DB9" s="53">
        <v>7.7</v>
      </c>
      <c r="DC9" s="53">
        <v>7.6</v>
      </c>
      <c r="DD9" s="53">
        <v>8.1999999999999993</v>
      </c>
      <c r="DE9" s="53">
        <v>7.4</v>
      </c>
      <c r="DF9" s="51"/>
      <c r="DG9" s="54">
        <v>8</v>
      </c>
      <c r="DH9" s="54">
        <v>8.1999999999999993</v>
      </c>
      <c r="DI9" s="54">
        <v>8.3000000000000007</v>
      </c>
      <c r="DJ9" s="54">
        <v>7.5</v>
      </c>
      <c r="DK9" s="54">
        <v>8.4</v>
      </c>
      <c r="DL9" s="54">
        <v>9</v>
      </c>
      <c r="DM9" s="51"/>
      <c r="DN9" s="54">
        <v>7.9</v>
      </c>
      <c r="DO9" s="51"/>
    </row>
    <row r="10" spans="1:119" ht="15.75" customHeight="1">
      <c r="B10" s="37">
        <v>9</v>
      </c>
      <c r="C10" s="37">
        <v>1992</v>
      </c>
      <c r="D10" s="37" t="s">
        <v>252</v>
      </c>
      <c r="E10" s="38" t="s">
        <v>227</v>
      </c>
      <c r="F10" s="39">
        <v>8.6</v>
      </c>
      <c r="G10" s="39">
        <v>1.13017604760724</v>
      </c>
      <c r="H10" s="37" t="s">
        <v>20</v>
      </c>
      <c r="J10" s="13"/>
      <c r="N10" s="38" t="s">
        <v>21</v>
      </c>
      <c r="O10" s="18">
        <v>7.4</v>
      </c>
      <c r="P10" s="18">
        <v>6.5</v>
      </c>
      <c r="Q10" s="18">
        <v>6.8</v>
      </c>
      <c r="R10" s="18">
        <v>7.9</v>
      </c>
      <c r="S10" s="18">
        <v>8.8000000000000007</v>
      </c>
      <c r="T10" s="18">
        <v>8.3000000000000007</v>
      </c>
      <c r="U10" s="18">
        <v>7.8</v>
      </c>
      <c r="V10" s="18">
        <v>8.6999999999999993</v>
      </c>
      <c r="W10" s="18">
        <v>9.1</v>
      </c>
      <c r="X10" s="18">
        <v>7.5</v>
      </c>
      <c r="Y10" s="18">
        <v>8.1</v>
      </c>
      <c r="Z10" s="18">
        <v>8.1</v>
      </c>
      <c r="AA10" s="18">
        <v>7.1</v>
      </c>
      <c r="AB10" s="18">
        <v>7.9</v>
      </c>
      <c r="AC10" s="18">
        <v>8.1</v>
      </c>
      <c r="AD10" s="18">
        <v>7.9</v>
      </c>
      <c r="AE10" s="18">
        <v>7.1</v>
      </c>
      <c r="AF10" s="18">
        <v>9.1</v>
      </c>
      <c r="AG10" s="18">
        <v>7.2</v>
      </c>
      <c r="AH10" s="18">
        <v>8.1</v>
      </c>
      <c r="AI10" s="18">
        <v>7.9</v>
      </c>
      <c r="AJ10" s="37">
        <v>7.2</v>
      </c>
      <c r="AK10" s="18">
        <v>8.6999999999999993</v>
      </c>
      <c r="AL10" s="18">
        <v>7.2</v>
      </c>
      <c r="AM10" s="18">
        <v>8.6</v>
      </c>
      <c r="AN10" s="18">
        <v>7.9</v>
      </c>
      <c r="AO10" s="18">
        <v>7.6</v>
      </c>
      <c r="AP10" s="18">
        <v>7</v>
      </c>
      <c r="AQ10" s="18">
        <v>7.1</v>
      </c>
      <c r="AR10" s="37">
        <v>8.1</v>
      </c>
      <c r="AS10" s="18">
        <v>7.3</v>
      </c>
      <c r="AT10" s="18">
        <v>8</v>
      </c>
      <c r="AU10" s="48">
        <v>7</v>
      </c>
      <c r="AV10" s="18">
        <v>8</v>
      </c>
      <c r="AW10" s="18">
        <v>9.1</v>
      </c>
      <c r="AX10" s="18">
        <v>7.9</v>
      </c>
      <c r="AY10" s="18">
        <v>8.3000000000000007</v>
      </c>
      <c r="AZ10" s="18">
        <v>8.4</v>
      </c>
      <c r="BA10" s="37">
        <v>7.2</v>
      </c>
      <c r="BB10" s="18">
        <v>7</v>
      </c>
      <c r="BC10" s="18">
        <v>7</v>
      </c>
      <c r="BD10" s="48">
        <v>8.4</v>
      </c>
      <c r="BE10" s="48">
        <v>7</v>
      </c>
      <c r="BF10" s="48">
        <v>7.6</v>
      </c>
      <c r="BG10" s="48">
        <v>7.7</v>
      </c>
      <c r="BH10" s="59"/>
      <c r="BI10" s="47">
        <v>6.9</v>
      </c>
      <c r="BJ10" s="30">
        <v>8.1</v>
      </c>
      <c r="BK10" s="19"/>
      <c r="BL10" s="19"/>
      <c r="BM10" s="30">
        <v>8.6</v>
      </c>
      <c r="BN10" s="48">
        <v>8.8000000000000007</v>
      </c>
      <c r="BO10" s="48">
        <v>6.7</v>
      </c>
      <c r="BP10" s="60">
        <v>9.1</v>
      </c>
      <c r="BQ10" s="48">
        <v>6.5</v>
      </c>
      <c r="BR10" s="48">
        <v>8.6999999999999993</v>
      </c>
      <c r="BS10" s="19"/>
      <c r="BT10" s="30">
        <v>7.9</v>
      </c>
      <c r="BU10" s="19"/>
      <c r="BV10" s="30">
        <v>7.5</v>
      </c>
      <c r="BW10" s="30">
        <v>7.8</v>
      </c>
      <c r="BX10" s="37">
        <v>7.3</v>
      </c>
      <c r="BY10" s="30">
        <v>6.8</v>
      </c>
      <c r="BZ10" s="30">
        <v>7.8</v>
      </c>
      <c r="CA10" s="18">
        <v>7.6</v>
      </c>
      <c r="CB10" s="30">
        <v>8.5</v>
      </c>
      <c r="CC10" s="30">
        <v>7.2</v>
      </c>
      <c r="CD10" s="18">
        <v>8.1</v>
      </c>
      <c r="CE10" s="18">
        <v>9.4</v>
      </c>
      <c r="CF10" s="61">
        <v>7.5</v>
      </c>
      <c r="CG10" s="19"/>
      <c r="CH10" s="30">
        <v>6.7</v>
      </c>
      <c r="CI10" s="18">
        <v>8</v>
      </c>
      <c r="CJ10" s="18">
        <v>8</v>
      </c>
      <c r="CK10" s="18">
        <v>6.9</v>
      </c>
      <c r="CL10" s="19"/>
      <c r="CM10" s="19"/>
      <c r="CN10" s="62">
        <v>6.1</v>
      </c>
      <c r="CO10" s="30">
        <v>7</v>
      </c>
      <c r="CP10" s="30">
        <v>7.8</v>
      </c>
      <c r="CQ10" s="18">
        <v>7.7</v>
      </c>
      <c r="CR10" s="19"/>
      <c r="CS10" s="30">
        <v>8.3000000000000007</v>
      </c>
      <c r="CT10" s="30">
        <v>7.2</v>
      </c>
      <c r="CU10" s="30">
        <v>8.6999999999999993</v>
      </c>
      <c r="CV10" s="59"/>
      <c r="CW10" s="30">
        <v>8.1999999999999993</v>
      </c>
      <c r="CX10" s="18">
        <v>8.1999999999999993</v>
      </c>
      <c r="CY10" s="48">
        <v>7.8</v>
      </c>
      <c r="CZ10" s="48">
        <v>8.1999999999999993</v>
      </c>
      <c r="DA10" s="30">
        <v>7</v>
      </c>
      <c r="DB10" s="48">
        <v>7.2</v>
      </c>
      <c r="DC10" s="48">
        <v>7.1</v>
      </c>
      <c r="DD10" s="61">
        <v>8.3000000000000007</v>
      </c>
      <c r="DE10" s="48">
        <v>5.9</v>
      </c>
      <c r="DF10" s="48">
        <v>7.6</v>
      </c>
      <c r="DG10" s="30">
        <v>7.8</v>
      </c>
      <c r="DH10" s="30">
        <v>8</v>
      </c>
      <c r="DI10" s="18">
        <v>8.5</v>
      </c>
      <c r="DJ10" s="19"/>
      <c r="DK10" s="18">
        <v>8.5</v>
      </c>
      <c r="DL10" s="59"/>
      <c r="DM10" s="19"/>
      <c r="DN10" s="19"/>
    </row>
    <row r="11" spans="1:119" ht="15.75" customHeight="1">
      <c r="B11" s="37">
        <v>10</v>
      </c>
      <c r="C11" s="37">
        <v>1963</v>
      </c>
      <c r="D11" s="37" t="s">
        <v>253</v>
      </c>
      <c r="E11" s="38" t="s">
        <v>208</v>
      </c>
      <c r="F11" s="39">
        <v>8.5666666666666664</v>
      </c>
      <c r="G11" s="39">
        <v>1.1257955202909331</v>
      </c>
      <c r="H11" s="37" t="s">
        <v>20</v>
      </c>
      <c r="J11" s="141" t="s">
        <v>254</v>
      </c>
      <c r="K11" s="142"/>
      <c r="L11" s="143"/>
      <c r="N11" s="24" t="s">
        <v>22</v>
      </c>
      <c r="O11" s="25">
        <f t="shared" ref="O11:DN11" si="0">AVERAGE(O7:O10)</f>
        <v>7.8249999999999993</v>
      </c>
      <c r="P11" s="25">
        <f t="shared" si="0"/>
        <v>6.8249999999999993</v>
      </c>
      <c r="Q11" s="25">
        <f t="shared" si="0"/>
        <v>6.9249999999999998</v>
      </c>
      <c r="R11" s="25">
        <f t="shared" si="0"/>
        <v>8.0250000000000004</v>
      </c>
      <c r="S11" s="25">
        <f t="shared" si="0"/>
        <v>8.6750000000000007</v>
      </c>
      <c r="T11" s="25">
        <f t="shared" si="0"/>
        <v>8.375</v>
      </c>
      <c r="U11" s="25">
        <f t="shared" si="0"/>
        <v>7.5750000000000002</v>
      </c>
      <c r="V11" s="25">
        <f t="shared" si="0"/>
        <v>8.6750000000000007</v>
      </c>
      <c r="W11" s="25">
        <f t="shared" si="0"/>
        <v>8.2000000000000011</v>
      </c>
      <c r="X11" s="25">
        <f t="shared" si="0"/>
        <v>7.875</v>
      </c>
      <c r="Y11" s="25">
        <f t="shared" si="0"/>
        <v>8.375</v>
      </c>
      <c r="Z11" s="25">
        <f t="shared" si="0"/>
        <v>7.75</v>
      </c>
      <c r="AA11" s="25">
        <f t="shared" si="0"/>
        <v>6.9</v>
      </c>
      <c r="AB11" s="25">
        <f t="shared" si="0"/>
        <v>7.625</v>
      </c>
      <c r="AC11" s="25">
        <f t="shared" si="0"/>
        <v>8.0250000000000004</v>
      </c>
      <c r="AD11" s="25">
        <f t="shared" si="0"/>
        <v>8.0749999999999993</v>
      </c>
      <c r="AE11" s="25">
        <f t="shared" si="0"/>
        <v>7.0749999999999993</v>
      </c>
      <c r="AF11" s="25">
        <f t="shared" si="0"/>
        <v>8.6750000000000007</v>
      </c>
      <c r="AG11" s="25">
        <f t="shared" si="0"/>
        <v>8</v>
      </c>
      <c r="AH11" s="25">
        <f t="shared" si="0"/>
        <v>8.35</v>
      </c>
      <c r="AI11" s="25">
        <f t="shared" si="0"/>
        <v>8</v>
      </c>
      <c r="AJ11" s="25">
        <f t="shared" si="0"/>
        <v>7.875</v>
      </c>
      <c r="AK11" s="25">
        <f t="shared" si="0"/>
        <v>8.4749999999999996</v>
      </c>
      <c r="AL11" s="25">
        <f t="shared" si="0"/>
        <v>7.7249999999999996</v>
      </c>
      <c r="AM11" s="25">
        <f t="shared" si="0"/>
        <v>8.4749999999999996</v>
      </c>
      <c r="AN11" s="25">
        <f t="shared" si="0"/>
        <v>8.1666666666666661</v>
      </c>
      <c r="AO11" s="25">
        <f t="shared" si="0"/>
        <v>7.875</v>
      </c>
      <c r="AP11" s="25">
        <f t="shared" si="0"/>
        <v>7</v>
      </c>
      <c r="AQ11" s="25">
        <f t="shared" si="0"/>
        <v>7.0749999999999993</v>
      </c>
      <c r="AR11" s="25">
        <f t="shared" si="0"/>
        <v>7.8249999999999993</v>
      </c>
      <c r="AS11" s="25">
        <f t="shared" si="0"/>
        <v>7.2250000000000005</v>
      </c>
      <c r="AT11" s="25">
        <f t="shared" si="0"/>
        <v>8.0500000000000007</v>
      </c>
      <c r="AU11" s="25">
        <f t="shared" si="0"/>
        <v>6.5</v>
      </c>
      <c r="AV11" s="25">
        <f t="shared" si="0"/>
        <v>7.8</v>
      </c>
      <c r="AW11" s="25">
        <f t="shared" si="0"/>
        <v>8.4666666666666668</v>
      </c>
      <c r="AX11" s="25">
        <f t="shared" si="0"/>
        <v>8</v>
      </c>
      <c r="AY11" s="25">
        <f t="shared" si="0"/>
        <v>8.2666666666666675</v>
      </c>
      <c r="AZ11" s="25">
        <f t="shared" si="0"/>
        <v>8.4333333333333318</v>
      </c>
      <c r="BA11" s="25">
        <f t="shared" si="0"/>
        <v>7.3666666666666671</v>
      </c>
      <c r="BB11" s="25">
        <f t="shared" si="0"/>
        <v>7.4749999999999996</v>
      </c>
      <c r="BC11" s="25">
        <f t="shared" si="0"/>
        <v>7.333333333333333</v>
      </c>
      <c r="BD11" s="25">
        <f t="shared" si="0"/>
        <v>8.0250000000000004</v>
      </c>
      <c r="BE11" s="25">
        <f t="shared" si="0"/>
        <v>7.2</v>
      </c>
      <c r="BF11" s="25">
        <f t="shared" si="0"/>
        <v>7.5749999999999993</v>
      </c>
      <c r="BG11" s="25">
        <f t="shared" si="0"/>
        <v>7.6999999999999993</v>
      </c>
      <c r="BH11" s="25">
        <f t="shared" si="0"/>
        <v>7.3000000000000007</v>
      </c>
      <c r="BI11" s="25">
        <f t="shared" si="0"/>
        <v>7</v>
      </c>
      <c r="BJ11" s="25">
        <f t="shared" si="0"/>
        <v>8.1999999999999993</v>
      </c>
      <c r="BK11" s="25">
        <f t="shared" si="0"/>
        <v>7</v>
      </c>
      <c r="BL11" s="25">
        <f t="shared" si="0"/>
        <v>7.9000000000000012</v>
      </c>
      <c r="BM11" s="25">
        <f t="shared" si="0"/>
        <v>8.7249999999999996</v>
      </c>
      <c r="BN11" s="25">
        <f t="shared" si="0"/>
        <v>8.75</v>
      </c>
      <c r="BO11" s="25">
        <f t="shared" si="0"/>
        <v>6.5666666666666664</v>
      </c>
      <c r="BP11" s="25">
        <f t="shared" si="0"/>
        <v>8.6333333333333329</v>
      </c>
      <c r="BQ11" s="25">
        <f t="shared" si="0"/>
        <v>6.9333333333333336</v>
      </c>
      <c r="BR11" s="25">
        <f t="shared" si="0"/>
        <v>8.75</v>
      </c>
      <c r="BS11" s="25">
        <f t="shared" si="0"/>
        <v>7.4</v>
      </c>
      <c r="BT11" s="25">
        <f t="shared" si="0"/>
        <v>7.4333333333333336</v>
      </c>
      <c r="BU11" s="25">
        <f t="shared" si="0"/>
        <v>8</v>
      </c>
      <c r="BV11" s="25">
        <f t="shared" si="0"/>
        <v>7.65</v>
      </c>
      <c r="BW11" s="25">
        <f t="shared" si="0"/>
        <v>8.4499999999999993</v>
      </c>
      <c r="BX11" s="25">
        <f t="shared" si="0"/>
        <v>7.4</v>
      </c>
      <c r="BY11" s="25">
        <f t="shared" si="0"/>
        <v>6.85</v>
      </c>
      <c r="BZ11" s="25">
        <f t="shared" si="0"/>
        <v>7.4</v>
      </c>
      <c r="CA11" s="25">
        <f t="shared" si="0"/>
        <v>7.6</v>
      </c>
      <c r="CB11" s="25">
        <f t="shared" si="0"/>
        <v>8.6</v>
      </c>
      <c r="CC11" s="25">
        <f t="shared" si="0"/>
        <v>7.4333333333333336</v>
      </c>
      <c r="CD11" s="25">
        <f t="shared" si="0"/>
        <v>8.0666666666666682</v>
      </c>
      <c r="CE11" s="25">
        <f t="shared" si="0"/>
        <v>8.7999999999999989</v>
      </c>
      <c r="CF11" s="25">
        <f t="shared" si="0"/>
        <v>7.25</v>
      </c>
      <c r="CG11" s="25">
        <f t="shared" si="0"/>
        <v>8</v>
      </c>
      <c r="CH11" s="25">
        <f t="shared" si="0"/>
        <v>6.7666666666666666</v>
      </c>
      <c r="CI11" s="25">
        <f t="shared" si="0"/>
        <v>8.1</v>
      </c>
      <c r="CJ11" s="25">
        <f t="shared" si="0"/>
        <v>8.1666666666666661</v>
      </c>
      <c r="CK11" s="25">
        <f t="shared" si="0"/>
        <v>7.0666666666666673</v>
      </c>
      <c r="CL11" s="25">
        <f t="shared" si="0"/>
        <v>9</v>
      </c>
      <c r="CM11" s="25">
        <f t="shared" si="0"/>
        <v>8.15</v>
      </c>
      <c r="CN11" s="25">
        <f t="shared" si="0"/>
        <v>6.6333333333333329</v>
      </c>
      <c r="CO11" s="25">
        <f t="shared" si="0"/>
        <v>6.8</v>
      </c>
      <c r="CP11" s="25">
        <f t="shared" si="0"/>
        <v>7.6999999999999993</v>
      </c>
      <c r="CQ11" s="25">
        <f t="shared" si="0"/>
        <v>7.65</v>
      </c>
      <c r="CR11" s="25">
        <f t="shared" si="0"/>
        <v>7.8</v>
      </c>
      <c r="CS11" s="25">
        <f t="shared" si="0"/>
        <v>8.65</v>
      </c>
      <c r="CT11" s="25">
        <f t="shared" si="0"/>
        <v>7.45</v>
      </c>
      <c r="CU11" s="25">
        <f t="shared" si="0"/>
        <v>7.6499999999999995</v>
      </c>
      <c r="CV11" s="25">
        <f t="shared" si="0"/>
        <v>8.1999999999999993</v>
      </c>
      <c r="CW11" s="25">
        <f t="shared" si="0"/>
        <v>8.35</v>
      </c>
      <c r="CX11" s="25">
        <f t="shared" si="0"/>
        <v>8.1</v>
      </c>
      <c r="CY11" s="25">
        <f t="shared" si="0"/>
        <v>8.1999999999999993</v>
      </c>
      <c r="CZ11" s="25">
        <f t="shared" si="0"/>
        <v>8.5</v>
      </c>
      <c r="DA11" s="25">
        <f t="shared" si="0"/>
        <v>7.25</v>
      </c>
      <c r="DB11" s="25">
        <f t="shared" si="0"/>
        <v>7.45</v>
      </c>
      <c r="DC11" s="25">
        <f t="shared" si="0"/>
        <v>7.35</v>
      </c>
      <c r="DD11" s="25">
        <f t="shared" si="0"/>
        <v>8.25</v>
      </c>
      <c r="DE11" s="25">
        <f t="shared" si="0"/>
        <v>6.65</v>
      </c>
      <c r="DF11" s="25">
        <f t="shared" si="0"/>
        <v>7.6</v>
      </c>
      <c r="DG11" s="25">
        <f t="shared" si="0"/>
        <v>7.9</v>
      </c>
      <c r="DH11" s="25">
        <f t="shared" si="0"/>
        <v>8.1</v>
      </c>
      <c r="DI11" s="25">
        <f t="shared" si="0"/>
        <v>8.4</v>
      </c>
      <c r="DJ11" s="25">
        <f t="shared" si="0"/>
        <v>7.5</v>
      </c>
      <c r="DK11" s="25">
        <f t="shared" si="0"/>
        <v>8.4499999999999993</v>
      </c>
      <c r="DL11" s="25">
        <f t="shared" si="0"/>
        <v>9</v>
      </c>
      <c r="DM11" s="25" t="e">
        <f t="shared" si="0"/>
        <v>#DIV/0!</v>
      </c>
      <c r="DN11" s="25">
        <f t="shared" si="0"/>
        <v>7.9</v>
      </c>
      <c r="DO11" s="51"/>
    </row>
    <row r="12" spans="1:119" ht="15.75" customHeight="1">
      <c r="A12" s="50"/>
      <c r="B12" s="37">
        <v>11</v>
      </c>
      <c r="C12" s="44">
        <v>1975</v>
      </c>
      <c r="D12" s="44" t="s">
        <v>255</v>
      </c>
      <c r="E12" s="45" t="s">
        <v>146</v>
      </c>
      <c r="F12" s="39">
        <v>8.5124999999999993</v>
      </c>
      <c r="G12" s="39">
        <v>1.087277242212739</v>
      </c>
      <c r="H12" s="46" t="s">
        <v>19</v>
      </c>
      <c r="J12" s="37" t="s">
        <v>256</v>
      </c>
      <c r="K12" s="37">
        <v>8</v>
      </c>
      <c r="L12" s="63">
        <f>K12/K20</f>
        <v>1.6</v>
      </c>
      <c r="M12" s="33"/>
      <c r="N12" s="38"/>
      <c r="O12" s="38"/>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5"/>
    </row>
    <row r="13" spans="1:119" ht="15.75" customHeight="1">
      <c r="A13" s="50"/>
      <c r="B13" s="44">
        <v>12</v>
      </c>
      <c r="C13" s="44">
        <v>1989</v>
      </c>
      <c r="D13" s="44" t="s">
        <v>257</v>
      </c>
      <c r="E13" s="45" t="s">
        <v>137</v>
      </c>
      <c r="F13" s="39">
        <v>8.4874999999999989</v>
      </c>
      <c r="G13" s="39">
        <v>1.0842180428937369</v>
      </c>
      <c r="H13" s="46" t="s">
        <v>20</v>
      </c>
      <c r="J13" s="37" t="s">
        <v>258</v>
      </c>
      <c r="K13" s="37">
        <v>8</v>
      </c>
      <c r="L13" s="63">
        <f>K13/K20</f>
        <v>1.6</v>
      </c>
      <c r="M13" s="33"/>
      <c r="N13" s="66"/>
      <c r="O13" s="67" t="s">
        <v>90</v>
      </c>
      <c r="P13" s="68" t="s">
        <v>91</v>
      </c>
      <c r="Q13" s="68" t="s">
        <v>92</v>
      </c>
      <c r="R13" s="68" t="s">
        <v>26</v>
      </c>
      <c r="S13" s="68" t="s">
        <v>6</v>
      </c>
      <c r="T13" s="68" t="s">
        <v>71</v>
      </c>
      <c r="U13" s="68" t="s">
        <v>72</v>
      </c>
      <c r="V13" s="68" t="s">
        <v>93</v>
      </c>
      <c r="W13" s="68" t="s">
        <v>57</v>
      </c>
      <c r="X13" s="68" t="s">
        <v>94</v>
      </c>
      <c r="Y13" s="68" t="s">
        <v>95</v>
      </c>
      <c r="Z13" s="68" t="s">
        <v>96</v>
      </c>
      <c r="AA13" s="68" t="s">
        <v>97</v>
      </c>
      <c r="AB13" s="68" t="s">
        <v>27</v>
      </c>
      <c r="AC13" s="68" t="s">
        <v>98</v>
      </c>
      <c r="AD13" s="68" t="s">
        <v>73</v>
      </c>
      <c r="AE13" s="68" t="s">
        <v>2</v>
      </c>
      <c r="AF13" s="68" t="s">
        <v>99</v>
      </c>
      <c r="AG13" s="68" t="s">
        <v>100</v>
      </c>
      <c r="AH13" s="68" t="s">
        <v>69</v>
      </c>
      <c r="AI13" s="68" t="s">
        <v>6</v>
      </c>
      <c r="AJ13" s="68" t="s">
        <v>101</v>
      </c>
      <c r="AK13" s="68" t="s">
        <v>102</v>
      </c>
      <c r="AL13" s="68" t="s">
        <v>103</v>
      </c>
      <c r="AM13" s="68" t="s">
        <v>57</v>
      </c>
      <c r="AN13" s="68" t="s">
        <v>104</v>
      </c>
      <c r="AO13" s="68" t="s">
        <v>92</v>
      </c>
      <c r="AP13" s="68" t="s">
        <v>105</v>
      </c>
      <c r="AQ13" s="68" t="s">
        <v>39</v>
      </c>
      <c r="AR13" s="68" t="s">
        <v>106</v>
      </c>
      <c r="AS13" s="68" t="s">
        <v>107</v>
      </c>
      <c r="AT13" s="68" t="s">
        <v>93</v>
      </c>
      <c r="AU13" s="68" t="s">
        <v>35</v>
      </c>
      <c r="AV13" s="68" t="s">
        <v>57</v>
      </c>
      <c r="AW13" s="68" t="s">
        <v>104</v>
      </c>
      <c r="AX13" s="68" t="s">
        <v>108</v>
      </c>
      <c r="AY13" s="68" t="s">
        <v>5</v>
      </c>
      <c r="AZ13" s="68" t="s">
        <v>97</v>
      </c>
      <c r="BA13" s="68" t="s">
        <v>109</v>
      </c>
      <c r="BB13" s="68" t="s">
        <v>110</v>
      </c>
      <c r="BC13" s="68" t="s">
        <v>111</v>
      </c>
      <c r="BD13" s="68" t="s">
        <v>112</v>
      </c>
      <c r="BE13" s="68" t="s">
        <v>113</v>
      </c>
      <c r="BF13" s="68" t="s">
        <v>105</v>
      </c>
      <c r="BG13" s="68" t="s">
        <v>39</v>
      </c>
      <c r="BH13" s="68" t="s">
        <v>109</v>
      </c>
      <c r="BI13" s="68" t="s">
        <v>72</v>
      </c>
      <c r="BJ13" s="68" t="s">
        <v>93</v>
      </c>
      <c r="BK13" s="68" t="s">
        <v>2</v>
      </c>
      <c r="BL13" s="68" t="s">
        <v>3</v>
      </c>
      <c r="BM13" s="68" t="s">
        <v>95</v>
      </c>
      <c r="BN13" s="68" t="s">
        <v>26</v>
      </c>
      <c r="BO13" s="68" t="s">
        <v>59</v>
      </c>
      <c r="BP13" s="68" t="s">
        <v>114</v>
      </c>
      <c r="BQ13" s="68" t="s">
        <v>107</v>
      </c>
      <c r="BR13" s="68" t="s">
        <v>111</v>
      </c>
      <c r="BS13" s="68" t="s">
        <v>35</v>
      </c>
      <c r="BT13" s="68" t="s">
        <v>115</v>
      </c>
      <c r="BU13" s="68" t="s">
        <v>108</v>
      </c>
      <c r="BV13" s="68" t="s">
        <v>38</v>
      </c>
      <c r="BW13" s="68" t="s">
        <v>70</v>
      </c>
      <c r="BX13" s="68" t="s">
        <v>114</v>
      </c>
      <c r="BY13" s="68" t="s">
        <v>110</v>
      </c>
      <c r="BZ13" s="68" t="s">
        <v>103</v>
      </c>
      <c r="CA13" s="68" t="s">
        <v>57</v>
      </c>
      <c r="CB13" s="68" t="s">
        <v>48</v>
      </c>
      <c r="CC13" s="68" t="s">
        <v>113</v>
      </c>
      <c r="CD13" s="68" t="s">
        <v>26</v>
      </c>
      <c r="CE13" s="68" t="s">
        <v>116</v>
      </c>
      <c r="CF13" s="68" t="s">
        <v>101</v>
      </c>
      <c r="CG13" s="68" t="s">
        <v>98</v>
      </c>
      <c r="CH13" s="68" t="s">
        <v>103</v>
      </c>
      <c r="CI13" s="68" t="s">
        <v>117</v>
      </c>
      <c r="CJ13" s="68" t="s">
        <v>94</v>
      </c>
      <c r="CK13" s="68" t="s">
        <v>100</v>
      </c>
      <c r="CL13" s="68" t="s">
        <v>5</v>
      </c>
      <c r="CM13" s="68" t="s">
        <v>97</v>
      </c>
      <c r="CN13" s="68" t="s">
        <v>27</v>
      </c>
      <c r="CO13" s="68" t="s">
        <v>107</v>
      </c>
      <c r="CP13" s="68" t="s">
        <v>118</v>
      </c>
      <c r="CQ13" s="68" t="s">
        <v>57</v>
      </c>
      <c r="CR13" s="68" t="s">
        <v>91</v>
      </c>
      <c r="CS13" s="68" t="s">
        <v>95</v>
      </c>
      <c r="CT13" s="68" t="s">
        <v>26</v>
      </c>
      <c r="CU13" s="68" t="s">
        <v>97</v>
      </c>
      <c r="CV13" s="68" t="s">
        <v>106</v>
      </c>
      <c r="CW13" s="68" t="s">
        <v>98</v>
      </c>
      <c r="CX13" s="68" t="s">
        <v>119</v>
      </c>
      <c r="CY13" s="68" t="s">
        <v>25</v>
      </c>
      <c r="CZ13" s="68" t="s">
        <v>91</v>
      </c>
      <c r="DA13" s="68" t="s">
        <v>100</v>
      </c>
      <c r="DB13" s="68" t="s">
        <v>120</v>
      </c>
      <c r="DC13" s="68" t="s">
        <v>39</v>
      </c>
      <c r="DD13" s="68" t="s">
        <v>106</v>
      </c>
      <c r="DE13" s="68" t="s">
        <v>60</v>
      </c>
      <c r="DF13" s="68" t="s">
        <v>119</v>
      </c>
      <c r="DG13" s="68" t="s">
        <v>2</v>
      </c>
      <c r="DH13" s="68" t="s">
        <v>99</v>
      </c>
      <c r="DI13" s="68" t="s">
        <v>37</v>
      </c>
      <c r="DJ13" s="68" t="s">
        <v>105</v>
      </c>
      <c r="DK13" s="68" t="s">
        <v>121</v>
      </c>
      <c r="DL13" s="68" t="s">
        <v>40</v>
      </c>
      <c r="DM13" s="68" t="s">
        <v>60</v>
      </c>
      <c r="DN13" s="68" t="s">
        <v>122</v>
      </c>
    </row>
    <row r="14" spans="1:119" ht="15.75" customHeight="1">
      <c r="B14" s="44">
        <v>13</v>
      </c>
      <c r="C14" s="37">
        <v>2019</v>
      </c>
      <c r="D14" s="37" t="s">
        <v>259</v>
      </c>
      <c r="E14" s="38" t="s">
        <v>192</v>
      </c>
      <c r="F14" s="39">
        <v>8.4666666666666668</v>
      </c>
      <c r="G14" s="39">
        <v>1.0031407554343332</v>
      </c>
      <c r="H14" s="37" t="s">
        <v>20</v>
      </c>
      <c r="J14" s="37" t="s">
        <v>260</v>
      </c>
      <c r="K14" s="37">
        <v>5</v>
      </c>
      <c r="L14" s="63">
        <f>K14/K20</f>
        <v>1</v>
      </c>
      <c r="N14" s="41" t="s">
        <v>8</v>
      </c>
      <c r="O14" s="11" t="s">
        <v>127</v>
      </c>
      <c r="P14" s="11" t="s">
        <v>128</v>
      </c>
      <c r="Q14" s="11" t="s">
        <v>129</v>
      </c>
      <c r="R14" s="11" t="s">
        <v>130</v>
      </c>
      <c r="S14" s="11" t="s">
        <v>131</v>
      </c>
      <c r="T14" s="11" t="s">
        <v>132</v>
      </c>
      <c r="U14" s="11" t="s">
        <v>133</v>
      </c>
      <c r="V14" s="11" t="s">
        <v>134</v>
      </c>
      <c r="W14" s="11" t="s">
        <v>135</v>
      </c>
      <c r="X14" s="11" t="s">
        <v>136</v>
      </c>
      <c r="Y14" s="11" t="s">
        <v>137</v>
      </c>
      <c r="Z14" s="11" t="s">
        <v>138</v>
      </c>
      <c r="AA14" s="11" t="s">
        <v>139</v>
      </c>
      <c r="AB14" s="11" t="s">
        <v>140</v>
      </c>
      <c r="AC14" s="11" t="s">
        <v>141</v>
      </c>
      <c r="AD14" s="11" t="s">
        <v>142</v>
      </c>
      <c r="AE14" s="11" t="s">
        <v>143</v>
      </c>
      <c r="AF14" s="11" t="s">
        <v>144</v>
      </c>
      <c r="AG14" s="11" t="s">
        <v>145</v>
      </c>
      <c r="AH14" s="11" t="s">
        <v>146</v>
      </c>
      <c r="AI14" s="11" t="s">
        <v>147</v>
      </c>
      <c r="AJ14" s="11" t="s">
        <v>148</v>
      </c>
      <c r="AK14" s="11" t="s">
        <v>149</v>
      </c>
      <c r="AL14" s="11" t="s">
        <v>150</v>
      </c>
      <c r="AM14" s="11" t="s">
        <v>151</v>
      </c>
      <c r="AN14" s="12" t="s">
        <v>152</v>
      </c>
      <c r="AO14" s="11" t="s">
        <v>153</v>
      </c>
      <c r="AP14" s="11" t="s">
        <v>154</v>
      </c>
      <c r="AQ14" s="11" t="s">
        <v>155</v>
      </c>
      <c r="AR14" s="11" t="s">
        <v>156</v>
      </c>
      <c r="AS14" s="11" t="s">
        <v>157</v>
      </c>
      <c r="AT14" s="11" t="s">
        <v>158</v>
      </c>
      <c r="AU14" s="11" t="s">
        <v>159</v>
      </c>
      <c r="AV14" s="11" t="s">
        <v>160</v>
      </c>
      <c r="AW14" s="12" t="s">
        <v>161</v>
      </c>
      <c r="AX14" s="11" t="s">
        <v>162</v>
      </c>
      <c r="AY14" s="11" t="s">
        <v>163</v>
      </c>
      <c r="AZ14" s="11" t="s">
        <v>164</v>
      </c>
      <c r="BA14" s="11" t="s">
        <v>165</v>
      </c>
      <c r="BB14" s="11" t="s">
        <v>166</v>
      </c>
      <c r="BC14" s="11" t="s">
        <v>167</v>
      </c>
      <c r="BD14" s="12" t="s">
        <v>168</v>
      </c>
      <c r="BE14" s="11" t="s">
        <v>169</v>
      </c>
      <c r="BF14" s="11" t="s">
        <v>170</v>
      </c>
      <c r="BG14" s="11" t="s">
        <v>171</v>
      </c>
      <c r="BH14" s="11" t="s">
        <v>172</v>
      </c>
      <c r="BI14" s="11" t="s">
        <v>173</v>
      </c>
      <c r="BJ14" s="11" t="s">
        <v>174</v>
      </c>
      <c r="BK14" s="11" t="s">
        <v>175</v>
      </c>
      <c r="BL14" s="12" t="s">
        <v>176</v>
      </c>
      <c r="BM14" s="11" t="s">
        <v>177</v>
      </c>
      <c r="BN14" s="11" t="s">
        <v>178</v>
      </c>
      <c r="BO14" s="11" t="s">
        <v>179</v>
      </c>
      <c r="BP14" s="11" t="s">
        <v>180</v>
      </c>
      <c r="BQ14" s="11" t="s">
        <v>181</v>
      </c>
      <c r="BR14" s="11" t="s">
        <v>182</v>
      </c>
      <c r="BS14" s="42" t="s">
        <v>183</v>
      </c>
      <c r="BT14" s="43" t="s">
        <v>184</v>
      </c>
      <c r="BU14" s="42" t="s">
        <v>185</v>
      </c>
      <c r="BV14" s="42" t="s">
        <v>186</v>
      </c>
      <c r="BW14" s="42" t="s">
        <v>187</v>
      </c>
      <c r="BX14" s="42" t="s">
        <v>188</v>
      </c>
      <c r="BY14" s="42" t="s">
        <v>189</v>
      </c>
      <c r="BZ14" s="42" t="s">
        <v>190</v>
      </c>
      <c r="CA14" s="42" t="s">
        <v>191</v>
      </c>
      <c r="CB14" s="42" t="s">
        <v>192</v>
      </c>
      <c r="CC14" s="42" t="s">
        <v>193</v>
      </c>
      <c r="CD14" s="42" t="s">
        <v>194</v>
      </c>
      <c r="CE14" s="42" t="s">
        <v>195</v>
      </c>
      <c r="CF14" s="42" t="s">
        <v>196</v>
      </c>
      <c r="CG14" s="42" t="s">
        <v>197</v>
      </c>
      <c r="CH14" s="42" t="s">
        <v>198</v>
      </c>
      <c r="CI14" s="42" t="s">
        <v>199</v>
      </c>
      <c r="CJ14" s="42" t="s">
        <v>200</v>
      </c>
      <c r="CK14" s="42" t="s">
        <v>201</v>
      </c>
      <c r="CL14" s="42" t="s">
        <v>124</v>
      </c>
      <c r="CM14" s="42" t="s">
        <v>202</v>
      </c>
      <c r="CN14" s="42" t="s">
        <v>203</v>
      </c>
      <c r="CO14" s="42" t="s">
        <v>204</v>
      </c>
      <c r="CP14" s="42" t="s">
        <v>205</v>
      </c>
      <c r="CQ14" s="42" t="s">
        <v>206</v>
      </c>
      <c r="CR14" s="43" t="s">
        <v>207</v>
      </c>
      <c r="CS14" s="42" t="s">
        <v>208</v>
      </c>
      <c r="CT14" s="42" t="s">
        <v>209</v>
      </c>
      <c r="CU14" s="42" t="s">
        <v>210</v>
      </c>
      <c r="CV14" s="42" t="s">
        <v>211</v>
      </c>
      <c r="CW14" s="42" t="s">
        <v>212</v>
      </c>
      <c r="CX14" s="42" t="s">
        <v>213</v>
      </c>
      <c r="CY14" s="42" t="s">
        <v>214</v>
      </c>
      <c r="CZ14" s="43" t="s">
        <v>215</v>
      </c>
      <c r="DA14" s="42" t="s">
        <v>216</v>
      </c>
      <c r="DB14" s="42" t="s">
        <v>217</v>
      </c>
      <c r="DC14" s="42" t="s">
        <v>218</v>
      </c>
      <c r="DD14" s="42" t="s">
        <v>219</v>
      </c>
      <c r="DE14" s="42" t="s">
        <v>220</v>
      </c>
      <c r="DF14" s="42" t="s">
        <v>221</v>
      </c>
      <c r="DG14" s="42" t="s">
        <v>222</v>
      </c>
      <c r="DH14" s="43" t="s">
        <v>223</v>
      </c>
      <c r="DI14" s="42" t="s">
        <v>224</v>
      </c>
      <c r="DJ14" s="42" t="s">
        <v>225</v>
      </c>
      <c r="DK14" s="42" t="s">
        <v>226</v>
      </c>
      <c r="DL14" s="42" t="s">
        <v>227</v>
      </c>
      <c r="DM14" s="42" t="s">
        <v>228</v>
      </c>
      <c r="DN14" s="42" t="s">
        <v>229</v>
      </c>
      <c r="DO14" s="36"/>
    </row>
    <row r="15" spans="1:119" ht="15.75" customHeight="1">
      <c r="A15" s="50"/>
      <c r="B15" s="44">
        <v>14</v>
      </c>
      <c r="C15" s="44">
        <v>2006</v>
      </c>
      <c r="D15" s="44" t="s">
        <v>261</v>
      </c>
      <c r="E15" s="45" t="s">
        <v>163</v>
      </c>
      <c r="F15" s="39">
        <v>8.43</v>
      </c>
      <c r="G15" s="39">
        <v>1.0794778858180698</v>
      </c>
      <c r="H15" s="46" t="s">
        <v>20</v>
      </c>
      <c r="J15" s="37" t="s">
        <v>262</v>
      </c>
      <c r="K15" s="37">
        <v>13</v>
      </c>
      <c r="L15" s="63">
        <f>K15/K20</f>
        <v>2.6</v>
      </c>
      <c r="M15" s="33"/>
      <c r="N15" s="38" t="s">
        <v>14</v>
      </c>
      <c r="O15" s="69">
        <f t="shared" ref="O15:DN15" si="1">O3/O27</f>
        <v>0.90009545020680826</v>
      </c>
      <c r="P15" s="69" t="e">
        <f t="shared" si="1"/>
        <v>#DIV/0!</v>
      </c>
      <c r="Q15" s="69" t="e">
        <f t="shared" si="1"/>
        <v>#DIV/0!</v>
      </c>
      <c r="R15" s="69" t="e">
        <f t="shared" si="1"/>
        <v>#DIV/0!</v>
      </c>
      <c r="S15" s="69" t="e">
        <f t="shared" si="1"/>
        <v>#DIV/0!</v>
      </c>
      <c r="T15" s="69" t="e">
        <f t="shared" si="1"/>
        <v>#DIV/0!</v>
      </c>
      <c r="U15" s="69" t="e">
        <f t="shared" si="1"/>
        <v>#DIV/0!</v>
      </c>
      <c r="V15" s="69" t="e">
        <f t="shared" si="1"/>
        <v>#DIV/0!</v>
      </c>
      <c r="W15" s="69" t="e">
        <f t="shared" si="1"/>
        <v>#DIV/0!</v>
      </c>
      <c r="X15" s="69" t="e">
        <f t="shared" si="1"/>
        <v>#DIV/0!</v>
      </c>
      <c r="Y15" s="69" t="e">
        <f t="shared" si="1"/>
        <v>#DIV/0!</v>
      </c>
      <c r="Z15" s="69" t="e">
        <f t="shared" si="1"/>
        <v>#DIV/0!</v>
      </c>
      <c r="AA15" s="69" t="e">
        <f t="shared" si="1"/>
        <v>#DIV/0!</v>
      </c>
      <c r="AB15" s="69" t="e">
        <f t="shared" si="1"/>
        <v>#DIV/0!</v>
      </c>
      <c r="AC15" s="69" t="e">
        <f t="shared" si="1"/>
        <v>#DIV/0!</v>
      </c>
      <c r="AD15" s="69" t="e">
        <f t="shared" si="1"/>
        <v>#DIV/0!</v>
      </c>
      <c r="AE15" s="69" t="e">
        <f t="shared" si="1"/>
        <v>#DIV/0!</v>
      </c>
      <c r="AF15" s="69" t="e">
        <f t="shared" si="1"/>
        <v>#DIV/0!</v>
      </c>
      <c r="AG15" s="69" t="e">
        <f t="shared" si="1"/>
        <v>#DIV/0!</v>
      </c>
      <c r="AH15" s="69" t="e">
        <f t="shared" si="1"/>
        <v>#DIV/0!</v>
      </c>
      <c r="AI15" s="69" t="e">
        <f t="shared" si="1"/>
        <v>#DIV/0!</v>
      </c>
      <c r="AJ15" s="69" t="e">
        <f t="shared" si="1"/>
        <v>#DIV/0!</v>
      </c>
      <c r="AK15" s="69" t="e">
        <f t="shared" si="1"/>
        <v>#DIV/0!</v>
      </c>
      <c r="AL15" s="69" t="e">
        <f t="shared" si="1"/>
        <v>#DIV/0!</v>
      </c>
      <c r="AM15" s="69" t="e">
        <f t="shared" si="1"/>
        <v>#DIV/0!</v>
      </c>
      <c r="AN15" s="69" t="e">
        <f t="shared" si="1"/>
        <v>#DIV/0!</v>
      </c>
      <c r="AO15" s="69" t="e">
        <f t="shared" si="1"/>
        <v>#DIV/0!</v>
      </c>
      <c r="AP15" s="69" t="e">
        <f t="shared" si="1"/>
        <v>#DIV/0!</v>
      </c>
      <c r="AQ15" s="69" t="e">
        <f t="shared" si="1"/>
        <v>#DIV/0!</v>
      </c>
      <c r="AR15" s="69" t="e">
        <f t="shared" si="1"/>
        <v>#DIV/0!</v>
      </c>
      <c r="AS15" s="69" t="e">
        <f t="shared" si="1"/>
        <v>#DIV/0!</v>
      </c>
      <c r="AT15" s="69" t="e">
        <f t="shared" si="1"/>
        <v>#DIV/0!</v>
      </c>
      <c r="AU15" s="69" t="e">
        <f t="shared" si="1"/>
        <v>#DIV/0!</v>
      </c>
      <c r="AV15" s="69" t="e">
        <f t="shared" si="1"/>
        <v>#DIV/0!</v>
      </c>
      <c r="AW15" s="69" t="e">
        <f t="shared" si="1"/>
        <v>#DIV/0!</v>
      </c>
      <c r="AX15" s="69" t="e">
        <f t="shared" si="1"/>
        <v>#DIV/0!</v>
      </c>
      <c r="AY15" s="69" t="e">
        <f t="shared" si="1"/>
        <v>#DIV/0!</v>
      </c>
      <c r="AZ15" s="69" t="e">
        <f t="shared" si="1"/>
        <v>#DIV/0!</v>
      </c>
      <c r="BA15" s="69" t="e">
        <f t="shared" si="1"/>
        <v>#DIV/0!</v>
      </c>
      <c r="BB15" s="69" t="e">
        <f t="shared" si="1"/>
        <v>#DIV/0!</v>
      </c>
      <c r="BC15" s="69" t="e">
        <f t="shared" si="1"/>
        <v>#DIV/0!</v>
      </c>
      <c r="BD15" s="69" t="e">
        <f t="shared" si="1"/>
        <v>#DIV/0!</v>
      </c>
      <c r="BE15" s="69" t="e">
        <f t="shared" si="1"/>
        <v>#DIV/0!</v>
      </c>
      <c r="BF15" s="69" t="e">
        <f t="shared" si="1"/>
        <v>#DIV/0!</v>
      </c>
      <c r="BG15" s="69" t="e">
        <f t="shared" si="1"/>
        <v>#DIV/0!</v>
      </c>
      <c r="BH15" s="69" t="e">
        <f t="shared" si="1"/>
        <v>#DIV/0!</v>
      </c>
      <c r="BI15" s="69" t="e">
        <f t="shared" si="1"/>
        <v>#DIV/0!</v>
      </c>
      <c r="BJ15" s="69" t="e">
        <f t="shared" si="1"/>
        <v>#DIV/0!</v>
      </c>
      <c r="BK15" s="69" t="e">
        <f t="shared" si="1"/>
        <v>#DIV/0!</v>
      </c>
      <c r="BL15" s="69" t="e">
        <f t="shared" si="1"/>
        <v>#DIV/0!</v>
      </c>
      <c r="BM15" s="69" t="e">
        <f t="shared" si="1"/>
        <v>#DIV/0!</v>
      </c>
      <c r="BN15" s="69" t="e">
        <f t="shared" si="1"/>
        <v>#DIV/0!</v>
      </c>
      <c r="BO15" s="69" t="e">
        <f t="shared" si="1"/>
        <v>#DIV/0!</v>
      </c>
      <c r="BP15" s="69" t="e">
        <f t="shared" si="1"/>
        <v>#DIV/0!</v>
      </c>
      <c r="BQ15" s="69" t="e">
        <f t="shared" si="1"/>
        <v>#DIV/0!</v>
      </c>
      <c r="BR15" s="69" t="e">
        <f t="shared" si="1"/>
        <v>#DIV/0!</v>
      </c>
      <c r="BS15" s="69" t="e">
        <f t="shared" si="1"/>
        <v>#DIV/0!</v>
      </c>
      <c r="BT15" s="69" t="e">
        <f t="shared" si="1"/>
        <v>#DIV/0!</v>
      </c>
      <c r="BU15" s="69" t="e">
        <f t="shared" si="1"/>
        <v>#DIV/0!</v>
      </c>
      <c r="BV15" s="69" t="e">
        <f t="shared" si="1"/>
        <v>#DIV/0!</v>
      </c>
      <c r="BW15" s="69" t="e">
        <f t="shared" si="1"/>
        <v>#DIV/0!</v>
      </c>
      <c r="BX15" s="69" t="e">
        <f t="shared" si="1"/>
        <v>#DIV/0!</v>
      </c>
      <c r="BY15" s="69" t="e">
        <f t="shared" si="1"/>
        <v>#DIV/0!</v>
      </c>
      <c r="BZ15" s="69" t="e">
        <f t="shared" si="1"/>
        <v>#DIV/0!</v>
      </c>
      <c r="CA15" s="69" t="e">
        <f t="shared" si="1"/>
        <v>#DIV/0!</v>
      </c>
      <c r="CB15" s="69" t="e">
        <f t="shared" si="1"/>
        <v>#DIV/0!</v>
      </c>
      <c r="CC15" s="69" t="e">
        <f t="shared" si="1"/>
        <v>#DIV/0!</v>
      </c>
      <c r="CD15" s="69" t="e">
        <f t="shared" si="1"/>
        <v>#DIV/0!</v>
      </c>
      <c r="CE15" s="69" t="e">
        <f t="shared" si="1"/>
        <v>#DIV/0!</v>
      </c>
      <c r="CF15" s="69" t="e">
        <f t="shared" si="1"/>
        <v>#DIV/0!</v>
      </c>
      <c r="CG15" s="69" t="e">
        <f t="shared" si="1"/>
        <v>#DIV/0!</v>
      </c>
      <c r="CH15" s="69" t="e">
        <f t="shared" si="1"/>
        <v>#DIV/0!</v>
      </c>
      <c r="CI15" s="69" t="e">
        <f t="shared" si="1"/>
        <v>#DIV/0!</v>
      </c>
      <c r="CJ15" s="69" t="e">
        <f t="shared" si="1"/>
        <v>#DIV/0!</v>
      </c>
      <c r="CK15" s="69" t="e">
        <f t="shared" si="1"/>
        <v>#DIV/0!</v>
      </c>
      <c r="CL15" s="69" t="e">
        <f t="shared" si="1"/>
        <v>#DIV/0!</v>
      </c>
      <c r="CM15" s="69" t="e">
        <f t="shared" si="1"/>
        <v>#DIV/0!</v>
      </c>
      <c r="CN15" s="69" t="e">
        <f t="shared" si="1"/>
        <v>#DIV/0!</v>
      </c>
      <c r="CO15" s="69" t="e">
        <f t="shared" si="1"/>
        <v>#DIV/0!</v>
      </c>
      <c r="CP15" s="69" t="e">
        <f t="shared" si="1"/>
        <v>#DIV/0!</v>
      </c>
      <c r="CQ15" s="69" t="e">
        <f t="shared" si="1"/>
        <v>#DIV/0!</v>
      </c>
      <c r="CR15" s="69" t="e">
        <f t="shared" si="1"/>
        <v>#DIV/0!</v>
      </c>
      <c r="CS15" s="69" t="e">
        <f t="shared" si="1"/>
        <v>#DIV/0!</v>
      </c>
      <c r="CT15" s="69" t="e">
        <f t="shared" si="1"/>
        <v>#DIV/0!</v>
      </c>
      <c r="CU15" s="69" t="e">
        <f t="shared" si="1"/>
        <v>#DIV/0!</v>
      </c>
      <c r="CV15" s="69" t="e">
        <f t="shared" si="1"/>
        <v>#DIV/0!</v>
      </c>
      <c r="CW15" s="69" t="e">
        <f t="shared" si="1"/>
        <v>#DIV/0!</v>
      </c>
      <c r="CX15" s="69" t="e">
        <f t="shared" si="1"/>
        <v>#DIV/0!</v>
      </c>
      <c r="CY15" s="69" t="e">
        <f t="shared" si="1"/>
        <v>#DIV/0!</v>
      </c>
      <c r="CZ15" s="69" t="e">
        <f t="shared" si="1"/>
        <v>#DIV/0!</v>
      </c>
      <c r="DA15" s="69" t="e">
        <f t="shared" si="1"/>
        <v>#DIV/0!</v>
      </c>
      <c r="DB15" s="69" t="e">
        <f t="shared" si="1"/>
        <v>#DIV/0!</v>
      </c>
      <c r="DC15" s="69" t="e">
        <f t="shared" si="1"/>
        <v>#DIV/0!</v>
      </c>
      <c r="DD15" s="69" t="e">
        <f t="shared" si="1"/>
        <v>#DIV/0!</v>
      </c>
      <c r="DE15" s="69" t="e">
        <f t="shared" si="1"/>
        <v>#DIV/0!</v>
      </c>
      <c r="DF15" s="69" t="e">
        <f t="shared" si="1"/>
        <v>#DIV/0!</v>
      </c>
      <c r="DG15" s="69" t="e">
        <f t="shared" si="1"/>
        <v>#DIV/0!</v>
      </c>
      <c r="DH15" s="69" t="e">
        <f t="shared" si="1"/>
        <v>#DIV/0!</v>
      </c>
      <c r="DI15" s="69" t="e">
        <f t="shared" si="1"/>
        <v>#DIV/0!</v>
      </c>
      <c r="DJ15" s="69" t="e">
        <f t="shared" si="1"/>
        <v>#DIV/0!</v>
      </c>
      <c r="DK15" s="69" t="e">
        <f t="shared" si="1"/>
        <v>#DIV/0!</v>
      </c>
      <c r="DL15" s="69" t="e">
        <f t="shared" si="1"/>
        <v>#DIV/0!</v>
      </c>
      <c r="DM15" s="69" t="e">
        <f t="shared" si="1"/>
        <v>#DIV/0!</v>
      </c>
      <c r="DN15" s="69" t="e">
        <f t="shared" si="1"/>
        <v>#DIV/0!</v>
      </c>
      <c r="DO15" s="49"/>
    </row>
    <row r="16" spans="1:119" ht="15.75" customHeight="1">
      <c r="A16" s="50"/>
      <c r="B16" s="37">
        <v>15</v>
      </c>
      <c r="C16" s="37">
        <v>1984</v>
      </c>
      <c r="D16" s="37" t="s">
        <v>263</v>
      </c>
      <c r="E16" s="40" t="s">
        <v>180</v>
      </c>
      <c r="F16" s="39">
        <v>8.4285714285714288</v>
      </c>
      <c r="G16" s="39">
        <v>1.0804842669737016</v>
      </c>
      <c r="H16" s="37" t="s">
        <v>21</v>
      </c>
      <c r="J16" s="37" t="s">
        <v>264</v>
      </c>
      <c r="K16" s="37">
        <v>26</v>
      </c>
      <c r="L16" s="63">
        <f>K16/K20</f>
        <v>5.2</v>
      </c>
      <c r="M16" s="33"/>
      <c r="N16" s="38" t="s">
        <v>236</v>
      </c>
      <c r="O16" s="69">
        <f t="shared" ref="O16:DN16" si="2">O4/O28</f>
        <v>0.82400322190898079</v>
      </c>
      <c r="P16" s="69" t="e">
        <f t="shared" si="2"/>
        <v>#DIV/0!</v>
      </c>
      <c r="Q16" s="69" t="e">
        <f t="shared" si="2"/>
        <v>#DIV/0!</v>
      </c>
      <c r="R16" s="69" t="e">
        <f t="shared" si="2"/>
        <v>#DIV/0!</v>
      </c>
      <c r="S16" s="69" t="e">
        <f t="shared" si="2"/>
        <v>#DIV/0!</v>
      </c>
      <c r="T16" s="69" t="e">
        <f t="shared" si="2"/>
        <v>#DIV/0!</v>
      </c>
      <c r="U16" s="69" t="e">
        <f t="shared" si="2"/>
        <v>#DIV/0!</v>
      </c>
      <c r="V16" s="69" t="e">
        <f t="shared" si="2"/>
        <v>#DIV/0!</v>
      </c>
      <c r="W16" s="69" t="e">
        <f t="shared" si="2"/>
        <v>#DIV/0!</v>
      </c>
      <c r="X16" s="69" t="e">
        <f t="shared" si="2"/>
        <v>#DIV/0!</v>
      </c>
      <c r="Y16" s="69" t="e">
        <f t="shared" si="2"/>
        <v>#DIV/0!</v>
      </c>
      <c r="Z16" s="69" t="e">
        <f t="shared" si="2"/>
        <v>#DIV/0!</v>
      </c>
      <c r="AA16" s="69" t="e">
        <f t="shared" si="2"/>
        <v>#DIV/0!</v>
      </c>
      <c r="AB16" s="69" t="e">
        <f t="shared" si="2"/>
        <v>#DIV/0!</v>
      </c>
      <c r="AC16" s="69" t="e">
        <f t="shared" si="2"/>
        <v>#DIV/0!</v>
      </c>
      <c r="AD16" s="69" t="e">
        <f t="shared" si="2"/>
        <v>#DIV/0!</v>
      </c>
      <c r="AE16" s="69" t="e">
        <f t="shared" si="2"/>
        <v>#DIV/0!</v>
      </c>
      <c r="AF16" s="69" t="e">
        <f t="shared" si="2"/>
        <v>#DIV/0!</v>
      </c>
      <c r="AG16" s="69" t="e">
        <f t="shared" si="2"/>
        <v>#DIV/0!</v>
      </c>
      <c r="AH16" s="69" t="e">
        <f t="shared" si="2"/>
        <v>#DIV/0!</v>
      </c>
      <c r="AI16" s="69" t="e">
        <f t="shared" si="2"/>
        <v>#DIV/0!</v>
      </c>
      <c r="AJ16" s="69" t="e">
        <f t="shared" si="2"/>
        <v>#DIV/0!</v>
      </c>
      <c r="AK16" s="69" t="e">
        <f t="shared" si="2"/>
        <v>#DIV/0!</v>
      </c>
      <c r="AL16" s="69" t="e">
        <f t="shared" si="2"/>
        <v>#DIV/0!</v>
      </c>
      <c r="AM16" s="69" t="e">
        <f t="shared" si="2"/>
        <v>#DIV/0!</v>
      </c>
      <c r="AN16" s="69" t="e">
        <f t="shared" si="2"/>
        <v>#DIV/0!</v>
      </c>
      <c r="AO16" s="69" t="e">
        <f t="shared" si="2"/>
        <v>#DIV/0!</v>
      </c>
      <c r="AP16" s="69" t="e">
        <f t="shared" si="2"/>
        <v>#DIV/0!</v>
      </c>
      <c r="AQ16" s="69" t="e">
        <f t="shared" si="2"/>
        <v>#DIV/0!</v>
      </c>
      <c r="AR16" s="69" t="e">
        <f t="shared" si="2"/>
        <v>#DIV/0!</v>
      </c>
      <c r="AS16" s="69" t="e">
        <f t="shared" si="2"/>
        <v>#DIV/0!</v>
      </c>
      <c r="AT16" s="69" t="e">
        <f t="shared" si="2"/>
        <v>#DIV/0!</v>
      </c>
      <c r="AU16" s="69" t="e">
        <f t="shared" si="2"/>
        <v>#DIV/0!</v>
      </c>
      <c r="AV16" s="69" t="e">
        <f t="shared" si="2"/>
        <v>#DIV/0!</v>
      </c>
      <c r="AW16" s="69" t="e">
        <f t="shared" si="2"/>
        <v>#DIV/0!</v>
      </c>
      <c r="AX16" s="69" t="e">
        <f t="shared" si="2"/>
        <v>#DIV/0!</v>
      </c>
      <c r="AY16" s="69" t="e">
        <f t="shared" si="2"/>
        <v>#DIV/0!</v>
      </c>
      <c r="AZ16" s="69" t="e">
        <f t="shared" si="2"/>
        <v>#DIV/0!</v>
      </c>
      <c r="BA16" s="69" t="e">
        <f t="shared" si="2"/>
        <v>#DIV/0!</v>
      </c>
      <c r="BB16" s="69" t="e">
        <f t="shared" si="2"/>
        <v>#DIV/0!</v>
      </c>
      <c r="BC16" s="69" t="e">
        <f t="shared" si="2"/>
        <v>#DIV/0!</v>
      </c>
      <c r="BD16" s="69" t="e">
        <f t="shared" si="2"/>
        <v>#DIV/0!</v>
      </c>
      <c r="BE16" s="69" t="e">
        <f t="shared" si="2"/>
        <v>#DIV/0!</v>
      </c>
      <c r="BF16" s="69" t="e">
        <f t="shared" si="2"/>
        <v>#DIV/0!</v>
      </c>
      <c r="BG16" s="69" t="e">
        <f t="shared" si="2"/>
        <v>#DIV/0!</v>
      </c>
      <c r="BH16" s="69" t="e">
        <f t="shared" si="2"/>
        <v>#DIV/0!</v>
      </c>
      <c r="BI16" s="69" t="e">
        <f t="shared" si="2"/>
        <v>#DIV/0!</v>
      </c>
      <c r="BJ16" s="69" t="e">
        <f t="shared" si="2"/>
        <v>#DIV/0!</v>
      </c>
      <c r="BK16" s="69" t="e">
        <f t="shared" si="2"/>
        <v>#DIV/0!</v>
      </c>
      <c r="BL16" s="69" t="e">
        <f t="shared" si="2"/>
        <v>#DIV/0!</v>
      </c>
      <c r="BM16" s="69" t="e">
        <f t="shared" si="2"/>
        <v>#DIV/0!</v>
      </c>
      <c r="BN16" s="69" t="e">
        <f t="shared" si="2"/>
        <v>#DIV/0!</v>
      </c>
      <c r="BO16" s="69" t="e">
        <f t="shared" si="2"/>
        <v>#DIV/0!</v>
      </c>
      <c r="BP16" s="69" t="e">
        <f t="shared" si="2"/>
        <v>#DIV/0!</v>
      </c>
      <c r="BQ16" s="69" t="e">
        <f t="shared" si="2"/>
        <v>#DIV/0!</v>
      </c>
      <c r="BR16" s="69" t="e">
        <f t="shared" si="2"/>
        <v>#DIV/0!</v>
      </c>
      <c r="BS16" s="69" t="e">
        <f t="shared" si="2"/>
        <v>#DIV/0!</v>
      </c>
      <c r="BT16" s="69" t="e">
        <f t="shared" si="2"/>
        <v>#DIV/0!</v>
      </c>
      <c r="BU16" s="69" t="e">
        <f t="shared" si="2"/>
        <v>#DIV/0!</v>
      </c>
      <c r="BV16" s="69" t="e">
        <f t="shared" si="2"/>
        <v>#DIV/0!</v>
      </c>
      <c r="BW16" s="69" t="e">
        <f t="shared" si="2"/>
        <v>#DIV/0!</v>
      </c>
      <c r="BX16" s="69" t="e">
        <f t="shared" si="2"/>
        <v>#DIV/0!</v>
      </c>
      <c r="BY16" s="69" t="e">
        <f t="shared" si="2"/>
        <v>#DIV/0!</v>
      </c>
      <c r="BZ16" s="69" t="e">
        <f t="shared" si="2"/>
        <v>#DIV/0!</v>
      </c>
      <c r="CA16" s="69" t="e">
        <f t="shared" si="2"/>
        <v>#DIV/0!</v>
      </c>
      <c r="CB16" s="69" t="e">
        <f t="shared" si="2"/>
        <v>#DIV/0!</v>
      </c>
      <c r="CC16" s="69" t="e">
        <f t="shared" si="2"/>
        <v>#DIV/0!</v>
      </c>
      <c r="CD16" s="69" t="e">
        <f t="shared" si="2"/>
        <v>#DIV/0!</v>
      </c>
      <c r="CE16" s="69" t="e">
        <f t="shared" si="2"/>
        <v>#DIV/0!</v>
      </c>
      <c r="CF16" s="69" t="e">
        <f t="shared" si="2"/>
        <v>#DIV/0!</v>
      </c>
      <c r="CG16" s="69" t="e">
        <f t="shared" si="2"/>
        <v>#DIV/0!</v>
      </c>
      <c r="CH16" s="69" t="e">
        <f t="shared" si="2"/>
        <v>#DIV/0!</v>
      </c>
      <c r="CI16" s="69" t="e">
        <f t="shared" si="2"/>
        <v>#DIV/0!</v>
      </c>
      <c r="CJ16" s="69" t="e">
        <f t="shared" si="2"/>
        <v>#DIV/0!</v>
      </c>
      <c r="CK16" s="69" t="e">
        <f t="shared" si="2"/>
        <v>#DIV/0!</v>
      </c>
      <c r="CL16" s="69" t="e">
        <f t="shared" si="2"/>
        <v>#DIV/0!</v>
      </c>
      <c r="CM16" s="69" t="e">
        <f t="shared" si="2"/>
        <v>#DIV/0!</v>
      </c>
      <c r="CN16" s="69" t="e">
        <f t="shared" si="2"/>
        <v>#DIV/0!</v>
      </c>
      <c r="CO16" s="69" t="e">
        <f t="shared" si="2"/>
        <v>#DIV/0!</v>
      </c>
      <c r="CP16" s="69" t="e">
        <f t="shared" si="2"/>
        <v>#DIV/0!</v>
      </c>
      <c r="CQ16" s="69" t="e">
        <f t="shared" si="2"/>
        <v>#DIV/0!</v>
      </c>
      <c r="CR16" s="69" t="e">
        <f t="shared" si="2"/>
        <v>#DIV/0!</v>
      </c>
      <c r="CS16" s="69" t="e">
        <f t="shared" si="2"/>
        <v>#DIV/0!</v>
      </c>
      <c r="CT16" s="69" t="e">
        <f t="shared" si="2"/>
        <v>#DIV/0!</v>
      </c>
      <c r="CU16" s="69" t="e">
        <f t="shared" si="2"/>
        <v>#DIV/0!</v>
      </c>
      <c r="CV16" s="69" t="e">
        <f t="shared" si="2"/>
        <v>#DIV/0!</v>
      </c>
      <c r="CW16" s="69" t="e">
        <f t="shared" si="2"/>
        <v>#DIV/0!</v>
      </c>
      <c r="CX16" s="69" t="e">
        <f t="shared" si="2"/>
        <v>#DIV/0!</v>
      </c>
      <c r="CY16" s="69" t="e">
        <f t="shared" si="2"/>
        <v>#DIV/0!</v>
      </c>
      <c r="CZ16" s="69" t="e">
        <f t="shared" si="2"/>
        <v>#DIV/0!</v>
      </c>
      <c r="DA16" s="69" t="e">
        <f t="shared" si="2"/>
        <v>#DIV/0!</v>
      </c>
      <c r="DB16" s="69" t="e">
        <f t="shared" si="2"/>
        <v>#DIV/0!</v>
      </c>
      <c r="DC16" s="69" t="e">
        <f t="shared" si="2"/>
        <v>#DIV/0!</v>
      </c>
      <c r="DD16" s="69" t="e">
        <f t="shared" si="2"/>
        <v>#DIV/0!</v>
      </c>
      <c r="DE16" s="69" t="e">
        <f t="shared" si="2"/>
        <v>#DIV/0!</v>
      </c>
      <c r="DF16" s="69" t="e">
        <f t="shared" si="2"/>
        <v>#DIV/0!</v>
      </c>
      <c r="DG16" s="69" t="e">
        <f t="shared" si="2"/>
        <v>#DIV/0!</v>
      </c>
      <c r="DH16" s="69" t="e">
        <f t="shared" si="2"/>
        <v>#DIV/0!</v>
      </c>
      <c r="DI16" s="69" t="e">
        <f t="shared" si="2"/>
        <v>#DIV/0!</v>
      </c>
      <c r="DJ16" s="69" t="e">
        <f t="shared" si="2"/>
        <v>#DIV/0!</v>
      </c>
      <c r="DK16" s="69" t="e">
        <f t="shared" si="2"/>
        <v>#DIV/0!</v>
      </c>
      <c r="DL16" s="69" t="e">
        <f t="shared" si="2"/>
        <v>#DIV/0!</v>
      </c>
      <c r="DM16" s="69" t="e">
        <f t="shared" si="2"/>
        <v>#DIV/0!</v>
      </c>
      <c r="DN16" s="69" t="e">
        <f t="shared" si="2"/>
        <v>#DIV/0!</v>
      </c>
    </row>
    <row r="17" spans="1:119" ht="15.75" customHeight="1">
      <c r="A17" s="50"/>
      <c r="B17" s="56">
        <v>16</v>
      </c>
      <c r="C17" s="44">
        <v>1973</v>
      </c>
      <c r="D17" s="44" t="s">
        <v>265</v>
      </c>
      <c r="E17" s="45" t="s">
        <v>158</v>
      </c>
      <c r="F17" s="39">
        <v>8.375</v>
      </c>
      <c r="G17" s="39">
        <v>1.0695604598079527</v>
      </c>
      <c r="H17" s="46" t="s">
        <v>20</v>
      </c>
      <c r="J17" s="37" t="s">
        <v>266</v>
      </c>
      <c r="K17" s="37">
        <v>13</v>
      </c>
      <c r="L17" s="63">
        <f t="shared" ref="L17:L18" si="3">K17/K20</f>
        <v>2.6</v>
      </c>
      <c r="M17" s="33"/>
      <c r="N17" s="38" t="s">
        <v>16</v>
      </c>
      <c r="O17" s="69">
        <f t="shared" ref="O17:DN17" si="4">O5/O29</f>
        <v>1.0301901336073995</v>
      </c>
      <c r="P17" s="69" t="e">
        <f t="shared" si="4"/>
        <v>#DIV/0!</v>
      </c>
      <c r="Q17" s="69" t="e">
        <f t="shared" si="4"/>
        <v>#DIV/0!</v>
      </c>
      <c r="R17" s="69" t="e">
        <f t="shared" si="4"/>
        <v>#DIV/0!</v>
      </c>
      <c r="S17" s="69" t="e">
        <f t="shared" si="4"/>
        <v>#DIV/0!</v>
      </c>
      <c r="T17" s="69" t="e">
        <f t="shared" si="4"/>
        <v>#DIV/0!</v>
      </c>
      <c r="U17" s="69" t="e">
        <f t="shared" si="4"/>
        <v>#DIV/0!</v>
      </c>
      <c r="V17" s="69" t="e">
        <f t="shared" si="4"/>
        <v>#DIV/0!</v>
      </c>
      <c r="W17" s="69" t="e">
        <f t="shared" si="4"/>
        <v>#DIV/0!</v>
      </c>
      <c r="X17" s="69" t="e">
        <f t="shared" si="4"/>
        <v>#DIV/0!</v>
      </c>
      <c r="Y17" s="69" t="e">
        <f t="shared" si="4"/>
        <v>#DIV/0!</v>
      </c>
      <c r="Z17" s="69" t="e">
        <f t="shared" si="4"/>
        <v>#DIV/0!</v>
      </c>
      <c r="AA17" s="69" t="e">
        <f t="shared" si="4"/>
        <v>#DIV/0!</v>
      </c>
      <c r="AB17" s="69" t="e">
        <f t="shared" si="4"/>
        <v>#DIV/0!</v>
      </c>
      <c r="AC17" s="69" t="e">
        <f t="shared" si="4"/>
        <v>#DIV/0!</v>
      </c>
      <c r="AD17" s="69" t="e">
        <f t="shared" si="4"/>
        <v>#DIV/0!</v>
      </c>
      <c r="AE17" s="69" t="e">
        <f t="shared" si="4"/>
        <v>#DIV/0!</v>
      </c>
      <c r="AF17" s="69" t="e">
        <f t="shared" si="4"/>
        <v>#DIV/0!</v>
      </c>
      <c r="AG17" s="69" t="e">
        <f t="shared" si="4"/>
        <v>#DIV/0!</v>
      </c>
      <c r="AH17" s="69" t="e">
        <f t="shared" si="4"/>
        <v>#DIV/0!</v>
      </c>
      <c r="AI17" s="69" t="e">
        <f t="shared" si="4"/>
        <v>#DIV/0!</v>
      </c>
      <c r="AJ17" s="69" t="e">
        <f t="shared" si="4"/>
        <v>#DIV/0!</v>
      </c>
      <c r="AK17" s="69" t="e">
        <f t="shared" si="4"/>
        <v>#DIV/0!</v>
      </c>
      <c r="AL17" s="69" t="e">
        <f t="shared" si="4"/>
        <v>#DIV/0!</v>
      </c>
      <c r="AM17" s="69" t="e">
        <f t="shared" si="4"/>
        <v>#DIV/0!</v>
      </c>
      <c r="AN17" s="69" t="e">
        <f t="shared" si="4"/>
        <v>#DIV/0!</v>
      </c>
      <c r="AO17" s="69" t="e">
        <f t="shared" si="4"/>
        <v>#DIV/0!</v>
      </c>
      <c r="AP17" s="69" t="e">
        <f t="shared" si="4"/>
        <v>#DIV/0!</v>
      </c>
      <c r="AQ17" s="69" t="e">
        <f t="shared" si="4"/>
        <v>#DIV/0!</v>
      </c>
      <c r="AR17" s="69" t="e">
        <f t="shared" si="4"/>
        <v>#DIV/0!</v>
      </c>
      <c r="AS17" s="69" t="e">
        <f t="shared" si="4"/>
        <v>#DIV/0!</v>
      </c>
      <c r="AT17" s="69" t="e">
        <f t="shared" si="4"/>
        <v>#DIV/0!</v>
      </c>
      <c r="AU17" s="69" t="e">
        <f t="shared" si="4"/>
        <v>#DIV/0!</v>
      </c>
      <c r="AV17" s="69" t="e">
        <f t="shared" si="4"/>
        <v>#DIV/0!</v>
      </c>
      <c r="AW17" s="69" t="e">
        <f t="shared" si="4"/>
        <v>#DIV/0!</v>
      </c>
      <c r="AX17" s="69" t="e">
        <f t="shared" si="4"/>
        <v>#DIV/0!</v>
      </c>
      <c r="AY17" s="69" t="e">
        <f t="shared" si="4"/>
        <v>#DIV/0!</v>
      </c>
      <c r="AZ17" s="69" t="e">
        <f t="shared" si="4"/>
        <v>#DIV/0!</v>
      </c>
      <c r="BA17" s="69" t="e">
        <f t="shared" si="4"/>
        <v>#DIV/0!</v>
      </c>
      <c r="BB17" s="69" t="e">
        <f t="shared" si="4"/>
        <v>#DIV/0!</v>
      </c>
      <c r="BC17" s="69" t="e">
        <f t="shared" si="4"/>
        <v>#DIV/0!</v>
      </c>
      <c r="BD17" s="69" t="e">
        <f t="shared" si="4"/>
        <v>#DIV/0!</v>
      </c>
      <c r="BE17" s="69" t="e">
        <f t="shared" si="4"/>
        <v>#DIV/0!</v>
      </c>
      <c r="BF17" s="69" t="e">
        <f t="shared" si="4"/>
        <v>#DIV/0!</v>
      </c>
      <c r="BG17" s="69" t="e">
        <f t="shared" si="4"/>
        <v>#DIV/0!</v>
      </c>
      <c r="BH17" s="69" t="e">
        <f t="shared" si="4"/>
        <v>#DIV/0!</v>
      </c>
      <c r="BI17" s="69" t="e">
        <f t="shared" si="4"/>
        <v>#DIV/0!</v>
      </c>
      <c r="BJ17" s="69" t="e">
        <f t="shared" si="4"/>
        <v>#DIV/0!</v>
      </c>
      <c r="BK17" s="69" t="e">
        <f t="shared" si="4"/>
        <v>#VALUE!</v>
      </c>
      <c r="BL17" s="69" t="e">
        <f t="shared" si="4"/>
        <v>#DIV/0!</v>
      </c>
      <c r="BM17" s="69" t="e">
        <f t="shared" si="4"/>
        <v>#DIV/0!</v>
      </c>
      <c r="BN17" s="69" t="e">
        <f t="shared" si="4"/>
        <v>#DIV/0!</v>
      </c>
      <c r="BO17" s="69" t="e">
        <f t="shared" si="4"/>
        <v>#DIV/0!</v>
      </c>
      <c r="BP17" s="69" t="e">
        <f t="shared" si="4"/>
        <v>#DIV/0!</v>
      </c>
      <c r="BQ17" s="69" t="e">
        <f t="shared" si="4"/>
        <v>#DIV/0!</v>
      </c>
      <c r="BR17" s="69" t="e">
        <f t="shared" si="4"/>
        <v>#DIV/0!</v>
      </c>
      <c r="BS17" s="69" t="e">
        <f t="shared" si="4"/>
        <v>#DIV/0!</v>
      </c>
      <c r="BT17" s="69" t="e">
        <f t="shared" si="4"/>
        <v>#DIV/0!</v>
      </c>
      <c r="BU17" s="69" t="e">
        <f t="shared" si="4"/>
        <v>#DIV/0!</v>
      </c>
      <c r="BV17" s="69" t="e">
        <f t="shared" si="4"/>
        <v>#DIV/0!</v>
      </c>
      <c r="BW17" s="69" t="e">
        <f t="shared" si="4"/>
        <v>#DIV/0!</v>
      </c>
      <c r="BX17" s="69" t="e">
        <f t="shared" si="4"/>
        <v>#DIV/0!</v>
      </c>
      <c r="BY17" s="69" t="e">
        <f t="shared" si="4"/>
        <v>#DIV/0!</v>
      </c>
      <c r="BZ17" s="69" t="e">
        <f t="shared" si="4"/>
        <v>#DIV/0!</v>
      </c>
      <c r="CA17" s="69" t="e">
        <f t="shared" si="4"/>
        <v>#DIV/0!</v>
      </c>
      <c r="CB17" s="69" t="e">
        <f t="shared" si="4"/>
        <v>#DIV/0!</v>
      </c>
      <c r="CC17" s="69" t="e">
        <f t="shared" si="4"/>
        <v>#DIV/0!</v>
      </c>
      <c r="CD17" s="69" t="e">
        <f t="shared" si="4"/>
        <v>#DIV/0!</v>
      </c>
      <c r="CE17" s="69" t="e">
        <f t="shared" si="4"/>
        <v>#DIV/0!</v>
      </c>
      <c r="CF17" s="69" t="e">
        <f t="shared" si="4"/>
        <v>#DIV/0!</v>
      </c>
      <c r="CG17" s="69" t="e">
        <f t="shared" si="4"/>
        <v>#DIV/0!</v>
      </c>
      <c r="CH17" s="69" t="e">
        <f t="shared" si="4"/>
        <v>#DIV/0!</v>
      </c>
      <c r="CI17" s="69" t="e">
        <f t="shared" si="4"/>
        <v>#DIV/0!</v>
      </c>
      <c r="CJ17" s="69" t="e">
        <f t="shared" si="4"/>
        <v>#DIV/0!</v>
      </c>
      <c r="CK17" s="69" t="e">
        <f t="shared" si="4"/>
        <v>#DIV/0!</v>
      </c>
      <c r="CL17" s="69" t="e">
        <f t="shared" si="4"/>
        <v>#DIV/0!</v>
      </c>
      <c r="CM17" s="69" t="e">
        <f t="shared" si="4"/>
        <v>#DIV/0!</v>
      </c>
      <c r="CN17" s="69" t="e">
        <f t="shared" si="4"/>
        <v>#DIV/0!</v>
      </c>
      <c r="CO17" s="69" t="e">
        <f t="shared" si="4"/>
        <v>#DIV/0!</v>
      </c>
      <c r="CP17" s="69" t="e">
        <f t="shared" si="4"/>
        <v>#DIV/0!</v>
      </c>
      <c r="CQ17" s="69" t="e">
        <f t="shared" si="4"/>
        <v>#DIV/0!</v>
      </c>
      <c r="CR17" s="69" t="e">
        <f t="shared" si="4"/>
        <v>#DIV/0!</v>
      </c>
      <c r="CS17" s="69" t="e">
        <f t="shared" si="4"/>
        <v>#DIV/0!</v>
      </c>
      <c r="CT17" s="69" t="e">
        <f t="shared" si="4"/>
        <v>#DIV/0!</v>
      </c>
      <c r="CU17" s="69" t="e">
        <f t="shared" si="4"/>
        <v>#DIV/0!</v>
      </c>
      <c r="CV17" s="69" t="e">
        <f t="shared" si="4"/>
        <v>#DIV/0!</v>
      </c>
      <c r="CW17" s="69" t="e">
        <f t="shared" si="4"/>
        <v>#DIV/0!</v>
      </c>
      <c r="CX17" s="69" t="e">
        <f t="shared" si="4"/>
        <v>#DIV/0!</v>
      </c>
      <c r="CY17" s="69" t="e">
        <f t="shared" si="4"/>
        <v>#DIV/0!</v>
      </c>
      <c r="CZ17" s="69" t="e">
        <f t="shared" si="4"/>
        <v>#DIV/0!</v>
      </c>
      <c r="DA17" s="69" t="e">
        <f t="shared" si="4"/>
        <v>#DIV/0!</v>
      </c>
      <c r="DB17" s="69" t="e">
        <f t="shared" si="4"/>
        <v>#DIV/0!</v>
      </c>
      <c r="DC17" s="69" t="e">
        <f t="shared" si="4"/>
        <v>#DIV/0!</v>
      </c>
      <c r="DD17" s="69" t="e">
        <f t="shared" si="4"/>
        <v>#DIV/0!</v>
      </c>
      <c r="DE17" s="69" t="e">
        <f t="shared" si="4"/>
        <v>#DIV/0!</v>
      </c>
      <c r="DF17" s="69" t="e">
        <f t="shared" si="4"/>
        <v>#DIV/0!</v>
      </c>
      <c r="DG17" s="69" t="e">
        <f t="shared" si="4"/>
        <v>#DIV/0!</v>
      </c>
      <c r="DH17" s="69" t="e">
        <f t="shared" si="4"/>
        <v>#DIV/0!</v>
      </c>
      <c r="DI17" s="69" t="e">
        <f t="shared" si="4"/>
        <v>#DIV/0!</v>
      </c>
      <c r="DJ17" s="69" t="e">
        <f t="shared" si="4"/>
        <v>#DIV/0!</v>
      </c>
      <c r="DK17" s="69" t="e">
        <f t="shared" si="4"/>
        <v>#DIV/0!</v>
      </c>
      <c r="DL17" s="69" t="e">
        <f t="shared" si="4"/>
        <v>#DIV/0!</v>
      </c>
      <c r="DM17" s="69" t="e">
        <f t="shared" si="4"/>
        <v>#DIV/0!</v>
      </c>
      <c r="DN17" s="69" t="e">
        <f t="shared" si="4"/>
        <v>#DIV/0!</v>
      </c>
    </row>
    <row r="18" spans="1:119" ht="15.75" customHeight="1">
      <c r="A18" s="50"/>
      <c r="B18" s="37">
        <v>17</v>
      </c>
      <c r="C18" s="44">
        <v>1968</v>
      </c>
      <c r="D18" s="44" t="s">
        <v>267</v>
      </c>
      <c r="E18" s="45" t="s">
        <v>132</v>
      </c>
      <c r="F18" s="39">
        <v>8.375</v>
      </c>
      <c r="G18" s="39">
        <v>1.0692917071107464</v>
      </c>
      <c r="H18" s="46" t="s">
        <v>18</v>
      </c>
      <c r="J18" s="37" t="s">
        <v>266</v>
      </c>
      <c r="K18" s="37">
        <v>13</v>
      </c>
      <c r="L18" s="63">
        <f t="shared" si="3"/>
        <v>0.14606741573033707</v>
      </c>
      <c r="M18" s="33"/>
      <c r="N18" s="38" t="s">
        <v>17</v>
      </c>
      <c r="O18" s="69">
        <f t="shared" ref="O18:DN18" si="5">O6/O30</f>
        <v>1.20259019426457</v>
      </c>
      <c r="P18" s="69" t="e">
        <f t="shared" si="5"/>
        <v>#DIV/0!</v>
      </c>
      <c r="Q18" s="69" t="e">
        <f t="shared" si="5"/>
        <v>#DIV/0!</v>
      </c>
      <c r="R18" s="69" t="e">
        <f t="shared" si="5"/>
        <v>#DIV/0!</v>
      </c>
      <c r="S18" s="69" t="e">
        <f t="shared" si="5"/>
        <v>#DIV/0!</v>
      </c>
      <c r="T18" s="69" t="e">
        <f t="shared" si="5"/>
        <v>#DIV/0!</v>
      </c>
      <c r="U18" s="69" t="e">
        <f t="shared" si="5"/>
        <v>#DIV/0!</v>
      </c>
      <c r="V18" s="69" t="e">
        <f t="shared" si="5"/>
        <v>#DIV/0!</v>
      </c>
      <c r="W18" s="69" t="e">
        <f t="shared" si="5"/>
        <v>#DIV/0!</v>
      </c>
      <c r="X18" s="69" t="e">
        <f t="shared" si="5"/>
        <v>#DIV/0!</v>
      </c>
      <c r="Y18" s="69" t="e">
        <f t="shared" si="5"/>
        <v>#DIV/0!</v>
      </c>
      <c r="Z18" s="69" t="e">
        <f t="shared" si="5"/>
        <v>#DIV/0!</v>
      </c>
      <c r="AA18" s="69" t="e">
        <f t="shared" si="5"/>
        <v>#DIV/0!</v>
      </c>
      <c r="AB18" s="69" t="e">
        <f t="shared" si="5"/>
        <v>#DIV/0!</v>
      </c>
      <c r="AC18" s="69" t="e">
        <f t="shared" si="5"/>
        <v>#DIV/0!</v>
      </c>
      <c r="AD18" s="69" t="e">
        <f t="shared" si="5"/>
        <v>#DIV/0!</v>
      </c>
      <c r="AE18" s="69" t="e">
        <f t="shared" si="5"/>
        <v>#DIV/0!</v>
      </c>
      <c r="AF18" s="69" t="e">
        <f t="shared" si="5"/>
        <v>#DIV/0!</v>
      </c>
      <c r="AG18" s="69" t="e">
        <f t="shared" si="5"/>
        <v>#DIV/0!</v>
      </c>
      <c r="AH18" s="69" t="e">
        <f t="shared" si="5"/>
        <v>#DIV/0!</v>
      </c>
      <c r="AI18" s="69" t="e">
        <f t="shared" si="5"/>
        <v>#DIV/0!</v>
      </c>
      <c r="AJ18" s="69" t="e">
        <f t="shared" si="5"/>
        <v>#DIV/0!</v>
      </c>
      <c r="AK18" s="69" t="e">
        <f t="shared" si="5"/>
        <v>#DIV/0!</v>
      </c>
      <c r="AL18" s="69" t="e">
        <f t="shared" si="5"/>
        <v>#DIV/0!</v>
      </c>
      <c r="AM18" s="69" t="e">
        <f t="shared" si="5"/>
        <v>#DIV/0!</v>
      </c>
      <c r="AN18" s="69" t="e">
        <f t="shared" si="5"/>
        <v>#DIV/0!</v>
      </c>
      <c r="AO18" s="69" t="e">
        <f t="shared" si="5"/>
        <v>#DIV/0!</v>
      </c>
      <c r="AP18" s="69" t="e">
        <f t="shared" si="5"/>
        <v>#DIV/0!</v>
      </c>
      <c r="AQ18" s="69" t="e">
        <f t="shared" si="5"/>
        <v>#DIV/0!</v>
      </c>
      <c r="AR18" s="69" t="e">
        <f t="shared" si="5"/>
        <v>#DIV/0!</v>
      </c>
      <c r="AS18" s="69" t="e">
        <f t="shared" si="5"/>
        <v>#DIV/0!</v>
      </c>
      <c r="AT18" s="69" t="e">
        <f t="shared" si="5"/>
        <v>#DIV/0!</v>
      </c>
      <c r="AU18" s="69" t="e">
        <f t="shared" si="5"/>
        <v>#DIV/0!</v>
      </c>
      <c r="AV18" s="69" t="e">
        <f t="shared" si="5"/>
        <v>#DIV/0!</v>
      </c>
      <c r="AW18" s="69" t="e">
        <f t="shared" si="5"/>
        <v>#DIV/0!</v>
      </c>
      <c r="AX18" s="69" t="e">
        <f t="shared" si="5"/>
        <v>#DIV/0!</v>
      </c>
      <c r="AY18" s="69" t="e">
        <f t="shared" si="5"/>
        <v>#DIV/0!</v>
      </c>
      <c r="AZ18" s="69" t="e">
        <f t="shared" si="5"/>
        <v>#DIV/0!</v>
      </c>
      <c r="BA18" s="69" t="e">
        <f t="shared" si="5"/>
        <v>#DIV/0!</v>
      </c>
      <c r="BB18" s="69" t="e">
        <f t="shared" si="5"/>
        <v>#DIV/0!</v>
      </c>
      <c r="BC18" s="69" t="e">
        <f t="shared" si="5"/>
        <v>#DIV/0!</v>
      </c>
      <c r="BD18" s="69" t="e">
        <f t="shared" si="5"/>
        <v>#DIV/0!</v>
      </c>
      <c r="BE18" s="69" t="e">
        <f t="shared" si="5"/>
        <v>#DIV/0!</v>
      </c>
      <c r="BF18" s="69" t="e">
        <f t="shared" si="5"/>
        <v>#DIV/0!</v>
      </c>
      <c r="BG18" s="69" t="e">
        <f t="shared" si="5"/>
        <v>#DIV/0!</v>
      </c>
      <c r="BH18" s="69" t="e">
        <f t="shared" si="5"/>
        <v>#DIV/0!</v>
      </c>
      <c r="BI18" s="69" t="e">
        <f t="shared" si="5"/>
        <v>#DIV/0!</v>
      </c>
      <c r="BJ18" s="69" t="e">
        <f t="shared" si="5"/>
        <v>#DIV/0!</v>
      </c>
      <c r="BK18" s="69" t="e">
        <f t="shared" si="5"/>
        <v>#DIV/0!</v>
      </c>
      <c r="BL18" s="69" t="e">
        <f t="shared" si="5"/>
        <v>#DIV/0!</v>
      </c>
      <c r="BM18" s="69" t="e">
        <f t="shared" si="5"/>
        <v>#DIV/0!</v>
      </c>
      <c r="BN18" s="69" t="e">
        <f t="shared" si="5"/>
        <v>#DIV/0!</v>
      </c>
      <c r="BO18" s="69" t="e">
        <f t="shared" si="5"/>
        <v>#DIV/0!</v>
      </c>
      <c r="BP18" s="69" t="e">
        <f t="shared" si="5"/>
        <v>#DIV/0!</v>
      </c>
      <c r="BQ18" s="69" t="e">
        <f t="shared" si="5"/>
        <v>#DIV/0!</v>
      </c>
      <c r="BR18" s="69" t="e">
        <f t="shared" si="5"/>
        <v>#DIV/0!</v>
      </c>
      <c r="BS18" s="69" t="e">
        <f t="shared" si="5"/>
        <v>#DIV/0!</v>
      </c>
      <c r="BT18" s="69" t="e">
        <f t="shared" si="5"/>
        <v>#DIV/0!</v>
      </c>
      <c r="BU18" s="69" t="e">
        <f t="shared" si="5"/>
        <v>#DIV/0!</v>
      </c>
      <c r="BV18" s="69" t="e">
        <f t="shared" si="5"/>
        <v>#DIV/0!</v>
      </c>
      <c r="BW18" s="69" t="e">
        <f t="shared" si="5"/>
        <v>#DIV/0!</v>
      </c>
      <c r="BX18" s="69" t="e">
        <f t="shared" si="5"/>
        <v>#DIV/0!</v>
      </c>
      <c r="BY18" s="69" t="e">
        <f t="shared" si="5"/>
        <v>#DIV/0!</v>
      </c>
      <c r="BZ18" s="69" t="e">
        <f t="shared" si="5"/>
        <v>#DIV/0!</v>
      </c>
      <c r="CA18" s="69" t="e">
        <f t="shared" si="5"/>
        <v>#DIV/0!</v>
      </c>
      <c r="CB18" s="69" t="e">
        <f t="shared" si="5"/>
        <v>#DIV/0!</v>
      </c>
      <c r="CC18" s="69" t="e">
        <f t="shared" si="5"/>
        <v>#DIV/0!</v>
      </c>
      <c r="CD18" s="69" t="e">
        <f t="shared" si="5"/>
        <v>#VALUE!</v>
      </c>
      <c r="CE18" s="69" t="e">
        <f t="shared" si="5"/>
        <v>#DIV/0!</v>
      </c>
      <c r="CF18" s="69" t="e">
        <f t="shared" si="5"/>
        <v>#DIV/0!</v>
      </c>
      <c r="CG18" s="69" t="e">
        <f t="shared" si="5"/>
        <v>#DIV/0!</v>
      </c>
      <c r="CH18" s="69" t="e">
        <f t="shared" si="5"/>
        <v>#DIV/0!</v>
      </c>
      <c r="CI18" s="69" t="e">
        <f t="shared" si="5"/>
        <v>#DIV/0!</v>
      </c>
      <c r="CJ18" s="69" t="e">
        <f t="shared" si="5"/>
        <v>#DIV/0!</v>
      </c>
      <c r="CK18" s="69" t="e">
        <f t="shared" si="5"/>
        <v>#DIV/0!</v>
      </c>
      <c r="CL18" s="69" t="e">
        <f t="shared" si="5"/>
        <v>#DIV/0!</v>
      </c>
      <c r="CM18" s="69" t="e">
        <f t="shared" si="5"/>
        <v>#DIV/0!</v>
      </c>
      <c r="CN18" s="69" t="e">
        <f t="shared" si="5"/>
        <v>#DIV/0!</v>
      </c>
      <c r="CO18" s="69" t="e">
        <f t="shared" si="5"/>
        <v>#DIV/0!</v>
      </c>
      <c r="CP18" s="69" t="e">
        <f t="shared" si="5"/>
        <v>#DIV/0!</v>
      </c>
      <c r="CQ18" s="69" t="e">
        <f t="shared" si="5"/>
        <v>#DIV/0!</v>
      </c>
      <c r="CR18" s="69" t="e">
        <f t="shared" si="5"/>
        <v>#DIV/0!</v>
      </c>
      <c r="CS18" s="69" t="e">
        <f t="shared" si="5"/>
        <v>#DIV/0!</v>
      </c>
      <c r="CT18" s="69" t="e">
        <f t="shared" si="5"/>
        <v>#DIV/0!</v>
      </c>
      <c r="CU18" s="69" t="e">
        <f t="shared" si="5"/>
        <v>#DIV/0!</v>
      </c>
      <c r="CV18" s="69" t="e">
        <f t="shared" si="5"/>
        <v>#DIV/0!</v>
      </c>
      <c r="CW18" s="69" t="e">
        <f t="shared" si="5"/>
        <v>#DIV/0!</v>
      </c>
      <c r="CX18" s="69" t="e">
        <f t="shared" si="5"/>
        <v>#DIV/0!</v>
      </c>
      <c r="CY18" s="69" t="e">
        <f t="shared" si="5"/>
        <v>#DIV/0!</v>
      </c>
      <c r="CZ18" s="69" t="e">
        <f t="shared" si="5"/>
        <v>#DIV/0!</v>
      </c>
      <c r="DA18" s="69" t="e">
        <f t="shared" si="5"/>
        <v>#DIV/0!</v>
      </c>
      <c r="DB18" s="69" t="e">
        <f t="shared" si="5"/>
        <v>#DIV/0!</v>
      </c>
      <c r="DC18" s="69" t="e">
        <f t="shared" si="5"/>
        <v>#DIV/0!</v>
      </c>
      <c r="DD18" s="69" t="e">
        <f t="shared" si="5"/>
        <v>#DIV/0!</v>
      </c>
      <c r="DE18" s="69" t="e">
        <f t="shared" si="5"/>
        <v>#DIV/0!</v>
      </c>
      <c r="DF18" s="69" t="e">
        <f t="shared" si="5"/>
        <v>#DIV/0!</v>
      </c>
      <c r="DG18" s="69" t="e">
        <f t="shared" si="5"/>
        <v>#DIV/0!</v>
      </c>
      <c r="DH18" s="69" t="e">
        <f t="shared" si="5"/>
        <v>#DIV/0!</v>
      </c>
      <c r="DI18" s="69" t="e">
        <f t="shared" si="5"/>
        <v>#DIV/0!</v>
      </c>
      <c r="DJ18" s="69" t="e">
        <f t="shared" si="5"/>
        <v>#DIV/0!</v>
      </c>
      <c r="DK18" s="69" t="e">
        <f t="shared" si="5"/>
        <v>#DIV/0!</v>
      </c>
      <c r="DL18" s="69" t="e">
        <f t="shared" si="5"/>
        <v>#DIV/0!</v>
      </c>
      <c r="DM18" s="69" t="e">
        <f t="shared" si="5"/>
        <v>#DIV/0!</v>
      </c>
      <c r="DN18" s="69" t="e">
        <f t="shared" si="5"/>
        <v>#DIV/0!</v>
      </c>
    </row>
    <row r="19" spans="1:119" ht="15.75" customHeight="1">
      <c r="A19" s="50"/>
      <c r="B19" s="44">
        <v>18</v>
      </c>
      <c r="C19" s="44">
        <v>1980</v>
      </c>
      <c r="D19" s="44" t="s">
        <v>268</v>
      </c>
      <c r="E19" s="45" t="s">
        <v>141</v>
      </c>
      <c r="F19" s="39">
        <v>8.35</v>
      </c>
      <c r="G19" s="39">
        <v>1.0664717864509008</v>
      </c>
      <c r="H19" s="46" t="s">
        <v>18</v>
      </c>
      <c r="J19" s="37" t="s">
        <v>269</v>
      </c>
      <c r="K19" s="37">
        <v>6</v>
      </c>
      <c r="L19" s="63">
        <f>K19/K21</f>
        <v>6.741573033707865E-2</v>
      </c>
      <c r="M19" s="33"/>
      <c r="N19" s="38" t="s">
        <v>18</v>
      </c>
      <c r="O19" s="69">
        <f t="shared" ref="O19:DN19" si="6">O7/O31</f>
        <v>1.0570312500000001</v>
      </c>
      <c r="P19" s="69" t="e">
        <f t="shared" si="6"/>
        <v>#DIV/0!</v>
      </c>
      <c r="Q19" s="69" t="e">
        <f t="shared" si="6"/>
        <v>#DIV/0!</v>
      </c>
      <c r="R19" s="69" t="e">
        <f t="shared" si="6"/>
        <v>#DIV/0!</v>
      </c>
      <c r="S19" s="69" t="e">
        <f t="shared" si="6"/>
        <v>#DIV/0!</v>
      </c>
      <c r="T19" s="69" t="e">
        <f t="shared" si="6"/>
        <v>#DIV/0!</v>
      </c>
      <c r="U19" s="69" t="e">
        <f t="shared" si="6"/>
        <v>#DIV/0!</v>
      </c>
      <c r="V19" s="69" t="e">
        <f t="shared" si="6"/>
        <v>#DIV/0!</v>
      </c>
      <c r="W19" s="69" t="e">
        <f t="shared" si="6"/>
        <v>#DIV/0!</v>
      </c>
      <c r="X19" s="69" t="e">
        <f t="shared" si="6"/>
        <v>#DIV/0!</v>
      </c>
      <c r="Y19" s="69" t="e">
        <f t="shared" si="6"/>
        <v>#DIV/0!</v>
      </c>
      <c r="Z19" s="69" t="e">
        <f t="shared" si="6"/>
        <v>#DIV/0!</v>
      </c>
      <c r="AA19" s="69" t="e">
        <f t="shared" si="6"/>
        <v>#DIV/0!</v>
      </c>
      <c r="AB19" s="69" t="e">
        <f t="shared" si="6"/>
        <v>#DIV/0!</v>
      </c>
      <c r="AC19" s="69" t="e">
        <f t="shared" si="6"/>
        <v>#DIV/0!</v>
      </c>
      <c r="AD19" s="69" t="e">
        <f t="shared" si="6"/>
        <v>#DIV/0!</v>
      </c>
      <c r="AE19" s="69" t="e">
        <f t="shared" si="6"/>
        <v>#DIV/0!</v>
      </c>
      <c r="AF19" s="69" t="e">
        <f t="shared" si="6"/>
        <v>#DIV/0!</v>
      </c>
      <c r="AG19" s="69" t="e">
        <f t="shared" si="6"/>
        <v>#DIV/0!</v>
      </c>
      <c r="AH19" s="69" t="e">
        <f t="shared" si="6"/>
        <v>#DIV/0!</v>
      </c>
      <c r="AI19" s="69" t="e">
        <f t="shared" si="6"/>
        <v>#DIV/0!</v>
      </c>
      <c r="AJ19" s="69" t="e">
        <f t="shared" si="6"/>
        <v>#DIV/0!</v>
      </c>
      <c r="AK19" s="69" t="e">
        <f t="shared" si="6"/>
        <v>#DIV/0!</v>
      </c>
      <c r="AL19" s="69" t="e">
        <f t="shared" si="6"/>
        <v>#DIV/0!</v>
      </c>
      <c r="AM19" s="69" t="e">
        <f t="shared" si="6"/>
        <v>#DIV/0!</v>
      </c>
      <c r="AN19" s="69" t="e">
        <f t="shared" si="6"/>
        <v>#DIV/0!</v>
      </c>
      <c r="AO19" s="69" t="e">
        <f t="shared" si="6"/>
        <v>#DIV/0!</v>
      </c>
      <c r="AP19" s="69" t="e">
        <f t="shared" si="6"/>
        <v>#DIV/0!</v>
      </c>
      <c r="AQ19" s="69" t="e">
        <f t="shared" si="6"/>
        <v>#DIV/0!</v>
      </c>
      <c r="AR19" s="69" t="e">
        <f t="shared" si="6"/>
        <v>#DIV/0!</v>
      </c>
      <c r="AS19" s="69" t="e">
        <f t="shared" si="6"/>
        <v>#DIV/0!</v>
      </c>
      <c r="AT19" s="69" t="e">
        <f t="shared" si="6"/>
        <v>#DIV/0!</v>
      </c>
      <c r="AU19" s="69" t="e">
        <f t="shared" si="6"/>
        <v>#DIV/0!</v>
      </c>
      <c r="AV19" s="69" t="e">
        <f t="shared" si="6"/>
        <v>#DIV/0!</v>
      </c>
      <c r="AW19" s="69" t="e">
        <f t="shared" si="6"/>
        <v>#DIV/0!</v>
      </c>
      <c r="AX19" s="69" t="e">
        <f t="shared" si="6"/>
        <v>#DIV/0!</v>
      </c>
      <c r="AY19" s="69" t="e">
        <f t="shared" si="6"/>
        <v>#DIV/0!</v>
      </c>
      <c r="AZ19" s="69" t="e">
        <f t="shared" si="6"/>
        <v>#DIV/0!</v>
      </c>
      <c r="BA19" s="69" t="e">
        <f t="shared" si="6"/>
        <v>#DIV/0!</v>
      </c>
      <c r="BB19" s="69" t="e">
        <f t="shared" si="6"/>
        <v>#DIV/0!</v>
      </c>
      <c r="BC19" s="69" t="e">
        <f t="shared" si="6"/>
        <v>#DIV/0!</v>
      </c>
      <c r="BD19" s="69" t="e">
        <f t="shared" si="6"/>
        <v>#DIV/0!</v>
      </c>
      <c r="BE19" s="69" t="e">
        <f t="shared" si="6"/>
        <v>#DIV/0!</v>
      </c>
      <c r="BF19" s="69" t="e">
        <f t="shared" si="6"/>
        <v>#DIV/0!</v>
      </c>
      <c r="BG19" s="69" t="e">
        <f t="shared" si="6"/>
        <v>#DIV/0!</v>
      </c>
      <c r="BH19" s="69" t="e">
        <f t="shared" si="6"/>
        <v>#DIV/0!</v>
      </c>
      <c r="BI19" s="69" t="e">
        <f t="shared" si="6"/>
        <v>#DIV/0!</v>
      </c>
      <c r="BJ19" s="69" t="e">
        <f t="shared" si="6"/>
        <v>#DIV/0!</v>
      </c>
      <c r="BK19" s="69" t="e">
        <f t="shared" si="6"/>
        <v>#DIV/0!</v>
      </c>
      <c r="BL19" s="69" t="e">
        <f t="shared" si="6"/>
        <v>#DIV/0!</v>
      </c>
      <c r="BM19" s="69" t="e">
        <f t="shared" si="6"/>
        <v>#DIV/0!</v>
      </c>
      <c r="BN19" s="69" t="e">
        <f t="shared" si="6"/>
        <v>#DIV/0!</v>
      </c>
      <c r="BO19" s="69" t="e">
        <f t="shared" si="6"/>
        <v>#DIV/0!</v>
      </c>
      <c r="BP19" s="69" t="e">
        <f t="shared" si="6"/>
        <v>#DIV/0!</v>
      </c>
      <c r="BQ19" s="69" t="e">
        <f t="shared" si="6"/>
        <v>#DIV/0!</v>
      </c>
      <c r="BR19" s="69" t="e">
        <f t="shared" si="6"/>
        <v>#DIV/0!</v>
      </c>
      <c r="BS19" s="69" t="e">
        <f t="shared" si="6"/>
        <v>#DIV/0!</v>
      </c>
      <c r="BT19" s="69" t="e">
        <f t="shared" si="6"/>
        <v>#DIV/0!</v>
      </c>
      <c r="BU19" s="69" t="e">
        <f t="shared" si="6"/>
        <v>#DIV/0!</v>
      </c>
      <c r="BV19" s="69" t="e">
        <f t="shared" si="6"/>
        <v>#DIV/0!</v>
      </c>
      <c r="BW19" s="69" t="e">
        <f t="shared" si="6"/>
        <v>#DIV/0!</v>
      </c>
      <c r="BX19" s="69" t="e">
        <f t="shared" si="6"/>
        <v>#DIV/0!</v>
      </c>
      <c r="BY19" s="69" t="e">
        <f t="shared" si="6"/>
        <v>#DIV/0!</v>
      </c>
      <c r="BZ19" s="69" t="e">
        <f t="shared" si="6"/>
        <v>#DIV/0!</v>
      </c>
      <c r="CA19" s="69" t="e">
        <f t="shared" si="6"/>
        <v>#DIV/0!</v>
      </c>
      <c r="CB19" s="69" t="e">
        <f t="shared" si="6"/>
        <v>#DIV/0!</v>
      </c>
      <c r="CC19" s="69" t="e">
        <f t="shared" si="6"/>
        <v>#DIV/0!</v>
      </c>
      <c r="CD19" s="69" t="e">
        <f t="shared" si="6"/>
        <v>#DIV/0!</v>
      </c>
      <c r="CE19" s="69" t="e">
        <f t="shared" si="6"/>
        <v>#DIV/0!</v>
      </c>
      <c r="CF19" s="69" t="e">
        <f t="shared" si="6"/>
        <v>#DIV/0!</v>
      </c>
      <c r="CG19" s="69" t="e">
        <f t="shared" si="6"/>
        <v>#DIV/0!</v>
      </c>
      <c r="CH19" s="69" t="e">
        <f t="shared" si="6"/>
        <v>#DIV/0!</v>
      </c>
      <c r="CI19" s="69" t="e">
        <f t="shared" si="6"/>
        <v>#DIV/0!</v>
      </c>
      <c r="CJ19" s="69" t="e">
        <f t="shared" si="6"/>
        <v>#DIV/0!</v>
      </c>
      <c r="CK19" s="69" t="e">
        <f t="shared" si="6"/>
        <v>#DIV/0!</v>
      </c>
      <c r="CL19" s="69" t="e">
        <f t="shared" si="6"/>
        <v>#DIV/0!</v>
      </c>
      <c r="CM19" s="69" t="e">
        <f t="shared" si="6"/>
        <v>#DIV/0!</v>
      </c>
      <c r="CN19" s="69" t="e">
        <f t="shared" si="6"/>
        <v>#DIV/0!</v>
      </c>
      <c r="CO19" s="69" t="e">
        <f t="shared" si="6"/>
        <v>#DIV/0!</v>
      </c>
      <c r="CP19" s="69" t="e">
        <f t="shared" si="6"/>
        <v>#DIV/0!</v>
      </c>
      <c r="CQ19" s="69" t="e">
        <f t="shared" si="6"/>
        <v>#DIV/0!</v>
      </c>
      <c r="CR19" s="69" t="e">
        <f t="shared" si="6"/>
        <v>#DIV/0!</v>
      </c>
      <c r="CS19" s="69" t="e">
        <f t="shared" si="6"/>
        <v>#DIV/0!</v>
      </c>
      <c r="CT19" s="69" t="e">
        <f t="shared" si="6"/>
        <v>#DIV/0!</v>
      </c>
      <c r="CU19" s="69" t="e">
        <f t="shared" si="6"/>
        <v>#DIV/0!</v>
      </c>
      <c r="CV19" s="69" t="e">
        <f t="shared" si="6"/>
        <v>#DIV/0!</v>
      </c>
      <c r="CW19" s="69" t="e">
        <f t="shared" si="6"/>
        <v>#DIV/0!</v>
      </c>
      <c r="CX19" s="69" t="e">
        <f t="shared" si="6"/>
        <v>#DIV/0!</v>
      </c>
      <c r="CY19" s="69" t="e">
        <f t="shared" si="6"/>
        <v>#DIV/0!</v>
      </c>
      <c r="CZ19" s="69" t="e">
        <f t="shared" si="6"/>
        <v>#DIV/0!</v>
      </c>
      <c r="DA19" s="69" t="e">
        <f t="shared" si="6"/>
        <v>#DIV/0!</v>
      </c>
      <c r="DB19" s="69" t="e">
        <f t="shared" si="6"/>
        <v>#DIV/0!</v>
      </c>
      <c r="DC19" s="69" t="e">
        <f t="shared" si="6"/>
        <v>#DIV/0!</v>
      </c>
      <c r="DD19" s="69" t="e">
        <f t="shared" si="6"/>
        <v>#DIV/0!</v>
      </c>
      <c r="DE19" s="69" t="e">
        <f t="shared" si="6"/>
        <v>#DIV/0!</v>
      </c>
      <c r="DF19" s="69" t="e">
        <f t="shared" si="6"/>
        <v>#DIV/0!</v>
      </c>
      <c r="DG19" s="69" t="e">
        <f t="shared" si="6"/>
        <v>#DIV/0!</v>
      </c>
      <c r="DH19" s="69" t="e">
        <f t="shared" si="6"/>
        <v>#DIV/0!</v>
      </c>
      <c r="DI19" s="69" t="e">
        <f t="shared" si="6"/>
        <v>#DIV/0!</v>
      </c>
      <c r="DJ19" s="69" t="e">
        <f t="shared" si="6"/>
        <v>#DIV/0!</v>
      </c>
      <c r="DK19" s="69" t="e">
        <f t="shared" si="6"/>
        <v>#DIV/0!</v>
      </c>
      <c r="DL19" s="69" t="e">
        <f t="shared" si="6"/>
        <v>#DIV/0!</v>
      </c>
      <c r="DM19" s="69" t="e">
        <f t="shared" si="6"/>
        <v>#DIV/0!</v>
      </c>
      <c r="DN19" s="69" t="e">
        <f t="shared" si="6"/>
        <v>#DIV/0!</v>
      </c>
      <c r="DO19" s="51"/>
    </row>
    <row r="20" spans="1:119" ht="15.75" customHeight="1">
      <c r="A20" s="50"/>
      <c r="B20" s="44">
        <v>19</v>
      </c>
      <c r="C20" s="37">
        <v>2003</v>
      </c>
      <c r="D20" s="37" t="s">
        <v>270</v>
      </c>
      <c r="E20" s="40" t="s">
        <v>182</v>
      </c>
      <c r="F20" s="39">
        <v>8.34</v>
      </c>
      <c r="G20" s="39">
        <v>1.102698327037237</v>
      </c>
      <c r="H20" s="37" t="s">
        <v>18</v>
      </c>
      <c r="J20" s="37" t="s">
        <v>271</v>
      </c>
      <c r="K20" s="37">
        <v>5</v>
      </c>
      <c r="L20" s="63">
        <f>K20/K21</f>
        <v>5.6179775280898875E-2</v>
      </c>
      <c r="M20" s="33"/>
      <c r="N20" s="38" t="s">
        <v>19</v>
      </c>
      <c r="O20" s="69">
        <f t="shared" ref="O20:DN20" si="7">O8/O32</f>
        <v>1.0167533217793185</v>
      </c>
      <c r="P20" s="69" t="e">
        <f t="shared" si="7"/>
        <v>#DIV/0!</v>
      </c>
      <c r="Q20" s="69" t="e">
        <f t="shared" si="7"/>
        <v>#DIV/0!</v>
      </c>
      <c r="R20" s="69" t="e">
        <f t="shared" si="7"/>
        <v>#DIV/0!</v>
      </c>
      <c r="S20" s="69" t="e">
        <f t="shared" si="7"/>
        <v>#DIV/0!</v>
      </c>
      <c r="T20" s="69" t="e">
        <f t="shared" si="7"/>
        <v>#DIV/0!</v>
      </c>
      <c r="U20" s="69" t="e">
        <f t="shared" si="7"/>
        <v>#DIV/0!</v>
      </c>
      <c r="V20" s="69" t="e">
        <f t="shared" si="7"/>
        <v>#DIV/0!</v>
      </c>
      <c r="W20" s="69" t="e">
        <f t="shared" si="7"/>
        <v>#DIV/0!</v>
      </c>
      <c r="X20" s="69" t="e">
        <f t="shared" si="7"/>
        <v>#DIV/0!</v>
      </c>
      <c r="Y20" s="69" t="e">
        <f t="shared" si="7"/>
        <v>#DIV/0!</v>
      </c>
      <c r="Z20" s="69" t="e">
        <f t="shared" si="7"/>
        <v>#DIV/0!</v>
      </c>
      <c r="AA20" s="69" t="e">
        <f t="shared" si="7"/>
        <v>#DIV/0!</v>
      </c>
      <c r="AB20" s="69" t="e">
        <f t="shared" si="7"/>
        <v>#DIV/0!</v>
      </c>
      <c r="AC20" s="69" t="e">
        <f t="shared" si="7"/>
        <v>#DIV/0!</v>
      </c>
      <c r="AD20" s="69" t="e">
        <f t="shared" si="7"/>
        <v>#DIV/0!</v>
      </c>
      <c r="AE20" s="69" t="e">
        <f t="shared" si="7"/>
        <v>#DIV/0!</v>
      </c>
      <c r="AF20" s="69" t="e">
        <f t="shared" si="7"/>
        <v>#DIV/0!</v>
      </c>
      <c r="AG20" s="69" t="e">
        <f t="shared" si="7"/>
        <v>#DIV/0!</v>
      </c>
      <c r="AH20" s="69" t="e">
        <f t="shared" si="7"/>
        <v>#DIV/0!</v>
      </c>
      <c r="AI20" s="69" t="e">
        <f t="shared" si="7"/>
        <v>#DIV/0!</v>
      </c>
      <c r="AJ20" s="69" t="e">
        <f t="shared" si="7"/>
        <v>#DIV/0!</v>
      </c>
      <c r="AK20" s="69" t="e">
        <f t="shared" si="7"/>
        <v>#DIV/0!</v>
      </c>
      <c r="AL20" s="69" t="e">
        <f t="shared" si="7"/>
        <v>#DIV/0!</v>
      </c>
      <c r="AM20" s="69" t="e">
        <f t="shared" si="7"/>
        <v>#DIV/0!</v>
      </c>
      <c r="AN20" s="69" t="e">
        <f t="shared" si="7"/>
        <v>#DIV/0!</v>
      </c>
      <c r="AO20" s="69" t="e">
        <f t="shared" si="7"/>
        <v>#DIV/0!</v>
      </c>
      <c r="AP20" s="69" t="e">
        <f t="shared" si="7"/>
        <v>#DIV/0!</v>
      </c>
      <c r="AQ20" s="69" t="e">
        <f t="shared" si="7"/>
        <v>#DIV/0!</v>
      </c>
      <c r="AR20" s="69" t="e">
        <f t="shared" si="7"/>
        <v>#DIV/0!</v>
      </c>
      <c r="AS20" s="69" t="e">
        <f t="shared" si="7"/>
        <v>#DIV/0!</v>
      </c>
      <c r="AT20" s="69" t="e">
        <f t="shared" si="7"/>
        <v>#DIV/0!</v>
      </c>
      <c r="AU20" s="69" t="e">
        <f t="shared" si="7"/>
        <v>#DIV/0!</v>
      </c>
      <c r="AV20" s="69" t="e">
        <f t="shared" si="7"/>
        <v>#DIV/0!</v>
      </c>
      <c r="AW20" s="69" t="e">
        <f t="shared" si="7"/>
        <v>#DIV/0!</v>
      </c>
      <c r="AX20" s="69" t="e">
        <f t="shared" si="7"/>
        <v>#DIV/0!</v>
      </c>
      <c r="AY20" s="69" t="e">
        <f t="shared" si="7"/>
        <v>#DIV/0!</v>
      </c>
      <c r="AZ20" s="69" t="e">
        <f t="shared" si="7"/>
        <v>#DIV/0!</v>
      </c>
      <c r="BA20" s="69" t="e">
        <f t="shared" si="7"/>
        <v>#DIV/0!</v>
      </c>
      <c r="BB20" s="69" t="e">
        <f t="shared" si="7"/>
        <v>#DIV/0!</v>
      </c>
      <c r="BC20" s="69" t="e">
        <f t="shared" si="7"/>
        <v>#DIV/0!</v>
      </c>
      <c r="BD20" s="69" t="e">
        <f t="shared" si="7"/>
        <v>#DIV/0!</v>
      </c>
      <c r="BE20" s="69" t="e">
        <f t="shared" si="7"/>
        <v>#DIV/0!</v>
      </c>
      <c r="BF20" s="69" t="e">
        <f t="shared" si="7"/>
        <v>#DIV/0!</v>
      </c>
      <c r="BG20" s="69" t="e">
        <f t="shared" si="7"/>
        <v>#DIV/0!</v>
      </c>
      <c r="BH20" s="69" t="e">
        <f t="shared" si="7"/>
        <v>#DIV/0!</v>
      </c>
      <c r="BI20" s="69" t="e">
        <f t="shared" si="7"/>
        <v>#DIV/0!</v>
      </c>
      <c r="BJ20" s="69" t="e">
        <f t="shared" si="7"/>
        <v>#DIV/0!</v>
      </c>
      <c r="BK20" s="69" t="e">
        <f t="shared" si="7"/>
        <v>#DIV/0!</v>
      </c>
      <c r="BL20" s="69" t="e">
        <f t="shared" si="7"/>
        <v>#DIV/0!</v>
      </c>
      <c r="BM20" s="69" t="e">
        <f t="shared" si="7"/>
        <v>#DIV/0!</v>
      </c>
      <c r="BN20" s="69" t="e">
        <f t="shared" si="7"/>
        <v>#DIV/0!</v>
      </c>
      <c r="BO20" s="69" t="e">
        <f t="shared" si="7"/>
        <v>#DIV/0!</v>
      </c>
      <c r="BP20" s="69" t="e">
        <f t="shared" si="7"/>
        <v>#DIV/0!</v>
      </c>
      <c r="BQ20" s="69" t="e">
        <f t="shared" si="7"/>
        <v>#DIV/0!</v>
      </c>
      <c r="BR20" s="69" t="e">
        <f t="shared" si="7"/>
        <v>#DIV/0!</v>
      </c>
      <c r="BS20" s="69" t="e">
        <f t="shared" si="7"/>
        <v>#DIV/0!</v>
      </c>
      <c r="BT20" s="69" t="e">
        <f t="shared" si="7"/>
        <v>#DIV/0!</v>
      </c>
      <c r="BU20" s="69" t="e">
        <f t="shared" si="7"/>
        <v>#DIV/0!</v>
      </c>
      <c r="BV20" s="69" t="e">
        <f t="shared" si="7"/>
        <v>#DIV/0!</v>
      </c>
      <c r="BW20" s="69" t="e">
        <f t="shared" si="7"/>
        <v>#DIV/0!</v>
      </c>
      <c r="BX20" s="69" t="e">
        <f t="shared" si="7"/>
        <v>#DIV/0!</v>
      </c>
      <c r="BY20" s="69" t="e">
        <f t="shared" si="7"/>
        <v>#DIV/0!</v>
      </c>
      <c r="BZ20" s="69" t="e">
        <f t="shared" si="7"/>
        <v>#DIV/0!</v>
      </c>
      <c r="CA20" s="69" t="e">
        <f t="shared" si="7"/>
        <v>#DIV/0!</v>
      </c>
      <c r="CB20" s="69" t="e">
        <f t="shared" si="7"/>
        <v>#DIV/0!</v>
      </c>
      <c r="CC20" s="69" t="e">
        <f t="shared" si="7"/>
        <v>#DIV/0!</v>
      </c>
      <c r="CD20" s="69" t="e">
        <f t="shared" si="7"/>
        <v>#DIV/0!</v>
      </c>
      <c r="CE20" s="69" t="e">
        <f t="shared" si="7"/>
        <v>#DIV/0!</v>
      </c>
      <c r="CF20" s="69" t="e">
        <f t="shared" si="7"/>
        <v>#DIV/0!</v>
      </c>
      <c r="CG20" s="69" t="e">
        <f t="shared" si="7"/>
        <v>#DIV/0!</v>
      </c>
      <c r="CH20" s="69" t="e">
        <f t="shared" si="7"/>
        <v>#DIV/0!</v>
      </c>
      <c r="CI20" s="69" t="e">
        <f t="shared" si="7"/>
        <v>#DIV/0!</v>
      </c>
      <c r="CJ20" s="69" t="e">
        <f t="shared" si="7"/>
        <v>#DIV/0!</v>
      </c>
      <c r="CK20" s="69" t="e">
        <f t="shared" si="7"/>
        <v>#DIV/0!</v>
      </c>
      <c r="CL20" s="69" t="e">
        <f t="shared" si="7"/>
        <v>#DIV/0!</v>
      </c>
      <c r="CM20" s="69" t="e">
        <f t="shared" si="7"/>
        <v>#DIV/0!</v>
      </c>
      <c r="CN20" s="69" t="e">
        <f t="shared" si="7"/>
        <v>#DIV/0!</v>
      </c>
      <c r="CO20" s="69" t="e">
        <f t="shared" si="7"/>
        <v>#DIV/0!</v>
      </c>
      <c r="CP20" s="69" t="e">
        <f t="shared" si="7"/>
        <v>#DIV/0!</v>
      </c>
      <c r="CQ20" s="69" t="e">
        <f t="shared" si="7"/>
        <v>#DIV/0!</v>
      </c>
      <c r="CR20" s="69" t="e">
        <f t="shared" si="7"/>
        <v>#DIV/0!</v>
      </c>
      <c r="CS20" s="69" t="e">
        <f t="shared" si="7"/>
        <v>#DIV/0!</v>
      </c>
      <c r="CT20" s="69" t="e">
        <f t="shared" si="7"/>
        <v>#DIV/0!</v>
      </c>
      <c r="CU20" s="69" t="e">
        <f t="shared" si="7"/>
        <v>#DIV/0!</v>
      </c>
      <c r="CV20" s="69" t="e">
        <f t="shared" si="7"/>
        <v>#DIV/0!</v>
      </c>
      <c r="CW20" s="69" t="e">
        <f t="shared" si="7"/>
        <v>#DIV/0!</v>
      </c>
      <c r="CX20" s="69" t="e">
        <f t="shared" si="7"/>
        <v>#DIV/0!</v>
      </c>
      <c r="CY20" s="69" t="e">
        <f t="shared" si="7"/>
        <v>#DIV/0!</v>
      </c>
      <c r="CZ20" s="69" t="e">
        <f t="shared" si="7"/>
        <v>#DIV/0!</v>
      </c>
      <c r="DA20" s="69" t="e">
        <f t="shared" si="7"/>
        <v>#DIV/0!</v>
      </c>
      <c r="DB20" s="69" t="e">
        <f t="shared" si="7"/>
        <v>#DIV/0!</v>
      </c>
      <c r="DC20" s="69" t="e">
        <f t="shared" si="7"/>
        <v>#DIV/0!</v>
      </c>
      <c r="DD20" s="69" t="e">
        <f t="shared" si="7"/>
        <v>#DIV/0!</v>
      </c>
      <c r="DE20" s="69" t="e">
        <f t="shared" si="7"/>
        <v>#DIV/0!</v>
      </c>
      <c r="DF20" s="69" t="e">
        <f t="shared" si="7"/>
        <v>#DIV/0!</v>
      </c>
      <c r="DG20" s="69" t="e">
        <f t="shared" si="7"/>
        <v>#DIV/0!</v>
      </c>
      <c r="DH20" s="69" t="e">
        <f t="shared" si="7"/>
        <v>#DIV/0!</v>
      </c>
      <c r="DI20" s="69" t="e">
        <f t="shared" si="7"/>
        <v>#DIV/0!</v>
      </c>
      <c r="DJ20" s="69" t="e">
        <f t="shared" si="7"/>
        <v>#DIV/0!</v>
      </c>
      <c r="DK20" s="69" t="e">
        <f t="shared" si="7"/>
        <v>#DIV/0!</v>
      </c>
      <c r="DL20" s="69" t="e">
        <f t="shared" si="7"/>
        <v>#DIV/0!</v>
      </c>
      <c r="DM20" s="69" t="e">
        <f t="shared" si="7"/>
        <v>#DIV/0!</v>
      </c>
      <c r="DN20" s="69" t="e">
        <f t="shared" si="7"/>
        <v>#DIV/0!</v>
      </c>
    </row>
    <row r="21" spans="1:119" ht="15.75" customHeight="1">
      <c r="B21" s="44">
        <v>20</v>
      </c>
      <c r="C21" s="37">
        <v>1991</v>
      </c>
      <c r="D21" s="37" t="s">
        <v>272</v>
      </c>
      <c r="E21" s="38" t="s">
        <v>215</v>
      </c>
      <c r="F21" s="39">
        <v>8.3249999999999993</v>
      </c>
      <c r="G21" s="39">
        <v>1.094036697247706</v>
      </c>
      <c r="H21" s="37" t="s">
        <v>236</v>
      </c>
      <c r="J21" s="70" t="s">
        <v>273</v>
      </c>
      <c r="K21" s="70">
        <f>SUBTOTAL(9,K13:K20)</f>
        <v>89</v>
      </c>
      <c r="L21" s="38"/>
      <c r="N21" s="38" t="s">
        <v>20</v>
      </c>
      <c r="O21" s="69">
        <f t="shared" ref="O21:DN21" si="8">O9/O33</f>
        <v>0.98174999999999968</v>
      </c>
      <c r="P21" s="69" t="e">
        <f t="shared" si="8"/>
        <v>#DIV/0!</v>
      </c>
      <c r="Q21" s="69" t="e">
        <f t="shared" si="8"/>
        <v>#DIV/0!</v>
      </c>
      <c r="R21" s="69" t="e">
        <f t="shared" si="8"/>
        <v>#DIV/0!</v>
      </c>
      <c r="S21" s="69" t="e">
        <f t="shared" si="8"/>
        <v>#DIV/0!</v>
      </c>
      <c r="T21" s="69" t="e">
        <f t="shared" si="8"/>
        <v>#DIV/0!</v>
      </c>
      <c r="U21" s="69" t="e">
        <f t="shared" si="8"/>
        <v>#DIV/0!</v>
      </c>
      <c r="V21" s="69" t="e">
        <f t="shared" si="8"/>
        <v>#DIV/0!</v>
      </c>
      <c r="W21" s="69" t="e">
        <f t="shared" si="8"/>
        <v>#DIV/0!</v>
      </c>
      <c r="X21" s="69" t="e">
        <f t="shared" si="8"/>
        <v>#DIV/0!</v>
      </c>
      <c r="Y21" s="69" t="e">
        <f t="shared" si="8"/>
        <v>#DIV/0!</v>
      </c>
      <c r="Z21" s="69" t="e">
        <f t="shared" si="8"/>
        <v>#DIV/0!</v>
      </c>
      <c r="AA21" s="69" t="e">
        <f t="shared" si="8"/>
        <v>#DIV/0!</v>
      </c>
      <c r="AB21" s="69" t="e">
        <f t="shared" si="8"/>
        <v>#DIV/0!</v>
      </c>
      <c r="AC21" s="69" t="e">
        <f t="shared" si="8"/>
        <v>#DIV/0!</v>
      </c>
      <c r="AD21" s="69" t="e">
        <f t="shared" si="8"/>
        <v>#DIV/0!</v>
      </c>
      <c r="AE21" s="69" t="e">
        <f t="shared" si="8"/>
        <v>#DIV/0!</v>
      </c>
      <c r="AF21" s="69" t="e">
        <f t="shared" si="8"/>
        <v>#DIV/0!</v>
      </c>
      <c r="AG21" s="69" t="e">
        <f t="shared" si="8"/>
        <v>#DIV/0!</v>
      </c>
      <c r="AH21" s="69" t="e">
        <f t="shared" si="8"/>
        <v>#DIV/0!</v>
      </c>
      <c r="AI21" s="69" t="e">
        <f t="shared" si="8"/>
        <v>#DIV/0!</v>
      </c>
      <c r="AJ21" s="69" t="e">
        <f t="shared" si="8"/>
        <v>#DIV/0!</v>
      </c>
      <c r="AK21" s="69" t="e">
        <f t="shared" si="8"/>
        <v>#DIV/0!</v>
      </c>
      <c r="AL21" s="69" t="e">
        <f t="shared" si="8"/>
        <v>#DIV/0!</v>
      </c>
      <c r="AM21" s="69" t="e">
        <f t="shared" si="8"/>
        <v>#DIV/0!</v>
      </c>
      <c r="AN21" s="69" t="e">
        <f t="shared" si="8"/>
        <v>#DIV/0!</v>
      </c>
      <c r="AO21" s="69" t="e">
        <f t="shared" si="8"/>
        <v>#DIV/0!</v>
      </c>
      <c r="AP21" s="69" t="e">
        <f t="shared" si="8"/>
        <v>#DIV/0!</v>
      </c>
      <c r="AQ21" s="69" t="e">
        <f t="shared" si="8"/>
        <v>#DIV/0!</v>
      </c>
      <c r="AR21" s="69" t="e">
        <f t="shared" si="8"/>
        <v>#DIV/0!</v>
      </c>
      <c r="AS21" s="69" t="e">
        <f t="shared" si="8"/>
        <v>#DIV/0!</v>
      </c>
      <c r="AT21" s="69" t="e">
        <f t="shared" si="8"/>
        <v>#DIV/0!</v>
      </c>
      <c r="AU21" s="69" t="e">
        <f t="shared" si="8"/>
        <v>#DIV/0!</v>
      </c>
      <c r="AV21" s="69" t="e">
        <f t="shared" si="8"/>
        <v>#DIV/0!</v>
      </c>
      <c r="AW21" s="69" t="e">
        <f t="shared" si="8"/>
        <v>#DIV/0!</v>
      </c>
      <c r="AX21" s="69" t="e">
        <f t="shared" si="8"/>
        <v>#DIV/0!</v>
      </c>
      <c r="AY21" s="69" t="e">
        <f t="shared" si="8"/>
        <v>#DIV/0!</v>
      </c>
      <c r="AZ21" s="69" t="e">
        <f t="shared" si="8"/>
        <v>#DIV/0!</v>
      </c>
      <c r="BA21" s="69" t="e">
        <f t="shared" si="8"/>
        <v>#DIV/0!</v>
      </c>
      <c r="BB21" s="69" t="e">
        <f t="shared" si="8"/>
        <v>#DIV/0!</v>
      </c>
      <c r="BC21" s="69" t="e">
        <f t="shared" si="8"/>
        <v>#DIV/0!</v>
      </c>
      <c r="BD21" s="69" t="e">
        <f t="shared" si="8"/>
        <v>#DIV/0!</v>
      </c>
      <c r="BE21" s="69" t="e">
        <f t="shared" si="8"/>
        <v>#DIV/0!</v>
      </c>
      <c r="BF21" s="69" t="e">
        <f t="shared" si="8"/>
        <v>#DIV/0!</v>
      </c>
      <c r="BG21" s="69" t="e">
        <f t="shared" si="8"/>
        <v>#DIV/0!</v>
      </c>
      <c r="BH21" s="69" t="e">
        <f t="shared" si="8"/>
        <v>#DIV/0!</v>
      </c>
      <c r="BI21" s="69" t="e">
        <f t="shared" si="8"/>
        <v>#DIV/0!</v>
      </c>
      <c r="BJ21" s="69" t="e">
        <f t="shared" si="8"/>
        <v>#DIV/0!</v>
      </c>
      <c r="BK21" s="69" t="e">
        <f t="shared" si="8"/>
        <v>#DIV/0!</v>
      </c>
      <c r="BL21" s="69" t="e">
        <f t="shared" si="8"/>
        <v>#DIV/0!</v>
      </c>
      <c r="BM21" s="69" t="e">
        <f t="shared" si="8"/>
        <v>#DIV/0!</v>
      </c>
      <c r="BN21" s="69" t="e">
        <f t="shared" si="8"/>
        <v>#DIV/0!</v>
      </c>
      <c r="BO21" s="69" t="e">
        <f t="shared" si="8"/>
        <v>#DIV/0!</v>
      </c>
      <c r="BP21" s="69" t="e">
        <f t="shared" si="8"/>
        <v>#DIV/0!</v>
      </c>
      <c r="BQ21" s="69" t="e">
        <f t="shared" si="8"/>
        <v>#DIV/0!</v>
      </c>
      <c r="BR21" s="69" t="e">
        <f t="shared" si="8"/>
        <v>#DIV/0!</v>
      </c>
      <c r="BS21" s="69" t="e">
        <f t="shared" si="8"/>
        <v>#DIV/0!</v>
      </c>
      <c r="BT21" s="69" t="e">
        <f t="shared" si="8"/>
        <v>#DIV/0!</v>
      </c>
      <c r="BU21" s="69" t="e">
        <f t="shared" si="8"/>
        <v>#DIV/0!</v>
      </c>
      <c r="BV21" s="69" t="e">
        <f t="shared" si="8"/>
        <v>#DIV/0!</v>
      </c>
      <c r="BW21" s="69" t="e">
        <f t="shared" si="8"/>
        <v>#DIV/0!</v>
      </c>
      <c r="BX21" s="69" t="e">
        <f t="shared" si="8"/>
        <v>#DIV/0!</v>
      </c>
      <c r="BY21" s="69" t="e">
        <f t="shared" si="8"/>
        <v>#DIV/0!</v>
      </c>
      <c r="BZ21" s="69" t="e">
        <f t="shared" si="8"/>
        <v>#DIV/0!</v>
      </c>
      <c r="CA21" s="69" t="e">
        <f t="shared" si="8"/>
        <v>#DIV/0!</v>
      </c>
      <c r="CB21" s="69" t="e">
        <f t="shared" si="8"/>
        <v>#DIV/0!</v>
      </c>
      <c r="CC21" s="69" t="e">
        <f t="shared" si="8"/>
        <v>#DIV/0!</v>
      </c>
      <c r="CD21" s="69" t="e">
        <f t="shared" si="8"/>
        <v>#DIV/0!</v>
      </c>
      <c r="CE21" s="69" t="e">
        <f t="shared" si="8"/>
        <v>#DIV/0!</v>
      </c>
      <c r="CF21" s="69" t="e">
        <f t="shared" si="8"/>
        <v>#DIV/0!</v>
      </c>
      <c r="CG21" s="69" t="e">
        <f t="shared" si="8"/>
        <v>#DIV/0!</v>
      </c>
      <c r="CH21" s="69" t="e">
        <f t="shared" si="8"/>
        <v>#DIV/0!</v>
      </c>
      <c r="CI21" s="69" t="e">
        <f t="shared" si="8"/>
        <v>#DIV/0!</v>
      </c>
      <c r="CJ21" s="69" t="e">
        <f t="shared" si="8"/>
        <v>#DIV/0!</v>
      </c>
      <c r="CK21" s="69" t="e">
        <f t="shared" si="8"/>
        <v>#DIV/0!</v>
      </c>
      <c r="CL21" s="69" t="e">
        <f t="shared" si="8"/>
        <v>#DIV/0!</v>
      </c>
      <c r="CM21" s="69" t="e">
        <f t="shared" si="8"/>
        <v>#DIV/0!</v>
      </c>
      <c r="CN21" s="69" t="e">
        <f t="shared" si="8"/>
        <v>#DIV/0!</v>
      </c>
      <c r="CO21" s="69" t="e">
        <f t="shared" si="8"/>
        <v>#DIV/0!</v>
      </c>
      <c r="CP21" s="69" t="e">
        <f t="shared" si="8"/>
        <v>#DIV/0!</v>
      </c>
      <c r="CQ21" s="69" t="e">
        <f t="shared" si="8"/>
        <v>#DIV/0!</v>
      </c>
      <c r="CR21" s="69" t="e">
        <f t="shared" si="8"/>
        <v>#DIV/0!</v>
      </c>
      <c r="CS21" s="69" t="e">
        <f t="shared" si="8"/>
        <v>#DIV/0!</v>
      </c>
      <c r="CT21" s="69" t="e">
        <f t="shared" si="8"/>
        <v>#DIV/0!</v>
      </c>
      <c r="CU21" s="69" t="e">
        <f t="shared" si="8"/>
        <v>#DIV/0!</v>
      </c>
      <c r="CV21" s="69" t="e">
        <f t="shared" si="8"/>
        <v>#DIV/0!</v>
      </c>
      <c r="CW21" s="69" t="e">
        <f t="shared" si="8"/>
        <v>#DIV/0!</v>
      </c>
      <c r="CX21" s="69" t="e">
        <f t="shared" si="8"/>
        <v>#DIV/0!</v>
      </c>
      <c r="CY21" s="69" t="e">
        <f t="shared" si="8"/>
        <v>#DIV/0!</v>
      </c>
      <c r="CZ21" s="69" t="e">
        <f t="shared" si="8"/>
        <v>#DIV/0!</v>
      </c>
      <c r="DA21" s="69" t="e">
        <f t="shared" si="8"/>
        <v>#DIV/0!</v>
      </c>
      <c r="DB21" s="69" t="e">
        <f t="shared" si="8"/>
        <v>#DIV/0!</v>
      </c>
      <c r="DC21" s="69" t="e">
        <f t="shared" si="8"/>
        <v>#DIV/0!</v>
      </c>
      <c r="DD21" s="69" t="e">
        <f t="shared" si="8"/>
        <v>#DIV/0!</v>
      </c>
      <c r="DE21" s="69" t="e">
        <f t="shared" si="8"/>
        <v>#DIV/0!</v>
      </c>
      <c r="DF21" s="69" t="e">
        <f t="shared" si="8"/>
        <v>#DIV/0!</v>
      </c>
      <c r="DG21" s="69" t="e">
        <f t="shared" si="8"/>
        <v>#DIV/0!</v>
      </c>
      <c r="DH21" s="69" t="e">
        <f t="shared" si="8"/>
        <v>#DIV/0!</v>
      </c>
      <c r="DI21" s="69" t="e">
        <f t="shared" si="8"/>
        <v>#DIV/0!</v>
      </c>
      <c r="DJ21" s="69" t="e">
        <f t="shared" si="8"/>
        <v>#DIV/0!</v>
      </c>
      <c r="DK21" s="69" t="e">
        <f t="shared" si="8"/>
        <v>#DIV/0!</v>
      </c>
      <c r="DL21" s="69" t="e">
        <f t="shared" si="8"/>
        <v>#DIV/0!</v>
      </c>
      <c r="DM21" s="69" t="e">
        <f t="shared" si="8"/>
        <v>#DIV/0!</v>
      </c>
      <c r="DN21" s="69" t="e">
        <f t="shared" si="8"/>
        <v>#DIV/0!</v>
      </c>
      <c r="DO21" s="51"/>
    </row>
    <row r="22" spans="1:119" ht="15.75" customHeight="1">
      <c r="A22" s="50"/>
      <c r="B22" s="37">
        <v>21</v>
      </c>
      <c r="C22" s="44">
        <v>2013</v>
      </c>
      <c r="D22" s="44" t="s">
        <v>274</v>
      </c>
      <c r="E22" s="45" t="s">
        <v>149</v>
      </c>
      <c r="F22" s="39">
        <v>8.3000000000000007</v>
      </c>
      <c r="G22" s="39">
        <v>1.0613900797005389</v>
      </c>
      <c r="H22" s="46" t="s">
        <v>20</v>
      </c>
      <c r="J22" s="71"/>
      <c r="K22" s="71"/>
      <c r="L22" s="72"/>
      <c r="M22" s="33"/>
      <c r="N22" s="33" t="s">
        <v>21</v>
      </c>
      <c r="O22" s="69">
        <f t="shared" ref="O22:DN22" si="9">O10/O34</f>
        <v>0.95388140933829846</v>
      </c>
      <c r="P22" s="69" t="e">
        <f t="shared" si="9"/>
        <v>#DIV/0!</v>
      </c>
      <c r="Q22" s="69" t="e">
        <f t="shared" si="9"/>
        <v>#DIV/0!</v>
      </c>
      <c r="R22" s="69" t="e">
        <f t="shared" si="9"/>
        <v>#DIV/0!</v>
      </c>
      <c r="S22" s="69" t="e">
        <f t="shared" si="9"/>
        <v>#DIV/0!</v>
      </c>
      <c r="T22" s="69" t="e">
        <f t="shared" si="9"/>
        <v>#DIV/0!</v>
      </c>
      <c r="U22" s="69" t="e">
        <f t="shared" si="9"/>
        <v>#DIV/0!</v>
      </c>
      <c r="V22" s="69" t="e">
        <f t="shared" si="9"/>
        <v>#DIV/0!</v>
      </c>
      <c r="W22" s="69" t="e">
        <f t="shared" si="9"/>
        <v>#DIV/0!</v>
      </c>
      <c r="X22" s="69" t="e">
        <f t="shared" si="9"/>
        <v>#DIV/0!</v>
      </c>
      <c r="Y22" s="69" t="e">
        <f t="shared" si="9"/>
        <v>#DIV/0!</v>
      </c>
      <c r="Z22" s="69" t="e">
        <f t="shared" si="9"/>
        <v>#DIV/0!</v>
      </c>
      <c r="AA22" s="69" t="e">
        <f t="shared" si="9"/>
        <v>#DIV/0!</v>
      </c>
      <c r="AB22" s="69" t="e">
        <f t="shared" si="9"/>
        <v>#DIV/0!</v>
      </c>
      <c r="AC22" s="69" t="e">
        <f t="shared" si="9"/>
        <v>#DIV/0!</v>
      </c>
      <c r="AD22" s="69" t="e">
        <f t="shared" si="9"/>
        <v>#DIV/0!</v>
      </c>
      <c r="AE22" s="69" t="e">
        <f t="shared" si="9"/>
        <v>#DIV/0!</v>
      </c>
      <c r="AF22" s="69" t="e">
        <f t="shared" si="9"/>
        <v>#DIV/0!</v>
      </c>
      <c r="AG22" s="69" t="e">
        <f t="shared" si="9"/>
        <v>#DIV/0!</v>
      </c>
      <c r="AH22" s="69" t="e">
        <f t="shared" si="9"/>
        <v>#DIV/0!</v>
      </c>
      <c r="AI22" s="69" t="e">
        <f t="shared" si="9"/>
        <v>#DIV/0!</v>
      </c>
      <c r="AJ22" s="69" t="e">
        <f t="shared" si="9"/>
        <v>#DIV/0!</v>
      </c>
      <c r="AK22" s="69" t="e">
        <f t="shared" si="9"/>
        <v>#DIV/0!</v>
      </c>
      <c r="AL22" s="69" t="e">
        <f t="shared" si="9"/>
        <v>#DIV/0!</v>
      </c>
      <c r="AM22" s="69" t="e">
        <f t="shared" si="9"/>
        <v>#DIV/0!</v>
      </c>
      <c r="AN22" s="69" t="e">
        <f t="shared" si="9"/>
        <v>#DIV/0!</v>
      </c>
      <c r="AO22" s="69" t="e">
        <f t="shared" si="9"/>
        <v>#DIV/0!</v>
      </c>
      <c r="AP22" s="69" t="e">
        <f t="shared" si="9"/>
        <v>#DIV/0!</v>
      </c>
      <c r="AQ22" s="69" t="e">
        <f t="shared" si="9"/>
        <v>#DIV/0!</v>
      </c>
      <c r="AR22" s="69" t="e">
        <f t="shared" si="9"/>
        <v>#DIV/0!</v>
      </c>
      <c r="AS22" s="69" t="e">
        <f t="shared" si="9"/>
        <v>#DIV/0!</v>
      </c>
      <c r="AT22" s="69" t="e">
        <f t="shared" si="9"/>
        <v>#DIV/0!</v>
      </c>
      <c r="AU22" s="69" t="e">
        <f t="shared" si="9"/>
        <v>#DIV/0!</v>
      </c>
      <c r="AV22" s="69" t="e">
        <f t="shared" si="9"/>
        <v>#DIV/0!</v>
      </c>
      <c r="AW22" s="69" t="e">
        <f t="shared" si="9"/>
        <v>#DIV/0!</v>
      </c>
      <c r="AX22" s="69" t="e">
        <f t="shared" si="9"/>
        <v>#DIV/0!</v>
      </c>
      <c r="AY22" s="69" t="e">
        <f t="shared" si="9"/>
        <v>#DIV/0!</v>
      </c>
      <c r="AZ22" s="69" t="e">
        <f t="shared" si="9"/>
        <v>#DIV/0!</v>
      </c>
      <c r="BA22" s="69" t="e">
        <f t="shared" si="9"/>
        <v>#DIV/0!</v>
      </c>
      <c r="BB22" s="69" t="e">
        <f t="shared" si="9"/>
        <v>#DIV/0!</v>
      </c>
      <c r="BC22" s="69" t="e">
        <f t="shared" si="9"/>
        <v>#DIV/0!</v>
      </c>
      <c r="BD22" s="69" t="e">
        <f t="shared" si="9"/>
        <v>#DIV/0!</v>
      </c>
      <c r="BE22" s="69" t="e">
        <f t="shared" si="9"/>
        <v>#DIV/0!</v>
      </c>
      <c r="BF22" s="69" t="e">
        <f t="shared" si="9"/>
        <v>#DIV/0!</v>
      </c>
      <c r="BG22" s="69" t="e">
        <f t="shared" si="9"/>
        <v>#DIV/0!</v>
      </c>
      <c r="BH22" s="69" t="e">
        <f t="shared" si="9"/>
        <v>#DIV/0!</v>
      </c>
      <c r="BI22" s="69" t="e">
        <f t="shared" si="9"/>
        <v>#DIV/0!</v>
      </c>
      <c r="BJ22" s="69" t="e">
        <f t="shared" si="9"/>
        <v>#DIV/0!</v>
      </c>
      <c r="BK22" s="69" t="e">
        <f t="shared" si="9"/>
        <v>#DIV/0!</v>
      </c>
      <c r="BL22" s="69" t="e">
        <f t="shared" si="9"/>
        <v>#DIV/0!</v>
      </c>
      <c r="BM22" s="69" t="e">
        <f t="shared" si="9"/>
        <v>#DIV/0!</v>
      </c>
      <c r="BN22" s="69" t="e">
        <f t="shared" si="9"/>
        <v>#DIV/0!</v>
      </c>
      <c r="BO22" s="69" t="e">
        <f t="shared" si="9"/>
        <v>#DIV/0!</v>
      </c>
      <c r="BP22" s="69" t="e">
        <f t="shared" si="9"/>
        <v>#DIV/0!</v>
      </c>
      <c r="BQ22" s="69" t="e">
        <f t="shared" si="9"/>
        <v>#DIV/0!</v>
      </c>
      <c r="BR22" s="69" t="e">
        <f t="shared" si="9"/>
        <v>#DIV/0!</v>
      </c>
      <c r="BS22" s="69" t="e">
        <f t="shared" si="9"/>
        <v>#DIV/0!</v>
      </c>
      <c r="BT22" s="69" t="e">
        <f t="shared" si="9"/>
        <v>#DIV/0!</v>
      </c>
      <c r="BU22" s="69" t="e">
        <f t="shared" si="9"/>
        <v>#DIV/0!</v>
      </c>
      <c r="BV22" s="69" t="e">
        <f t="shared" si="9"/>
        <v>#DIV/0!</v>
      </c>
      <c r="BW22" s="69" t="e">
        <f t="shared" si="9"/>
        <v>#DIV/0!</v>
      </c>
      <c r="BX22" s="69" t="e">
        <f t="shared" si="9"/>
        <v>#DIV/0!</v>
      </c>
      <c r="BY22" s="69" t="e">
        <f t="shared" si="9"/>
        <v>#DIV/0!</v>
      </c>
      <c r="BZ22" s="69" t="e">
        <f t="shared" si="9"/>
        <v>#DIV/0!</v>
      </c>
      <c r="CA22" s="69" t="e">
        <f t="shared" si="9"/>
        <v>#DIV/0!</v>
      </c>
      <c r="CB22" s="69" t="e">
        <f t="shared" si="9"/>
        <v>#DIV/0!</v>
      </c>
      <c r="CC22" s="69" t="e">
        <f t="shared" si="9"/>
        <v>#DIV/0!</v>
      </c>
      <c r="CD22" s="69" t="e">
        <f t="shared" si="9"/>
        <v>#DIV/0!</v>
      </c>
      <c r="CE22" s="69" t="e">
        <f t="shared" si="9"/>
        <v>#DIV/0!</v>
      </c>
      <c r="CF22" s="69" t="e">
        <f t="shared" si="9"/>
        <v>#DIV/0!</v>
      </c>
      <c r="CG22" s="69" t="e">
        <f t="shared" si="9"/>
        <v>#DIV/0!</v>
      </c>
      <c r="CH22" s="69" t="e">
        <f t="shared" si="9"/>
        <v>#DIV/0!</v>
      </c>
      <c r="CI22" s="69" t="e">
        <f t="shared" si="9"/>
        <v>#DIV/0!</v>
      </c>
      <c r="CJ22" s="69" t="e">
        <f t="shared" si="9"/>
        <v>#DIV/0!</v>
      </c>
      <c r="CK22" s="69" t="e">
        <f t="shared" si="9"/>
        <v>#DIV/0!</v>
      </c>
      <c r="CL22" s="69" t="e">
        <f t="shared" si="9"/>
        <v>#DIV/0!</v>
      </c>
      <c r="CM22" s="69" t="e">
        <f t="shared" si="9"/>
        <v>#DIV/0!</v>
      </c>
      <c r="CN22" s="69" t="e">
        <f t="shared" si="9"/>
        <v>#DIV/0!</v>
      </c>
      <c r="CO22" s="69" t="e">
        <f t="shared" si="9"/>
        <v>#DIV/0!</v>
      </c>
      <c r="CP22" s="69" t="e">
        <f t="shared" si="9"/>
        <v>#DIV/0!</v>
      </c>
      <c r="CQ22" s="69" t="e">
        <f t="shared" si="9"/>
        <v>#DIV/0!</v>
      </c>
      <c r="CR22" s="69" t="e">
        <f t="shared" si="9"/>
        <v>#DIV/0!</v>
      </c>
      <c r="CS22" s="69" t="e">
        <f t="shared" si="9"/>
        <v>#DIV/0!</v>
      </c>
      <c r="CT22" s="69" t="e">
        <f t="shared" si="9"/>
        <v>#DIV/0!</v>
      </c>
      <c r="CU22" s="69" t="e">
        <f t="shared" si="9"/>
        <v>#DIV/0!</v>
      </c>
      <c r="CV22" s="69" t="e">
        <f t="shared" si="9"/>
        <v>#DIV/0!</v>
      </c>
      <c r="CW22" s="69" t="e">
        <f t="shared" si="9"/>
        <v>#DIV/0!</v>
      </c>
      <c r="CX22" s="69" t="e">
        <f t="shared" si="9"/>
        <v>#DIV/0!</v>
      </c>
      <c r="CY22" s="69" t="e">
        <f t="shared" si="9"/>
        <v>#DIV/0!</v>
      </c>
      <c r="CZ22" s="69" t="e">
        <f t="shared" si="9"/>
        <v>#DIV/0!</v>
      </c>
      <c r="DA22" s="69" t="e">
        <f t="shared" si="9"/>
        <v>#DIV/0!</v>
      </c>
      <c r="DB22" s="69" t="e">
        <f t="shared" si="9"/>
        <v>#DIV/0!</v>
      </c>
      <c r="DC22" s="69" t="e">
        <f t="shared" si="9"/>
        <v>#DIV/0!</v>
      </c>
      <c r="DD22" s="69" t="e">
        <f t="shared" si="9"/>
        <v>#DIV/0!</v>
      </c>
      <c r="DE22" s="69" t="e">
        <f t="shared" si="9"/>
        <v>#DIV/0!</v>
      </c>
      <c r="DF22" s="69" t="e">
        <f t="shared" si="9"/>
        <v>#DIV/0!</v>
      </c>
      <c r="DG22" s="69" t="e">
        <f t="shared" si="9"/>
        <v>#DIV/0!</v>
      </c>
      <c r="DH22" s="69" t="e">
        <f t="shared" si="9"/>
        <v>#DIV/0!</v>
      </c>
      <c r="DI22" s="69" t="e">
        <f t="shared" si="9"/>
        <v>#DIV/0!</v>
      </c>
      <c r="DJ22" s="69" t="e">
        <f t="shared" si="9"/>
        <v>#DIV/0!</v>
      </c>
      <c r="DK22" s="69" t="e">
        <f t="shared" si="9"/>
        <v>#DIV/0!</v>
      </c>
      <c r="DL22" s="69" t="e">
        <f t="shared" si="9"/>
        <v>#DIV/0!</v>
      </c>
      <c r="DM22" s="69" t="e">
        <f t="shared" si="9"/>
        <v>#DIV/0!</v>
      </c>
      <c r="DN22" s="69" t="e">
        <f t="shared" si="9"/>
        <v>#DIV/0!</v>
      </c>
    </row>
    <row r="23" spans="1:119" ht="15.75" customHeight="1">
      <c r="B23" s="56">
        <v>22</v>
      </c>
      <c r="C23" s="37">
        <v>1994</v>
      </c>
      <c r="D23" s="37" t="s">
        <v>275</v>
      </c>
      <c r="E23" s="38" t="s">
        <v>212</v>
      </c>
      <c r="F23" s="39">
        <v>8.3000000000000007</v>
      </c>
      <c r="G23" s="39">
        <v>1.0907513017604757</v>
      </c>
      <c r="H23" s="37" t="s">
        <v>18</v>
      </c>
      <c r="J23" s="42" t="s">
        <v>276</v>
      </c>
      <c r="K23" s="73" t="s">
        <v>277</v>
      </c>
      <c r="N23" s="74" t="s">
        <v>278</v>
      </c>
      <c r="O23" s="65">
        <f t="shared" ref="O23:DN23" si="10">AVERAGE(O20:O22)</f>
        <v>0.98412824370587215</v>
      </c>
      <c r="P23" s="65" t="e">
        <f t="shared" si="10"/>
        <v>#DIV/0!</v>
      </c>
      <c r="Q23" s="65" t="e">
        <f t="shared" si="10"/>
        <v>#DIV/0!</v>
      </c>
      <c r="R23" s="65" t="e">
        <f t="shared" si="10"/>
        <v>#DIV/0!</v>
      </c>
      <c r="S23" s="65" t="e">
        <f t="shared" si="10"/>
        <v>#DIV/0!</v>
      </c>
      <c r="T23" s="65" t="e">
        <f t="shared" si="10"/>
        <v>#DIV/0!</v>
      </c>
      <c r="U23" s="65" t="e">
        <f t="shared" si="10"/>
        <v>#DIV/0!</v>
      </c>
      <c r="V23" s="65" t="e">
        <f t="shared" si="10"/>
        <v>#DIV/0!</v>
      </c>
      <c r="W23" s="65" t="e">
        <f t="shared" si="10"/>
        <v>#DIV/0!</v>
      </c>
      <c r="X23" s="65" t="e">
        <f t="shared" si="10"/>
        <v>#DIV/0!</v>
      </c>
      <c r="Y23" s="65" t="e">
        <f t="shared" si="10"/>
        <v>#DIV/0!</v>
      </c>
      <c r="Z23" s="65" t="e">
        <f t="shared" si="10"/>
        <v>#DIV/0!</v>
      </c>
      <c r="AA23" s="65" t="e">
        <f t="shared" si="10"/>
        <v>#DIV/0!</v>
      </c>
      <c r="AB23" s="65" t="e">
        <f t="shared" si="10"/>
        <v>#DIV/0!</v>
      </c>
      <c r="AC23" s="65" t="e">
        <f t="shared" si="10"/>
        <v>#DIV/0!</v>
      </c>
      <c r="AD23" s="65" t="e">
        <f t="shared" si="10"/>
        <v>#DIV/0!</v>
      </c>
      <c r="AE23" s="65" t="e">
        <f t="shared" si="10"/>
        <v>#DIV/0!</v>
      </c>
      <c r="AF23" s="65" t="e">
        <f t="shared" si="10"/>
        <v>#DIV/0!</v>
      </c>
      <c r="AG23" s="65" t="e">
        <f t="shared" si="10"/>
        <v>#DIV/0!</v>
      </c>
      <c r="AH23" s="65" t="e">
        <f t="shared" si="10"/>
        <v>#DIV/0!</v>
      </c>
      <c r="AI23" s="65" t="e">
        <f t="shared" si="10"/>
        <v>#DIV/0!</v>
      </c>
      <c r="AJ23" s="65" t="e">
        <f t="shared" si="10"/>
        <v>#DIV/0!</v>
      </c>
      <c r="AK23" s="65" t="e">
        <f t="shared" si="10"/>
        <v>#DIV/0!</v>
      </c>
      <c r="AL23" s="65" t="e">
        <f t="shared" si="10"/>
        <v>#DIV/0!</v>
      </c>
      <c r="AM23" s="65" t="e">
        <f t="shared" si="10"/>
        <v>#DIV/0!</v>
      </c>
      <c r="AN23" s="65" t="e">
        <f t="shared" si="10"/>
        <v>#DIV/0!</v>
      </c>
      <c r="AO23" s="65" t="e">
        <f t="shared" si="10"/>
        <v>#DIV/0!</v>
      </c>
      <c r="AP23" s="65" t="e">
        <f t="shared" si="10"/>
        <v>#DIV/0!</v>
      </c>
      <c r="AQ23" s="65" t="e">
        <f t="shared" si="10"/>
        <v>#DIV/0!</v>
      </c>
      <c r="AR23" s="65" t="e">
        <f t="shared" si="10"/>
        <v>#DIV/0!</v>
      </c>
      <c r="AS23" s="65" t="e">
        <f t="shared" si="10"/>
        <v>#DIV/0!</v>
      </c>
      <c r="AT23" s="65" t="e">
        <f t="shared" si="10"/>
        <v>#DIV/0!</v>
      </c>
      <c r="AU23" s="65" t="e">
        <f t="shared" si="10"/>
        <v>#DIV/0!</v>
      </c>
      <c r="AV23" s="65" t="e">
        <f t="shared" si="10"/>
        <v>#DIV/0!</v>
      </c>
      <c r="AW23" s="65" t="e">
        <f t="shared" si="10"/>
        <v>#DIV/0!</v>
      </c>
      <c r="AX23" s="65" t="e">
        <f t="shared" si="10"/>
        <v>#DIV/0!</v>
      </c>
      <c r="AY23" s="65" t="e">
        <f t="shared" si="10"/>
        <v>#DIV/0!</v>
      </c>
      <c r="AZ23" s="65" t="e">
        <f t="shared" si="10"/>
        <v>#DIV/0!</v>
      </c>
      <c r="BA23" s="65" t="e">
        <f t="shared" si="10"/>
        <v>#DIV/0!</v>
      </c>
      <c r="BB23" s="65" t="e">
        <f t="shared" si="10"/>
        <v>#DIV/0!</v>
      </c>
      <c r="BC23" s="65" t="e">
        <f t="shared" si="10"/>
        <v>#DIV/0!</v>
      </c>
      <c r="BD23" s="65" t="e">
        <f t="shared" si="10"/>
        <v>#DIV/0!</v>
      </c>
      <c r="BE23" s="65" t="e">
        <f t="shared" si="10"/>
        <v>#DIV/0!</v>
      </c>
      <c r="BF23" s="65" t="e">
        <f t="shared" si="10"/>
        <v>#DIV/0!</v>
      </c>
      <c r="BG23" s="65" t="e">
        <f t="shared" si="10"/>
        <v>#DIV/0!</v>
      </c>
      <c r="BH23" s="65" t="e">
        <f t="shared" si="10"/>
        <v>#DIV/0!</v>
      </c>
      <c r="BI23" s="65" t="e">
        <f t="shared" si="10"/>
        <v>#DIV/0!</v>
      </c>
      <c r="BJ23" s="65" t="e">
        <f t="shared" si="10"/>
        <v>#DIV/0!</v>
      </c>
      <c r="BK23" s="65" t="e">
        <f t="shared" si="10"/>
        <v>#DIV/0!</v>
      </c>
      <c r="BL23" s="65" t="e">
        <f t="shared" si="10"/>
        <v>#DIV/0!</v>
      </c>
      <c r="BM23" s="65" t="e">
        <f t="shared" si="10"/>
        <v>#DIV/0!</v>
      </c>
      <c r="BN23" s="65" t="e">
        <f t="shared" si="10"/>
        <v>#DIV/0!</v>
      </c>
      <c r="BO23" s="65" t="e">
        <f t="shared" si="10"/>
        <v>#DIV/0!</v>
      </c>
      <c r="BP23" s="65" t="e">
        <f t="shared" si="10"/>
        <v>#DIV/0!</v>
      </c>
      <c r="BQ23" s="65" t="e">
        <f t="shared" si="10"/>
        <v>#DIV/0!</v>
      </c>
      <c r="BR23" s="65" t="e">
        <f t="shared" si="10"/>
        <v>#DIV/0!</v>
      </c>
      <c r="BS23" s="65" t="e">
        <f t="shared" si="10"/>
        <v>#DIV/0!</v>
      </c>
      <c r="BT23" s="65" t="e">
        <f t="shared" si="10"/>
        <v>#DIV/0!</v>
      </c>
      <c r="BU23" s="65" t="e">
        <f t="shared" si="10"/>
        <v>#DIV/0!</v>
      </c>
      <c r="BV23" s="65" t="e">
        <f t="shared" si="10"/>
        <v>#DIV/0!</v>
      </c>
      <c r="BW23" s="65" t="e">
        <f t="shared" si="10"/>
        <v>#DIV/0!</v>
      </c>
      <c r="BX23" s="65" t="e">
        <f t="shared" si="10"/>
        <v>#DIV/0!</v>
      </c>
      <c r="BY23" s="65" t="e">
        <f t="shared" si="10"/>
        <v>#DIV/0!</v>
      </c>
      <c r="BZ23" s="65" t="e">
        <f t="shared" si="10"/>
        <v>#DIV/0!</v>
      </c>
      <c r="CA23" s="65" t="e">
        <f t="shared" si="10"/>
        <v>#DIV/0!</v>
      </c>
      <c r="CB23" s="65" t="e">
        <f t="shared" si="10"/>
        <v>#DIV/0!</v>
      </c>
      <c r="CC23" s="65" t="e">
        <f t="shared" si="10"/>
        <v>#DIV/0!</v>
      </c>
      <c r="CD23" s="65" t="e">
        <f t="shared" si="10"/>
        <v>#DIV/0!</v>
      </c>
      <c r="CE23" s="65" t="e">
        <f t="shared" si="10"/>
        <v>#DIV/0!</v>
      </c>
      <c r="CF23" s="65" t="e">
        <f t="shared" si="10"/>
        <v>#DIV/0!</v>
      </c>
      <c r="CG23" s="65" t="e">
        <f t="shared" si="10"/>
        <v>#DIV/0!</v>
      </c>
      <c r="CH23" s="65" t="e">
        <f t="shared" si="10"/>
        <v>#DIV/0!</v>
      </c>
      <c r="CI23" s="65" t="e">
        <f t="shared" si="10"/>
        <v>#DIV/0!</v>
      </c>
      <c r="CJ23" s="65" t="e">
        <f t="shared" si="10"/>
        <v>#DIV/0!</v>
      </c>
      <c r="CK23" s="65" t="e">
        <f t="shared" si="10"/>
        <v>#DIV/0!</v>
      </c>
      <c r="CL23" s="65" t="e">
        <f t="shared" si="10"/>
        <v>#DIV/0!</v>
      </c>
      <c r="CM23" s="65" t="e">
        <f t="shared" si="10"/>
        <v>#DIV/0!</v>
      </c>
      <c r="CN23" s="65" t="e">
        <f t="shared" si="10"/>
        <v>#DIV/0!</v>
      </c>
      <c r="CO23" s="65" t="e">
        <f t="shared" si="10"/>
        <v>#DIV/0!</v>
      </c>
      <c r="CP23" s="65" t="e">
        <f t="shared" si="10"/>
        <v>#DIV/0!</v>
      </c>
      <c r="CQ23" s="65" t="e">
        <f t="shared" si="10"/>
        <v>#DIV/0!</v>
      </c>
      <c r="CR23" s="65" t="e">
        <f t="shared" si="10"/>
        <v>#DIV/0!</v>
      </c>
      <c r="CS23" s="65" t="e">
        <f t="shared" si="10"/>
        <v>#DIV/0!</v>
      </c>
      <c r="CT23" s="65" t="e">
        <f t="shared" si="10"/>
        <v>#DIV/0!</v>
      </c>
      <c r="CU23" s="65" t="e">
        <f t="shared" si="10"/>
        <v>#DIV/0!</v>
      </c>
      <c r="CV23" s="65" t="e">
        <f t="shared" si="10"/>
        <v>#DIV/0!</v>
      </c>
      <c r="CW23" s="65" t="e">
        <f t="shared" si="10"/>
        <v>#DIV/0!</v>
      </c>
      <c r="CX23" s="65" t="e">
        <f t="shared" si="10"/>
        <v>#DIV/0!</v>
      </c>
      <c r="CY23" s="65" t="e">
        <f t="shared" si="10"/>
        <v>#DIV/0!</v>
      </c>
      <c r="CZ23" s="65" t="e">
        <f t="shared" si="10"/>
        <v>#DIV/0!</v>
      </c>
      <c r="DA23" s="65" t="e">
        <f t="shared" si="10"/>
        <v>#DIV/0!</v>
      </c>
      <c r="DB23" s="65" t="e">
        <f t="shared" si="10"/>
        <v>#DIV/0!</v>
      </c>
      <c r="DC23" s="65" t="e">
        <f t="shared" si="10"/>
        <v>#DIV/0!</v>
      </c>
      <c r="DD23" s="65" t="e">
        <f t="shared" si="10"/>
        <v>#DIV/0!</v>
      </c>
      <c r="DE23" s="65" t="e">
        <f t="shared" si="10"/>
        <v>#DIV/0!</v>
      </c>
      <c r="DF23" s="65" t="e">
        <f t="shared" si="10"/>
        <v>#DIV/0!</v>
      </c>
      <c r="DG23" s="65" t="e">
        <f t="shared" si="10"/>
        <v>#DIV/0!</v>
      </c>
      <c r="DH23" s="65" t="e">
        <f t="shared" si="10"/>
        <v>#DIV/0!</v>
      </c>
      <c r="DI23" s="65" t="e">
        <f t="shared" si="10"/>
        <v>#DIV/0!</v>
      </c>
      <c r="DJ23" s="65" t="e">
        <f t="shared" si="10"/>
        <v>#DIV/0!</v>
      </c>
      <c r="DK23" s="65" t="e">
        <f t="shared" si="10"/>
        <v>#DIV/0!</v>
      </c>
      <c r="DL23" s="65" t="e">
        <f t="shared" si="10"/>
        <v>#DIV/0!</v>
      </c>
      <c r="DM23" s="65" t="e">
        <f t="shared" si="10"/>
        <v>#DIV/0!</v>
      </c>
      <c r="DN23" s="65" t="e">
        <f t="shared" si="10"/>
        <v>#DIV/0!</v>
      </c>
    </row>
    <row r="24" spans="1:119" ht="15.75" customHeight="1">
      <c r="B24" s="37">
        <v>23</v>
      </c>
      <c r="C24" s="37">
        <v>1999</v>
      </c>
      <c r="D24" s="37" t="s">
        <v>279</v>
      </c>
      <c r="E24" s="38" t="s">
        <v>224</v>
      </c>
      <c r="F24" s="39">
        <v>8.3000000000000007</v>
      </c>
      <c r="G24" s="39">
        <v>1.0907513017604757</v>
      </c>
      <c r="H24" s="37" t="s">
        <v>21</v>
      </c>
      <c r="J24" s="37" t="s">
        <v>20</v>
      </c>
      <c r="K24" s="69">
        <f>AVERAGE(F2,F6,F9,F10,F11,F13,F14,F15,F17,F22,F26,F29,F46)</f>
        <v>8.4551282051282044</v>
      </c>
      <c r="N24" s="33"/>
      <c r="O24" s="33"/>
      <c r="DO24" s="65"/>
    </row>
    <row r="25" spans="1:119" ht="15.75" customHeight="1">
      <c r="B25" s="44">
        <v>24</v>
      </c>
      <c r="C25" s="37">
        <v>2018</v>
      </c>
      <c r="D25" s="37" t="s">
        <v>280</v>
      </c>
      <c r="E25" s="38" t="s">
        <v>219</v>
      </c>
      <c r="F25" s="39">
        <v>8.2750000000000004</v>
      </c>
      <c r="G25" s="39">
        <v>1.0874659062732455</v>
      </c>
      <c r="H25" s="37" t="s">
        <v>19</v>
      </c>
      <c r="J25" s="37" t="s">
        <v>21</v>
      </c>
      <c r="K25" s="69">
        <f>AVERAGE(F3,F16,F24,F33,F40,F49,F55,F63,F70,F73,F75,F79,F96)</f>
        <v>7.8598717948717942</v>
      </c>
    </row>
    <row r="26" spans="1:119" ht="15.75" customHeight="1">
      <c r="A26" s="50"/>
      <c r="B26" s="37">
        <v>25</v>
      </c>
      <c r="C26" s="37">
        <v>2016</v>
      </c>
      <c r="D26" s="37" t="s">
        <v>274</v>
      </c>
      <c r="E26" s="38" t="s">
        <v>187</v>
      </c>
      <c r="F26" s="39">
        <v>8.2666666666666675</v>
      </c>
      <c r="G26" s="39">
        <v>1.0930023385500987</v>
      </c>
      <c r="H26" s="37" t="s">
        <v>20</v>
      </c>
      <c r="J26" s="37" t="s">
        <v>16</v>
      </c>
      <c r="K26" s="69">
        <f>AVERAGE(F7,F27,F35,F36,F43,F45,F48,F53,F61,F64,F66,F72,F86)</f>
        <v>7.9234615384615372</v>
      </c>
      <c r="M26" s="33"/>
      <c r="N26" s="49" t="s">
        <v>276</v>
      </c>
      <c r="O26" s="49" t="s">
        <v>87</v>
      </c>
      <c r="Q26" s="1"/>
    </row>
    <row r="27" spans="1:119" ht="15.75" customHeight="1">
      <c r="B27" s="37">
        <v>26</v>
      </c>
      <c r="C27" s="37">
        <v>1997</v>
      </c>
      <c r="D27" s="37" t="s">
        <v>281</v>
      </c>
      <c r="E27" s="38" t="s">
        <v>194</v>
      </c>
      <c r="F27" s="39">
        <v>8.25</v>
      </c>
      <c r="G27" s="39">
        <v>1.0206628646995619</v>
      </c>
      <c r="H27" s="37" t="s">
        <v>16</v>
      </c>
      <c r="J27" s="37" t="s">
        <v>18</v>
      </c>
      <c r="K27" s="69">
        <f>AVERAGE(F18,F19,F20,F23,F32,F59,F60,F68,F69,F71,F81,F93,F98)</f>
        <v>7.7963186813186818</v>
      </c>
      <c r="N27" s="75" t="s">
        <v>14</v>
      </c>
      <c r="O27" s="76">
        <f t="shared" ref="O27:O34" si="11">AVERAGE(O3:DN3)</f>
        <v>7.66585365853659</v>
      </c>
    </row>
    <row r="28" spans="1:119" ht="15.75" customHeight="1">
      <c r="B28" s="37">
        <v>27</v>
      </c>
      <c r="C28" s="37">
        <v>2017</v>
      </c>
      <c r="D28" s="37" t="s">
        <v>282</v>
      </c>
      <c r="E28" s="38" t="s">
        <v>226</v>
      </c>
      <c r="F28" s="39">
        <v>8.25</v>
      </c>
      <c r="G28" s="39">
        <v>1.0841805107860152</v>
      </c>
      <c r="H28" s="37" t="s">
        <v>236</v>
      </c>
      <c r="J28" s="37" t="s">
        <v>17</v>
      </c>
      <c r="K28" s="69">
        <f>AVERAGE(F4,F34,F37,F41,F51,F54,F78,F82,F84,F89,F99,F105)</f>
        <v>7.6261607142857146</v>
      </c>
      <c r="N28" s="75" t="s">
        <v>236</v>
      </c>
      <c r="O28" s="76">
        <f t="shared" si="11"/>
        <v>7.5242424242424271</v>
      </c>
    </row>
    <row r="29" spans="1:119" ht="15.75" customHeight="1">
      <c r="A29" s="50"/>
      <c r="B29" s="44">
        <v>28</v>
      </c>
      <c r="C29" s="44">
        <v>2008</v>
      </c>
      <c r="D29" s="44" t="s">
        <v>283</v>
      </c>
      <c r="E29" s="45" t="s">
        <v>174</v>
      </c>
      <c r="F29" s="39">
        <v>8.2200000000000006</v>
      </c>
      <c r="G29" s="39">
        <v>1.0492696064450913</v>
      </c>
      <c r="H29" s="46" t="s">
        <v>20</v>
      </c>
      <c r="J29" s="37" t="s">
        <v>14</v>
      </c>
      <c r="K29" s="69">
        <f>AVERAGE(F5,F8,F30,F42,F44,F50,F52,F56,F65,F87,F94,F102,F103)</f>
        <v>7.7361904761904761</v>
      </c>
      <c r="M29" s="33"/>
      <c r="N29" s="75" t="s">
        <v>16</v>
      </c>
      <c r="O29" s="76">
        <f t="shared" si="11"/>
        <v>7.8626262626262635</v>
      </c>
    </row>
    <row r="30" spans="1:119" ht="15.75" customHeight="1">
      <c r="A30" s="5"/>
      <c r="B30" s="44">
        <v>29</v>
      </c>
      <c r="C30" s="44">
        <v>1977</v>
      </c>
      <c r="D30" s="44" t="s">
        <v>284</v>
      </c>
      <c r="E30" s="52" t="s">
        <v>152</v>
      </c>
      <c r="F30" s="39">
        <v>8.2142857142857135</v>
      </c>
      <c r="G30" s="39">
        <v>1.0512380939781385</v>
      </c>
      <c r="H30" s="46" t="s">
        <v>14</v>
      </c>
      <c r="J30" s="37" t="s">
        <v>19</v>
      </c>
      <c r="K30" s="69">
        <f>AVERAGE(F12,F25,F31,F39,F47,F57,F67,F74,F83,F90,F92,F100,F104)</f>
        <v>7.6093956043956048</v>
      </c>
      <c r="M30" s="33"/>
      <c r="N30" s="75" t="s">
        <v>17</v>
      </c>
      <c r="O30" s="76">
        <f t="shared" si="11"/>
        <v>8.3153846153846143</v>
      </c>
    </row>
    <row r="31" spans="1:119" ht="15.75" customHeight="1">
      <c r="B31" s="44">
        <v>30</v>
      </c>
      <c r="C31" s="37">
        <v>1988</v>
      </c>
      <c r="D31" s="37" t="s">
        <v>285</v>
      </c>
      <c r="E31" s="38" t="s">
        <v>211</v>
      </c>
      <c r="F31" s="39">
        <v>8.1999999999999993</v>
      </c>
      <c r="G31" s="39">
        <v>1.0776097198115544</v>
      </c>
      <c r="H31" s="37" t="s">
        <v>19</v>
      </c>
      <c r="J31" s="37" t="s">
        <v>236</v>
      </c>
      <c r="K31" s="69">
        <f>AVERAGE(F21,F28,F38,F58,F62,F76,F77,F85,F91,F95,F97,F101)</f>
        <v>7.4959325396825411</v>
      </c>
      <c r="N31" s="75" t="s">
        <v>18</v>
      </c>
      <c r="O31" s="76">
        <f t="shared" si="11"/>
        <v>7.757575757575756</v>
      </c>
    </row>
    <row r="32" spans="1:119" ht="15.75" customHeight="1">
      <c r="A32" s="5"/>
      <c r="B32" s="37">
        <v>31</v>
      </c>
      <c r="C32" s="44">
        <v>1978</v>
      </c>
      <c r="D32" s="44" t="s">
        <v>286</v>
      </c>
      <c r="E32" s="45" t="s">
        <v>145</v>
      </c>
      <c r="F32" s="39">
        <v>8.1875</v>
      </c>
      <c r="G32" s="39">
        <v>1.0450250091273414</v>
      </c>
      <c r="H32" s="46" t="s">
        <v>18</v>
      </c>
      <c r="J32" s="71"/>
      <c r="K32" s="71"/>
      <c r="L32" s="77"/>
      <c r="M32" s="33"/>
      <c r="N32" s="75" t="s">
        <v>19</v>
      </c>
      <c r="O32" s="76">
        <f t="shared" si="11"/>
        <v>7.8681818181818164</v>
      </c>
    </row>
    <row r="33" spans="1:15" ht="15.75" customHeight="1">
      <c r="A33" s="5"/>
      <c r="B33" s="56">
        <v>32</v>
      </c>
      <c r="C33" s="44">
        <v>1969</v>
      </c>
      <c r="D33" s="44" t="s">
        <v>287</v>
      </c>
      <c r="E33" s="45" t="s">
        <v>151</v>
      </c>
      <c r="F33" s="39">
        <v>8.15</v>
      </c>
      <c r="G33" s="39">
        <v>1.0449400912999462</v>
      </c>
      <c r="H33" s="46" t="s">
        <v>21</v>
      </c>
      <c r="J33" s="13"/>
      <c r="K33" s="1">
        <f>COUNTIF(M48,"")</f>
        <v>1</v>
      </c>
      <c r="M33" s="33"/>
      <c r="N33" s="75" t="s">
        <v>20</v>
      </c>
      <c r="O33" s="76">
        <f t="shared" si="11"/>
        <v>7.8431372549019631</v>
      </c>
    </row>
    <row r="34" spans="1:15" ht="15.75" customHeight="1">
      <c r="B34" s="37">
        <v>33</v>
      </c>
      <c r="C34" s="37">
        <v>1975</v>
      </c>
      <c r="D34" s="37" t="s">
        <v>288</v>
      </c>
      <c r="E34" s="38" t="s">
        <v>220</v>
      </c>
      <c r="F34" s="39">
        <v>8.1399999999999988</v>
      </c>
      <c r="G34" s="39">
        <v>1.0697247706422017</v>
      </c>
      <c r="H34" s="37" t="s">
        <v>17</v>
      </c>
      <c r="J34" s="71"/>
      <c r="K34" s="71"/>
      <c r="L34" s="77"/>
      <c r="N34" s="75" t="s">
        <v>21</v>
      </c>
      <c r="O34" s="76">
        <f t="shared" si="11"/>
        <v>7.7577777777777781</v>
      </c>
    </row>
    <row r="35" spans="1:15" ht="15.75" customHeight="1">
      <c r="B35" s="44">
        <v>34</v>
      </c>
      <c r="C35" s="37">
        <v>1985</v>
      </c>
      <c r="D35" s="37" t="s">
        <v>289</v>
      </c>
      <c r="E35" s="38" t="s">
        <v>223</v>
      </c>
      <c r="F35" s="39">
        <v>8.125</v>
      </c>
      <c r="G35" s="39">
        <v>1.0677535333498633</v>
      </c>
      <c r="H35" s="37" t="s">
        <v>16</v>
      </c>
      <c r="J35" s="71"/>
      <c r="K35" s="71"/>
      <c r="L35" s="77"/>
    </row>
    <row r="36" spans="1:15" ht="15.75" customHeight="1">
      <c r="A36" s="5"/>
      <c r="B36" s="44">
        <v>35</v>
      </c>
      <c r="C36" s="37">
        <v>2012</v>
      </c>
      <c r="D36" s="37" t="s">
        <v>290</v>
      </c>
      <c r="E36" s="40" t="s">
        <v>178</v>
      </c>
      <c r="F36" s="39">
        <v>8.1124999999999989</v>
      </c>
      <c r="G36" s="39">
        <v>1.0390474377523999</v>
      </c>
      <c r="H36" s="37" t="s">
        <v>16</v>
      </c>
      <c r="J36" s="71"/>
      <c r="K36" s="71"/>
      <c r="L36" s="77"/>
      <c r="M36" s="33"/>
    </row>
    <row r="37" spans="1:15" ht="15.75" customHeight="1">
      <c r="B37" s="44">
        <v>36</v>
      </c>
      <c r="C37" s="37">
        <v>1963</v>
      </c>
      <c r="D37" s="37" t="s">
        <v>291</v>
      </c>
      <c r="E37" s="38" t="s">
        <v>202</v>
      </c>
      <c r="F37" s="39">
        <v>8.1000000000000014</v>
      </c>
      <c r="G37" s="39">
        <v>1.0688486651789404</v>
      </c>
      <c r="H37" s="69" t="s">
        <v>17</v>
      </c>
      <c r="I37" s="78"/>
      <c r="J37" s="13"/>
      <c r="K37" s="78"/>
      <c r="L37" s="78"/>
      <c r="M37" s="78"/>
      <c r="N37" s="33"/>
      <c r="O37" s="71"/>
    </row>
    <row r="38" spans="1:15" ht="15.75" customHeight="1">
      <c r="B38" s="37">
        <v>37</v>
      </c>
      <c r="C38" s="37">
        <v>2017</v>
      </c>
      <c r="D38" s="37" t="s">
        <v>292</v>
      </c>
      <c r="E38" s="38" t="s">
        <v>207</v>
      </c>
      <c r="F38" s="39">
        <v>8.1</v>
      </c>
      <c r="G38" s="39">
        <v>1.0644681378626331</v>
      </c>
      <c r="H38" s="37" t="s">
        <v>236</v>
      </c>
      <c r="J38" s="13"/>
      <c r="N38" s="33"/>
      <c r="O38" s="71"/>
    </row>
    <row r="39" spans="1:15" ht="15.75" customHeight="1">
      <c r="B39" s="56">
        <v>38</v>
      </c>
      <c r="C39" s="37">
        <v>2019</v>
      </c>
      <c r="D39" s="37" t="s">
        <v>293</v>
      </c>
      <c r="E39" s="38" t="s">
        <v>200</v>
      </c>
      <c r="F39" s="39">
        <v>8.0833333333333339</v>
      </c>
      <c r="G39" s="39">
        <v>1.0670964542524173</v>
      </c>
      <c r="H39" s="37" t="s">
        <v>19</v>
      </c>
      <c r="J39" s="13"/>
      <c r="N39" s="33"/>
      <c r="O39" s="33"/>
    </row>
    <row r="40" spans="1:15" ht="15.75" customHeight="1">
      <c r="A40" s="5"/>
      <c r="B40" s="37">
        <v>39</v>
      </c>
      <c r="C40" s="44">
        <v>1964</v>
      </c>
      <c r="D40" s="44" t="s">
        <v>294</v>
      </c>
      <c r="E40" s="45" t="s">
        <v>147</v>
      </c>
      <c r="F40" s="39">
        <v>8.0750000000000011</v>
      </c>
      <c r="G40" s="39">
        <v>1.0304247939832771</v>
      </c>
      <c r="H40" s="46" t="s">
        <v>21</v>
      </c>
      <c r="J40" s="71"/>
      <c r="K40" s="71"/>
      <c r="L40" s="77"/>
      <c r="M40" s="33"/>
      <c r="N40" s="33"/>
      <c r="O40" s="33"/>
    </row>
    <row r="41" spans="1:15" ht="15.75" customHeight="1">
      <c r="A41" s="5"/>
      <c r="B41" s="44">
        <v>40</v>
      </c>
      <c r="C41" s="44">
        <v>1986</v>
      </c>
      <c r="D41" s="44" t="s">
        <v>295</v>
      </c>
      <c r="E41" s="45" t="s">
        <v>153</v>
      </c>
      <c r="F41" s="39">
        <v>8.0625</v>
      </c>
      <c r="G41" s="39">
        <v>1.0292048352419025</v>
      </c>
      <c r="H41" s="46" t="s">
        <v>17</v>
      </c>
      <c r="J41" s="71"/>
      <c r="K41" s="71"/>
      <c r="L41" s="77"/>
      <c r="M41" s="33"/>
    </row>
    <row r="42" spans="1:15" ht="15.75" customHeight="1">
      <c r="B42" s="37">
        <v>41</v>
      </c>
      <c r="C42" s="37">
        <v>1949</v>
      </c>
      <c r="D42" s="37" t="s">
        <v>296</v>
      </c>
      <c r="E42" s="38" t="s">
        <v>213</v>
      </c>
      <c r="F42" s="39">
        <v>8.0249999999999986</v>
      </c>
      <c r="G42" s="39">
        <v>1.054611951400942</v>
      </c>
      <c r="H42" s="37" t="s">
        <v>14</v>
      </c>
      <c r="J42" s="13"/>
    </row>
    <row r="43" spans="1:15" ht="15.75" customHeight="1">
      <c r="A43" s="5"/>
      <c r="B43" s="37">
        <v>42</v>
      </c>
      <c r="C43" s="44">
        <v>1971</v>
      </c>
      <c r="D43" s="44" t="s">
        <v>297</v>
      </c>
      <c r="E43" s="45" t="s">
        <v>162</v>
      </c>
      <c r="F43" s="39">
        <v>8.02</v>
      </c>
      <c r="G43" s="39">
        <v>1.0137034114396317</v>
      </c>
      <c r="H43" s="46" t="s">
        <v>16</v>
      </c>
      <c r="J43" s="71"/>
      <c r="K43" s="71"/>
      <c r="L43" s="77"/>
      <c r="M43" s="33"/>
    </row>
    <row r="44" spans="1:15" ht="15.75" customHeight="1">
      <c r="A44" s="5"/>
      <c r="B44" s="37">
        <v>43</v>
      </c>
      <c r="C44" s="44">
        <v>1979</v>
      </c>
      <c r="D44" s="44" t="s">
        <v>298</v>
      </c>
      <c r="E44" s="45" t="s">
        <v>133</v>
      </c>
      <c r="F44" s="39">
        <v>8</v>
      </c>
      <c r="G44" s="39">
        <v>1.0227818362447132</v>
      </c>
      <c r="H44" s="46" t="s">
        <v>14</v>
      </c>
      <c r="J44" s="71"/>
      <c r="K44" s="71"/>
      <c r="L44" s="77"/>
      <c r="M44" s="33"/>
    </row>
    <row r="45" spans="1:15" ht="15.75" customHeight="1">
      <c r="A45" s="5"/>
      <c r="B45" s="44">
        <v>44</v>
      </c>
      <c r="C45" s="37">
        <v>1998</v>
      </c>
      <c r="D45" s="37" t="s">
        <v>299</v>
      </c>
      <c r="E45" s="38" t="s">
        <v>185</v>
      </c>
      <c r="F45" s="39">
        <v>8</v>
      </c>
      <c r="G45" s="39">
        <v>1.0577441985968699</v>
      </c>
      <c r="H45" s="37" t="s">
        <v>16</v>
      </c>
      <c r="J45" s="71"/>
      <c r="K45" s="71"/>
      <c r="L45" s="77"/>
      <c r="M45" s="33"/>
    </row>
    <row r="46" spans="1:15" ht="15.75" customHeight="1">
      <c r="B46" s="44">
        <v>45</v>
      </c>
      <c r="C46" s="37">
        <v>2011</v>
      </c>
      <c r="D46" s="37" t="s">
        <v>300</v>
      </c>
      <c r="E46" s="38" t="s">
        <v>214</v>
      </c>
      <c r="F46" s="39">
        <v>7.9750000000000005</v>
      </c>
      <c r="G46" s="39">
        <v>1.0480411604264814</v>
      </c>
      <c r="H46" s="37" t="s">
        <v>20</v>
      </c>
      <c r="J46" s="13"/>
    </row>
    <row r="47" spans="1:15" ht="15.75" customHeight="1">
      <c r="A47" s="5"/>
      <c r="B47" s="44">
        <v>46</v>
      </c>
      <c r="C47" s="44">
        <v>1988</v>
      </c>
      <c r="D47" s="44" t="s">
        <v>301</v>
      </c>
      <c r="E47" s="45" t="s">
        <v>136</v>
      </c>
      <c r="F47" s="39">
        <v>7.9749999999999996</v>
      </c>
      <c r="G47" s="39">
        <v>1.0178191309672719</v>
      </c>
      <c r="H47" s="46" t="s">
        <v>19</v>
      </c>
      <c r="J47" s="71"/>
      <c r="K47" s="71"/>
      <c r="L47" s="77"/>
      <c r="M47" s="33"/>
    </row>
    <row r="48" spans="1:15" ht="15.75" customHeight="1">
      <c r="A48" s="5"/>
      <c r="B48" s="37">
        <v>47</v>
      </c>
      <c r="C48" s="56">
        <v>1986</v>
      </c>
      <c r="D48" s="56" t="s">
        <v>302</v>
      </c>
      <c r="E48" s="45" t="s">
        <v>130</v>
      </c>
      <c r="F48" s="39">
        <v>7.9749999999999996</v>
      </c>
      <c r="G48" s="39">
        <v>1.0168075180924714</v>
      </c>
      <c r="H48" s="46" t="s">
        <v>16</v>
      </c>
      <c r="J48" s="71"/>
      <c r="K48" s="71"/>
      <c r="L48" s="77"/>
      <c r="M48" s="33"/>
    </row>
    <row r="49" spans="1:15" ht="15.75" customHeight="1">
      <c r="A49" s="5"/>
      <c r="B49" s="56">
        <v>48</v>
      </c>
      <c r="C49" s="44">
        <v>1981</v>
      </c>
      <c r="D49" s="44" t="s">
        <v>303</v>
      </c>
      <c r="E49" s="45" t="s">
        <v>160</v>
      </c>
      <c r="F49" s="39">
        <v>7.9714285714285724</v>
      </c>
      <c r="G49" s="39">
        <v>1.0200503488778394</v>
      </c>
      <c r="H49" s="46" t="s">
        <v>21</v>
      </c>
      <c r="J49" s="71"/>
      <c r="K49" s="71"/>
      <c r="L49" s="77"/>
      <c r="M49" s="33"/>
    </row>
    <row r="50" spans="1:15" ht="15.75" customHeight="1">
      <c r="B50" s="37">
        <v>49</v>
      </c>
      <c r="C50" s="37">
        <v>1986</v>
      </c>
      <c r="D50" s="37" t="s">
        <v>304</v>
      </c>
      <c r="E50" s="38" t="s">
        <v>221</v>
      </c>
      <c r="F50" s="39">
        <v>7.9666666666666659</v>
      </c>
      <c r="G50" s="39">
        <v>1.0469460285974044</v>
      </c>
      <c r="H50" s="37" t="s">
        <v>14</v>
      </c>
      <c r="J50" s="13"/>
    </row>
    <row r="51" spans="1:15" ht="15.75" customHeight="1">
      <c r="A51" s="5"/>
      <c r="B51" s="44">
        <v>50</v>
      </c>
      <c r="C51" s="44"/>
      <c r="D51" s="44"/>
      <c r="E51" s="45" t="s">
        <v>148</v>
      </c>
      <c r="F51" s="39">
        <v>7.9</v>
      </c>
      <c r="G51" s="39">
        <v>1.008466315072178</v>
      </c>
      <c r="H51" s="46" t="s">
        <v>17</v>
      </c>
      <c r="J51" s="71"/>
      <c r="K51" s="71"/>
      <c r="L51" s="77"/>
      <c r="M51" s="33"/>
    </row>
    <row r="52" spans="1:15" ht="15.75" customHeight="1">
      <c r="B52" s="44">
        <v>51</v>
      </c>
      <c r="C52" s="37"/>
      <c r="D52" s="37"/>
      <c r="E52" s="38" t="s">
        <v>222</v>
      </c>
      <c r="F52" s="39">
        <v>7.9</v>
      </c>
      <c r="G52" s="39">
        <v>1.0381849739647904</v>
      </c>
      <c r="H52" s="37" t="s">
        <v>14</v>
      </c>
      <c r="J52" s="13"/>
    </row>
    <row r="53" spans="1:15" ht="15.75" customHeight="1">
      <c r="B53" s="44">
        <v>52</v>
      </c>
      <c r="C53" s="37"/>
      <c r="D53" s="37"/>
      <c r="E53" s="38" t="s">
        <v>199</v>
      </c>
      <c r="F53" s="39">
        <v>7.8999999999999995</v>
      </c>
      <c r="G53" s="39">
        <v>0.90414083808579215</v>
      </c>
      <c r="H53" s="37" t="s">
        <v>16</v>
      </c>
      <c r="J53" s="13"/>
      <c r="O53" s="1" t="s">
        <v>305</v>
      </c>
    </row>
    <row r="54" spans="1:15" ht="15.75" customHeight="1">
      <c r="A54" s="5"/>
      <c r="B54" s="37">
        <v>53</v>
      </c>
      <c r="C54" s="37"/>
      <c r="D54" s="37"/>
      <c r="E54" s="40" t="s">
        <v>176</v>
      </c>
      <c r="F54" s="39">
        <v>7.871428571428571</v>
      </c>
      <c r="G54" s="39">
        <v>1.0067093002724687</v>
      </c>
      <c r="H54" s="37" t="s">
        <v>17</v>
      </c>
      <c r="J54" s="33"/>
      <c r="K54" s="33"/>
      <c r="L54" s="33"/>
      <c r="M54" s="33"/>
    </row>
    <row r="55" spans="1:15" ht="15.75" customHeight="1">
      <c r="A55" s="5"/>
      <c r="B55" s="56">
        <v>54</v>
      </c>
      <c r="C55" s="44"/>
      <c r="D55" s="44" t="s">
        <v>306</v>
      </c>
      <c r="E55" s="52" t="s">
        <v>168</v>
      </c>
      <c r="F55" s="39">
        <v>7.8374999999999995</v>
      </c>
      <c r="G55" s="39">
        <v>1.0032154785962462</v>
      </c>
      <c r="H55" s="46" t="s">
        <v>21</v>
      </c>
      <c r="J55" s="33"/>
      <c r="K55" s="33"/>
      <c r="L55" s="33"/>
      <c r="M55" s="33"/>
    </row>
    <row r="56" spans="1:15" ht="15.75" customHeight="1">
      <c r="A56" s="5"/>
      <c r="B56" s="37">
        <v>55</v>
      </c>
      <c r="C56" s="37"/>
      <c r="D56" s="37"/>
      <c r="E56" s="38" t="s">
        <v>186</v>
      </c>
      <c r="F56" s="39">
        <v>7.8250000000000002</v>
      </c>
      <c r="G56" s="39">
        <v>1.0346060442525633</v>
      </c>
      <c r="H56" s="37" t="s">
        <v>14</v>
      </c>
      <c r="J56" s="33"/>
      <c r="K56" s="33"/>
      <c r="L56" s="33"/>
      <c r="M56" s="33"/>
    </row>
    <row r="57" spans="1:15" ht="15.75" customHeight="1">
      <c r="A57" s="5"/>
      <c r="B57" s="44">
        <v>56</v>
      </c>
      <c r="C57" s="44"/>
      <c r="D57" s="44"/>
      <c r="E57" s="45" t="s">
        <v>127</v>
      </c>
      <c r="F57" s="39">
        <v>7.8125000000000009</v>
      </c>
      <c r="G57" s="39">
        <v>0.99596932766712021</v>
      </c>
      <c r="H57" s="46" t="s">
        <v>19</v>
      </c>
      <c r="J57" s="33"/>
      <c r="K57" s="33"/>
      <c r="L57" s="33"/>
      <c r="M57" s="33"/>
    </row>
    <row r="58" spans="1:15" ht="15.75" customHeight="1">
      <c r="A58" s="5"/>
      <c r="B58" s="37">
        <v>57</v>
      </c>
      <c r="C58" s="37"/>
      <c r="D58" s="37"/>
      <c r="E58" s="38" t="s">
        <v>190</v>
      </c>
      <c r="F58" s="39">
        <v>7.8</v>
      </c>
      <c r="G58" s="39">
        <v>1.0313005936319481</v>
      </c>
      <c r="H58" s="37" t="s">
        <v>236</v>
      </c>
    </row>
    <row r="59" spans="1:15" ht="15.75" customHeight="1">
      <c r="B59" s="37">
        <v>58</v>
      </c>
      <c r="C59" s="37"/>
      <c r="D59" s="37"/>
      <c r="E59" s="38" t="s">
        <v>225</v>
      </c>
      <c r="F59" s="39">
        <v>7.8</v>
      </c>
      <c r="G59" s="39">
        <v>1.0250433920158688</v>
      </c>
      <c r="H59" s="37" t="s">
        <v>18</v>
      </c>
      <c r="J59" s="13"/>
    </row>
    <row r="60" spans="1:15" ht="15.75" customHeight="1">
      <c r="B60" s="37">
        <v>59</v>
      </c>
      <c r="C60" s="37"/>
      <c r="D60" s="37"/>
      <c r="E60" s="38" t="s">
        <v>197</v>
      </c>
      <c r="F60" s="39">
        <v>7.7799999999999994</v>
      </c>
      <c r="G60" s="39">
        <v>0.96590627324572265</v>
      </c>
      <c r="H60" s="37" t="s">
        <v>18</v>
      </c>
      <c r="J60" s="13"/>
    </row>
    <row r="61" spans="1:15" ht="15.75" customHeight="1">
      <c r="A61" s="5"/>
      <c r="B61" s="44">
        <v>60</v>
      </c>
      <c r="C61" s="44">
        <v>1992</v>
      </c>
      <c r="D61" s="44"/>
      <c r="E61" s="45" t="s">
        <v>171</v>
      </c>
      <c r="F61" s="39">
        <v>7.74</v>
      </c>
      <c r="G61" s="39">
        <v>0.98364947665210023</v>
      </c>
      <c r="H61" s="46" t="s">
        <v>16</v>
      </c>
    </row>
    <row r="62" spans="1:15" ht="15.75" customHeight="1">
      <c r="A62" s="5"/>
      <c r="B62" s="44">
        <v>61</v>
      </c>
      <c r="C62" s="56"/>
      <c r="D62" s="56" t="s">
        <v>307</v>
      </c>
      <c r="E62" s="45" t="s">
        <v>138</v>
      </c>
      <c r="F62" s="39">
        <v>7.7250000000000005</v>
      </c>
      <c r="G62" s="39">
        <v>0.98978812374425984</v>
      </c>
      <c r="H62" s="46" t="s">
        <v>236</v>
      </c>
    </row>
    <row r="63" spans="1:15" ht="15.75" customHeight="1">
      <c r="B63" s="44">
        <v>62</v>
      </c>
      <c r="C63" s="37"/>
      <c r="D63" s="37"/>
      <c r="E63" s="38" t="s">
        <v>205</v>
      </c>
      <c r="F63" s="39">
        <v>7.7250000000000005</v>
      </c>
      <c r="G63" s="39">
        <v>1.0151872055541777</v>
      </c>
      <c r="H63" s="37" t="s">
        <v>21</v>
      </c>
      <c r="J63" s="13"/>
    </row>
    <row r="64" spans="1:15" ht="15.75" customHeight="1">
      <c r="B64" s="37">
        <v>63</v>
      </c>
      <c r="C64" s="44"/>
      <c r="D64" s="44" t="s">
        <v>308</v>
      </c>
      <c r="E64" s="45" t="s">
        <v>142</v>
      </c>
      <c r="F64" s="39">
        <v>7.7249999999999996</v>
      </c>
      <c r="G64" s="39">
        <v>0.98811632679980166</v>
      </c>
      <c r="H64" s="46" t="s">
        <v>16</v>
      </c>
    </row>
    <row r="65" spans="2:10" ht="15.75" customHeight="1">
      <c r="B65" s="56">
        <v>64</v>
      </c>
      <c r="C65" s="56"/>
      <c r="D65" s="56"/>
      <c r="E65" s="45" t="s">
        <v>140</v>
      </c>
      <c r="F65" s="39">
        <v>7.7124999999999995</v>
      </c>
      <c r="G65" s="39">
        <v>0.98640442294171793</v>
      </c>
      <c r="H65" s="46" t="s">
        <v>14</v>
      </c>
    </row>
    <row r="66" spans="2:10" ht="15.75" customHeight="1">
      <c r="B66" s="37">
        <v>65</v>
      </c>
      <c r="C66" s="37"/>
      <c r="D66" s="37"/>
      <c r="E66" s="38" t="s">
        <v>218</v>
      </c>
      <c r="F66" s="39">
        <v>7.7000000000000011</v>
      </c>
      <c r="G66" s="39">
        <v>1.0119018100669475</v>
      </c>
      <c r="H66" s="37" t="s">
        <v>16</v>
      </c>
      <c r="J66" s="13"/>
    </row>
    <row r="67" spans="2:10" ht="15.75" customHeight="1">
      <c r="B67" s="44">
        <v>66</v>
      </c>
      <c r="C67" s="37"/>
      <c r="D67" s="37"/>
      <c r="E67" s="38" t="s">
        <v>193</v>
      </c>
      <c r="F67" s="39">
        <v>7.6749999999999998</v>
      </c>
      <c r="G67" s="39">
        <v>1.1126539383420113</v>
      </c>
      <c r="H67" s="37" t="s">
        <v>19</v>
      </c>
      <c r="J67" s="13"/>
    </row>
    <row r="68" spans="2:10" ht="15.75" customHeight="1">
      <c r="B68" s="44">
        <v>67</v>
      </c>
      <c r="C68" s="44"/>
      <c r="D68" s="44"/>
      <c r="E68" s="45" t="s">
        <v>170</v>
      </c>
      <c r="F68" s="39">
        <v>7.6714285714285708</v>
      </c>
      <c r="G68" s="39">
        <v>0.97149880514487863</v>
      </c>
      <c r="H68" s="46" t="s">
        <v>18</v>
      </c>
    </row>
    <row r="69" spans="2:10" ht="15.75" customHeight="1">
      <c r="B69" s="44">
        <v>68</v>
      </c>
      <c r="C69" s="37"/>
      <c r="D69" s="37"/>
      <c r="E69" s="38" t="s">
        <v>216</v>
      </c>
      <c r="F69" s="39">
        <v>7.65</v>
      </c>
      <c r="G69" s="39">
        <v>1.0053310190924869</v>
      </c>
      <c r="H69" s="37" t="s">
        <v>18</v>
      </c>
      <c r="J69" s="13"/>
    </row>
    <row r="70" spans="2:10" ht="15.75" customHeight="1">
      <c r="B70" s="37">
        <v>69</v>
      </c>
      <c r="C70" s="37"/>
      <c r="D70" s="37"/>
      <c r="E70" s="38" t="s">
        <v>191</v>
      </c>
      <c r="F70" s="39">
        <v>7.6333333333333329</v>
      </c>
      <c r="G70" s="39">
        <v>1.025043392015869</v>
      </c>
      <c r="H70" s="37" t="s">
        <v>21</v>
      </c>
      <c r="J70" s="13"/>
    </row>
    <row r="71" spans="2:10" ht="15.75" customHeight="1">
      <c r="B71" s="56">
        <v>70</v>
      </c>
      <c r="C71" s="37"/>
      <c r="D71" s="37"/>
      <c r="E71" s="38" t="s">
        <v>184</v>
      </c>
      <c r="F71" s="39">
        <v>7.625</v>
      </c>
      <c r="G71" s="39">
        <v>1.0081624392876414</v>
      </c>
      <c r="H71" s="37" t="s">
        <v>18</v>
      </c>
    </row>
    <row r="72" spans="2:10" ht="15.75" customHeight="1">
      <c r="B72" s="37">
        <v>71</v>
      </c>
      <c r="C72" s="37"/>
      <c r="D72" s="37"/>
      <c r="E72" s="38" t="s">
        <v>209</v>
      </c>
      <c r="F72" s="39">
        <v>7.5200000000000005</v>
      </c>
      <c r="G72" s="39">
        <v>0.988246962558889</v>
      </c>
      <c r="H72" s="37" t="s">
        <v>16</v>
      </c>
      <c r="J72" s="13"/>
    </row>
    <row r="73" spans="2:10" ht="15.75" customHeight="1">
      <c r="B73" s="44">
        <v>72</v>
      </c>
      <c r="C73" s="44"/>
      <c r="D73" s="44" t="s">
        <v>289</v>
      </c>
      <c r="E73" s="45" t="s">
        <v>135</v>
      </c>
      <c r="F73" s="39">
        <v>7.5000000000000009</v>
      </c>
      <c r="G73" s="39">
        <v>0.96485576540877083</v>
      </c>
      <c r="H73" s="46" t="s">
        <v>21</v>
      </c>
    </row>
    <row r="74" spans="2:10" ht="15.75" customHeight="1">
      <c r="B74" s="37">
        <v>73</v>
      </c>
      <c r="C74" s="37"/>
      <c r="D74" s="37" t="s">
        <v>309</v>
      </c>
      <c r="E74" s="38" t="s">
        <v>229</v>
      </c>
      <c r="F74" s="39">
        <v>7.5</v>
      </c>
      <c r="G74" s="39">
        <v>0.98561864616910477</v>
      </c>
      <c r="H74" s="37" t="s">
        <v>19</v>
      </c>
      <c r="J74" s="13"/>
    </row>
    <row r="75" spans="2:10" ht="15.75" customHeight="1">
      <c r="B75" s="37">
        <v>74</v>
      </c>
      <c r="C75" s="37"/>
      <c r="D75" s="37"/>
      <c r="E75" s="38" t="s">
        <v>217</v>
      </c>
      <c r="F75" s="39">
        <v>7.4749999999999996</v>
      </c>
      <c r="G75" s="39">
        <v>0.98233325068187438</v>
      </c>
      <c r="H75" s="37" t="s">
        <v>21</v>
      </c>
      <c r="J75" s="13"/>
    </row>
    <row r="76" spans="2:10" ht="15.75" customHeight="1">
      <c r="B76" s="37">
        <v>75</v>
      </c>
      <c r="C76" s="44"/>
      <c r="D76" s="44" t="s">
        <v>310</v>
      </c>
      <c r="E76" s="45" t="s">
        <v>150</v>
      </c>
      <c r="F76" s="39">
        <v>7.4500000000000011</v>
      </c>
      <c r="G76" s="39">
        <v>0.95718080910643533</v>
      </c>
      <c r="H76" s="46" t="s">
        <v>236</v>
      </c>
    </row>
    <row r="77" spans="2:10" ht="15.75" customHeight="1">
      <c r="B77" s="44">
        <v>76</v>
      </c>
      <c r="C77" s="44"/>
      <c r="D77" s="44"/>
      <c r="E77" s="45" t="s">
        <v>157</v>
      </c>
      <c r="F77" s="39">
        <v>7.4428571428571431</v>
      </c>
      <c r="G77" s="39">
        <v>0.94586397813275092</v>
      </c>
      <c r="H77" s="46" t="s">
        <v>236</v>
      </c>
    </row>
    <row r="78" spans="2:10" ht="15.75" customHeight="1">
      <c r="B78" s="44">
        <v>77</v>
      </c>
      <c r="C78" s="37"/>
      <c r="D78" s="37"/>
      <c r="E78" s="38" t="s">
        <v>183</v>
      </c>
      <c r="F78" s="39">
        <v>7.4</v>
      </c>
      <c r="G78" s="39">
        <v>0.97841338370210451</v>
      </c>
      <c r="H78" s="37" t="s">
        <v>17</v>
      </c>
    </row>
    <row r="79" spans="2:10" ht="15.75" customHeight="1">
      <c r="B79" s="44">
        <v>78</v>
      </c>
      <c r="C79" s="37"/>
      <c r="D79" s="37"/>
      <c r="E79" s="38" t="s">
        <v>188</v>
      </c>
      <c r="F79" s="39">
        <v>7.4</v>
      </c>
      <c r="G79" s="39">
        <v>0.97841338370210462</v>
      </c>
      <c r="H79" s="37" t="s">
        <v>21</v>
      </c>
    </row>
    <row r="80" spans="2:10" ht="15.75" customHeight="1">
      <c r="B80" s="37">
        <v>79</v>
      </c>
      <c r="C80" s="44"/>
      <c r="D80" s="44"/>
      <c r="E80" s="45" t="s">
        <v>129</v>
      </c>
      <c r="F80" s="39">
        <v>7.3875000000000002</v>
      </c>
      <c r="G80" s="39">
        <v>0.94264645427597793</v>
      </c>
      <c r="H80" s="46" t="s">
        <v>17</v>
      </c>
    </row>
    <row r="81" spans="2:10" ht="15.75" customHeight="1">
      <c r="B81" s="56">
        <v>80</v>
      </c>
      <c r="C81" s="44"/>
      <c r="D81" s="44"/>
      <c r="E81" s="45" t="s">
        <v>167</v>
      </c>
      <c r="F81" s="39">
        <v>7.3857142857142852</v>
      </c>
      <c r="G81" s="39">
        <v>0.94531604751583276</v>
      </c>
      <c r="H81" s="46" t="s">
        <v>18</v>
      </c>
    </row>
    <row r="82" spans="2:10" ht="15.75" customHeight="1">
      <c r="B82" s="37">
        <v>81</v>
      </c>
      <c r="C82" s="37"/>
      <c r="D82" s="37"/>
      <c r="E82" s="38" t="s">
        <v>196</v>
      </c>
      <c r="F82" s="39">
        <v>7.35</v>
      </c>
      <c r="G82" s="39">
        <v>1.1380609967765927</v>
      </c>
      <c r="H82" s="37" t="s">
        <v>17</v>
      </c>
      <c r="J82" s="13"/>
    </row>
    <row r="83" spans="2:10" ht="15.75" customHeight="1">
      <c r="B83" s="44">
        <v>82</v>
      </c>
      <c r="C83" s="44"/>
      <c r="D83" s="44"/>
      <c r="E83" s="45" t="s">
        <v>166</v>
      </c>
      <c r="F83" s="39">
        <v>7.3375000000000004</v>
      </c>
      <c r="G83" s="39">
        <v>0.93738602444675934</v>
      </c>
      <c r="H83" s="46" t="s">
        <v>19</v>
      </c>
    </row>
    <row r="84" spans="2:10" ht="15.75" customHeight="1">
      <c r="B84" s="44">
        <v>83</v>
      </c>
      <c r="C84" s="44"/>
      <c r="D84" s="44"/>
      <c r="E84" s="45" t="s">
        <v>139</v>
      </c>
      <c r="F84" s="39">
        <v>7.3125</v>
      </c>
      <c r="G84" s="39">
        <v>0.93279322443621326</v>
      </c>
      <c r="H84" s="46" t="s">
        <v>17</v>
      </c>
    </row>
    <row r="85" spans="2:10" ht="15.75" customHeight="1">
      <c r="B85" s="44">
        <v>84</v>
      </c>
      <c r="C85" s="44"/>
      <c r="D85" s="44"/>
      <c r="E85" s="45" t="s">
        <v>172</v>
      </c>
      <c r="F85" s="39">
        <v>7.3000000000000007</v>
      </c>
      <c r="G85" s="39">
        <v>0.93816992290506884</v>
      </c>
      <c r="H85" s="46" t="s">
        <v>236</v>
      </c>
    </row>
    <row r="86" spans="2:10" ht="15.75" customHeight="1">
      <c r="B86" s="37">
        <v>85</v>
      </c>
      <c r="C86" s="44">
        <v>1968</v>
      </c>
      <c r="D86" s="44"/>
      <c r="E86" s="45" t="s">
        <v>155</v>
      </c>
      <c r="F86" s="39">
        <v>7.2375000000000007</v>
      </c>
      <c r="G86" s="39">
        <v>0.92504064946340159</v>
      </c>
      <c r="H86" s="46" t="s">
        <v>16</v>
      </c>
    </row>
    <row r="87" spans="2:10" ht="15.75" customHeight="1">
      <c r="B87" s="56">
        <v>86</v>
      </c>
      <c r="C87" s="44"/>
      <c r="D87" s="44"/>
      <c r="E87" s="45" t="s">
        <v>143</v>
      </c>
      <c r="F87" s="39">
        <v>7.2374999999999998</v>
      </c>
      <c r="G87" s="39">
        <v>0.92661127672320698</v>
      </c>
      <c r="H87" s="46" t="s">
        <v>14</v>
      </c>
    </row>
    <row r="88" spans="2:10" ht="15.75" customHeight="1">
      <c r="B88" s="37">
        <v>87</v>
      </c>
      <c r="C88" s="44"/>
      <c r="D88" s="44"/>
      <c r="E88" s="45" t="s">
        <v>165</v>
      </c>
      <c r="F88" s="39">
        <v>7.2285714285714286</v>
      </c>
      <c r="G88" s="39">
        <v>0.92950074011494477</v>
      </c>
      <c r="H88" s="46" t="s">
        <v>236</v>
      </c>
    </row>
    <row r="89" spans="2:10" ht="15.75" customHeight="1">
      <c r="B89" s="44">
        <v>88</v>
      </c>
      <c r="C89" s="37"/>
      <c r="D89" s="37"/>
      <c r="E89" s="38" t="s">
        <v>210</v>
      </c>
      <c r="F89" s="39">
        <v>7.1800000000000015</v>
      </c>
      <c r="G89" s="39">
        <v>0.9435655839325563</v>
      </c>
      <c r="H89" s="37" t="s">
        <v>17</v>
      </c>
      <c r="J89" s="13"/>
    </row>
    <row r="90" spans="2:10" ht="15.75" customHeight="1">
      <c r="B90" s="37">
        <v>89</v>
      </c>
      <c r="C90" s="44"/>
      <c r="D90" s="44"/>
      <c r="E90" s="45" t="s">
        <v>169</v>
      </c>
      <c r="F90" s="39">
        <v>7.1400000000000006</v>
      </c>
      <c r="G90" s="39">
        <v>0.87963497786389777</v>
      </c>
      <c r="H90" s="46" t="s">
        <v>19</v>
      </c>
    </row>
    <row r="91" spans="2:10" ht="15.75" customHeight="1">
      <c r="B91" s="37">
        <v>90</v>
      </c>
      <c r="C91" s="44"/>
      <c r="D91" s="44"/>
      <c r="E91" s="45" t="s">
        <v>128</v>
      </c>
      <c r="F91" s="39">
        <v>7.0249999999999995</v>
      </c>
      <c r="G91" s="39">
        <v>0.89787599793105111</v>
      </c>
      <c r="H91" s="46" t="s">
        <v>236</v>
      </c>
    </row>
    <row r="92" spans="2:10" ht="15.75" customHeight="1">
      <c r="B92" s="37">
        <v>91</v>
      </c>
      <c r="C92" s="44"/>
      <c r="D92" s="44"/>
      <c r="E92" s="45" t="s">
        <v>156</v>
      </c>
      <c r="F92" s="39">
        <v>6.9874999999999998</v>
      </c>
      <c r="G92" s="39">
        <v>0.8986783437829311</v>
      </c>
      <c r="H92" s="46" t="s">
        <v>19</v>
      </c>
    </row>
    <row r="93" spans="2:10" ht="15.75" customHeight="1">
      <c r="B93" s="44">
        <v>92</v>
      </c>
      <c r="C93" s="44"/>
      <c r="D93" s="44"/>
      <c r="E93" s="45" t="s">
        <v>154</v>
      </c>
      <c r="F93" s="39">
        <v>6.9874999999999998</v>
      </c>
      <c r="G93" s="39">
        <v>0.89403187156400932</v>
      </c>
      <c r="H93" s="46" t="s">
        <v>18</v>
      </c>
    </row>
    <row r="94" spans="2:10" ht="15.75" customHeight="1">
      <c r="B94" s="44">
        <v>93</v>
      </c>
      <c r="C94" s="44"/>
      <c r="D94" s="44"/>
      <c r="E94" s="45" t="s">
        <v>173</v>
      </c>
      <c r="F94" s="39">
        <v>6.9666666666666677</v>
      </c>
      <c r="G94" s="39">
        <v>0.9006865641869749</v>
      </c>
      <c r="H94" s="46" t="s">
        <v>14</v>
      </c>
    </row>
    <row r="95" spans="2:10" ht="15.75" customHeight="1">
      <c r="B95" s="44">
        <v>94</v>
      </c>
      <c r="C95" s="37"/>
      <c r="D95" s="37"/>
      <c r="E95" s="40" t="s">
        <v>181</v>
      </c>
      <c r="F95" s="39">
        <v>6.9333333333333336</v>
      </c>
      <c r="G95" s="39">
        <v>0.91060444111343319</v>
      </c>
      <c r="H95" s="37" t="s">
        <v>236</v>
      </c>
    </row>
    <row r="96" spans="2:10" ht="15.75" customHeight="1">
      <c r="B96" s="37">
        <v>95</v>
      </c>
      <c r="C96" s="37"/>
      <c r="D96" s="37"/>
      <c r="E96" s="38" t="s">
        <v>206</v>
      </c>
      <c r="F96" s="39">
        <v>6.92</v>
      </c>
      <c r="G96" s="39">
        <v>0.9093974708653606</v>
      </c>
      <c r="H96" s="37" t="s">
        <v>21</v>
      </c>
      <c r="J96" s="13"/>
    </row>
    <row r="97" spans="2:34" ht="15.75" customHeight="1">
      <c r="B97" s="56">
        <v>96</v>
      </c>
      <c r="C97" s="37"/>
      <c r="D97" s="37"/>
      <c r="E97" s="38" t="s">
        <v>198</v>
      </c>
      <c r="F97" s="39">
        <v>6.9000000000000012</v>
      </c>
      <c r="G97" s="39">
        <v>1.015187205554178</v>
      </c>
      <c r="H97" s="37" t="s">
        <v>236</v>
      </c>
      <c r="J97" s="13"/>
    </row>
    <row r="98" spans="2:34" ht="15.75" customHeight="1">
      <c r="B98" s="37">
        <v>97</v>
      </c>
      <c r="C98" s="37"/>
      <c r="D98" s="37"/>
      <c r="E98" s="38" t="s">
        <v>201</v>
      </c>
      <c r="F98" s="39">
        <v>6.8999999999999995</v>
      </c>
      <c r="G98" s="39">
        <v>0.88837093974708625</v>
      </c>
      <c r="H98" s="37" t="s">
        <v>18</v>
      </c>
      <c r="J98" s="13"/>
      <c r="N98" s="78"/>
      <c r="O98" s="78"/>
      <c r="P98" s="78"/>
      <c r="Q98" s="78"/>
      <c r="R98" s="78"/>
      <c r="S98" s="78"/>
      <c r="T98" s="78"/>
      <c r="U98" s="78"/>
      <c r="V98" s="78"/>
      <c r="W98" s="78"/>
      <c r="X98" s="78"/>
      <c r="Y98" s="78"/>
      <c r="Z98" s="78"/>
      <c r="AA98" s="78"/>
      <c r="AB98" s="78"/>
      <c r="AC98" s="78"/>
      <c r="AD98" s="78"/>
      <c r="AE98" s="78"/>
      <c r="AF98" s="78"/>
      <c r="AG98" s="78"/>
      <c r="AH98" s="78"/>
    </row>
    <row r="99" spans="2:34" ht="15.75" customHeight="1">
      <c r="B99" s="44">
        <v>98</v>
      </c>
      <c r="C99" s="44"/>
      <c r="D99" s="44"/>
      <c r="E99" s="45" t="s">
        <v>159</v>
      </c>
      <c r="F99" s="39">
        <v>6.8875000000000002</v>
      </c>
      <c r="G99" s="39">
        <v>0.87755135870292067</v>
      </c>
      <c r="H99" s="46" t="s">
        <v>17</v>
      </c>
      <c r="N99" s="78"/>
      <c r="O99" s="78"/>
      <c r="P99" s="78"/>
      <c r="Q99" s="78"/>
      <c r="R99" s="78"/>
      <c r="S99" s="78"/>
      <c r="T99" s="78"/>
      <c r="U99" s="78"/>
      <c r="V99" s="78"/>
      <c r="W99" s="78"/>
      <c r="X99" s="78"/>
      <c r="Y99" s="78"/>
      <c r="Z99" s="78"/>
      <c r="AA99" s="78"/>
      <c r="AB99" s="78"/>
      <c r="AC99" s="78"/>
      <c r="AD99" s="78"/>
      <c r="AE99" s="78"/>
      <c r="AF99" s="78"/>
      <c r="AG99" s="78"/>
      <c r="AH99" s="78"/>
    </row>
    <row r="100" spans="2:34" ht="15.75" customHeight="1">
      <c r="B100" s="44">
        <v>99</v>
      </c>
      <c r="C100" s="37"/>
      <c r="D100" s="37"/>
      <c r="E100" s="38" t="s">
        <v>189</v>
      </c>
      <c r="F100" s="39">
        <v>6.8666666666666671</v>
      </c>
      <c r="G100" s="39">
        <v>0.90789710379564659</v>
      </c>
      <c r="H100" s="37" t="s">
        <v>19</v>
      </c>
    </row>
    <row r="101" spans="2:34" ht="15.75" customHeight="1">
      <c r="B101" s="44">
        <v>100</v>
      </c>
      <c r="C101" s="37"/>
      <c r="D101" s="37"/>
      <c r="E101" s="38" t="s">
        <v>204</v>
      </c>
      <c r="F101" s="39">
        <v>6.6999999999999993</v>
      </c>
      <c r="G101" s="39">
        <v>0.88048599057773358</v>
      </c>
      <c r="H101" s="37" t="s">
        <v>236</v>
      </c>
      <c r="J101" s="13"/>
    </row>
    <row r="102" spans="2:34" ht="15.75" customHeight="1">
      <c r="B102" s="37">
        <v>101</v>
      </c>
      <c r="C102" s="37"/>
      <c r="D102" s="37"/>
      <c r="E102" s="38" t="s">
        <v>203</v>
      </c>
      <c r="F102" s="39">
        <v>6.68</v>
      </c>
      <c r="G102" s="39">
        <v>0.88048599057773358</v>
      </c>
      <c r="H102" s="69" t="s">
        <v>14</v>
      </c>
      <c r="I102" s="78"/>
      <c r="J102" s="13"/>
      <c r="K102" s="78"/>
      <c r="L102" s="78"/>
      <c r="M102" s="78"/>
    </row>
    <row r="103" spans="2:34" ht="15.75" customHeight="1">
      <c r="B103" s="56">
        <v>102</v>
      </c>
      <c r="C103" s="37"/>
      <c r="D103" s="37"/>
      <c r="E103" s="40" t="s">
        <v>175</v>
      </c>
      <c r="F103" s="39">
        <v>6.666666666666667</v>
      </c>
      <c r="G103" s="39">
        <v>0.85399858519089378</v>
      </c>
      <c r="H103" s="37" t="s">
        <v>14</v>
      </c>
    </row>
    <row r="104" spans="2:34" ht="15.75" customHeight="1">
      <c r="B104" s="37">
        <v>103</v>
      </c>
      <c r="C104" s="37"/>
      <c r="D104" s="37"/>
      <c r="E104" s="40" t="s">
        <v>179</v>
      </c>
      <c r="F104" s="39">
        <v>6.5571428571428569</v>
      </c>
      <c r="G104" s="39">
        <v>0.83874854908450824</v>
      </c>
      <c r="H104" s="37" t="s">
        <v>19</v>
      </c>
    </row>
    <row r="105" spans="2:34" ht="15.75" customHeight="1">
      <c r="B105" s="44">
        <v>104</v>
      </c>
      <c r="C105" s="37"/>
      <c r="D105" s="37"/>
      <c r="E105" s="38" t="s">
        <v>228</v>
      </c>
      <c r="F105" s="39">
        <v>6.5500000000000007</v>
      </c>
      <c r="G105" s="39">
        <v>0.86077361765435145</v>
      </c>
      <c r="H105" s="37" t="s">
        <v>17</v>
      </c>
      <c r="J105" s="13"/>
    </row>
    <row r="109" spans="2:34" ht="15.75" customHeight="1">
      <c r="E109" s="78"/>
      <c r="F109" s="78"/>
      <c r="G109" s="78"/>
      <c r="H109" s="78"/>
      <c r="I109" s="78"/>
      <c r="J109" s="78"/>
      <c r="K109" s="78"/>
    </row>
    <row r="115" spans="5:13" ht="15.75" customHeight="1">
      <c r="E115" s="78"/>
      <c r="F115" s="78"/>
      <c r="G115" s="78"/>
      <c r="H115" s="78"/>
      <c r="I115" s="78"/>
      <c r="J115" s="78"/>
      <c r="K115" s="78"/>
      <c r="L115" s="78"/>
      <c r="M115" s="78"/>
    </row>
    <row r="116" spans="5:13" ht="15.75" customHeight="1">
      <c r="E116" s="78"/>
      <c r="F116" s="78"/>
      <c r="G116" s="78"/>
      <c r="H116" s="78"/>
      <c r="I116" s="78"/>
      <c r="J116" s="78"/>
      <c r="K116" s="78"/>
      <c r="L116" s="78"/>
      <c r="M116" s="78"/>
    </row>
    <row r="158" spans="14:64" ht="15.75" customHeight="1">
      <c r="N158" s="1">
        <v>1.0227818362447132</v>
      </c>
      <c r="O158" s="1">
        <v>1.1013946414526705</v>
      </c>
      <c r="P158" s="1">
        <v>0.96485576540877083</v>
      </c>
      <c r="Q158" s="1">
        <v>1.0178191309672719</v>
      </c>
      <c r="R158" s="1">
        <v>1.0842180428937369</v>
      </c>
      <c r="S158" s="1">
        <v>0.98978812374425984</v>
      </c>
      <c r="T158" s="1">
        <v>0.93279322443621326</v>
      </c>
      <c r="U158" s="1">
        <v>0.98640442294171793</v>
      </c>
      <c r="V158" s="1">
        <v>1.0664717864509008</v>
      </c>
      <c r="W158" s="1">
        <v>0.98811632679980166</v>
      </c>
      <c r="X158" s="1">
        <v>0.92661127672320698</v>
      </c>
      <c r="Y158" s="1">
        <v>1.110834083200577</v>
      </c>
      <c r="Z158" s="1">
        <v>1.0450250091273414</v>
      </c>
      <c r="AA158" s="1">
        <v>1.087277242212739</v>
      </c>
      <c r="AB158" s="1">
        <v>1.0304247939832771</v>
      </c>
      <c r="AC158" s="1">
        <v>1.008466315072178</v>
      </c>
      <c r="AD158" s="1">
        <v>1.0613900797005389</v>
      </c>
      <c r="AE158" s="1">
        <v>0.95718080910643533</v>
      </c>
      <c r="AF158" s="1">
        <v>1.0449400912999462</v>
      </c>
      <c r="AG158" s="1">
        <v>1.0512380939781385</v>
      </c>
      <c r="AH158" s="1">
        <v>1.0292048352419025</v>
      </c>
      <c r="AI158" s="1">
        <v>0.89403187156400932</v>
      </c>
      <c r="AJ158" s="1">
        <v>0.92504064946340159</v>
      </c>
      <c r="AK158" s="1">
        <v>0.8986783437829311</v>
      </c>
      <c r="AL158" s="1">
        <v>0.94586397813275092</v>
      </c>
      <c r="AM158" s="1">
        <v>1.0695604598079527</v>
      </c>
      <c r="AN158" s="1">
        <v>0.87755135870292067</v>
      </c>
      <c r="AO158" s="1">
        <v>1.0200503488778394</v>
      </c>
      <c r="AP158" s="1">
        <v>1.1189850198802493</v>
      </c>
      <c r="AQ158" s="1">
        <v>1.0137034114396317</v>
      </c>
      <c r="AR158" s="1">
        <v>1.0794778858180698</v>
      </c>
      <c r="AS158" s="1">
        <v>1.1053054844877432</v>
      </c>
      <c r="AT158" s="1">
        <v>0.92950074011494477</v>
      </c>
      <c r="AU158" s="1">
        <v>0.93738602444675934</v>
      </c>
      <c r="AV158" s="1">
        <v>0.94531604751583276</v>
      </c>
      <c r="AW158" s="1">
        <v>1.0032154785962462</v>
      </c>
      <c r="AX158" s="1">
        <v>0.87963497786389777</v>
      </c>
      <c r="AY158" s="1">
        <v>0.97149880514487863</v>
      </c>
      <c r="AZ158" s="1">
        <v>0.98364947665210023</v>
      </c>
      <c r="BA158" s="1">
        <v>0.93816992290506884</v>
      </c>
      <c r="BB158" s="1">
        <v>0.9006865641869749</v>
      </c>
      <c r="BC158" s="1">
        <v>1.0492696064450913</v>
      </c>
      <c r="BD158" s="1">
        <v>0.85399858519089378</v>
      </c>
      <c r="BE158" s="1">
        <v>1.0067093002724687</v>
      </c>
      <c r="BF158" s="1">
        <v>1.1041751527838455</v>
      </c>
      <c r="BG158" s="1">
        <v>1.0390474377523999</v>
      </c>
      <c r="BH158" s="1">
        <v>0.83874854908450824</v>
      </c>
      <c r="BI158" s="1">
        <v>1.0804842669737016</v>
      </c>
      <c r="BJ158" s="1">
        <v>0.91060444111343319</v>
      </c>
      <c r="BK158" s="1">
        <v>1.102698327037237</v>
      </c>
    </row>
    <row r="160" spans="14:64" ht="15.75" customHeight="1">
      <c r="N160" s="1">
        <v>8.375</v>
      </c>
      <c r="O160" s="1">
        <v>8</v>
      </c>
      <c r="P160" s="1">
        <v>8.625</v>
      </c>
      <c r="Q160" s="1">
        <v>7.5000000000000009</v>
      </c>
      <c r="R160" s="1">
        <v>7.9749999999999996</v>
      </c>
      <c r="S160" s="1">
        <v>8.4874999999999989</v>
      </c>
      <c r="T160" s="1">
        <v>7.7250000000000005</v>
      </c>
      <c r="U160" s="1">
        <v>7.3125</v>
      </c>
      <c r="V160" s="1">
        <v>7.7124999999999995</v>
      </c>
      <c r="W160" s="1">
        <v>8.35</v>
      </c>
      <c r="X160" s="1">
        <v>7.7249999999999996</v>
      </c>
      <c r="Y160" s="1">
        <v>7.2374999999999998</v>
      </c>
      <c r="Z160" s="1">
        <v>8.6999999999999993</v>
      </c>
      <c r="AA160" s="1">
        <v>8.1875</v>
      </c>
      <c r="AB160" s="1">
        <v>8.5124999999999993</v>
      </c>
      <c r="AC160" s="1">
        <v>8.0750000000000011</v>
      </c>
      <c r="AD160" s="1">
        <v>7.9</v>
      </c>
      <c r="AE160" s="1">
        <v>8.3000000000000007</v>
      </c>
      <c r="AF160" s="1">
        <v>7.4500000000000011</v>
      </c>
      <c r="AG160" s="1">
        <v>8.15</v>
      </c>
      <c r="AH160" s="1">
        <v>8.2142857142857135</v>
      </c>
      <c r="AI160" s="1">
        <v>8.0625</v>
      </c>
      <c r="AJ160" s="1">
        <v>6.9874999999999998</v>
      </c>
      <c r="AK160" s="1">
        <v>7.2375000000000007</v>
      </c>
      <c r="AL160" s="1">
        <v>6.9874999999999998</v>
      </c>
      <c r="AM160" s="1">
        <v>7.4428571428571431</v>
      </c>
      <c r="AN160" s="1">
        <v>8.375</v>
      </c>
      <c r="AO160" s="1">
        <v>6.8875000000000002</v>
      </c>
      <c r="AP160" s="1">
        <v>7.9714285714285724</v>
      </c>
      <c r="AQ160" s="1">
        <v>8.742857142857142</v>
      </c>
      <c r="AR160" s="1">
        <v>8.02</v>
      </c>
      <c r="AS160" s="1">
        <v>8.4285714285714288</v>
      </c>
      <c r="AT160" s="1">
        <v>8.76</v>
      </c>
      <c r="AU160" s="1">
        <v>7.2285714285714286</v>
      </c>
      <c r="AV160" s="1">
        <v>7.3375000000000004</v>
      </c>
      <c r="AW160" s="1">
        <v>7.3857142857142852</v>
      </c>
      <c r="AX160" s="1">
        <v>7.8374999999999995</v>
      </c>
      <c r="AY160" s="1">
        <v>6.95</v>
      </c>
      <c r="AZ160" s="1">
        <v>7.5875000000000004</v>
      </c>
      <c r="BA160" s="1">
        <v>7.7833333333333341</v>
      </c>
      <c r="BB160" s="1">
        <v>7.3000000000000007</v>
      </c>
      <c r="BC160" s="1">
        <v>7.05</v>
      </c>
      <c r="BD160" s="1">
        <v>8.2200000000000006</v>
      </c>
      <c r="BE160" s="1">
        <v>6.666666666666667</v>
      </c>
      <c r="BF160" s="1">
        <v>7.871428571428571</v>
      </c>
      <c r="BG160" s="1">
        <v>8.7375000000000007</v>
      </c>
      <c r="BH160" s="1">
        <v>8.1124999999999989</v>
      </c>
      <c r="BI160" s="1">
        <v>6.5571428571428569</v>
      </c>
      <c r="BJ160" s="1">
        <v>8.4285714285714288</v>
      </c>
      <c r="BK160" s="1">
        <v>6.9333333333333336</v>
      </c>
      <c r="BL160" s="1">
        <v>8.34</v>
      </c>
    </row>
    <row r="175" spans="8:13" ht="15.75" customHeight="1">
      <c r="H175" s="1">
        <v>0.99596932766712021</v>
      </c>
      <c r="I175" s="1">
        <v>0.89787599793105111</v>
      </c>
      <c r="J175" s="1">
        <v>0.94264645427597793</v>
      </c>
      <c r="K175" s="1">
        <v>1.0168075180924714</v>
      </c>
      <c r="L175" s="1">
        <v>1.1193766667450271</v>
      </c>
      <c r="M175" s="1">
        <v>1.0692917071107464</v>
      </c>
    </row>
    <row r="177" spans="7:13" ht="15.75" customHeight="1">
      <c r="G177" s="1" t="s">
        <v>127</v>
      </c>
      <c r="H177" s="1">
        <v>0.99596932766712021</v>
      </c>
      <c r="I177" s="1">
        <v>7.8125000000000009</v>
      </c>
      <c r="J177" s="1">
        <v>7.0249999999999995</v>
      </c>
      <c r="K177" s="1">
        <v>7.3875000000000002</v>
      </c>
      <c r="L177" s="1">
        <v>7.9749999999999996</v>
      </c>
      <c r="M177" s="1">
        <v>8.7624999999999993</v>
      </c>
    </row>
    <row r="178" spans="7:13" ht="15.75" customHeight="1">
      <c r="G178" s="1" t="s">
        <v>128</v>
      </c>
      <c r="H178" s="1">
        <v>0.89787599793105111</v>
      </c>
      <c r="I178" s="1">
        <v>7.0249999999999995</v>
      </c>
    </row>
    <row r="179" spans="7:13" ht="15.75" customHeight="1">
      <c r="G179" s="1" t="s">
        <v>129</v>
      </c>
      <c r="H179" s="1">
        <v>0.94264645427597793</v>
      </c>
      <c r="I179" s="1">
        <v>7.3875000000000002</v>
      </c>
    </row>
    <row r="180" spans="7:13" ht="15.75" customHeight="1">
      <c r="G180" s="1" t="s">
        <v>130</v>
      </c>
      <c r="H180" s="1">
        <v>1.0168075180924714</v>
      </c>
      <c r="I180" s="1">
        <v>7.9749999999999996</v>
      </c>
    </row>
    <row r="181" spans="7:13" ht="15.75" customHeight="1">
      <c r="G181" s="1" t="s">
        <v>131</v>
      </c>
      <c r="H181" s="1">
        <v>1.1193766667450271</v>
      </c>
      <c r="I181" s="1">
        <v>8.7624999999999993</v>
      </c>
    </row>
    <row r="182" spans="7:13" ht="15.75" customHeight="1">
      <c r="G182" s="1" t="s">
        <v>132</v>
      </c>
      <c r="H182" s="1">
        <v>1.0692917071107464</v>
      </c>
      <c r="I182" s="1">
        <v>8.375</v>
      </c>
    </row>
    <row r="183" spans="7:13" ht="15.75" customHeight="1">
      <c r="G183" s="1" t="s">
        <v>133</v>
      </c>
      <c r="H183" s="1">
        <v>1.0227818362447132</v>
      </c>
      <c r="I183" s="1">
        <v>8</v>
      </c>
    </row>
    <row r="184" spans="7:13" ht="15.75" customHeight="1">
      <c r="G184" s="1" t="s">
        <v>134</v>
      </c>
      <c r="H184" s="1">
        <v>1.1013946414526705</v>
      </c>
      <c r="I184" s="1">
        <v>8.625</v>
      </c>
    </row>
    <row r="185" spans="7:13" ht="15.75" customHeight="1">
      <c r="G185" s="1" t="s">
        <v>135</v>
      </c>
      <c r="H185" s="1">
        <v>0.96485576540877083</v>
      </c>
      <c r="I185" s="1">
        <v>7.5000000000000009</v>
      </c>
    </row>
    <row r="186" spans="7:13" ht="15.75" customHeight="1">
      <c r="G186" s="1" t="s">
        <v>136</v>
      </c>
      <c r="H186" s="1">
        <v>1.0178191309672719</v>
      </c>
      <c r="I186" s="1">
        <v>7.9749999999999996</v>
      </c>
    </row>
    <row r="187" spans="7:13" ht="15.75" customHeight="1">
      <c r="G187" s="1" t="s">
        <v>137</v>
      </c>
      <c r="H187" s="1">
        <v>1.0842180428937369</v>
      </c>
      <c r="I187" s="1">
        <v>8.4874999999999989</v>
      </c>
    </row>
    <row r="188" spans="7:13" ht="15.75" customHeight="1">
      <c r="G188" s="1" t="s">
        <v>138</v>
      </c>
      <c r="H188" s="1">
        <v>0.98978812374425984</v>
      </c>
      <c r="I188" s="1">
        <v>7.7250000000000005</v>
      </c>
    </row>
    <row r="189" spans="7:13" ht="15.75" customHeight="1">
      <c r="G189" s="1" t="s">
        <v>139</v>
      </c>
      <c r="H189" s="1">
        <v>0.93279322443621326</v>
      </c>
      <c r="I189" s="1">
        <v>7.3125</v>
      </c>
    </row>
    <row r="190" spans="7:13" ht="15.75" customHeight="1">
      <c r="G190" s="1" t="s">
        <v>140</v>
      </c>
      <c r="H190" s="1">
        <v>0.98640442294171793</v>
      </c>
      <c r="I190" s="1">
        <v>7.7124999999999995</v>
      </c>
    </row>
    <row r="191" spans="7:13" ht="15.75" customHeight="1">
      <c r="G191" s="1" t="s">
        <v>141</v>
      </c>
      <c r="H191" s="1">
        <v>1.0664717864509008</v>
      </c>
      <c r="I191" s="1">
        <v>8.35</v>
      </c>
    </row>
    <row r="192" spans="7:13" ht="15.75" customHeight="1">
      <c r="G192" s="1" t="s">
        <v>142</v>
      </c>
      <c r="H192" s="1">
        <v>0.98811632679980166</v>
      </c>
      <c r="I192" s="1">
        <v>7.7249999999999996</v>
      </c>
    </row>
    <row r="193" spans="7:9" ht="15.75" customHeight="1">
      <c r="G193" s="1" t="s">
        <v>143</v>
      </c>
      <c r="H193" s="1">
        <v>0.92661127672320698</v>
      </c>
      <c r="I193" s="1">
        <v>7.2374999999999998</v>
      </c>
    </row>
    <row r="194" spans="7:9" ht="15.75" customHeight="1">
      <c r="G194" s="1" t="s">
        <v>144</v>
      </c>
      <c r="H194" s="1">
        <v>1.110834083200577</v>
      </c>
      <c r="I194" s="1">
        <v>8.6999999999999993</v>
      </c>
    </row>
    <row r="195" spans="7:9" ht="15.75" customHeight="1">
      <c r="G195" s="1" t="s">
        <v>145</v>
      </c>
      <c r="H195" s="1">
        <v>1.0450250091273414</v>
      </c>
      <c r="I195" s="1">
        <v>8.1875</v>
      </c>
    </row>
    <row r="196" spans="7:9" ht="15.75" customHeight="1">
      <c r="G196" s="1" t="s">
        <v>146</v>
      </c>
      <c r="H196" s="1">
        <v>1.087277242212739</v>
      </c>
      <c r="I196" s="1">
        <v>8.5124999999999993</v>
      </c>
    </row>
    <row r="197" spans="7:9" ht="15.75" customHeight="1">
      <c r="G197" s="1" t="s">
        <v>147</v>
      </c>
      <c r="H197" s="1">
        <v>1.0304247939832771</v>
      </c>
      <c r="I197" s="1">
        <v>8.0750000000000011</v>
      </c>
    </row>
    <row r="198" spans="7:9" ht="15.75" customHeight="1">
      <c r="G198" s="1" t="s">
        <v>148</v>
      </c>
      <c r="H198" s="1">
        <v>1.008466315072178</v>
      </c>
      <c r="I198" s="1">
        <v>7.9</v>
      </c>
    </row>
    <row r="199" spans="7:9" ht="15.75" customHeight="1">
      <c r="G199" s="1" t="s">
        <v>149</v>
      </c>
      <c r="H199" s="1">
        <v>1.0613900797005389</v>
      </c>
      <c r="I199" s="1">
        <v>8.3000000000000007</v>
      </c>
    </row>
    <row r="200" spans="7:9" ht="15.75" customHeight="1">
      <c r="G200" s="1" t="s">
        <v>150</v>
      </c>
      <c r="H200" s="1">
        <v>0.95718080910643533</v>
      </c>
      <c r="I200" s="1">
        <v>7.4500000000000011</v>
      </c>
    </row>
    <row r="201" spans="7:9" ht="15.75" customHeight="1">
      <c r="G201" s="1" t="s">
        <v>151</v>
      </c>
      <c r="H201" s="1">
        <v>1.0449400912999462</v>
      </c>
      <c r="I201" s="1">
        <v>8.15</v>
      </c>
    </row>
    <row r="202" spans="7:9" ht="15.75" customHeight="1">
      <c r="G202" s="1" t="s">
        <v>152</v>
      </c>
      <c r="H202" s="1">
        <v>1.0512380939781385</v>
      </c>
      <c r="I202" s="1">
        <v>8.2142857142857135</v>
      </c>
    </row>
    <row r="203" spans="7:9" ht="15.75" customHeight="1">
      <c r="G203" s="1" t="s">
        <v>153</v>
      </c>
      <c r="H203" s="1">
        <v>1.0292048352419025</v>
      </c>
      <c r="I203" s="1">
        <v>8.0625</v>
      </c>
    </row>
    <row r="204" spans="7:9" ht="15.75" customHeight="1">
      <c r="G204" s="1" t="s">
        <v>154</v>
      </c>
      <c r="H204" s="1">
        <v>0.89403187156400932</v>
      </c>
      <c r="I204" s="1">
        <v>6.9874999999999998</v>
      </c>
    </row>
    <row r="205" spans="7:9" ht="15.75" customHeight="1">
      <c r="G205" s="1" t="s">
        <v>155</v>
      </c>
      <c r="H205" s="1">
        <v>0.92504064946340159</v>
      </c>
      <c r="I205" s="1">
        <v>7.2375000000000007</v>
      </c>
    </row>
    <row r="206" spans="7:9" ht="15.75" customHeight="1">
      <c r="G206" s="1" t="s">
        <v>156</v>
      </c>
      <c r="H206" s="1">
        <v>0.8986783437829311</v>
      </c>
      <c r="I206" s="1">
        <v>6.9874999999999998</v>
      </c>
    </row>
    <row r="207" spans="7:9" ht="15.75" customHeight="1">
      <c r="G207" s="1" t="s">
        <v>157</v>
      </c>
      <c r="H207" s="1">
        <v>0.94586397813275092</v>
      </c>
      <c r="I207" s="1">
        <v>7.4428571428571431</v>
      </c>
    </row>
    <row r="208" spans="7:9" ht="15.75" customHeight="1">
      <c r="G208" s="1" t="s">
        <v>158</v>
      </c>
      <c r="H208" s="1">
        <v>1.0695604598079527</v>
      </c>
      <c r="I208" s="1">
        <v>8.375</v>
      </c>
    </row>
    <row r="209" spans="7:9" ht="15.75" customHeight="1">
      <c r="G209" s="1" t="s">
        <v>159</v>
      </c>
      <c r="H209" s="1">
        <v>0.87755135870292067</v>
      </c>
      <c r="I209" s="1">
        <v>6.8875000000000002</v>
      </c>
    </row>
    <row r="210" spans="7:9" ht="15.75" customHeight="1">
      <c r="G210" s="1" t="s">
        <v>160</v>
      </c>
      <c r="H210" s="1">
        <v>1.0200503488778394</v>
      </c>
      <c r="I210" s="1">
        <v>7.9714285714285724</v>
      </c>
    </row>
    <row r="211" spans="7:9" ht="15.75" customHeight="1">
      <c r="G211" s="1" t="s">
        <v>161</v>
      </c>
      <c r="H211" s="1">
        <v>1.1189850198802493</v>
      </c>
      <c r="I211" s="1">
        <v>8.742857142857142</v>
      </c>
    </row>
    <row r="212" spans="7:9" ht="15.75" customHeight="1">
      <c r="G212" s="1" t="s">
        <v>162</v>
      </c>
      <c r="H212" s="1">
        <v>1.0137034114396317</v>
      </c>
      <c r="I212" s="1">
        <v>8.02</v>
      </c>
    </row>
    <row r="213" spans="7:9" ht="15.75" customHeight="1">
      <c r="G213" s="1" t="s">
        <v>163</v>
      </c>
      <c r="H213" s="1">
        <v>1.0794778858180698</v>
      </c>
      <c r="I213" s="1">
        <v>8.4285714285714288</v>
      </c>
    </row>
    <row r="214" spans="7:9" ht="15.75" customHeight="1">
      <c r="G214" s="1" t="s">
        <v>164</v>
      </c>
      <c r="H214" s="1">
        <v>1.1053054844877432</v>
      </c>
      <c r="I214" s="1">
        <v>8.76</v>
      </c>
    </row>
    <row r="215" spans="7:9" ht="15.75" customHeight="1">
      <c r="G215" s="1" t="s">
        <v>165</v>
      </c>
      <c r="H215" s="1">
        <v>0.92950074011494477</v>
      </c>
      <c r="I215" s="1">
        <v>7.2285714285714286</v>
      </c>
    </row>
    <row r="216" spans="7:9" ht="15.75" customHeight="1">
      <c r="G216" s="1" t="s">
        <v>166</v>
      </c>
      <c r="H216" s="1">
        <v>0.93738602444675934</v>
      </c>
      <c r="I216" s="1">
        <v>7.3375000000000004</v>
      </c>
    </row>
    <row r="217" spans="7:9" ht="15.75" customHeight="1">
      <c r="G217" s="1" t="s">
        <v>167</v>
      </c>
      <c r="H217" s="1">
        <v>0.94531604751583276</v>
      </c>
      <c r="I217" s="1">
        <v>7.3857142857142852</v>
      </c>
    </row>
    <row r="218" spans="7:9" ht="15.75" customHeight="1">
      <c r="G218" s="1" t="s">
        <v>168</v>
      </c>
      <c r="H218" s="1">
        <v>1.0032154785962462</v>
      </c>
      <c r="I218" s="1">
        <v>7.8374999999999995</v>
      </c>
    </row>
    <row r="219" spans="7:9" ht="15.75" customHeight="1">
      <c r="G219" s="1" t="s">
        <v>169</v>
      </c>
      <c r="H219" s="1">
        <v>0.87963497786389777</v>
      </c>
      <c r="I219" s="1">
        <v>6.95</v>
      </c>
    </row>
    <row r="220" spans="7:9" ht="15.75" customHeight="1">
      <c r="G220" s="1" t="s">
        <v>170</v>
      </c>
      <c r="H220" s="1">
        <v>0.97149880514487863</v>
      </c>
      <c r="I220" s="1">
        <v>7.5875000000000004</v>
      </c>
    </row>
    <row r="221" spans="7:9" ht="15.75" customHeight="1">
      <c r="G221" s="1" t="s">
        <v>171</v>
      </c>
      <c r="H221" s="1">
        <v>0.98364947665210023</v>
      </c>
      <c r="I221" s="1">
        <v>7.7833333333333341</v>
      </c>
    </row>
    <row r="222" spans="7:9" ht="15.75" customHeight="1">
      <c r="G222" s="1" t="s">
        <v>172</v>
      </c>
      <c r="H222" s="1">
        <v>0.93816992290506884</v>
      </c>
      <c r="I222" s="1">
        <v>7.3000000000000007</v>
      </c>
    </row>
    <row r="223" spans="7:9" ht="15.75" customHeight="1">
      <c r="G223" s="1" t="s">
        <v>173</v>
      </c>
      <c r="H223" s="1">
        <v>0.9006865641869749</v>
      </c>
      <c r="I223" s="1">
        <v>7.05</v>
      </c>
    </row>
    <row r="224" spans="7:9" ht="15.75" customHeight="1">
      <c r="G224" s="1" t="s">
        <v>174</v>
      </c>
      <c r="H224" s="1">
        <v>1.0492696064450913</v>
      </c>
      <c r="I224" s="1">
        <v>8.2200000000000006</v>
      </c>
    </row>
    <row r="225" spans="7:9" ht="15.75" customHeight="1">
      <c r="G225" s="1" t="s">
        <v>175</v>
      </c>
      <c r="H225" s="1">
        <v>0.85399858519089378</v>
      </c>
      <c r="I225" s="1">
        <v>6.666666666666667</v>
      </c>
    </row>
    <row r="226" spans="7:9" ht="15.75" customHeight="1">
      <c r="G226" s="1" t="s">
        <v>176</v>
      </c>
      <c r="H226" s="1">
        <v>1.0067093002724687</v>
      </c>
      <c r="I226" s="1">
        <v>7.871428571428571</v>
      </c>
    </row>
    <row r="227" spans="7:9" ht="15.75" customHeight="1">
      <c r="G227" s="1" t="s">
        <v>177</v>
      </c>
      <c r="H227" s="1">
        <v>1.1041751527838455</v>
      </c>
      <c r="I227" s="1">
        <v>8.7375000000000007</v>
      </c>
    </row>
    <row r="228" spans="7:9" ht="15.75" customHeight="1">
      <c r="G228" s="1" t="s">
        <v>178</v>
      </c>
      <c r="H228" s="1">
        <v>1.0390474377523999</v>
      </c>
      <c r="I228" s="1">
        <v>8.1124999999999989</v>
      </c>
    </row>
    <row r="229" spans="7:9" ht="15.75" customHeight="1">
      <c r="G229" s="1" t="s">
        <v>179</v>
      </c>
      <c r="H229" s="1">
        <v>0.83874854908450824</v>
      </c>
      <c r="I229" s="1">
        <v>6.5571428571428569</v>
      </c>
    </row>
    <row r="230" spans="7:9" ht="15.75" customHeight="1">
      <c r="G230" s="1" t="s">
        <v>180</v>
      </c>
      <c r="H230" s="1">
        <v>1.0804842669737016</v>
      </c>
      <c r="I230" s="1">
        <v>8.4285714285714288</v>
      </c>
    </row>
    <row r="231" spans="7:9" ht="15.75" customHeight="1">
      <c r="G231" s="1" t="s">
        <v>181</v>
      </c>
      <c r="H231" s="1">
        <v>0.91060444111343319</v>
      </c>
      <c r="I231" s="1">
        <v>6.9333333333333336</v>
      </c>
    </row>
    <row r="232" spans="7:9" ht="15.75" customHeight="1">
      <c r="G232" s="1" t="s">
        <v>182</v>
      </c>
      <c r="H232" s="1">
        <v>1.102698327037237</v>
      </c>
      <c r="I232" s="1">
        <v>8.34</v>
      </c>
    </row>
  </sheetData>
  <autoFilter ref="A1:DO105" xr:uid="{00000000-0009-0000-0000-000006000000}"/>
  <mergeCells count="2">
    <mergeCell ref="J1:K1"/>
    <mergeCell ref="J11:L1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Y767"/>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2.5703125" defaultRowHeight="15.75" customHeight="1"/>
  <cols>
    <col min="1" max="1" width="7.7109375" customWidth="1"/>
    <col min="2" max="2" width="9.42578125" customWidth="1"/>
    <col min="3" max="3" width="79.42578125" customWidth="1"/>
  </cols>
  <sheetData>
    <row r="1" spans="1:25" ht="12.75">
      <c r="A1" s="79"/>
      <c r="B1" s="80"/>
      <c r="C1" s="80"/>
      <c r="D1" s="81"/>
      <c r="E1" s="81"/>
      <c r="F1" s="81"/>
      <c r="G1" s="81"/>
      <c r="H1" s="81"/>
      <c r="I1" s="81"/>
      <c r="J1" s="81"/>
      <c r="K1" s="81"/>
      <c r="L1" s="28"/>
      <c r="M1" s="28"/>
      <c r="N1" s="28"/>
      <c r="O1" s="28"/>
      <c r="P1" s="28"/>
      <c r="Q1" s="28"/>
      <c r="R1" s="28"/>
      <c r="S1" s="28"/>
      <c r="T1" s="28"/>
      <c r="U1" s="28"/>
      <c r="V1" s="28"/>
      <c r="W1" s="28"/>
      <c r="X1" s="28"/>
      <c r="Y1" s="28"/>
    </row>
    <row r="2" spans="1:25" ht="12.75">
      <c r="A2" s="82"/>
      <c r="B2" s="83" t="s">
        <v>83</v>
      </c>
      <c r="C2" s="84" t="s">
        <v>311</v>
      </c>
      <c r="D2" s="85" t="s">
        <v>19</v>
      </c>
      <c r="E2" s="85" t="s">
        <v>15</v>
      </c>
      <c r="F2" s="85" t="s">
        <v>17</v>
      </c>
      <c r="G2" s="85" t="s">
        <v>16</v>
      </c>
      <c r="H2" s="85" t="s">
        <v>21</v>
      </c>
      <c r="I2" s="85" t="s">
        <v>18</v>
      </c>
      <c r="J2" s="85" t="s">
        <v>14</v>
      </c>
      <c r="K2" s="85" t="s">
        <v>20</v>
      </c>
    </row>
    <row r="3" spans="1:25" ht="12.75">
      <c r="A3" s="1">
        <f t="shared" ref="A3:A257" si="0">SUM(D3:K3)</f>
        <v>1</v>
      </c>
      <c r="B3" s="64">
        <v>1902</v>
      </c>
      <c r="C3" s="86" t="s">
        <v>312</v>
      </c>
      <c r="D3" s="87"/>
      <c r="E3" s="88"/>
      <c r="F3" s="88">
        <v>0</v>
      </c>
      <c r="G3" s="88"/>
      <c r="H3" s="88"/>
      <c r="I3" s="88"/>
      <c r="J3" s="88"/>
      <c r="K3" s="88">
        <v>1</v>
      </c>
    </row>
    <row r="4" spans="1:25" ht="12.75">
      <c r="A4" s="1">
        <f t="shared" si="0"/>
        <v>0</v>
      </c>
      <c r="B4" s="64">
        <v>1916</v>
      </c>
      <c r="C4" s="86" t="s">
        <v>313</v>
      </c>
      <c r="D4" s="88"/>
      <c r="E4" s="88"/>
      <c r="F4" s="88">
        <v>0</v>
      </c>
      <c r="G4" s="88"/>
      <c r="H4" s="88"/>
      <c r="I4" s="88"/>
      <c r="J4" s="88"/>
      <c r="K4" s="88"/>
    </row>
    <row r="5" spans="1:25" ht="12.75">
      <c r="A5" s="1">
        <f t="shared" si="0"/>
        <v>0</v>
      </c>
      <c r="B5" s="64">
        <v>1920</v>
      </c>
      <c r="C5" s="86" t="s">
        <v>314</v>
      </c>
      <c r="D5" s="87"/>
      <c r="E5" s="88"/>
      <c r="F5" s="88">
        <v>0</v>
      </c>
      <c r="G5" s="88"/>
      <c r="H5" s="88"/>
      <c r="I5" s="88"/>
      <c r="J5" s="88"/>
      <c r="K5" s="88"/>
    </row>
    <row r="6" spans="1:25" ht="12.75">
      <c r="A6" s="1">
        <f t="shared" si="0"/>
        <v>0</v>
      </c>
      <c r="B6" s="64">
        <v>1921</v>
      </c>
      <c r="C6" s="86" t="s">
        <v>315</v>
      </c>
      <c r="D6" s="87"/>
      <c r="E6" s="88"/>
      <c r="F6" s="88">
        <v>0</v>
      </c>
      <c r="G6" s="88"/>
      <c r="H6" s="88"/>
      <c r="I6" s="88"/>
      <c r="J6" s="88"/>
      <c r="K6" s="88"/>
    </row>
    <row r="7" spans="1:25" ht="12.75">
      <c r="A7" s="1">
        <f t="shared" si="0"/>
        <v>0</v>
      </c>
      <c r="B7" s="64">
        <v>1921</v>
      </c>
      <c r="C7" s="86" t="s">
        <v>316</v>
      </c>
      <c r="D7" s="88"/>
      <c r="E7" s="88"/>
      <c r="F7" s="88">
        <v>0</v>
      </c>
      <c r="G7" s="88"/>
      <c r="H7" s="88"/>
      <c r="I7" s="88"/>
      <c r="J7" s="88"/>
      <c r="K7" s="88"/>
    </row>
    <row r="8" spans="1:25" ht="12.75">
      <c r="A8" s="1">
        <f t="shared" si="0"/>
        <v>0</v>
      </c>
      <c r="B8" s="64">
        <v>1922</v>
      </c>
      <c r="C8" s="86" t="s">
        <v>317</v>
      </c>
      <c r="D8" s="88"/>
      <c r="E8" s="88"/>
      <c r="F8" s="88">
        <v>0</v>
      </c>
      <c r="G8" s="88"/>
      <c r="H8" s="88"/>
      <c r="I8" s="88"/>
      <c r="J8" s="88"/>
      <c r="K8" s="88"/>
    </row>
    <row r="9" spans="1:25" ht="12.75">
      <c r="A9" s="1">
        <f t="shared" si="0"/>
        <v>1</v>
      </c>
      <c r="B9" s="64">
        <v>1922</v>
      </c>
      <c r="C9" s="86" t="s">
        <v>318</v>
      </c>
      <c r="D9" s="88"/>
      <c r="E9" s="88"/>
      <c r="F9" s="88">
        <v>0</v>
      </c>
      <c r="G9" s="88"/>
      <c r="H9" s="88"/>
      <c r="I9" s="88"/>
      <c r="J9" s="88"/>
      <c r="K9" s="88">
        <v>1</v>
      </c>
    </row>
    <row r="10" spans="1:25" ht="12.75">
      <c r="A10" s="1">
        <f t="shared" si="0"/>
        <v>0</v>
      </c>
      <c r="B10" s="64">
        <v>1923</v>
      </c>
      <c r="C10" s="86" t="s">
        <v>319</v>
      </c>
      <c r="D10" s="88"/>
      <c r="E10" s="88"/>
      <c r="F10" s="88">
        <v>0</v>
      </c>
      <c r="G10" s="88"/>
      <c r="H10" s="88"/>
      <c r="I10" s="88"/>
      <c r="J10" s="88"/>
      <c r="K10" s="88"/>
    </row>
    <row r="11" spans="1:25" ht="12.75">
      <c r="A11" s="1">
        <f t="shared" si="0"/>
        <v>0</v>
      </c>
      <c r="B11" s="64">
        <v>1923</v>
      </c>
      <c r="C11" s="86" t="s">
        <v>320</v>
      </c>
      <c r="D11" s="88"/>
      <c r="E11" s="88"/>
      <c r="F11" s="88">
        <v>0</v>
      </c>
      <c r="G11" s="88"/>
      <c r="H11" s="88"/>
      <c r="I11" s="88"/>
      <c r="J11" s="88"/>
      <c r="K11" s="88"/>
    </row>
    <row r="12" spans="1:25" ht="12.75">
      <c r="A12" s="1">
        <f t="shared" si="0"/>
        <v>0</v>
      </c>
      <c r="B12" s="64">
        <v>1924</v>
      </c>
      <c r="C12" s="86" t="s">
        <v>321</v>
      </c>
      <c r="D12" s="89"/>
      <c r="E12" s="88"/>
      <c r="F12" s="88">
        <v>0</v>
      </c>
      <c r="G12" s="88"/>
      <c r="H12" s="88"/>
      <c r="I12" s="88"/>
      <c r="J12" s="88"/>
      <c r="K12" s="88"/>
    </row>
    <row r="13" spans="1:25" ht="12.75">
      <c r="A13" s="1">
        <f t="shared" si="0"/>
        <v>0</v>
      </c>
      <c r="B13" s="64">
        <v>1924</v>
      </c>
      <c r="C13" s="86" t="s">
        <v>322</v>
      </c>
      <c r="D13" s="87"/>
      <c r="E13" s="88"/>
      <c r="F13" s="88">
        <v>0</v>
      </c>
      <c r="G13" s="88"/>
      <c r="H13" s="88"/>
      <c r="I13" s="88"/>
      <c r="J13" s="88"/>
      <c r="K13" s="88"/>
    </row>
    <row r="14" spans="1:25" ht="12.75">
      <c r="A14" s="1">
        <f t="shared" si="0"/>
        <v>0</v>
      </c>
      <c r="B14" s="64">
        <v>1924</v>
      </c>
      <c r="C14" s="86" t="s">
        <v>323</v>
      </c>
      <c r="D14" s="89"/>
      <c r="E14" s="88"/>
      <c r="F14" s="88">
        <v>0</v>
      </c>
      <c r="G14" s="88"/>
      <c r="H14" s="88"/>
      <c r="I14" s="88"/>
      <c r="J14" s="88"/>
      <c r="K14" s="88"/>
    </row>
    <row r="15" spans="1:25" ht="12.75">
      <c r="A15" s="1">
        <f t="shared" si="0"/>
        <v>0</v>
      </c>
      <c r="B15" s="64">
        <v>1925</v>
      </c>
      <c r="C15" s="86" t="s">
        <v>324</v>
      </c>
      <c r="D15" s="89"/>
      <c r="E15" s="88"/>
      <c r="F15" s="88">
        <v>0</v>
      </c>
      <c r="G15" s="88"/>
      <c r="H15" s="88"/>
      <c r="I15" s="88"/>
      <c r="J15" s="88"/>
      <c r="K15" s="88"/>
    </row>
    <row r="16" spans="1:25" ht="12.75">
      <c r="A16" s="1">
        <f t="shared" si="0"/>
        <v>0</v>
      </c>
      <c r="B16" s="64">
        <v>1925</v>
      </c>
      <c r="C16" s="86" t="s">
        <v>325</v>
      </c>
      <c r="D16" s="89"/>
      <c r="E16" s="88"/>
      <c r="F16" s="88">
        <v>0</v>
      </c>
      <c r="G16" s="88"/>
      <c r="H16" s="88"/>
      <c r="I16" s="88"/>
      <c r="J16" s="88"/>
      <c r="K16" s="88"/>
    </row>
    <row r="17" spans="1:11" ht="12.75">
      <c r="A17" s="1">
        <f t="shared" si="0"/>
        <v>0</v>
      </c>
      <c r="B17" s="64">
        <v>1926</v>
      </c>
      <c r="C17" s="86" t="s">
        <v>326</v>
      </c>
      <c r="D17" s="87"/>
      <c r="E17" s="88"/>
      <c r="F17" s="88">
        <v>0</v>
      </c>
      <c r="G17" s="88"/>
      <c r="H17" s="88"/>
      <c r="I17" s="88"/>
      <c r="J17" s="88"/>
      <c r="K17" s="88"/>
    </row>
    <row r="18" spans="1:11" ht="12.75">
      <c r="A18" s="1">
        <f t="shared" si="0"/>
        <v>0</v>
      </c>
      <c r="B18" s="64">
        <v>1926</v>
      </c>
      <c r="C18" s="86" t="s">
        <v>327</v>
      </c>
      <c r="D18" s="89"/>
      <c r="E18" s="88"/>
      <c r="F18" s="88">
        <v>0</v>
      </c>
      <c r="G18" s="88"/>
      <c r="H18" s="88"/>
      <c r="I18" s="88"/>
      <c r="J18" s="88"/>
      <c r="K18" s="88"/>
    </row>
    <row r="19" spans="1:11" ht="12.75">
      <c r="A19" s="1">
        <f t="shared" si="0"/>
        <v>0</v>
      </c>
      <c r="B19" s="64">
        <v>1927</v>
      </c>
      <c r="C19" s="86" t="s">
        <v>328</v>
      </c>
      <c r="D19" s="87"/>
      <c r="E19" s="88"/>
      <c r="F19" s="88">
        <v>0</v>
      </c>
      <c r="G19" s="88"/>
      <c r="H19" s="88"/>
      <c r="I19" s="88"/>
      <c r="J19" s="88"/>
      <c r="K19" s="88"/>
    </row>
    <row r="20" spans="1:11" ht="12.75">
      <c r="A20" s="1">
        <f t="shared" si="0"/>
        <v>0</v>
      </c>
      <c r="B20" s="64">
        <v>1927</v>
      </c>
      <c r="C20" s="86" t="s">
        <v>329</v>
      </c>
      <c r="D20" s="88"/>
      <c r="E20" s="88"/>
      <c r="F20" s="88">
        <v>0</v>
      </c>
      <c r="G20" s="88"/>
      <c r="H20" s="88"/>
      <c r="I20" s="88"/>
      <c r="J20" s="88"/>
      <c r="K20" s="88"/>
    </row>
    <row r="21" spans="1:11" ht="12.75">
      <c r="A21" s="1">
        <f t="shared" si="0"/>
        <v>0</v>
      </c>
      <c r="B21" s="64">
        <v>1927</v>
      </c>
      <c r="C21" s="86" t="s">
        <v>330</v>
      </c>
      <c r="D21" s="89"/>
      <c r="E21" s="88"/>
      <c r="F21" s="88">
        <v>0</v>
      </c>
      <c r="G21" s="88"/>
      <c r="H21" s="88"/>
      <c r="I21" s="88"/>
      <c r="J21" s="88"/>
      <c r="K21" s="88"/>
    </row>
    <row r="22" spans="1:11" ht="12.75">
      <c r="A22" s="1">
        <f t="shared" si="0"/>
        <v>0</v>
      </c>
      <c r="B22" s="64">
        <v>1928</v>
      </c>
      <c r="C22" s="86" t="s">
        <v>331</v>
      </c>
      <c r="D22" s="88"/>
      <c r="E22" s="88"/>
      <c r="F22" s="88">
        <v>0</v>
      </c>
      <c r="G22" s="88"/>
      <c r="H22" s="88"/>
      <c r="I22" s="88"/>
      <c r="J22" s="88"/>
      <c r="K22" s="88"/>
    </row>
    <row r="23" spans="1:11" ht="12.75">
      <c r="A23" s="1">
        <f t="shared" si="0"/>
        <v>0</v>
      </c>
      <c r="B23" s="64">
        <v>1928</v>
      </c>
      <c r="C23" s="86" t="s">
        <v>332</v>
      </c>
      <c r="D23" s="89"/>
      <c r="E23" s="88"/>
      <c r="F23" s="88">
        <v>0</v>
      </c>
      <c r="G23" s="88"/>
      <c r="H23" s="88"/>
      <c r="I23" s="88"/>
      <c r="J23" s="88"/>
      <c r="K23" s="88"/>
    </row>
    <row r="24" spans="1:11" ht="12.75">
      <c r="A24" s="1">
        <f t="shared" si="0"/>
        <v>0</v>
      </c>
      <c r="B24" s="64">
        <v>1928</v>
      </c>
      <c r="C24" s="86" t="s">
        <v>333</v>
      </c>
      <c r="D24" s="87"/>
      <c r="E24" s="88"/>
      <c r="F24" s="88">
        <v>0</v>
      </c>
      <c r="G24" s="88"/>
      <c r="H24" s="88"/>
      <c r="I24" s="88"/>
      <c r="J24" s="88"/>
      <c r="K24" s="88"/>
    </row>
    <row r="25" spans="1:11" ht="12.75">
      <c r="A25" s="1">
        <f t="shared" si="0"/>
        <v>0</v>
      </c>
      <c r="B25" s="64">
        <v>1928</v>
      </c>
      <c r="C25" s="86" t="s">
        <v>334</v>
      </c>
      <c r="D25" s="87"/>
      <c r="E25" s="88"/>
      <c r="F25" s="88">
        <v>0</v>
      </c>
      <c r="G25" s="88"/>
      <c r="H25" s="88"/>
      <c r="I25" s="88"/>
      <c r="J25" s="88"/>
      <c r="K25" s="88"/>
    </row>
    <row r="26" spans="1:11" ht="12.75">
      <c r="A26" s="1">
        <f t="shared" si="0"/>
        <v>1</v>
      </c>
      <c r="B26" s="64">
        <v>1928</v>
      </c>
      <c r="C26" s="86" t="s">
        <v>335</v>
      </c>
      <c r="D26" s="89"/>
      <c r="E26" s="88"/>
      <c r="F26" s="88">
        <v>0</v>
      </c>
      <c r="G26" s="88"/>
      <c r="H26" s="88"/>
      <c r="I26" s="88"/>
      <c r="J26" s="88"/>
      <c r="K26" s="88">
        <v>1</v>
      </c>
    </row>
    <row r="27" spans="1:11" ht="12.75">
      <c r="A27" s="1">
        <f t="shared" si="0"/>
        <v>0</v>
      </c>
      <c r="B27" s="64">
        <v>1930</v>
      </c>
      <c r="C27" s="86" t="s">
        <v>336</v>
      </c>
      <c r="D27" s="89"/>
      <c r="E27" s="88"/>
      <c r="F27" s="88">
        <v>0</v>
      </c>
      <c r="G27" s="88"/>
      <c r="H27" s="88"/>
      <c r="I27" s="88"/>
      <c r="J27" s="88"/>
      <c r="K27" s="88"/>
    </row>
    <row r="28" spans="1:11" ht="12.75">
      <c r="A28" s="1">
        <f t="shared" si="0"/>
        <v>0</v>
      </c>
      <c r="B28" s="64">
        <v>1931</v>
      </c>
      <c r="C28" s="86" t="s">
        <v>337</v>
      </c>
      <c r="D28" s="87"/>
      <c r="E28" s="88"/>
      <c r="F28" s="88">
        <v>0</v>
      </c>
      <c r="G28" s="88"/>
      <c r="H28" s="88"/>
      <c r="I28" s="88"/>
      <c r="J28" s="88"/>
      <c r="K28" s="88"/>
    </row>
    <row r="29" spans="1:11" ht="12.75">
      <c r="A29" s="1">
        <f t="shared" si="0"/>
        <v>1</v>
      </c>
      <c r="B29" s="64">
        <v>1931</v>
      </c>
      <c r="C29" s="86" t="s">
        <v>338</v>
      </c>
      <c r="D29" s="89"/>
      <c r="E29" s="88"/>
      <c r="F29" s="88">
        <v>0</v>
      </c>
      <c r="G29" s="88"/>
      <c r="H29" s="88"/>
      <c r="I29" s="88"/>
      <c r="J29" s="88"/>
      <c r="K29" s="88">
        <v>1</v>
      </c>
    </row>
    <row r="30" spans="1:11" ht="12.75">
      <c r="A30" s="1">
        <f t="shared" si="0"/>
        <v>0</v>
      </c>
      <c r="B30" s="64">
        <v>1932</v>
      </c>
      <c r="C30" s="86" t="s">
        <v>339</v>
      </c>
      <c r="D30" s="88"/>
      <c r="E30" s="88"/>
      <c r="F30" s="88">
        <v>0</v>
      </c>
      <c r="G30" s="88"/>
      <c r="H30" s="88"/>
      <c r="I30" s="88"/>
      <c r="J30" s="88"/>
      <c r="K30" s="88"/>
    </row>
    <row r="31" spans="1:11" ht="12.75">
      <c r="A31" s="1">
        <f t="shared" si="0"/>
        <v>0</v>
      </c>
      <c r="B31" s="64">
        <v>1932</v>
      </c>
      <c r="C31" s="86" t="s">
        <v>340</v>
      </c>
      <c r="D31" s="88"/>
      <c r="E31" s="88"/>
      <c r="F31" s="88">
        <v>0</v>
      </c>
      <c r="G31" s="88"/>
      <c r="H31" s="88"/>
      <c r="I31" s="88"/>
      <c r="J31" s="88"/>
      <c r="K31" s="88"/>
    </row>
    <row r="32" spans="1:11" ht="12.75">
      <c r="A32" s="1">
        <f t="shared" si="0"/>
        <v>0</v>
      </c>
      <c r="B32" s="64">
        <v>1932</v>
      </c>
      <c r="C32" s="86" t="s">
        <v>341</v>
      </c>
      <c r="D32" s="88"/>
      <c r="E32" s="88"/>
      <c r="F32" s="88">
        <v>0</v>
      </c>
      <c r="G32" s="88"/>
      <c r="H32" s="88"/>
      <c r="I32" s="88"/>
      <c r="J32" s="88"/>
      <c r="K32" s="88"/>
    </row>
    <row r="33" spans="1:11" ht="12.75">
      <c r="A33" s="1">
        <f t="shared" si="0"/>
        <v>1</v>
      </c>
      <c r="B33" s="64">
        <v>1933</v>
      </c>
      <c r="C33" s="86" t="s">
        <v>342</v>
      </c>
      <c r="D33" s="88"/>
      <c r="E33" s="88"/>
      <c r="F33" s="88">
        <v>0</v>
      </c>
      <c r="G33" s="88">
        <v>1</v>
      </c>
      <c r="H33" s="88"/>
      <c r="I33" s="88"/>
      <c r="J33" s="88"/>
      <c r="K33" s="88"/>
    </row>
    <row r="34" spans="1:11" ht="12.75">
      <c r="A34" s="1">
        <f t="shared" si="0"/>
        <v>0</v>
      </c>
      <c r="B34" s="64">
        <v>1933</v>
      </c>
      <c r="C34" s="86" t="s">
        <v>343</v>
      </c>
      <c r="D34" s="88"/>
      <c r="E34" s="88"/>
      <c r="F34" s="88">
        <v>0</v>
      </c>
      <c r="G34" s="88"/>
      <c r="H34" s="88"/>
      <c r="I34" s="88"/>
      <c r="J34" s="88"/>
      <c r="K34" s="88"/>
    </row>
    <row r="35" spans="1:11" ht="12.75">
      <c r="A35" s="1">
        <f t="shared" si="0"/>
        <v>0</v>
      </c>
      <c r="B35" s="64">
        <v>1934</v>
      </c>
      <c r="C35" s="86" t="s">
        <v>344</v>
      </c>
      <c r="D35" s="89"/>
      <c r="E35" s="88"/>
      <c r="F35" s="88">
        <v>0</v>
      </c>
      <c r="G35" s="88"/>
      <c r="H35" s="88"/>
      <c r="I35" s="88"/>
      <c r="J35" s="88"/>
      <c r="K35" s="88"/>
    </row>
    <row r="36" spans="1:11" ht="12.75">
      <c r="A36" s="1">
        <f t="shared" si="0"/>
        <v>0</v>
      </c>
      <c r="B36" s="64">
        <v>1934</v>
      </c>
      <c r="C36" s="86" t="s">
        <v>345</v>
      </c>
      <c r="D36" s="87"/>
      <c r="E36" s="88"/>
      <c r="F36" s="88">
        <v>0</v>
      </c>
      <c r="G36" s="88"/>
      <c r="H36" s="88"/>
      <c r="I36" s="88"/>
      <c r="J36" s="88"/>
      <c r="K36" s="88"/>
    </row>
    <row r="37" spans="1:11" ht="12.75">
      <c r="A37" s="1">
        <f t="shared" si="0"/>
        <v>0</v>
      </c>
      <c r="B37" s="64">
        <v>1936</v>
      </c>
      <c r="C37" s="86" t="s">
        <v>346</v>
      </c>
      <c r="D37" s="87"/>
      <c r="E37" s="88"/>
      <c r="F37" s="88">
        <v>0</v>
      </c>
      <c r="G37" s="88"/>
      <c r="H37" s="88"/>
      <c r="I37" s="88"/>
      <c r="J37" s="88"/>
      <c r="K37" s="88"/>
    </row>
    <row r="38" spans="1:11" ht="12.75">
      <c r="A38" s="1">
        <f t="shared" si="0"/>
        <v>0</v>
      </c>
      <c r="B38" s="64">
        <v>1937</v>
      </c>
      <c r="C38" s="86" t="s">
        <v>347</v>
      </c>
      <c r="D38" s="87"/>
      <c r="E38" s="88"/>
      <c r="F38" s="88">
        <v>0</v>
      </c>
      <c r="G38" s="88"/>
      <c r="H38" s="88"/>
      <c r="I38" s="88"/>
      <c r="J38" s="88"/>
      <c r="K38" s="88"/>
    </row>
    <row r="39" spans="1:11" ht="12.75">
      <c r="A39" s="1">
        <f t="shared" si="0"/>
        <v>0</v>
      </c>
      <c r="B39" s="64">
        <v>1937</v>
      </c>
      <c r="C39" s="86" t="s">
        <v>348</v>
      </c>
      <c r="D39" s="89"/>
      <c r="E39" s="88"/>
      <c r="F39" s="88">
        <v>0</v>
      </c>
      <c r="G39" s="88"/>
      <c r="H39" s="88"/>
      <c r="I39" s="88"/>
      <c r="J39" s="88"/>
      <c r="K39" s="88"/>
    </row>
    <row r="40" spans="1:11" ht="12.75">
      <c r="A40" s="1">
        <f t="shared" si="0"/>
        <v>0</v>
      </c>
      <c r="B40" s="64">
        <v>1938</v>
      </c>
      <c r="C40" s="86" t="s">
        <v>349</v>
      </c>
      <c r="D40" s="88"/>
      <c r="E40" s="88"/>
      <c r="F40" s="88">
        <v>0</v>
      </c>
      <c r="G40" s="88"/>
      <c r="H40" s="88"/>
      <c r="I40" s="88"/>
      <c r="J40" s="88"/>
      <c r="K40" s="88"/>
    </row>
    <row r="41" spans="1:11" ht="12.75">
      <c r="A41" s="1">
        <f t="shared" si="0"/>
        <v>2</v>
      </c>
      <c r="B41" s="64">
        <v>1939</v>
      </c>
      <c r="C41" s="86" t="s">
        <v>350</v>
      </c>
      <c r="D41" s="87"/>
      <c r="E41" s="88">
        <v>1</v>
      </c>
      <c r="F41" s="88">
        <v>0</v>
      </c>
      <c r="G41" s="88">
        <v>1</v>
      </c>
      <c r="H41" s="88"/>
      <c r="I41" s="88"/>
      <c r="J41" s="88"/>
      <c r="K41" s="88"/>
    </row>
    <row r="42" spans="1:11" ht="12.75">
      <c r="A42" s="1">
        <f t="shared" si="0"/>
        <v>1</v>
      </c>
      <c r="B42" s="64">
        <v>1939</v>
      </c>
      <c r="C42" s="86" t="s">
        <v>351</v>
      </c>
      <c r="D42" s="88"/>
      <c r="E42" s="88"/>
      <c r="F42" s="88">
        <v>0</v>
      </c>
      <c r="G42" s="88">
        <v>1</v>
      </c>
      <c r="H42" s="88"/>
      <c r="I42" s="88"/>
      <c r="J42" s="88"/>
      <c r="K42" s="88"/>
    </row>
    <row r="43" spans="1:11" ht="12.75">
      <c r="A43" s="1">
        <f t="shared" si="0"/>
        <v>0</v>
      </c>
      <c r="B43" s="64">
        <v>1939</v>
      </c>
      <c r="C43" s="86" t="s">
        <v>352</v>
      </c>
      <c r="D43" s="88"/>
      <c r="E43" s="88"/>
      <c r="F43" s="88">
        <v>0</v>
      </c>
      <c r="G43" s="88"/>
      <c r="H43" s="88"/>
      <c r="I43" s="88"/>
      <c r="J43" s="88"/>
      <c r="K43" s="88"/>
    </row>
    <row r="44" spans="1:11" ht="12.75">
      <c r="A44" s="1">
        <f t="shared" si="0"/>
        <v>0</v>
      </c>
      <c r="B44" s="64">
        <v>1939</v>
      </c>
      <c r="C44" s="86" t="s">
        <v>353</v>
      </c>
      <c r="D44" s="88"/>
      <c r="E44" s="88"/>
      <c r="F44" s="88">
        <v>0</v>
      </c>
      <c r="G44" s="88"/>
      <c r="H44" s="88"/>
      <c r="I44" s="88"/>
      <c r="J44" s="88"/>
      <c r="K44" s="88"/>
    </row>
    <row r="45" spans="1:11" ht="12.75">
      <c r="A45" s="1">
        <f t="shared" si="0"/>
        <v>0</v>
      </c>
      <c r="B45" s="64">
        <v>1939</v>
      </c>
      <c r="C45" s="86" t="s">
        <v>354</v>
      </c>
      <c r="D45" s="88"/>
      <c r="E45" s="88"/>
      <c r="F45" s="88">
        <v>0</v>
      </c>
      <c r="G45" s="88"/>
      <c r="H45" s="88"/>
      <c r="I45" s="88"/>
      <c r="J45" s="88"/>
      <c r="K45" s="88"/>
    </row>
    <row r="46" spans="1:11" ht="12.75">
      <c r="A46" s="1">
        <f t="shared" si="0"/>
        <v>0</v>
      </c>
      <c r="B46" s="64">
        <v>1939</v>
      </c>
      <c r="C46" s="86" t="s">
        <v>355</v>
      </c>
      <c r="D46" s="89"/>
      <c r="E46" s="88"/>
      <c r="F46" s="88">
        <v>0</v>
      </c>
      <c r="G46" s="88"/>
      <c r="H46" s="88"/>
      <c r="I46" s="88"/>
      <c r="J46" s="88"/>
      <c r="K46" s="88"/>
    </row>
    <row r="47" spans="1:11" ht="12.75">
      <c r="A47" s="1">
        <f t="shared" si="0"/>
        <v>5</v>
      </c>
      <c r="B47" s="64">
        <v>1939</v>
      </c>
      <c r="C47" s="86" t="s">
        <v>356</v>
      </c>
      <c r="D47" s="88"/>
      <c r="E47" s="88"/>
      <c r="F47" s="88">
        <v>1</v>
      </c>
      <c r="G47" s="88">
        <v>1</v>
      </c>
      <c r="H47" s="88">
        <v>1</v>
      </c>
      <c r="I47" s="88"/>
      <c r="J47" s="88">
        <v>1</v>
      </c>
      <c r="K47" s="88">
        <v>1</v>
      </c>
    </row>
    <row r="48" spans="1:11" ht="12.75">
      <c r="A48" s="1">
        <f t="shared" si="0"/>
        <v>5</v>
      </c>
      <c r="B48" s="64">
        <v>1940</v>
      </c>
      <c r="C48" s="86" t="s">
        <v>357</v>
      </c>
      <c r="D48" s="88"/>
      <c r="E48" s="88">
        <v>1</v>
      </c>
      <c r="F48" s="88">
        <v>1</v>
      </c>
      <c r="G48" s="88">
        <v>1</v>
      </c>
      <c r="H48" s="88"/>
      <c r="I48" s="88"/>
      <c r="J48" s="88">
        <v>1</v>
      </c>
      <c r="K48" s="88">
        <v>1</v>
      </c>
    </row>
    <row r="49" spans="1:11" ht="12.75">
      <c r="A49" s="1">
        <f t="shared" si="0"/>
        <v>1</v>
      </c>
      <c r="B49" s="64">
        <v>1940</v>
      </c>
      <c r="C49" s="86" t="s">
        <v>358</v>
      </c>
      <c r="D49" s="88"/>
      <c r="E49" s="88"/>
      <c r="F49" s="88">
        <v>0</v>
      </c>
      <c r="G49" s="88"/>
      <c r="H49" s="88"/>
      <c r="I49" s="88"/>
      <c r="J49" s="88">
        <v>1</v>
      </c>
      <c r="K49" s="88"/>
    </row>
    <row r="50" spans="1:11" ht="12.75">
      <c r="A50" s="1">
        <f t="shared" si="0"/>
        <v>0</v>
      </c>
      <c r="B50" s="64">
        <v>1940</v>
      </c>
      <c r="C50" s="86" t="s">
        <v>359</v>
      </c>
      <c r="D50" s="87"/>
      <c r="E50" s="88"/>
      <c r="F50" s="88">
        <v>0</v>
      </c>
      <c r="G50" s="88"/>
      <c r="H50" s="88"/>
      <c r="I50" s="88"/>
      <c r="J50" s="88"/>
      <c r="K50" s="88"/>
    </row>
    <row r="51" spans="1:11" ht="12.75">
      <c r="A51" s="1">
        <f t="shared" si="0"/>
        <v>1</v>
      </c>
      <c r="B51" s="64">
        <v>1940</v>
      </c>
      <c r="C51" s="86" t="s">
        <v>360</v>
      </c>
      <c r="D51" s="89"/>
      <c r="E51" s="88"/>
      <c r="F51" s="88">
        <v>0</v>
      </c>
      <c r="G51" s="88">
        <v>1</v>
      </c>
      <c r="H51" s="88"/>
      <c r="I51" s="88"/>
      <c r="J51" s="88"/>
      <c r="K51" s="90" t="s">
        <v>361</v>
      </c>
    </row>
    <row r="52" spans="1:11" ht="12.75">
      <c r="A52" s="1">
        <f t="shared" si="0"/>
        <v>0</v>
      </c>
      <c r="B52" s="64">
        <v>1940</v>
      </c>
      <c r="C52" s="86" t="s">
        <v>362</v>
      </c>
      <c r="D52" s="87"/>
      <c r="E52" s="88"/>
      <c r="F52" s="88">
        <v>0</v>
      </c>
      <c r="G52" s="88"/>
      <c r="H52" s="88"/>
      <c r="I52" s="88"/>
      <c r="J52" s="88"/>
      <c r="K52" s="88"/>
    </row>
    <row r="53" spans="1:11" ht="12.75">
      <c r="A53" s="1">
        <f t="shared" si="0"/>
        <v>0</v>
      </c>
      <c r="B53" s="64">
        <v>1940</v>
      </c>
      <c r="C53" s="86" t="s">
        <v>363</v>
      </c>
      <c r="D53" s="88"/>
      <c r="E53" s="88"/>
      <c r="F53" s="88">
        <v>0</v>
      </c>
      <c r="G53" s="88"/>
      <c r="H53" s="88"/>
      <c r="I53" s="88"/>
      <c r="J53" s="88"/>
      <c r="K53" s="88"/>
    </row>
    <row r="54" spans="1:11" ht="12.75" hidden="1">
      <c r="A54" s="91">
        <f t="shared" si="0"/>
        <v>1</v>
      </c>
      <c r="B54" s="64">
        <v>1946</v>
      </c>
      <c r="C54" s="64" t="s">
        <v>364</v>
      </c>
      <c r="D54" s="88"/>
      <c r="E54" s="88"/>
      <c r="F54" s="88"/>
      <c r="G54" s="88"/>
      <c r="H54" s="88"/>
      <c r="I54" s="88"/>
      <c r="J54" s="88"/>
      <c r="K54" s="88">
        <v>1</v>
      </c>
    </row>
    <row r="55" spans="1:11" ht="12.75" hidden="1">
      <c r="A55" s="91">
        <f t="shared" si="0"/>
        <v>5</v>
      </c>
      <c r="B55" s="64">
        <v>1991</v>
      </c>
      <c r="C55" s="64" t="s">
        <v>364</v>
      </c>
      <c r="D55" s="88"/>
      <c r="E55" s="88">
        <v>1</v>
      </c>
      <c r="F55" s="88"/>
      <c r="G55" s="88">
        <v>1</v>
      </c>
      <c r="H55" s="88">
        <v>1</v>
      </c>
      <c r="I55" s="88"/>
      <c r="J55" s="88">
        <v>1</v>
      </c>
      <c r="K55" s="88">
        <v>1</v>
      </c>
    </row>
    <row r="56" spans="1:11" ht="12.75">
      <c r="A56" s="1">
        <f t="shared" si="0"/>
        <v>0</v>
      </c>
      <c r="B56" s="64">
        <v>1940</v>
      </c>
      <c r="C56" s="86" t="s">
        <v>365</v>
      </c>
      <c r="D56" s="89"/>
      <c r="E56" s="88"/>
      <c r="F56" s="88">
        <v>0</v>
      </c>
      <c r="G56" s="88"/>
      <c r="H56" s="88"/>
      <c r="I56" s="88"/>
      <c r="J56" s="88"/>
      <c r="K56" s="88"/>
    </row>
    <row r="57" spans="1:11" ht="12.75">
      <c r="A57" s="1">
        <f t="shared" si="0"/>
        <v>3</v>
      </c>
      <c r="B57" s="64">
        <v>1941</v>
      </c>
      <c r="C57" s="86" t="s">
        <v>366</v>
      </c>
      <c r="D57" s="87"/>
      <c r="E57" s="88"/>
      <c r="F57" s="88">
        <v>0</v>
      </c>
      <c r="G57" s="88">
        <v>1</v>
      </c>
      <c r="H57" s="88">
        <v>1</v>
      </c>
      <c r="I57" s="88"/>
      <c r="J57" s="88"/>
      <c r="K57" s="88">
        <v>1</v>
      </c>
    </row>
    <row r="58" spans="1:11" ht="12.75">
      <c r="A58" s="1">
        <f t="shared" si="0"/>
        <v>0</v>
      </c>
      <c r="B58" s="64">
        <v>1941</v>
      </c>
      <c r="C58" s="86" t="s">
        <v>367</v>
      </c>
      <c r="D58" s="88"/>
      <c r="E58" s="88"/>
      <c r="F58" s="88">
        <v>0</v>
      </c>
      <c r="G58" s="88"/>
      <c r="H58" s="88"/>
      <c r="I58" s="88"/>
      <c r="J58" s="88"/>
      <c r="K58" s="88"/>
    </row>
    <row r="59" spans="1:11" ht="12.75">
      <c r="A59" s="1">
        <f t="shared" si="0"/>
        <v>3</v>
      </c>
      <c r="B59" s="64">
        <v>1942</v>
      </c>
      <c r="C59" s="86" t="s">
        <v>368</v>
      </c>
      <c r="D59" s="87"/>
      <c r="E59" s="88"/>
      <c r="F59" s="88">
        <v>1</v>
      </c>
      <c r="G59" s="88">
        <v>1</v>
      </c>
      <c r="H59" s="88"/>
      <c r="I59" s="88"/>
      <c r="J59" s="88"/>
      <c r="K59" s="88">
        <v>1</v>
      </c>
    </row>
    <row r="60" spans="1:11" ht="12.75">
      <c r="A60" s="1">
        <f t="shared" si="0"/>
        <v>0</v>
      </c>
      <c r="B60" s="64">
        <v>1942</v>
      </c>
      <c r="C60" s="86" t="s">
        <v>369</v>
      </c>
      <c r="D60" s="87"/>
      <c r="E60" s="88"/>
      <c r="F60" s="88">
        <v>0</v>
      </c>
      <c r="G60" s="88"/>
      <c r="H60" s="88"/>
      <c r="I60" s="88"/>
      <c r="J60" s="88"/>
      <c r="K60" s="88"/>
    </row>
    <row r="61" spans="1:11" ht="12.75">
      <c r="A61" s="1">
        <f t="shared" si="0"/>
        <v>0</v>
      </c>
      <c r="B61" s="64">
        <v>1943</v>
      </c>
      <c r="C61" s="86" t="s">
        <v>370</v>
      </c>
      <c r="D61" s="87"/>
      <c r="E61" s="88"/>
      <c r="F61" s="88">
        <v>0</v>
      </c>
      <c r="G61" s="88"/>
      <c r="H61" s="88"/>
      <c r="I61" s="88"/>
      <c r="J61" s="88"/>
      <c r="K61" s="88"/>
    </row>
    <row r="62" spans="1:11" ht="12.75">
      <c r="A62" s="1">
        <f t="shared" si="0"/>
        <v>0</v>
      </c>
      <c r="B62" s="64">
        <v>1943</v>
      </c>
      <c r="C62" s="86" t="s">
        <v>371</v>
      </c>
      <c r="D62" s="88"/>
      <c r="E62" s="88"/>
      <c r="F62" s="88">
        <v>0</v>
      </c>
      <c r="G62" s="88"/>
      <c r="H62" s="88"/>
      <c r="I62" s="88"/>
      <c r="J62" s="88"/>
      <c r="K62" s="88"/>
    </row>
    <row r="63" spans="1:11" ht="12.75">
      <c r="A63" s="1">
        <f t="shared" si="0"/>
        <v>1</v>
      </c>
      <c r="B63" s="64">
        <v>1943</v>
      </c>
      <c r="C63" s="86" t="s">
        <v>168</v>
      </c>
      <c r="D63" s="88"/>
      <c r="E63" s="88"/>
      <c r="F63" s="88">
        <v>0</v>
      </c>
      <c r="G63" s="88"/>
      <c r="H63" s="88"/>
      <c r="I63" s="88"/>
      <c r="J63" s="88"/>
      <c r="K63" s="88">
        <v>1</v>
      </c>
    </row>
    <row r="64" spans="1:11" ht="12.75">
      <c r="A64" s="1">
        <f t="shared" si="0"/>
        <v>0</v>
      </c>
      <c r="B64" s="64">
        <v>1943</v>
      </c>
      <c r="C64" s="86" t="s">
        <v>372</v>
      </c>
      <c r="D64" s="88"/>
      <c r="E64" s="88"/>
      <c r="F64" s="88">
        <v>0</v>
      </c>
      <c r="G64" s="88"/>
      <c r="H64" s="88"/>
      <c r="I64" s="88"/>
      <c r="J64" s="88"/>
      <c r="K64" s="88"/>
    </row>
    <row r="65" spans="1:11" ht="12.75">
      <c r="A65" s="1">
        <f t="shared" si="0"/>
        <v>0</v>
      </c>
      <c r="B65" s="64">
        <v>1944</v>
      </c>
      <c r="C65" s="86" t="s">
        <v>373</v>
      </c>
      <c r="D65" s="87"/>
      <c r="E65" s="88"/>
      <c r="F65" s="88">
        <v>0</v>
      </c>
      <c r="G65" s="88"/>
      <c r="H65" s="88"/>
      <c r="I65" s="88"/>
      <c r="J65" s="88"/>
      <c r="K65" s="88"/>
    </row>
    <row r="66" spans="1:11" ht="12.75">
      <c r="A66" s="1">
        <f t="shared" si="0"/>
        <v>0</v>
      </c>
      <c r="B66" s="64">
        <v>1944</v>
      </c>
      <c r="C66" s="86" t="s">
        <v>374</v>
      </c>
      <c r="D66" s="88"/>
      <c r="E66" s="88"/>
      <c r="F66" s="88">
        <v>0</v>
      </c>
      <c r="G66" s="88"/>
      <c r="H66" s="88"/>
      <c r="I66" s="88"/>
      <c r="J66" s="88"/>
      <c r="K66" s="88"/>
    </row>
    <row r="67" spans="1:11" ht="12.75">
      <c r="A67" s="1">
        <f t="shared" si="0"/>
        <v>0</v>
      </c>
      <c r="B67" s="64">
        <v>1945</v>
      </c>
      <c r="C67" s="86" t="s">
        <v>375</v>
      </c>
      <c r="D67" s="89"/>
      <c r="E67" s="88"/>
      <c r="F67" s="88">
        <v>0</v>
      </c>
      <c r="G67" s="88"/>
      <c r="H67" s="88"/>
      <c r="I67" s="88"/>
      <c r="J67" s="88"/>
      <c r="K67" s="88"/>
    </row>
    <row r="68" spans="1:11" ht="12.75">
      <c r="A68" s="1">
        <f t="shared" si="0"/>
        <v>0</v>
      </c>
      <c r="B68" s="64">
        <v>1945</v>
      </c>
      <c r="C68" s="86" t="s">
        <v>376</v>
      </c>
      <c r="D68" s="89"/>
      <c r="E68" s="88"/>
      <c r="F68" s="88">
        <v>0</v>
      </c>
      <c r="G68" s="88"/>
      <c r="H68" s="88"/>
      <c r="I68" s="88"/>
      <c r="J68" s="88"/>
      <c r="K68" s="88"/>
    </row>
    <row r="69" spans="1:11" ht="12.75">
      <c r="A69" s="1">
        <f t="shared" si="0"/>
        <v>0</v>
      </c>
      <c r="B69" s="64">
        <v>1945</v>
      </c>
      <c r="C69" s="86" t="s">
        <v>377</v>
      </c>
      <c r="D69" s="88"/>
      <c r="E69" s="88"/>
      <c r="F69" s="88">
        <v>0</v>
      </c>
      <c r="G69" s="88"/>
      <c r="H69" s="88"/>
      <c r="I69" s="88"/>
      <c r="J69" s="88"/>
      <c r="K69" s="88"/>
    </row>
    <row r="70" spans="1:11" ht="12.75">
      <c r="A70" s="1">
        <f t="shared" si="0"/>
        <v>0</v>
      </c>
      <c r="B70" s="64">
        <v>1946</v>
      </c>
      <c r="C70" s="86" t="s">
        <v>378</v>
      </c>
      <c r="D70" s="88"/>
      <c r="E70" s="88"/>
      <c r="F70" s="88">
        <v>0</v>
      </c>
      <c r="G70" s="88"/>
      <c r="H70" s="88"/>
      <c r="I70" s="88"/>
      <c r="J70" s="88"/>
      <c r="K70" s="88"/>
    </row>
    <row r="71" spans="1:11" ht="12.75">
      <c r="A71" s="1">
        <f t="shared" si="0"/>
        <v>5</v>
      </c>
      <c r="B71" s="64">
        <v>1946</v>
      </c>
      <c r="C71" s="86" t="s">
        <v>379</v>
      </c>
      <c r="D71" s="89"/>
      <c r="E71" s="88">
        <v>1</v>
      </c>
      <c r="F71" s="88">
        <v>1</v>
      </c>
      <c r="G71" s="88">
        <v>1</v>
      </c>
      <c r="H71" s="88">
        <v>1</v>
      </c>
      <c r="I71" s="88"/>
      <c r="J71" s="88"/>
      <c r="K71" s="88">
        <v>1</v>
      </c>
    </row>
    <row r="72" spans="1:11" ht="12.75">
      <c r="A72" s="1">
        <f t="shared" si="0"/>
        <v>0</v>
      </c>
      <c r="B72" s="64">
        <v>1946</v>
      </c>
      <c r="C72" s="86" t="s">
        <v>380</v>
      </c>
      <c r="D72" s="88"/>
      <c r="E72" s="88"/>
      <c r="F72" s="88">
        <v>0</v>
      </c>
      <c r="G72" s="88"/>
      <c r="H72" s="88"/>
      <c r="I72" s="88"/>
      <c r="J72" s="88"/>
      <c r="K72" s="88"/>
    </row>
    <row r="73" spans="1:11" ht="12.75">
      <c r="A73" s="1">
        <f t="shared" si="0"/>
        <v>0</v>
      </c>
      <c r="B73" s="64">
        <v>1946</v>
      </c>
      <c r="C73" s="86" t="s">
        <v>381</v>
      </c>
      <c r="D73" s="88"/>
      <c r="E73" s="88"/>
      <c r="F73" s="88">
        <v>0</v>
      </c>
      <c r="G73" s="88"/>
      <c r="H73" s="88"/>
      <c r="I73" s="88"/>
      <c r="J73" s="88"/>
      <c r="K73" s="88"/>
    </row>
    <row r="74" spans="1:11" ht="12.75">
      <c r="A74" s="1">
        <f t="shared" si="0"/>
        <v>0</v>
      </c>
      <c r="B74" s="64">
        <v>1946</v>
      </c>
      <c r="C74" s="86" t="s">
        <v>382</v>
      </c>
      <c r="D74" s="87"/>
      <c r="E74" s="88"/>
      <c r="F74" s="88">
        <v>0</v>
      </c>
      <c r="G74" s="88"/>
      <c r="H74" s="88"/>
      <c r="I74" s="88"/>
      <c r="J74" s="88"/>
      <c r="K74" s="88"/>
    </row>
    <row r="75" spans="1:11" ht="12.75">
      <c r="A75" s="1">
        <f t="shared" si="0"/>
        <v>1</v>
      </c>
      <c r="B75" s="64">
        <v>1946</v>
      </c>
      <c r="C75" s="86" t="s">
        <v>383</v>
      </c>
      <c r="D75" s="88"/>
      <c r="E75" s="88"/>
      <c r="F75" s="88">
        <v>0</v>
      </c>
      <c r="G75" s="88"/>
      <c r="H75" s="88">
        <v>1</v>
      </c>
      <c r="I75" s="88"/>
      <c r="J75" s="88"/>
      <c r="K75" s="88"/>
    </row>
    <row r="76" spans="1:11" ht="12.75">
      <c r="A76" s="1">
        <f t="shared" si="0"/>
        <v>0</v>
      </c>
      <c r="B76" s="64">
        <v>1947</v>
      </c>
      <c r="C76" s="86" t="s">
        <v>384</v>
      </c>
      <c r="D76" s="88"/>
      <c r="E76" s="88"/>
      <c r="F76" s="88">
        <v>0</v>
      </c>
      <c r="G76" s="88"/>
      <c r="H76" s="88"/>
      <c r="I76" s="88"/>
      <c r="J76" s="88"/>
      <c r="K76" s="88"/>
    </row>
    <row r="77" spans="1:11" ht="12.75">
      <c r="A77" s="1">
        <f t="shared" si="0"/>
        <v>0</v>
      </c>
      <c r="B77" s="64">
        <v>1947</v>
      </c>
      <c r="C77" s="86" t="s">
        <v>385</v>
      </c>
      <c r="D77" s="88"/>
      <c r="E77" s="88"/>
      <c r="F77" s="88">
        <v>0</v>
      </c>
      <c r="G77" s="88"/>
      <c r="H77" s="88"/>
      <c r="I77" s="88"/>
      <c r="J77" s="88"/>
      <c r="K77" s="88"/>
    </row>
    <row r="78" spans="1:11" ht="12.75">
      <c r="A78" s="1">
        <f t="shared" si="0"/>
        <v>0</v>
      </c>
      <c r="B78" s="64">
        <v>1948</v>
      </c>
      <c r="C78" s="86" t="s">
        <v>386</v>
      </c>
      <c r="D78" s="89"/>
      <c r="E78" s="88"/>
      <c r="F78" s="88">
        <v>0</v>
      </c>
      <c r="G78" s="88"/>
      <c r="H78" s="88"/>
      <c r="I78" s="88"/>
      <c r="J78" s="88"/>
      <c r="K78" s="88"/>
    </row>
    <row r="79" spans="1:11" ht="12.75">
      <c r="A79" s="1">
        <f t="shared" si="0"/>
        <v>0</v>
      </c>
      <c r="B79" s="64">
        <v>1948</v>
      </c>
      <c r="C79" s="86" t="s">
        <v>387</v>
      </c>
      <c r="D79" s="88"/>
      <c r="E79" s="88"/>
      <c r="F79" s="88">
        <v>0</v>
      </c>
      <c r="G79" s="88"/>
      <c r="H79" s="88"/>
      <c r="I79" s="88"/>
      <c r="J79" s="88"/>
      <c r="K79" s="88"/>
    </row>
    <row r="80" spans="1:11" ht="12.75">
      <c r="A80" s="1">
        <f t="shared" si="0"/>
        <v>0</v>
      </c>
      <c r="B80" s="64">
        <v>1948</v>
      </c>
      <c r="C80" s="86" t="s">
        <v>388</v>
      </c>
      <c r="D80" s="88"/>
      <c r="E80" s="88"/>
      <c r="F80" s="88">
        <v>0</v>
      </c>
      <c r="G80" s="88"/>
      <c r="H80" s="88"/>
      <c r="I80" s="88"/>
      <c r="J80" s="88"/>
      <c r="K80" s="88"/>
    </row>
    <row r="81" spans="1:11" ht="12.75">
      <c r="A81" s="1">
        <f t="shared" si="0"/>
        <v>3</v>
      </c>
      <c r="B81" s="64">
        <v>1948</v>
      </c>
      <c r="C81" s="86" t="s">
        <v>389</v>
      </c>
      <c r="D81" s="88"/>
      <c r="E81" s="88"/>
      <c r="F81" s="88">
        <v>0</v>
      </c>
      <c r="G81" s="88">
        <v>1</v>
      </c>
      <c r="H81" s="88">
        <v>1</v>
      </c>
      <c r="I81" s="88"/>
      <c r="J81" s="88"/>
      <c r="K81" s="88">
        <v>1</v>
      </c>
    </row>
    <row r="82" spans="1:11" ht="12.75">
      <c r="A82" s="1">
        <f t="shared" si="0"/>
        <v>0</v>
      </c>
      <c r="B82" s="64">
        <v>1948</v>
      </c>
      <c r="C82" s="86" t="s">
        <v>390</v>
      </c>
      <c r="D82" s="87"/>
      <c r="E82" s="88"/>
      <c r="F82" s="88">
        <v>0</v>
      </c>
      <c r="G82" s="88"/>
      <c r="H82" s="88"/>
      <c r="I82" s="88"/>
      <c r="J82" s="88"/>
      <c r="K82" s="88"/>
    </row>
    <row r="83" spans="1:11" ht="12.75">
      <c r="A83" s="1">
        <f t="shared" si="0"/>
        <v>0</v>
      </c>
      <c r="B83" s="64">
        <v>1948</v>
      </c>
      <c r="C83" s="86" t="s">
        <v>391</v>
      </c>
      <c r="D83" s="89"/>
      <c r="E83" s="88"/>
      <c r="F83" s="88">
        <v>0</v>
      </c>
      <c r="G83" s="88"/>
      <c r="H83" s="88"/>
      <c r="I83" s="88"/>
      <c r="J83" s="88"/>
      <c r="K83" s="88"/>
    </row>
    <row r="84" spans="1:11" ht="12.75">
      <c r="A84" s="1">
        <f t="shared" si="0"/>
        <v>0</v>
      </c>
      <c r="B84" s="64">
        <v>1949</v>
      </c>
      <c r="C84" s="86" t="s">
        <v>392</v>
      </c>
      <c r="D84" s="89"/>
      <c r="E84" s="88"/>
      <c r="F84" s="88">
        <v>0</v>
      </c>
      <c r="G84" s="88"/>
      <c r="H84" s="88"/>
      <c r="I84" s="88"/>
      <c r="J84" s="88"/>
      <c r="K84" s="88"/>
    </row>
    <row r="85" spans="1:11" ht="12.75">
      <c r="A85" s="1">
        <f t="shared" si="0"/>
        <v>0</v>
      </c>
      <c r="B85" s="64">
        <v>1949</v>
      </c>
      <c r="C85" s="86" t="s">
        <v>393</v>
      </c>
      <c r="D85" s="87"/>
      <c r="E85" s="88"/>
      <c r="F85" s="88">
        <v>0</v>
      </c>
      <c r="G85" s="88"/>
      <c r="H85" s="88"/>
      <c r="I85" s="88"/>
      <c r="J85" s="88"/>
      <c r="K85" s="88"/>
    </row>
    <row r="86" spans="1:11" ht="12.75">
      <c r="A86" s="1">
        <f t="shared" si="0"/>
        <v>0</v>
      </c>
      <c r="B86" s="64">
        <v>1949</v>
      </c>
      <c r="C86" s="86" t="s">
        <v>394</v>
      </c>
      <c r="D86" s="88"/>
      <c r="E86" s="88"/>
      <c r="F86" s="88">
        <v>0</v>
      </c>
      <c r="G86" s="88"/>
      <c r="H86" s="88"/>
      <c r="I86" s="88"/>
      <c r="J86" s="88"/>
      <c r="K86" s="88"/>
    </row>
    <row r="87" spans="1:11" ht="12.75">
      <c r="A87" s="1">
        <f t="shared" si="0"/>
        <v>0</v>
      </c>
      <c r="B87" s="64">
        <v>1949</v>
      </c>
      <c r="C87" s="86" t="s">
        <v>395</v>
      </c>
      <c r="D87" s="87"/>
      <c r="E87" s="88"/>
      <c r="F87" s="88">
        <v>0</v>
      </c>
      <c r="G87" s="88"/>
      <c r="H87" s="88"/>
      <c r="I87" s="88"/>
      <c r="J87" s="88"/>
      <c r="K87" s="88"/>
    </row>
    <row r="88" spans="1:11" ht="12.75">
      <c r="A88" s="1">
        <f t="shared" si="0"/>
        <v>0</v>
      </c>
      <c r="B88" s="64">
        <v>1949</v>
      </c>
      <c r="C88" s="86" t="s">
        <v>213</v>
      </c>
      <c r="D88" s="87"/>
      <c r="E88" s="88"/>
      <c r="F88" s="88">
        <v>0</v>
      </c>
      <c r="G88" s="88"/>
      <c r="H88" s="88"/>
      <c r="I88" s="88"/>
      <c r="J88" s="88"/>
      <c r="K88" s="88"/>
    </row>
    <row r="89" spans="1:11" ht="12.75">
      <c r="A89" s="1">
        <f t="shared" si="0"/>
        <v>0</v>
      </c>
      <c r="B89" s="64">
        <v>1950</v>
      </c>
      <c r="C89" s="86" t="s">
        <v>396</v>
      </c>
      <c r="D89" s="89"/>
      <c r="E89" s="88"/>
      <c r="F89" s="88">
        <v>0</v>
      </c>
      <c r="G89" s="88"/>
      <c r="H89" s="88"/>
      <c r="I89" s="88"/>
      <c r="J89" s="88"/>
      <c r="K89" s="88"/>
    </row>
    <row r="90" spans="1:11" ht="12.75">
      <c r="A90" s="1">
        <f t="shared" si="0"/>
        <v>0</v>
      </c>
      <c r="B90" s="64">
        <v>1950</v>
      </c>
      <c r="C90" s="86" t="s">
        <v>397</v>
      </c>
      <c r="D90" s="88"/>
      <c r="E90" s="88"/>
      <c r="F90" s="88">
        <v>0</v>
      </c>
      <c r="G90" s="88"/>
      <c r="H90" s="88"/>
      <c r="I90" s="88"/>
      <c r="J90" s="88"/>
      <c r="K90" s="88"/>
    </row>
    <row r="91" spans="1:11" ht="12.75">
      <c r="A91" s="1">
        <f t="shared" si="0"/>
        <v>0</v>
      </c>
      <c r="B91" s="64">
        <v>1950</v>
      </c>
      <c r="C91" s="86" t="s">
        <v>398</v>
      </c>
      <c r="D91" s="88"/>
      <c r="E91" s="88"/>
      <c r="F91" s="88">
        <v>0</v>
      </c>
      <c r="G91" s="88"/>
      <c r="H91" s="88"/>
      <c r="I91" s="88"/>
      <c r="J91" s="88"/>
      <c r="K91" s="88"/>
    </row>
    <row r="92" spans="1:11" ht="12.75">
      <c r="A92" s="1">
        <f t="shared" si="0"/>
        <v>1</v>
      </c>
      <c r="B92" s="64">
        <v>1950</v>
      </c>
      <c r="C92" s="86" t="s">
        <v>399</v>
      </c>
      <c r="D92" s="87"/>
      <c r="E92" s="88"/>
      <c r="F92" s="88">
        <v>0</v>
      </c>
      <c r="G92" s="88"/>
      <c r="H92" s="88"/>
      <c r="I92" s="88"/>
      <c r="J92" s="88"/>
      <c r="K92" s="88">
        <v>1</v>
      </c>
    </row>
    <row r="93" spans="1:11" ht="12.75">
      <c r="A93" s="1">
        <f t="shared" si="0"/>
        <v>2</v>
      </c>
      <c r="B93" s="64">
        <v>1950</v>
      </c>
      <c r="C93" s="86" t="s">
        <v>400</v>
      </c>
      <c r="D93" s="89"/>
      <c r="E93" s="88"/>
      <c r="F93" s="88">
        <v>0</v>
      </c>
      <c r="G93" s="88"/>
      <c r="H93" s="88"/>
      <c r="I93" s="88"/>
      <c r="J93" s="88">
        <v>1</v>
      </c>
      <c r="K93" s="88">
        <v>1</v>
      </c>
    </row>
    <row r="94" spans="1:11" ht="12.75">
      <c r="A94" s="1">
        <f t="shared" si="0"/>
        <v>0</v>
      </c>
      <c r="B94" s="64">
        <v>1950</v>
      </c>
      <c r="C94" s="86" t="s">
        <v>401</v>
      </c>
      <c r="D94" s="89"/>
      <c r="E94" s="88"/>
      <c r="F94" s="88">
        <v>0</v>
      </c>
      <c r="G94" s="88"/>
      <c r="H94" s="88"/>
      <c r="I94" s="88"/>
      <c r="J94" s="88"/>
      <c r="K94" s="88"/>
    </row>
    <row r="95" spans="1:11" ht="12.75">
      <c r="A95" s="1">
        <f t="shared" si="0"/>
        <v>1</v>
      </c>
      <c r="B95" s="64">
        <v>1951</v>
      </c>
      <c r="C95" s="86" t="s">
        <v>402</v>
      </c>
      <c r="D95" s="87"/>
      <c r="E95" s="88"/>
      <c r="F95" s="88">
        <v>0</v>
      </c>
      <c r="G95" s="88">
        <v>1</v>
      </c>
      <c r="H95" s="88"/>
      <c r="I95" s="88"/>
      <c r="J95" s="88"/>
      <c r="K95" s="88"/>
    </row>
    <row r="96" spans="1:11" ht="12.75">
      <c r="A96" s="1">
        <f t="shared" si="0"/>
        <v>0</v>
      </c>
      <c r="B96" s="64">
        <v>1951</v>
      </c>
      <c r="C96" s="86" t="s">
        <v>403</v>
      </c>
      <c r="D96" s="88"/>
      <c r="E96" s="88"/>
      <c r="F96" s="88">
        <v>0</v>
      </c>
      <c r="G96" s="88"/>
      <c r="H96" s="88"/>
      <c r="I96" s="88"/>
      <c r="J96" s="88"/>
      <c r="K96" s="88"/>
    </row>
    <row r="97" spans="1:11" ht="12.75">
      <c r="A97" s="1">
        <f t="shared" si="0"/>
        <v>0</v>
      </c>
      <c r="B97" s="64">
        <v>1951</v>
      </c>
      <c r="C97" s="86" t="s">
        <v>404</v>
      </c>
      <c r="D97" s="89"/>
      <c r="E97" s="88"/>
      <c r="F97" s="88">
        <v>0</v>
      </c>
      <c r="G97" s="88"/>
      <c r="H97" s="88"/>
      <c r="I97" s="88"/>
      <c r="J97" s="88"/>
      <c r="K97" s="88"/>
    </row>
    <row r="98" spans="1:11" ht="12.75">
      <c r="A98" s="1">
        <f t="shared" si="0"/>
        <v>0</v>
      </c>
      <c r="B98" s="64">
        <v>1951</v>
      </c>
      <c r="C98" s="86" t="s">
        <v>405</v>
      </c>
      <c r="D98" s="88"/>
      <c r="E98" s="88"/>
      <c r="F98" s="88">
        <v>0</v>
      </c>
      <c r="G98" s="88"/>
      <c r="H98" s="88"/>
      <c r="I98" s="88"/>
      <c r="J98" s="88"/>
      <c r="K98" s="88"/>
    </row>
    <row r="99" spans="1:11" ht="12.75">
      <c r="A99" s="1">
        <f t="shared" si="0"/>
        <v>0</v>
      </c>
      <c r="B99" s="64">
        <v>1952</v>
      </c>
      <c r="C99" s="86" t="s">
        <v>406</v>
      </c>
      <c r="D99" s="89"/>
      <c r="E99" s="88"/>
      <c r="F99" s="88">
        <v>0</v>
      </c>
      <c r="G99" s="88"/>
      <c r="H99" s="88"/>
      <c r="I99" s="88"/>
      <c r="J99" s="88"/>
      <c r="K99" s="88"/>
    </row>
    <row r="100" spans="1:11" ht="12.75">
      <c r="A100" s="1">
        <f t="shared" si="0"/>
        <v>1</v>
      </c>
      <c r="B100" s="64">
        <v>1952</v>
      </c>
      <c r="C100" s="86" t="s">
        <v>407</v>
      </c>
      <c r="D100" s="88"/>
      <c r="E100" s="88"/>
      <c r="F100" s="88">
        <v>0</v>
      </c>
      <c r="G100" s="88">
        <v>1</v>
      </c>
      <c r="H100" s="88"/>
      <c r="I100" s="88"/>
      <c r="J100" s="88"/>
      <c r="K100" s="88"/>
    </row>
    <row r="101" spans="1:11" ht="12.75">
      <c r="A101" s="1">
        <f t="shared" si="0"/>
        <v>0</v>
      </c>
      <c r="B101" s="64">
        <v>1952</v>
      </c>
      <c r="C101" s="86" t="s">
        <v>408</v>
      </c>
      <c r="D101" s="89"/>
      <c r="E101" s="88"/>
      <c r="F101" s="88">
        <v>0</v>
      </c>
      <c r="G101" s="88"/>
      <c r="H101" s="88"/>
      <c r="I101" s="88"/>
      <c r="J101" s="88"/>
      <c r="K101" s="88"/>
    </row>
    <row r="102" spans="1:11" ht="12.75">
      <c r="A102" s="1">
        <f t="shared" si="0"/>
        <v>0</v>
      </c>
      <c r="B102" s="64">
        <v>1952</v>
      </c>
      <c r="C102" s="86" t="s">
        <v>409</v>
      </c>
      <c r="D102" s="87"/>
      <c r="E102" s="88"/>
      <c r="F102" s="88">
        <v>0</v>
      </c>
      <c r="G102" s="88"/>
      <c r="H102" s="88"/>
      <c r="I102" s="88"/>
      <c r="J102" s="88"/>
      <c r="K102" s="88"/>
    </row>
    <row r="103" spans="1:11" ht="12.75">
      <c r="A103" s="1">
        <f t="shared" si="0"/>
        <v>2</v>
      </c>
      <c r="B103" s="64">
        <v>1952</v>
      </c>
      <c r="C103" s="86" t="s">
        <v>410</v>
      </c>
      <c r="D103" s="87"/>
      <c r="E103" s="88"/>
      <c r="F103" s="88">
        <v>1</v>
      </c>
      <c r="G103" s="88"/>
      <c r="H103" s="88"/>
      <c r="I103" s="88"/>
      <c r="J103" s="88"/>
      <c r="K103" s="88">
        <v>1</v>
      </c>
    </row>
    <row r="104" spans="1:11" ht="12.75">
      <c r="A104" s="1">
        <f t="shared" si="0"/>
        <v>0</v>
      </c>
      <c r="B104" s="64">
        <v>1952</v>
      </c>
      <c r="C104" s="86" t="s">
        <v>411</v>
      </c>
      <c r="D104" s="89"/>
      <c r="E104" s="88"/>
      <c r="F104" s="88">
        <v>0</v>
      </c>
      <c r="G104" s="88"/>
      <c r="H104" s="88"/>
      <c r="I104" s="88"/>
      <c r="J104" s="88"/>
      <c r="K104" s="88"/>
    </row>
    <row r="105" spans="1:11" ht="12.75">
      <c r="A105" s="1">
        <f t="shared" si="0"/>
        <v>0</v>
      </c>
      <c r="B105" s="64">
        <v>1953</v>
      </c>
      <c r="C105" s="86" t="s">
        <v>412</v>
      </c>
      <c r="D105" s="88"/>
      <c r="E105" s="88"/>
      <c r="F105" s="88">
        <v>0</v>
      </c>
      <c r="G105" s="88"/>
      <c r="H105" s="88"/>
      <c r="I105" s="88"/>
      <c r="J105" s="88"/>
      <c r="K105" s="88"/>
    </row>
    <row r="106" spans="1:11" ht="12.75">
      <c r="A106" s="1">
        <f t="shared" si="0"/>
        <v>0</v>
      </c>
      <c r="B106" s="64">
        <v>1953</v>
      </c>
      <c r="C106" s="86" t="s">
        <v>413</v>
      </c>
      <c r="D106" s="89"/>
      <c r="E106" s="88"/>
      <c r="F106" s="88">
        <v>0</v>
      </c>
      <c r="G106" s="88"/>
      <c r="H106" s="88"/>
      <c r="I106" s="88"/>
      <c r="J106" s="88"/>
      <c r="K106" s="88"/>
    </row>
    <row r="107" spans="1:11" ht="12.75">
      <c r="A107" s="1">
        <f t="shared" si="0"/>
        <v>0</v>
      </c>
      <c r="B107" s="64">
        <v>1953</v>
      </c>
      <c r="C107" s="86" t="s">
        <v>414</v>
      </c>
      <c r="D107" s="88"/>
      <c r="E107" s="88"/>
      <c r="F107" s="88">
        <v>0</v>
      </c>
      <c r="G107" s="88"/>
      <c r="H107" s="88"/>
      <c r="I107" s="88"/>
      <c r="J107" s="88"/>
      <c r="K107" s="88"/>
    </row>
    <row r="108" spans="1:11" ht="12.75">
      <c r="A108" s="1">
        <f t="shared" si="0"/>
        <v>0</v>
      </c>
      <c r="B108" s="64">
        <v>1953</v>
      </c>
      <c r="C108" s="86" t="s">
        <v>415</v>
      </c>
      <c r="D108" s="88"/>
      <c r="E108" s="88"/>
      <c r="F108" s="88">
        <v>0</v>
      </c>
      <c r="G108" s="88"/>
      <c r="H108" s="88"/>
      <c r="I108" s="88"/>
      <c r="J108" s="88"/>
      <c r="K108" s="88"/>
    </row>
    <row r="109" spans="1:11" ht="12.75">
      <c r="A109" s="1">
        <f t="shared" si="0"/>
        <v>0</v>
      </c>
      <c r="B109" s="64">
        <v>1953</v>
      </c>
      <c r="C109" s="86" t="s">
        <v>416</v>
      </c>
      <c r="D109" s="88"/>
      <c r="E109" s="88"/>
      <c r="F109" s="88">
        <v>0</v>
      </c>
      <c r="G109" s="88"/>
      <c r="H109" s="88"/>
      <c r="I109" s="88"/>
      <c r="J109" s="88"/>
      <c r="K109" s="88"/>
    </row>
    <row r="110" spans="1:11" ht="12.75">
      <c r="A110" s="1">
        <f t="shared" si="0"/>
        <v>0</v>
      </c>
      <c r="B110" s="64">
        <v>1953</v>
      </c>
      <c r="C110" s="86" t="s">
        <v>417</v>
      </c>
      <c r="D110" s="87"/>
      <c r="E110" s="88"/>
      <c r="F110" s="88">
        <v>0</v>
      </c>
      <c r="G110" s="88"/>
      <c r="H110" s="88"/>
      <c r="I110" s="88"/>
      <c r="J110" s="88"/>
      <c r="K110" s="88"/>
    </row>
    <row r="111" spans="1:11" ht="12.75">
      <c r="A111" s="1">
        <f t="shared" si="0"/>
        <v>1</v>
      </c>
      <c r="B111" s="64">
        <v>1953</v>
      </c>
      <c r="C111" s="86" t="s">
        <v>418</v>
      </c>
      <c r="D111" s="87"/>
      <c r="E111" s="88"/>
      <c r="F111" s="88">
        <v>0</v>
      </c>
      <c r="G111" s="88">
        <v>1</v>
      </c>
      <c r="H111" s="88"/>
      <c r="I111" s="88"/>
      <c r="J111" s="88"/>
      <c r="K111" s="88"/>
    </row>
    <row r="112" spans="1:11" ht="12.75">
      <c r="A112" s="1">
        <f t="shared" si="0"/>
        <v>0</v>
      </c>
      <c r="B112" s="64">
        <v>1953</v>
      </c>
      <c r="C112" s="86" t="s">
        <v>419</v>
      </c>
      <c r="D112" s="89"/>
      <c r="E112" s="88"/>
      <c r="F112" s="88">
        <v>0</v>
      </c>
      <c r="G112" s="88"/>
      <c r="H112" s="88"/>
      <c r="I112" s="88"/>
      <c r="J112" s="88"/>
      <c r="K112" s="88"/>
    </row>
    <row r="113" spans="1:11" ht="12.75">
      <c r="A113" s="1">
        <f t="shared" si="0"/>
        <v>2</v>
      </c>
      <c r="B113" s="64">
        <v>1954</v>
      </c>
      <c r="C113" s="86" t="s">
        <v>420</v>
      </c>
      <c r="D113" s="88"/>
      <c r="E113" s="88"/>
      <c r="F113" s="88">
        <v>0</v>
      </c>
      <c r="G113" s="88">
        <v>1</v>
      </c>
      <c r="H113" s="88">
        <v>1</v>
      </c>
      <c r="I113" s="88"/>
      <c r="J113" s="88"/>
      <c r="K113" s="88"/>
    </row>
    <row r="114" spans="1:11" ht="12.75">
      <c r="A114" s="1">
        <f t="shared" si="0"/>
        <v>0</v>
      </c>
      <c r="B114" s="64">
        <v>1954</v>
      </c>
      <c r="C114" s="86" t="s">
        <v>421</v>
      </c>
      <c r="D114" s="87"/>
      <c r="E114" s="88"/>
      <c r="F114" s="88">
        <v>0</v>
      </c>
      <c r="G114" s="88"/>
      <c r="H114" s="88"/>
      <c r="I114" s="88"/>
      <c r="J114" s="88"/>
      <c r="K114" s="88"/>
    </row>
    <row r="115" spans="1:11" ht="12.75">
      <c r="A115" s="1">
        <f t="shared" si="0"/>
        <v>1</v>
      </c>
      <c r="B115" s="64">
        <v>1954</v>
      </c>
      <c r="C115" s="86" t="s">
        <v>422</v>
      </c>
      <c r="D115" s="89"/>
      <c r="E115" s="88"/>
      <c r="F115" s="88">
        <v>0</v>
      </c>
      <c r="G115" s="88"/>
      <c r="H115" s="88"/>
      <c r="I115" s="88"/>
      <c r="J115" s="88"/>
      <c r="K115" s="88">
        <v>1</v>
      </c>
    </row>
    <row r="116" spans="1:11" ht="12.75">
      <c r="A116" s="1">
        <f t="shared" si="0"/>
        <v>2</v>
      </c>
      <c r="B116" s="64">
        <v>1954</v>
      </c>
      <c r="C116" s="86" t="s">
        <v>423</v>
      </c>
      <c r="D116" s="89"/>
      <c r="E116" s="88"/>
      <c r="F116" s="88">
        <v>0</v>
      </c>
      <c r="G116" s="88"/>
      <c r="H116" s="88">
        <v>1</v>
      </c>
      <c r="I116" s="88"/>
      <c r="J116" s="88"/>
      <c r="K116" s="88">
        <v>1</v>
      </c>
    </row>
    <row r="117" spans="1:11" ht="12.75">
      <c r="A117" s="1">
        <f t="shared" si="0"/>
        <v>0</v>
      </c>
      <c r="B117" s="64">
        <v>1954</v>
      </c>
      <c r="C117" s="86" t="s">
        <v>424</v>
      </c>
      <c r="D117" s="89"/>
      <c r="E117" s="88"/>
      <c r="F117" s="88">
        <v>0</v>
      </c>
      <c r="G117" s="88"/>
      <c r="H117" s="88"/>
      <c r="I117" s="88"/>
      <c r="J117" s="88"/>
      <c r="K117" s="88"/>
    </row>
    <row r="118" spans="1:11" ht="12.75">
      <c r="A118" s="1">
        <f t="shared" si="0"/>
        <v>1</v>
      </c>
      <c r="B118" s="64">
        <v>1954</v>
      </c>
      <c r="C118" s="86" t="s">
        <v>425</v>
      </c>
      <c r="D118" s="92"/>
      <c r="E118" s="92"/>
      <c r="F118" s="92">
        <v>0</v>
      </c>
      <c r="G118" s="92"/>
      <c r="H118" s="92"/>
      <c r="I118" s="92"/>
      <c r="J118" s="92"/>
      <c r="K118" s="88">
        <v>1</v>
      </c>
    </row>
    <row r="119" spans="1:11" ht="12.75">
      <c r="A119" s="1">
        <f t="shared" si="0"/>
        <v>0</v>
      </c>
      <c r="B119" s="64">
        <v>1955</v>
      </c>
      <c r="C119" s="86" t="s">
        <v>426</v>
      </c>
      <c r="D119" s="89"/>
      <c r="E119" s="88"/>
      <c r="F119" s="88">
        <v>0</v>
      </c>
      <c r="G119" s="88"/>
      <c r="H119" s="88"/>
      <c r="I119" s="88"/>
      <c r="J119" s="88"/>
      <c r="K119" s="88"/>
    </row>
    <row r="120" spans="1:11" ht="12.75">
      <c r="A120" s="1">
        <f t="shared" si="0"/>
        <v>0</v>
      </c>
      <c r="B120" s="64">
        <v>1955</v>
      </c>
      <c r="C120" s="86" t="s">
        <v>427</v>
      </c>
      <c r="D120" s="87"/>
      <c r="E120" s="88"/>
      <c r="F120" s="88">
        <v>0</v>
      </c>
      <c r="G120" s="88"/>
      <c r="H120" s="88"/>
      <c r="I120" s="88"/>
      <c r="J120" s="88"/>
      <c r="K120" s="88"/>
    </row>
    <row r="121" spans="1:11" ht="12.75">
      <c r="A121" s="1">
        <f t="shared" si="0"/>
        <v>0</v>
      </c>
      <c r="B121" s="64">
        <v>1955</v>
      </c>
      <c r="C121" s="86" t="s">
        <v>428</v>
      </c>
      <c r="D121" s="89"/>
      <c r="E121" s="88"/>
      <c r="F121" s="88">
        <v>0</v>
      </c>
      <c r="G121" s="88"/>
      <c r="H121" s="88"/>
      <c r="I121" s="88"/>
      <c r="J121" s="88"/>
      <c r="K121" s="88"/>
    </row>
    <row r="122" spans="1:11" ht="12.75">
      <c r="A122" s="1">
        <f t="shared" si="0"/>
        <v>0</v>
      </c>
      <c r="B122" s="64">
        <v>1955</v>
      </c>
      <c r="C122" s="86" t="s">
        <v>429</v>
      </c>
      <c r="D122" s="87"/>
      <c r="E122" s="88"/>
      <c r="F122" s="88">
        <v>0</v>
      </c>
      <c r="G122" s="88"/>
      <c r="H122" s="88"/>
      <c r="I122" s="88"/>
      <c r="J122" s="88"/>
      <c r="K122" s="88"/>
    </row>
    <row r="123" spans="1:11" ht="12.75">
      <c r="A123" s="1">
        <f t="shared" si="0"/>
        <v>1</v>
      </c>
      <c r="B123" s="64">
        <v>1955</v>
      </c>
      <c r="C123" s="86" t="s">
        <v>430</v>
      </c>
      <c r="D123" s="87"/>
      <c r="E123" s="88"/>
      <c r="F123" s="88">
        <v>0</v>
      </c>
      <c r="G123" s="88"/>
      <c r="H123" s="88"/>
      <c r="I123" s="88"/>
      <c r="J123" s="88"/>
      <c r="K123" s="88">
        <v>1</v>
      </c>
    </row>
    <row r="124" spans="1:11" ht="12.75">
      <c r="A124" s="1">
        <f t="shared" si="0"/>
        <v>0</v>
      </c>
      <c r="B124" s="64">
        <v>1956</v>
      </c>
      <c r="C124" s="86" t="s">
        <v>431</v>
      </c>
      <c r="D124" s="89"/>
      <c r="E124" s="88"/>
      <c r="F124" s="88">
        <v>0</v>
      </c>
      <c r="G124" s="88"/>
      <c r="H124" s="88"/>
      <c r="I124" s="88"/>
      <c r="J124" s="88"/>
      <c r="K124" s="88"/>
    </row>
    <row r="125" spans="1:11" ht="12.75">
      <c r="A125" s="1">
        <f t="shared" si="0"/>
        <v>0</v>
      </c>
      <c r="B125" s="64">
        <v>1956</v>
      </c>
      <c r="C125" s="86" t="s">
        <v>432</v>
      </c>
      <c r="D125" s="87"/>
      <c r="E125" s="88"/>
      <c r="F125" s="88">
        <v>0</v>
      </c>
      <c r="G125" s="88"/>
      <c r="H125" s="88"/>
      <c r="I125" s="88"/>
      <c r="J125" s="88"/>
      <c r="K125" s="88"/>
    </row>
    <row r="126" spans="1:11" ht="12.75">
      <c r="A126" s="1">
        <f t="shared" si="0"/>
        <v>0</v>
      </c>
      <c r="B126" s="64">
        <v>1956</v>
      </c>
      <c r="C126" s="86" t="s">
        <v>46</v>
      </c>
      <c r="D126" s="88"/>
      <c r="E126" s="88"/>
      <c r="F126" s="88">
        <v>0</v>
      </c>
      <c r="G126" s="88"/>
      <c r="H126" s="88"/>
      <c r="I126" s="88"/>
      <c r="J126" s="88"/>
      <c r="K126" s="88"/>
    </row>
    <row r="127" spans="1:11" ht="12.75">
      <c r="A127" s="1">
        <f t="shared" si="0"/>
        <v>0</v>
      </c>
      <c r="B127" s="64">
        <v>1956</v>
      </c>
      <c r="C127" s="86" t="s">
        <v>433</v>
      </c>
      <c r="D127" s="88"/>
      <c r="E127" s="88"/>
      <c r="F127" s="88">
        <v>0</v>
      </c>
      <c r="G127" s="88"/>
      <c r="H127" s="88"/>
      <c r="I127" s="88"/>
      <c r="J127" s="88"/>
      <c r="K127" s="88"/>
    </row>
    <row r="128" spans="1:11" ht="12.75">
      <c r="A128" s="1">
        <f t="shared" si="0"/>
        <v>1</v>
      </c>
      <c r="B128" s="64">
        <v>1956</v>
      </c>
      <c r="C128" s="86" t="s">
        <v>188</v>
      </c>
      <c r="D128" s="88"/>
      <c r="E128" s="88"/>
      <c r="F128" s="88">
        <v>0</v>
      </c>
      <c r="G128" s="88"/>
      <c r="H128" s="88"/>
      <c r="I128" s="88"/>
      <c r="J128" s="88"/>
      <c r="K128" s="88">
        <v>1</v>
      </c>
    </row>
    <row r="129" spans="1:11" ht="12.75">
      <c r="A129" s="1">
        <f t="shared" si="0"/>
        <v>2</v>
      </c>
      <c r="B129" s="64">
        <v>1957</v>
      </c>
      <c r="C129" s="86" t="s">
        <v>434</v>
      </c>
      <c r="D129" s="89"/>
      <c r="E129" s="88"/>
      <c r="F129" s="88">
        <v>0</v>
      </c>
      <c r="G129" s="88"/>
      <c r="H129" s="88">
        <v>1</v>
      </c>
      <c r="I129" s="88"/>
      <c r="J129" s="88"/>
      <c r="K129" s="88">
        <v>1</v>
      </c>
    </row>
    <row r="130" spans="1:11" ht="12.75">
      <c r="A130" s="1">
        <f t="shared" si="0"/>
        <v>3</v>
      </c>
      <c r="B130" s="64">
        <v>1957</v>
      </c>
      <c r="C130" s="86" t="s">
        <v>222</v>
      </c>
      <c r="D130" s="89"/>
      <c r="E130" s="88"/>
      <c r="F130" s="88">
        <v>0</v>
      </c>
      <c r="G130" s="88"/>
      <c r="H130" s="88">
        <v>1</v>
      </c>
      <c r="I130" s="88"/>
      <c r="J130" s="88">
        <v>1</v>
      </c>
      <c r="K130" s="88">
        <v>1</v>
      </c>
    </row>
    <row r="131" spans="1:11" ht="12.75">
      <c r="A131" s="1">
        <f t="shared" si="0"/>
        <v>4</v>
      </c>
      <c r="B131" s="64">
        <v>1957</v>
      </c>
      <c r="C131" s="86" t="s">
        <v>177</v>
      </c>
      <c r="D131" s="89"/>
      <c r="E131" s="88"/>
      <c r="F131" s="88">
        <v>1</v>
      </c>
      <c r="G131" s="88">
        <v>1</v>
      </c>
      <c r="H131" s="88">
        <v>1</v>
      </c>
      <c r="I131" s="88"/>
      <c r="J131" s="88"/>
      <c r="K131" s="88">
        <v>1</v>
      </c>
    </row>
    <row r="132" spans="1:11" ht="12.75">
      <c r="A132" s="1">
        <f t="shared" si="0"/>
        <v>0</v>
      </c>
      <c r="B132" s="64">
        <v>1957</v>
      </c>
      <c r="C132" s="86" t="s">
        <v>435</v>
      </c>
      <c r="D132" s="87"/>
      <c r="E132" s="88"/>
      <c r="F132" s="88">
        <v>0</v>
      </c>
      <c r="G132" s="88"/>
      <c r="H132" s="88"/>
      <c r="I132" s="88"/>
      <c r="J132" s="88"/>
      <c r="K132" s="88"/>
    </row>
    <row r="133" spans="1:11" ht="12.75">
      <c r="A133" s="1">
        <f t="shared" si="0"/>
        <v>0</v>
      </c>
      <c r="B133" s="64">
        <v>1957</v>
      </c>
      <c r="C133" s="86" t="s">
        <v>436</v>
      </c>
      <c r="D133" s="89"/>
      <c r="E133" s="88"/>
      <c r="F133" s="88">
        <v>0</v>
      </c>
      <c r="G133" s="88"/>
      <c r="H133" s="88"/>
      <c r="I133" s="88"/>
      <c r="J133" s="88"/>
      <c r="K133" s="88"/>
    </row>
    <row r="134" spans="1:11" ht="12.75">
      <c r="A134" s="1">
        <f t="shared" si="0"/>
        <v>0</v>
      </c>
      <c r="B134" s="64">
        <v>1957</v>
      </c>
      <c r="C134" s="86" t="s">
        <v>437</v>
      </c>
      <c r="D134" s="87"/>
      <c r="E134" s="88"/>
      <c r="F134" s="88">
        <v>0</v>
      </c>
      <c r="G134" s="88"/>
      <c r="H134" s="88"/>
      <c r="I134" s="88"/>
      <c r="J134" s="88"/>
      <c r="K134" s="88"/>
    </row>
    <row r="135" spans="1:11" ht="12.75">
      <c r="A135" s="1">
        <f t="shared" si="0"/>
        <v>1</v>
      </c>
      <c r="B135" s="64">
        <v>1957</v>
      </c>
      <c r="C135" s="86" t="s">
        <v>438</v>
      </c>
      <c r="D135" s="89"/>
      <c r="E135" s="88"/>
      <c r="F135" s="88">
        <v>0</v>
      </c>
      <c r="G135" s="88"/>
      <c r="H135" s="88"/>
      <c r="I135" s="88"/>
      <c r="J135" s="88"/>
      <c r="K135" s="88">
        <v>1</v>
      </c>
    </row>
    <row r="136" spans="1:11" ht="12.75">
      <c r="A136" s="1">
        <f t="shared" si="0"/>
        <v>0</v>
      </c>
      <c r="B136" s="64">
        <v>1957</v>
      </c>
      <c r="C136" s="86" t="s">
        <v>439</v>
      </c>
      <c r="D136" s="87"/>
      <c r="E136" s="88"/>
      <c r="F136" s="88">
        <v>0</v>
      </c>
      <c r="G136" s="88"/>
      <c r="H136" s="88"/>
      <c r="I136" s="88"/>
      <c r="J136" s="88"/>
      <c r="K136" s="88"/>
    </row>
    <row r="137" spans="1:11" ht="12.75">
      <c r="A137" s="1">
        <f t="shared" si="0"/>
        <v>1</v>
      </c>
      <c r="B137" s="64">
        <v>1957</v>
      </c>
      <c r="C137" s="86" t="s">
        <v>440</v>
      </c>
      <c r="D137" s="89"/>
      <c r="E137" s="88"/>
      <c r="F137" s="88">
        <v>0</v>
      </c>
      <c r="G137" s="88"/>
      <c r="H137" s="88"/>
      <c r="I137" s="88"/>
      <c r="J137" s="88"/>
      <c r="K137" s="88">
        <v>1</v>
      </c>
    </row>
    <row r="138" spans="1:11" ht="12.75">
      <c r="A138" s="1">
        <f t="shared" si="0"/>
        <v>0</v>
      </c>
      <c r="B138" s="64">
        <v>1958</v>
      </c>
      <c r="C138" s="86" t="s">
        <v>441</v>
      </c>
      <c r="D138" s="88"/>
      <c r="E138" s="88"/>
      <c r="F138" s="88">
        <v>0</v>
      </c>
      <c r="G138" s="88"/>
      <c r="H138" s="88"/>
      <c r="I138" s="88"/>
      <c r="J138" s="88"/>
      <c r="K138" s="88"/>
    </row>
    <row r="139" spans="1:11" ht="12.75">
      <c r="A139" s="1">
        <f t="shared" si="0"/>
        <v>0</v>
      </c>
      <c r="B139" s="64">
        <v>1958</v>
      </c>
      <c r="C139" s="86" t="s">
        <v>442</v>
      </c>
      <c r="D139" s="88"/>
      <c r="E139" s="88"/>
      <c r="F139" s="88">
        <v>0</v>
      </c>
      <c r="G139" s="88"/>
      <c r="H139" s="88"/>
      <c r="I139" s="88"/>
      <c r="J139" s="88"/>
      <c r="K139" s="88"/>
    </row>
    <row r="140" spans="1:11" ht="12.75">
      <c r="A140" s="1">
        <f t="shared" si="0"/>
        <v>0</v>
      </c>
      <c r="B140" s="64">
        <v>1958</v>
      </c>
      <c r="C140" s="86" t="s">
        <v>443</v>
      </c>
      <c r="D140" s="88"/>
      <c r="E140" s="88"/>
      <c r="F140" s="88">
        <v>0</v>
      </c>
      <c r="G140" s="88"/>
      <c r="H140" s="88"/>
      <c r="I140" s="88"/>
      <c r="J140" s="88"/>
      <c r="K140" s="88"/>
    </row>
    <row r="141" spans="1:11" ht="12.75">
      <c r="A141" s="1">
        <f t="shared" si="0"/>
        <v>0</v>
      </c>
      <c r="B141" s="64">
        <v>1958</v>
      </c>
      <c r="C141" s="86" t="s">
        <v>444</v>
      </c>
      <c r="D141" s="88"/>
      <c r="E141" s="88"/>
      <c r="F141" s="88">
        <v>0</v>
      </c>
      <c r="G141" s="88"/>
      <c r="H141" s="88"/>
      <c r="I141" s="88"/>
      <c r="J141" s="88"/>
      <c r="K141" s="88"/>
    </row>
    <row r="142" spans="1:11" ht="12.75">
      <c r="A142" s="1">
        <f t="shared" si="0"/>
        <v>0</v>
      </c>
      <c r="B142" s="64">
        <v>1958</v>
      </c>
      <c r="C142" s="86" t="s">
        <v>445</v>
      </c>
      <c r="D142" s="89"/>
      <c r="E142" s="88"/>
      <c r="F142" s="88">
        <v>0</v>
      </c>
      <c r="G142" s="88"/>
      <c r="H142" s="88"/>
      <c r="I142" s="88"/>
      <c r="J142" s="88"/>
      <c r="K142" s="88"/>
    </row>
    <row r="143" spans="1:11" ht="12.75">
      <c r="A143" s="1">
        <f t="shared" si="0"/>
        <v>4</v>
      </c>
      <c r="B143" s="64">
        <v>1958</v>
      </c>
      <c r="C143" s="86" t="s">
        <v>446</v>
      </c>
      <c r="D143" s="89"/>
      <c r="E143" s="88"/>
      <c r="F143" s="88">
        <v>1</v>
      </c>
      <c r="G143" s="88">
        <v>1</v>
      </c>
      <c r="H143" s="88">
        <v>1</v>
      </c>
      <c r="I143" s="88"/>
      <c r="J143" s="88"/>
      <c r="K143" s="88">
        <v>1</v>
      </c>
    </row>
    <row r="144" spans="1:11" ht="12.75">
      <c r="A144" s="1">
        <f t="shared" si="0"/>
        <v>0</v>
      </c>
      <c r="B144" s="64">
        <v>1959</v>
      </c>
      <c r="C144" s="86" t="s">
        <v>447</v>
      </c>
      <c r="D144" s="89"/>
      <c r="E144" s="88"/>
      <c r="F144" s="88">
        <v>0</v>
      </c>
      <c r="G144" s="88"/>
      <c r="H144" s="88"/>
      <c r="I144" s="88"/>
      <c r="J144" s="88"/>
      <c r="K144" s="88"/>
    </row>
    <row r="145" spans="1:11" ht="12.75">
      <c r="A145" s="1">
        <f t="shared" si="0"/>
        <v>0</v>
      </c>
      <c r="B145" s="64">
        <v>1959</v>
      </c>
      <c r="C145" s="86" t="s">
        <v>448</v>
      </c>
      <c r="D145" s="88"/>
      <c r="E145" s="88"/>
      <c r="F145" s="88">
        <v>0</v>
      </c>
      <c r="G145" s="88"/>
      <c r="H145" s="88"/>
      <c r="I145" s="88"/>
      <c r="J145" s="88"/>
      <c r="K145" s="88"/>
    </row>
    <row r="146" spans="1:11" ht="12.75">
      <c r="A146" s="1">
        <f t="shared" si="0"/>
        <v>0</v>
      </c>
      <c r="B146" s="64">
        <v>1959</v>
      </c>
      <c r="C146" s="86" t="s">
        <v>449</v>
      </c>
      <c r="D146" s="88"/>
      <c r="E146" s="88"/>
      <c r="F146" s="88">
        <v>0</v>
      </c>
      <c r="G146" s="88"/>
      <c r="H146" s="88"/>
      <c r="I146" s="88"/>
      <c r="J146" s="88"/>
      <c r="K146" s="88"/>
    </row>
    <row r="147" spans="1:11" ht="12.75">
      <c r="A147" s="1">
        <f t="shared" si="0"/>
        <v>2</v>
      </c>
      <c r="B147" s="64">
        <v>1959</v>
      </c>
      <c r="C147" s="86" t="s">
        <v>450</v>
      </c>
      <c r="D147" s="89"/>
      <c r="E147" s="88"/>
      <c r="F147" s="88">
        <v>0</v>
      </c>
      <c r="G147" s="88">
        <v>1</v>
      </c>
      <c r="H147" s="88"/>
      <c r="I147" s="88"/>
      <c r="J147" s="88">
        <v>1</v>
      </c>
      <c r="K147" s="88"/>
    </row>
    <row r="148" spans="1:11" ht="12.75">
      <c r="A148" s="1">
        <f t="shared" si="0"/>
        <v>0</v>
      </c>
      <c r="B148" s="64">
        <v>1959</v>
      </c>
      <c r="C148" s="86" t="s">
        <v>451</v>
      </c>
      <c r="D148" s="88"/>
      <c r="E148" s="88"/>
      <c r="F148" s="88">
        <v>0</v>
      </c>
      <c r="G148" s="88"/>
      <c r="H148" s="88"/>
      <c r="I148" s="88"/>
      <c r="J148" s="88"/>
      <c r="K148" s="88"/>
    </row>
    <row r="149" spans="1:11" ht="12.75">
      <c r="A149" s="1">
        <f t="shared" si="0"/>
        <v>0</v>
      </c>
      <c r="B149" s="64">
        <v>1959</v>
      </c>
      <c r="C149" s="86" t="s">
        <v>452</v>
      </c>
      <c r="D149" s="87"/>
      <c r="E149" s="88"/>
      <c r="F149" s="88">
        <v>0</v>
      </c>
      <c r="G149" s="88"/>
      <c r="H149" s="88"/>
      <c r="I149" s="88"/>
      <c r="J149" s="88"/>
      <c r="K149" s="88"/>
    </row>
    <row r="150" spans="1:11" ht="12.75">
      <c r="A150" s="1">
        <f t="shared" si="0"/>
        <v>2</v>
      </c>
      <c r="B150" s="64">
        <v>1959</v>
      </c>
      <c r="C150" s="86" t="s">
        <v>453</v>
      </c>
      <c r="D150" s="89"/>
      <c r="E150" s="88"/>
      <c r="F150" s="88">
        <v>0</v>
      </c>
      <c r="G150" s="88">
        <v>1</v>
      </c>
      <c r="H150" s="88"/>
      <c r="I150" s="88"/>
      <c r="J150" s="88"/>
      <c r="K150" s="88">
        <v>1</v>
      </c>
    </row>
    <row r="151" spans="1:11" ht="12.75">
      <c r="A151" s="1">
        <f t="shared" si="0"/>
        <v>0</v>
      </c>
      <c r="B151" s="64">
        <v>1959</v>
      </c>
      <c r="C151" s="86" t="s">
        <v>454</v>
      </c>
      <c r="D151" s="87"/>
      <c r="E151" s="88"/>
      <c r="F151" s="88">
        <v>0</v>
      </c>
      <c r="G151" s="88"/>
      <c r="H151" s="88"/>
      <c r="I151" s="88"/>
      <c r="J151" s="88"/>
      <c r="K151" s="88"/>
    </row>
    <row r="152" spans="1:11" ht="12.75">
      <c r="A152" s="1">
        <f t="shared" si="0"/>
        <v>0</v>
      </c>
      <c r="B152" s="64">
        <v>1959</v>
      </c>
      <c r="C152" s="86" t="s">
        <v>455</v>
      </c>
      <c r="D152" s="89"/>
      <c r="E152" s="88"/>
      <c r="F152" s="88">
        <v>0</v>
      </c>
      <c r="G152" s="88"/>
      <c r="H152" s="88"/>
      <c r="I152" s="88"/>
      <c r="J152" s="88"/>
      <c r="K152" s="88"/>
    </row>
    <row r="153" spans="1:11" ht="12.75">
      <c r="A153" s="1">
        <f t="shared" si="0"/>
        <v>0</v>
      </c>
      <c r="B153" s="64">
        <v>1960</v>
      </c>
      <c r="C153" s="86" t="s">
        <v>456</v>
      </c>
      <c r="D153" s="89"/>
      <c r="E153" s="88"/>
      <c r="F153" s="88">
        <v>0</v>
      </c>
      <c r="G153" s="88"/>
      <c r="H153" s="88"/>
      <c r="I153" s="88"/>
      <c r="J153" s="88"/>
      <c r="K153" s="88"/>
    </row>
    <row r="154" spans="1:11" ht="12.75">
      <c r="A154" s="1">
        <f t="shared" si="0"/>
        <v>0</v>
      </c>
      <c r="B154" s="64">
        <v>1960</v>
      </c>
      <c r="C154" s="86" t="s">
        <v>457</v>
      </c>
      <c r="D154" s="88"/>
      <c r="E154" s="88"/>
      <c r="F154" s="88">
        <v>0</v>
      </c>
      <c r="G154" s="88"/>
      <c r="H154" s="88"/>
      <c r="I154" s="88"/>
      <c r="J154" s="88"/>
      <c r="K154" s="88"/>
    </row>
    <row r="155" spans="1:11" ht="12.75">
      <c r="A155" s="1">
        <f t="shared" si="0"/>
        <v>0</v>
      </c>
      <c r="B155" s="64">
        <v>1960</v>
      </c>
      <c r="C155" s="86" t="s">
        <v>458</v>
      </c>
      <c r="D155" s="87"/>
      <c r="E155" s="88"/>
      <c r="F155" s="88">
        <v>0</v>
      </c>
      <c r="G155" s="88"/>
      <c r="H155" s="88"/>
      <c r="I155" s="88"/>
      <c r="J155" s="88"/>
      <c r="K155" s="88"/>
    </row>
    <row r="156" spans="1:11" ht="12.75">
      <c r="A156" s="1">
        <f t="shared" si="0"/>
        <v>0</v>
      </c>
      <c r="B156" s="64">
        <v>1960</v>
      </c>
      <c r="C156" s="86" t="s">
        <v>459</v>
      </c>
      <c r="D156" s="89"/>
      <c r="E156" s="88"/>
      <c r="F156" s="88">
        <v>0</v>
      </c>
      <c r="G156" s="88"/>
      <c r="H156" s="88"/>
      <c r="I156" s="88"/>
      <c r="J156" s="88"/>
      <c r="K156" s="88"/>
    </row>
    <row r="157" spans="1:11" ht="12.75">
      <c r="A157" s="1">
        <f t="shared" si="0"/>
        <v>5</v>
      </c>
      <c r="B157" s="64">
        <v>1960</v>
      </c>
      <c r="C157" s="86" t="s">
        <v>460</v>
      </c>
      <c r="D157" s="89"/>
      <c r="E157" s="88">
        <v>1</v>
      </c>
      <c r="F157" s="88">
        <v>0</v>
      </c>
      <c r="G157" s="88">
        <v>1</v>
      </c>
      <c r="H157" s="88">
        <v>1</v>
      </c>
      <c r="I157" s="88"/>
      <c r="J157" s="88">
        <v>1</v>
      </c>
      <c r="K157" s="88">
        <v>1</v>
      </c>
    </row>
    <row r="158" spans="1:11" ht="12.75">
      <c r="A158" s="1">
        <f t="shared" si="0"/>
        <v>0</v>
      </c>
      <c r="B158" s="64">
        <v>1960</v>
      </c>
      <c r="C158" s="86" t="s">
        <v>461</v>
      </c>
      <c r="D158" s="87"/>
      <c r="E158" s="88"/>
      <c r="F158" s="88">
        <v>0</v>
      </c>
      <c r="G158" s="88"/>
      <c r="H158" s="88"/>
      <c r="I158" s="88"/>
      <c r="J158" s="88"/>
      <c r="K158" s="88"/>
    </row>
    <row r="159" spans="1:11" ht="12.75">
      <c r="A159" s="1">
        <f t="shared" si="0"/>
        <v>1</v>
      </c>
      <c r="B159" s="64">
        <v>1960</v>
      </c>
      <c r="C159" s="86" t="s">
        <v>462</v>
      </c>
      <c r="D159" s="87"/>
      <c r="E159" s="88"/>
      <c r="F159" s="88">
        <v>0</v>
      </c>
      <c r="G159" s="88"/>
      <c r="H159" s="88"/>
      <c r="I159" s="88"/>
      <c r="J159" s="88"/>
      <c r="K159" s="88">
        <v>1</v>
      </c>
    </row>
    <row r="160" spans="1:11" ht="12.75">
      <c r="A160" s="1">
        <f t="shared" si="0"/>
        <v>0</v>
      </c>
      <c r="B160" s="64">
        <v>1960</v>
      </c>
      <c r="C160" s="86" t="s">
        <v>463</v>
      </c>
      <c r="D160" s="88"/>
      <c r="E160" s="88"/>
      <c r="F160" s="88">
        <v>0</v>
      </c>
      <c r="G160" s="88"/>
      <c r="H160" s="88"/>
      <c r="I160" s="88"/>
      <c r="J160" s="88"/>
      <c r="K160" s="88"/>
    </row>
    <row r="161" spans="1:11" ht="12.75">
      <c r="A161" s="1">
        <f t="shared" si="0"/>
        <v>0</v>
      </c>
      <c r="B161" s="64">
        <v>1961</v>
      </c>
      <c r="C161" s="86" t="s">
        <v>464</v>
      </c>
      <c r="D161" s="88"/>
      <c r="E161" s="88"/>
      <c r="F161" s="88">
        <v>0</v>
      </c>
      <c r="G161" s="88"/>
      <c r="H161" s="88"/>
      <c r="I161" s="88"/>
      <c r="J161" s="88"/>
      <c r="K161" s="88"/>
    </row>
    <row r="162" spans="1:11" ht="12.75">
      <c r="A162" s="1">
        <f t="shared" si="0"/>
        <v>0</v>
      </c>
      <c r="B162" s="64">
        <v>1961</v>
      </c>
      <c r="C162" s="86" t="s">
        <v>465</v>
      </c>
      <c r="D162" s="88"/>
      <c r="E162" s="88"/>
      <c r="F162" s="88">
        <v>0</v>
      </c>
      <c r="G162" s="88"/>
      <c r="H162" s="88"/>
      <c r="I162" s="88"/>
      <c r="J162" s="88"/>
      <c r="K162" s="88"/>
    </row>
    <row r="163" spans="1:11" ht="12.75">
      <c r="A163" s="1">
        <f t="shared" si="0"/>
        <v>0</v>
      </c>
      <c r="B163" s="64">
        <v>1961</v>
      </c>
      <c r="C163" s="86" t="s">
        <v>466</v>
      </c>
      <c r="D163" s="88"/>
      <c r="E163" s="88"/>
      <c r="F163" s="88">
        <v>0</v>
      </c>
      <c r="G163" s="88"/>
      <c r="H163" s="88"/>
      <c r="I163" s="88"/>
      <c r="J163" s="88"/>
      <c r="K163" s="88"/>
    </row>
    <row r="164" spans="1:11" ht="12.75">
      <c r="A164" s="1">
        <f t="shared" si="0"/>
        <v>0</v>
      </c>
      <c r="B164" s="64">
        <v>1961</v>
      </c>
      <c r="C164" s="86" t="s">
        <v>467</v>
      </c>
      <c r="D164" s="88"/>
      <c r="E164" s="88"/>
      <c r="F164" s="88">
        <v>0</v>
      </c>
      <c r="G164" s="88"/>
      <c r="H164" s="88"/>
      <c r="I164" s="88"/>
      <c r="J164" s="88"/>
      <c r="K164" s="88"/>
    </row>
    <row r="165" spans="1:11" ht="12.75">
      <c r="A165" s="1">
        <f t="shared" si="0"/>
        <v>0</v>
      </c>
      <c r="B165" s="64">
        <v>1961</v>
      </c>
      <c r="C165" s="86" t="s">
        <v>468</v>
      </c>
      <c r="D165" s="88"/>
      <c r="E165" s="88"/>
      <c r="F165" s="88">
        <v>0</v>
      </c>
      <c r="G165" s="88"/>
      <c r="H165" s="88"/>
      <c r="I165" s="88"/>
      <c r="J165" s="88"/>
      <c r="K165" s="88"/>
    </row>
    <row r="166" spans="1:11" ht="12.75">
      <c r="A166" s="1">
        <f t="shared" si="0"/>
        <v>0</v>
      </c>
      <c r="B166" s="64">
        <v>1961</v>
      </c>
      <c r="C166" s="86" t="s">
        <v>469</v>
      </c>
      <c r="D166" s="88"/>
      <c r="E166" s="88"/>
      <c r="F166" s="88">
        <v>0</v>
      </c>
      <c r="G166" s="88"/>
      <c r="H166" s="88"/>
      <c r="I166" s="88"/>
      <c r="J166" s="88"/>
      <c r="K166" s="88"/>
    </row>
    <row r="167" spans="1:11" ht="12.75">
      <c r="A167" s="1">
        <f t="shared" si="0"/>
        <v>0</v>
      </c>
      <c r="B167" s="64">
        <v>1961</v>
      </c>
      <c r="C167" s="86" t="s">
        <v>470</v>
      </c>
      <c r="D167" s="89"/>
      <c r="E167" s="88"/>
      <c r="F167" s="88">
        <v>0</v>
      </c>
      <c r="G167" s="88"/>
      <c r="H167" s="88"/>
      <c r="I167" s="88"/>
      <c r="J167" s="88"/>
      <c r="K167" s="88"/>
    </row>
    <row r="168" spans="1:11" ht="12.75">
      <c r="A168" s="1">
        <f t="shared" si="0"/>
        <v>0</v>
      </c>
      <c r="B168" s="64">
        <v>1962</v>
      </c>
      <c r="C168" s="86" t="s">
        <v>471</v>
      </c>
      <c r="D168" s="87"/>
      <c r="E168" s="88"/>
      <c r="F168" s="88">
        <v>0</v>
      </c>
      <c r="G168" s="88"/>
      <c r="H168" s="88"/>
      <c r="I168" s="88"/>
      <c r="J168" s="88"/>
      <c r="K168" s="88"/>
    </row>
    <row r="169" spans="1:11" ht="12.75">
      <c r="A169" s="1">
        <f t="shared" si="0"/>
        <v>0</v>
      </c>
      <c r="B169" s="64">
        <v>1962</v>
      </c>
      <c r="C169" s="86" t="s">
        <v>472</v>
      </c>
      <c r="D169" s="88"/>
      <c r="E169" s="88"/>
      <c r="F169" s="88">
        <v>0</v>
      </c>
      <c r="G169" s="88"/>
      <c r="H169" s="88"/>
      <c r="I169" s="88"/>
      <c r="J169" s="88"/>
      <c r="K169" s="88"/>
    </row>
    <row r="170" spans="1:11" ht="12.75">
      <c r="A170" s="1">
        <f t="shared" si="0"/>
        <v>1</v>
      </c>
      <c r="B170" s="64">
        <v>1962</v>
      </c>
      <c r="C170" s="86" t="s">
        <v>124</v>
      </c>
      <c r="D170" s="89"/>
      <c r="E170" s="88"/>
      <c r="F170" s="88">
        <v>0</v>
      </c>
      <c r="G170" s="88"/>
      <c r="H170" s="88"/>
      <c r="I170" s="88"/>
      <c r="J170" s="88"/>
      <c r="K170" s="88">
        <v>1</v>
      </c>
    </row>
    <row r="171" spans="1:11" ht="12.75">
      <c r="A171" s="1">
        <f t="shared" si="0"/>
        <v>0</v>
      </c>
      <c r="B171" s="64">
        <v>1962</v>
      </c>
      <c r="C171" s="86" t="s">
        <v>473</v>
      </c>
      <c r="D171" s="87"/>
      <c r="E171" s="88"/>
      <c r="F171" s="88">
        <v>0</v>
      </c>
      <c r="G171" s="88"/>
      <c r="H171" s="88"/>
      <c r="I171" s="88"/>
      <c r="J171" s="88"/>
      <c r="K171" s="88"/>
    </row>
    <row r="172" spans="1:11" ht="12.75">
      <c r="A172" s="1">
        <f t="shared" si="0"/>
        <v>0</v>
      </c>
      <c r="B172" s="64">
        <v>1962</v>
      </c>
      <c r="C172" s="86" t="s">
        <v>474</v>
      </c>
      <c r="D172" s="87"/>
      <c r="E172" s="88"/>
      <c r="F172" s="88">
        <v>0</v>
      </c>
      <c r="G172" s="88"/>
      <c r="H172" s="88"/>
      <c r="I172" s="88"/>
      <c r="J172" s="88"/>
      <c r="K172" s="88"/>
    </row>
    <row r="173" spans="1:11" ht="12.75">
      <c r="A173" s="1">
        <f t="shared" si="0"/>
        <v>0</v>
      </c>
      <c r="B173" s="64">
        <v>1962</v>
      </c>
      <c r="C173" s="86" t="s">
        <v>475</v>
      </c>
      <c r="D173" s="88"/>
      <c r="E173" s="88"/>
      <c r="F173" s="88">
        <v>0</v>
      </c>
      <c r="G173" s="88"/>
      <c r="H173" s="88"/>
      <c r="I173" s="88"/>
      <c r="J173" s="88"/>
      <c r="K173" s="88"/>
    </row>
    <row r="174" spans="1:11" ht="12.75">
      <c r="A174" s="1">
        <f t="shared" si="0"/>
        <v>0</v>
      </c>
      <c r="B174" s="64">
        <v>1962</v>
      </c>
      <c r="C174" s="86" t="s">
        <v>476</v>
      </c>
      <c r="D174" s="88"/>
      <c r="E174" s="88"/>
      <c r="F174" s="88">
        <v>0</v>
      </c>
      <c r="G174" s="88"/>
      <c r="H174" s="88"/>
      <c r="I174" s="88"/>
      <c r="J174" s="88"/>
      <c r="K174" s="88"/>
    </row>
    <row r="175" spans="1:11" ht="12.75">
      <c r="A175" s="1">
        <f t="shared" si="0"/>
        <v>0</v>
      </c>
      <c r="B175" s="64">
        <v>1962</v>
      </c>
      <c r="C175" s="86" t="s">
        <v>477</v>
      </c>
      <c r="D175" s="89"/>
      <c r="E175" s="88"/>
      <c r="F175" s="88">
        <v>0</v>
      </c>
      <c r="G175" s="88"/>
      <c r="H175" s="88"/>
      <c r="I175" s="88"/>
      <c r="J175" s="88"/>
      <c r="K175" s="88"/>
    </row>
    <row r="176" spans="1:11" ht="12.75">
      <c r="A176" s="1">
        <f t="shared" si="0"/>
        <v>1</v>
      </c>
      <c r="B176" s="64">
        <v>1962</v>
      </c>
      <c r="C176" s="86" t="s">
        <v>478</v>
      </c>
      <c r="D176" s="87"/>
      <c r="E176" s="88"/>
      <c r="F176" s="88">
        <v>0</v>
      </c>
      <c r="G176" s="88"/>
      <c r="H176" s="88"/>
      <c r="I176" s="88"/>
      <c r="J176" s="88"/>
      <c r="K176" s="88">
        <v>1</v>
      </c>
    </row>
    <row r="177" spans="1:11" ht="12.75">
      <c r="A177" s="1">
        <f t="shared" si="0"/>
        <v>0</v>
      </c>
      <c r="B177" s="64">
        <v>1962</v>
      </c>
      <c r="C177" s="86" t="s">
        <v>479</v>
      </c>
      <c r="D177" s="88"/>
      <c r="E177" s="88"/>
      <c r="F177" s="88">
        <v>0</v>
      </c>
      <c r="G177" s="88"/>
      <c r="H177" s="88"/>
      <c r="I177" s="88"/>
      <c r="J177" s="88"/>
      <c r="K177" s="88"/>
    </row>
    <row r="178" spans="1:11" ht="12.75">
      <c r="A178" s="1">
        <f t="shared" si="0"/>
        <v>0</v>
      </c>
      <c r="B178" s="64">
        <v>1962</v>
      </c>
      <c r="C178" s="86" t="s">
        <v>480</v>
      </c>
      <c r="D178" s="89"/>
      <c r="E178" s="88"/>
      <c r="F178" s="88">
        <v>0</v>
      </c>
      <c r="G178" s="88"/>
      <c r="H178" s="88"/>
      <c r="I178" s="88"/>
      <c r="J178" s="88"/>
      <c r="K178" s="88"/>
    </row>
    <row r="179" spans="1:11" ht="12.75">
      <c r="A179" s="1">
        <f t="shared" si="0"/>
        <v>0</v>
      </c>
      <c r="B179" s="64">
        <v>1962</v>
      </c>
      <c r="C179" s="86" t="s">
        <v>481</v>
      </c>
      <c r="D179" s="89"/>
      <c r="E179" s="88"/>
      <c r="F179" s="88">
        <v>0</v>
      </c>
      <c r="G179" s="88"/>
      <c r="H179" s="88"/>
      <c r="I179" s="88"/>
      <c r="J179" s="88"/>
      <c r="K179" s="88"/>
    </row>
    <row r="180" spans="1:11" ht="12.75">
      <c r="A180" s="1">
        <f t="shared" si="0"/>
        <v>1</v>
      </c>
      <c r="B180" s="64">
        <v>1962</v>
      </c>
      <c r="C180" s="86" t="s">
        <v>482</v>
      </c>
      <c r="D180" s="88"/>
      <c r="E180" s="88"/>
      <c r="F180" s="88">
        <v>0</v>
      </c>
      <c r="G180" s="88"/>
      <c r="H180" s="88">
        <v>1</v>
      </c>
      <c r="I180" s="88"/>
      <c r="J180" s="88"/>
      <c r="K180" s="88"/>
    </row>
    <row r="181" spans="1:11" ht="12.75">
      <c r="A181" s="1">
        <f t="shared" si="0"/>
        <v>5</v>
      </c>
      <c r="B181" s="64">
        <v>1962</v>
      </c>
      <c r="C181" s="86" t="s">
        <v>483</v>
      </c>
      <c r="D181" s="87"/>
      <c r="E181" s="88">
        <v>1</v>
      </c>
      <c r="F181" s="88">
        <v>1</v>
      </c>
      <c r="G181" s="88">
        <v>1</v>
      </c>
      <c r="H181" s="88">
        <v>1</v>
      </c>
      <c r="I181" s="88"/>
      <c r="J181" s="88"/>
      <c r="K181" s="88">
        <v>1</v>
      </c>
    </row>
    <row r="182" spans="1:11" ht="12.75">
      <c r="A182" s="1">
        <f t="shared" si="0"/>
        <v>1</v>
      </c>
      <c r="B182" s="64">
        <v>1962</v>
      </c>
      <c r="C182" s="86" t="s">
        <v>484</v>
      </c>
      <c r="D182" s="88"/>
      <c r="E182" s="88"/>
      <c r="F182" s="88">
        <v>0</v>
      </c>
      <c r="G182" s="88"/>
      <c r="H182" s="88">
        <v>1</v>
      </c>
      <c r="I182" s="88"/>
      <c r="J182" s="88"/>
      <c r="K182" s="88"/>
    </row>
    <row r="183" spans="1:11" ht="12.75">
      <c r="A183" s="1">
        <f t="shared" si="0"/>
        <v>0</v>
      </c>
      <c r="B183" s="64">
        <v>1962</v>
      </c>
      <c r="C183" s="86" t="s">
        <v>485</v>
      </c>
      <c r="D183" s="88"/>
      <c r="E183" s="88"/>
      <c r="F183" s="88">
        <v>0</v>
      </c>
      <c r="G183" s="88"/>
      <c r="H183" s="88"/>
      <c r="I183" s="88"/>
      <c r="J183" s="88"/>
      <c r="K183" s="88"/>
    </row>
    <row r="184" spans="1:11" ht="12.75">
      <c r="A184" s="1">
        <f t="shared" si="0"/>
        <v>1</v>
      </c>
      <c r="B184" s="64">
        <v>1963</v>
      </c>
      <c r="C184" s="86" t="s">
        <v>486</v>
      </c>
      <c r="D184" s="89"/>
      <c r="E184" s="88"/>
      <c r="F184" s="88">
        <v>0</v>
      </c>
      <c r="G184" s="88">
        <v>1</v>
      </c>
      <c r="H184" s="88"/>
      <c r="I184" s="88"/>
      <c r="J184" s="88"/>
      <c r="K184" s="88"/>
    </row>
    <row r="185" spans="1:11" ht="12.75">
      <c r="A185" s="1">
        <f t="shared" si="0"/>
        <v>0</v>
      </c>
      <c r="B185" s="64">
        <v>1963</v>
      </c>
      <c r="C185" s="86" t="s">
        <v>487</v>
      </c>
      <c r="D185" s="88"/>
      <c r="E185" s="88"/>
      <c r="F185" s="88">
        <v>0</v>
      </c>
      <c r="G185" s="88"/>
      <c r="H185" s="88"/>
      <c r="I185" s="88"/>
      <c r="J185" s="88"/>
      <c r="K185" s="88"/>
    </row>
    <row r="186" spans="1:11" ht="12.75">
      <c r="A186" s="1">
        <f t="shared" si="0"/>
        <v>1</v>
      </c>
      <c r="B186" s="64">
        <v>1963</v>
      </c>
      <c r="C186" s="86" t="s">
        <v>208</v>
      </c>
      <c r="D186" s="89"/>
      <c r="E186" s="88"/>
      <c r="F186" s="88">
        <v>0</v>
      </c>
      <c r="G186" s="88"/>
      <c r="H186" s="88"/>
      <c r="I186" s="88"/>
      <c r="J186" s="88"/>
      <c r="K186" s="88">
        <v>1</v>
      </c>
    </row>
    <row r="187" spans="1:11" ht="12.75">
      <c r="A187" s="1">
        <f t="shared" si="0"/>
        <v>5</v>
      </c>
      <c r="B187" s="64">
        <v>1963</v>
      </c>
      <c r="C187" s="86" t="s">
        <v>202</v>
      </c>
      <c r="D187" s="87"/>
      <c r="E187" s="88"/>
      <c r="F187" s="88">
        <v>1</v>
      </c>
      <c r="G187" s="88">
        <v>1</v>
      </c>
      <c r="H187" s="88">
        <v>1</v>
      </c>
      <c r="I187" s="88"/>
      <c r="J187" s="88">
        <v>1</v>
      </c>
      <c r="K187" s="88">
        <v>1</v>
      </c>
    </row>
    <row r="188" spans="1:11" ht="12.75">
      <c r="A188" s="1">
        <f t="shared" si="0"/>
        <v>0</v>
      </c>
      <c r="B188" s="64">
        <v>1963</v>
      </c>
      <c r="C188" s="86" t="s">
        <v>488</v>
      </c>
      <c r="D188" s="89"/>
      <c r="E188" s="88"/>
      <c r="F188" s="88">
        <v>0</v>
      </c>
      <c r="G188" s="88"/>
      <c r="H188" s="88"/>
      <c r="I188" s="88"/>
      <c r="J188" s="88"/>
      <c r="K188" s="88"/>
    </row>
    <row r="189" spans="1:11" ht="12.75">
      <c r="A189" s="1">
        <f t="shared" si="0"/>
        <v>0</v>
      </c>
      <c r="B189" s="64">
        <v>1963</v>
      </c>
      <c r="C189" s="86" t="s">
        <v>489</v>
      </c>
      <c r="D189" s="88"/>
      <c r="E189" s="88"/>
      <c r="F189" s="88">
        <v>0</v>
      </c>
      <c r="G189" s="88"/>
      <c r="H189" s="88"/>
      <c r="I189" s="88"/>
      <c r="J189" s="88"/>
      <c r="K189" s="88"/>
    </row>
    <row r="190" spans="1:11" ht="12.75">
      <c r="A190" s="1">
        <f t="shared" si="0"/>
        <v>0</v>
      </c>
      <c r="B190" s="64">
        <v>1963</v>
      </c>
      <c r="C190" s="86" t="s">
        <v>490</v>
      </c>
      <c r="D190" s="88"/>
      <c r="E190" s="88"/>
      <c r="F190" s="88">
        <v>0</v>
      </c>
      <c r="G190" s="88"/>
      <c r="H190" s="88"/>
      <c r="I190" s="88"/>
      <c r="J190" s="88"/>
      <c r="K190" s="88"/>
    </row>
    <row r="191" spans="1:11" ht="12.75">
      <c r="A191" s="1">
        <f t="shared" si="0"/>
        <v>3</v>
      </c>
      <c r="B191" s="64">
        <v>1964</v>
      </c>
      <c r="C191" s="86" t="s">
        <v>491</v>
      </c>
      <c r="D191" s="88"/>
      <c r="E191" s="88">
        <v>1</v>
      </c>
      <c r="F191" s="88">
        <v>1</v>
      </c>
      <c r="G191" s="88">
        <v>1</v>
      </c>
      <c r="H191" s="88"/>
      <c r="I191" s="88"/>
      <c r="J191" s="88"/>
      <c r="K191" s="88"/>
    </row>
    <row r="192" spans="1:11" ht="12.75">
      <c r="A192" s="1">
        <f t="shared" si="0"/>
        <v>4</v>
      </c>
      <c r="B192" s="64">
        <v>1964</v>
      </c>
      <c r="C192" s="86" t="s">
        <v>492</v>
      </c>
      <c r="D192" s="87"/>
      <c r="E192" s="88"/>
      <c r="F192" s="88">
        <v>0</v>
      </c>
      <c r="G192" s="88">
        <v>1</v>
      </c>
      <c r="H192" s="88">
        <v>1</v>
      </c>
      <c r="I192" s="88"/>
      <c r="J192" s="88">
        <v>1</v>
      </c>
      <c r="K192" s="88">
        <v>1</v>
      </c>
    </row>
    <row r="193" spans="1:11" ht="12.75">
      <c r="A193" s="1">
        <f t="shared" si="0"/>
        <v>0</v>
      </c>
      <c r="B193" s="64">
        <v>1964</v>
      </c>
      <c r="C193" s="86" t="s">
        <v>493</v>
      </c>
      <c r="D193" s="87"/>
      <c r="E193" s="88"/>
      <c r="F193" s="88">
        <v>0</v>
      </c>
      <c r="G193" s="88"/>
      <c r="H193" s="88"/>
      <c r="I193" s="88"/>
      <c r="J193" s="88"/>
      <c r="K193" s="88"/>
    </row>
    <row r="194" spans="1:11" ht="12.75">
      <c r="A194" s="1">
        <f t="shared" si="0"/>
        <v>0</v>
      </c>
      <c r="B194" s="64">
        <v>1964</v>
      </c>
      <c r="C194" s="86" t="s">
        <v>494</v>
      </c>
      <c r="D194" s="88"/>
      <c r="E194" s="88"/>
      <c r="F194" s="88">
        <v>0</v>
      </c>
      <c r="G194" s="88"/>
      <c r="H194" s="88"/>
      <c r="I194" s="88"/>
      <c r="J194" s="88"/>
      <c r="K194" s="88"/>
    </row>
    <row r="195" spans="1:11" ht="12.75">
      <c r="A195" s="1">
        <f t="shared" si="0"/>
        <v>1</v>
      </c>
      <c r="B195" s="64">
        <v>1964</v>
      </c>
      <c r="C195" s="86" t="s">
        <v>495</v>
      </c>
      <c r="D195" s="88"/>
      <c r="E195" s="88"/>
      <c r="F195" s="88">
        <v>0</v>
      </c>
      <c r="G195" s="88">
        <v>1</v>
      </c>
      <c r="H195" s="88"/>
      <c r="I195" s="88"/>
      <c r="J195" s="88"/>
      <c r="K195" s="88"/>
    </row>
    <row r="196" spans="1:11" ht="12.75">
      <c r="A196" s="1">
        <f t="shared" si="0"/>
        <v>0</v>
      </c>
      <c r="B196" s="64">
        <v>1964</v>
      </c>
      <c r="C196" s="86" t="s">
        <v>496</v>
      </c>
      <c r="D196" s="88"/>
      <c r="E196" s="88"/>
      <c r="F196" s="88">
        <v>0</v>
      </c>
      <c r="G196" s="88"/>
      <c r="H196" s="88"/>
      <c r="I196" s="88"/>
      <c r="J196" s="88"/>
      <c r="K196" s="88"/>
    </row>
    <row r="197" spans="1:11" ht="12.75">
      <c r="A197" s="1">
        <f t="shared" si="0"/>
        <v>0</v>
      </c>
      <c r="B197" s="64">
        <v>1964</v>
      </c>
      <c r="C197" s="86" t="s">
        <v>497</v>
      </c>
      <c r="D197" s="88"/>
      <c r="E197" s="88"/>
      <c r="F197" s="88">
        <v>0</v>
      </c>
      <c r="G197" s="88"/>
      <c r="H197" s="88"/>
      <c r="I197" s="88"/>
      <c r="J197" s="88"/>
      <c r="K197" s="88"/>
    </row>
    <row r="198" spans="1:11" ht="12.75">
      <c r="A198" s="1">
        <f t="shared" si="0"/>
        <v>0</v>
      </c>
      <c r="B198" s="64">
        <v>1965</v>
      </c>
      <c r="C198" s="86" t="s">
        <v>498</v>
      </c>
      <c r="D198" s="89"/>
      <c r="E198" s="88"/>
      <c r="F198" s="88">
        <v>0</v>
      </c>
      <c r="G198" s="88"/>
      <c r="H198" s="88"/>
      <c r="I198" s="88"/>
      <c r="J198" s="88"/>
      <c r="K198" s="88"/>
    </row>
    <row r="199" spans="1:11" ht="12.75">
      <c r="A199" s="1">
        <f t="shared" si="0"/>
        <v>0</v>
      </c>
      <c r="B199" s="64">
        <v>1965</v>
      </c>
      <c r="C199" s="86" t="s">
        <v>499</v>
      </c>
      <c r="D199" s="88"/>
      <c r="E199" s="88"/>
      <c r="F199" s="88">
        <v>0</v>
      </c>
      <c r="G199" s="88"/>
      <c r="H199" s="88"/>
      <c r="I199" s="88"/>
      <c r="J199" s="88"/>
      <c r="K199" s="88"/>
    </row>
    <row r="200" spans="1:11" ht="12.75">
      <c r="A200" s="1">
        <f t="shared" si="0"/>
        <v>0</v>
      </c>
      <c r="B200" s="64">
        <v>1965</v>
      </c>
      <c r="C200" s="86" t="s">
        <v>500</v>
      </c>
      <c r="D200" s="87"/>
      <c r="E200" s="88"/>
      <c r="F200" s="88">
        <v>0</v>
      </c>
      <c r="G200" s="88"/>
      <c r="H200" s="88"/>
      <c r="I200" s="88"/>
      <c r="J200" s="88"/>
      <c r="K200" s="88"/>
    </row>
    <row r="201" spans="1:11" ht="12.75">
      <c r="A201" s="1">
        <f t="shared" si="0"/>
        <v>1</v>
      </c>
      <c r="B201" s="64">
        <v>1965</v>
      </c>
      <c r="C201" s="86" t="s">
        <v>501</v>
      </c>
      <c r="D201" s="88"/>
      <c r="E201" s="88"/>
      <c r="F201" s="88">
        <v>0</v>
      </c>
      <c r="G201" s="88"/>
      <c r="H201" s="88"/>
      <c r="I201" s="88"/>
      <c r="J201" s="88"/>
      <c r="K201" s="88">
        <v>1</v>
      </c>
    </row>
    <row r="202" spans="1:11" ht="12.75">
      <c r="A202" s="1">
        <f t="shared" si="0"/>
        <v>0</v>
      </c>
      <c r="B202" s="64">
        <v>1965</v>
      </c>
      <c r="C202" s="86" t="s">
        <v>502</v>
      </c>
      <c r="D202" s="89"/>
      <c r="E202" s="88"/>
      <c r="F202" s="88">
        <v>0</v>
      </c>
      <c r="G202" s="88"/>
      <c r="H202" s="88"/>
      <c r="I202" s="88"/>
      <c r="J202" s="88"/>
      <c r="K202" s="88"/>
    </row>
    <row r="203" spans="1:11" ht="12.75">
      <c r="A203" s="1">
        <f t="shared" si="0"/>
        <v>0</v>
      </c>
      <c r="B203" s="64">
        <v>1966</v>
      </c>
      <c r="C203" s="86" t="s">
        <v>503</v>
      </c>
      <c r="D203" s="87"/>
      <c r="E203" s="88"/>
      <c r="F203" s="88">
        <v>0</v>
      </c>
      <c r="G203" s="88"/>
      <c r="H203" s="88"/>
      <c r="I203" s="88"/>
      <c r="J203" s="88"/>
      <c r="K203" s="88"/>
    </row>
    <row r="204" spans="1:11" ht="12.75">
      <c r="A204" s="1">
        <f t="shared" si="0"/>
        <v>0</v>
      </c>
      <c r="B204" s="64">
        <v>1966</v>
      </c>
      <c r="C204" s="86" t="s">
        <v>504</v>
      </c>
      <c r="D204" s="87"/>
      <c r="E204" s="88"/>
      <c r="F204" s="88">
        <v>0</v>
      </c>
      <c r="G204" s="88"/>
      <c r="H204" s="88"/>
      <c r="I204" s="88"/>
      <c r="J204" s="88"/>
      <c r="K204" s="88"/>
    </row>
    <row r="205" spans="1:11" ht="12.75">
      <c r="A205" s="1">
        <f t="shared" si="0"/>
        <v>1</v>
      </c>
      <c r="B205" s="64">
        <v>1966</v>
      </c>
      <c r="C205" s="86" t="s">
        <v>505</v>
      </c>
      <c r="D205" s="87"/>
      <c r="E205" s="88"/>
      <c r="F205" s="88">
        <v>0</v>
      </c>
      <c r="G205" s="88"/>
      <c r="H205" s="88"/>
      <c r="I205" s="88"/>
      <c r="J205" s="88"/>
      <c r="K205" s="88">
        <v>1</v>
      </c>
    </row>
    <row r="206" spans="1:11" ht="12.75">
      <c r="A206" s="1">
        <f t="shared" si="0"/>
        <v>0</v>
      </c>
      <c r="B206" s="64">
        <v>1966</v>
      </c>
      <c r="C206" s="86" t="s">
        <v>506</v>
      </c>
      <c r="D206" s="87"/>
      <c r="E206" s="88"/>
      <c r="F206" s="88">
        <v>0</v>
      </c>
      <c r="G206" s="88"/>
      <c r="H206" s="88"/>
      <c r="I206" s="88"/>
      <c r="J206" s="88"/>
      <c r="K206" s="88"/>
    </row>
    <row r="207" spans="1:11" ht="12.75">
      <c r="A207" s="1">
        <f t="shared" si="0"/>
        <v>0</v>
      </c>
      <c r="B207" s="64">
        <v>1966</v>
      </c>
      <c r="C207" s="86" t="s">
        <v>507</v>
      </c>
      <c r="D207" s="88"/>
      <c r="E207" s="88"/>
      <c r="F207" s="88">
        <v>0</v>
      </c>
      <c r="G207" s="88"/>
      <c r="H207" s="88"/>
      <c r="I207" s="88"/>
      <c r="J207" s="88"/>
      <c r="K207" s="88"/>
    </row>
    <row r="208" spans="1:11" ht="12.75">
      <c r="A208" s="1">
        <f t="shared" si="0"/>
        <v>2</v>
      </c>
      <c r="B208" s="64">
        <v>1966</v>
      </c>
      <c r="C208" s="86" t="s">
        <v>508</v>
      </c>
      <c r="D208" s="89"/>
      <c r="E208" s="88"/>
      <c r="F208" s="88">
        <v>0</v>
      </c>
      <c r="G208" s="88">
        <v>1</v>
      </c>
      <c r="H208" s="88"/>
      <c r="I208" s="88"/>
      <c r="J208" s="88"/>
      <c r="K208" s="88">
        <v>1</v>
      </c>
    </row>
    <row r="209" spans="1:11" ht="12.75">
      <c r="A209" s="1">
        <f t="shared" si="0"/>
        <v>0</v>
      </c>
      <c r="B209" s="64">
        <v>1966</v>
      </c>
      <c r="C209" s="86" t="s">
        <v>509</v>
      </c>
      <c r="D209" s="88"/>
      <c r="E209" s="88"/>
      <c r="F209" s="88">
        <v>0</v>
      </c>
      <c r="G209" s="88"/>
      <c r="H209" s="88"/>
      <c r="I209" s="88"/>
      <c r="J209" s="88"/>
      <c r="K209" s="88"/>
    </row>
    <row r="210" spans="1:11" ht="12.75">
      <c r="A210" s="1">
        <f t="shared" si="0"/>
        <v>2</v>
      </c>
      <c r="B210" s="64">
        <v>1967</v>
      </c>
      <c r="C210" s="86" t="s">
        <v>510</v>
      </c>
      <c r="D210" s="88"/>
      <c r="E210" s="88"/>
      <c r="F210" s="88">
        <v>0</v>
      </c>
      <c r="G210" s="88">
        <v>1</v>
      </c>
      <c r="H210" s="88">
        <v>1</v>
      </c>
      <c r="I210" s="88"/>
      <c r="J210" s="88"/>
      <c r="K210" s="88"/>
    </row>
    <row r="211" spans="1:11" ht="12.75">
      <c r="A211" s="1">
        <f t="shared" si="0"/>
        <v>3</v>
      </c>
      <c r="B211" s="64">
        <v>1967</v>
      </c>
      <c r="C211" s="86" t="s">
        <v>52</v>
      </c>
      <c r="D211" s="87"/>
      <c r="E211" s="88"/>
      <c r="F211" s="88">
        <v>1</v>
      </c>
      <c r="G211" s="88"/>
      <c r="H211" s="88">
        <v>1</v>
      </c>
      <c r="I211" s="88"/>
      <c r="J211" s="88"/>
      <c r="K211" s="88">
        <v>1</v>
      </c>
    </row>
    <row r="212" spans="1:11" ht="12.75">
      <c r="A212" s="1">
        <f t="shared" si="0"/>
        <v>0</v>
      </c>
      <c r="B212" s="64">
        <v>1967</v>
      </c>
      <c r="C212" s="86" t="s">
        <v>511</v>
      </c>
      <c r="D212" s="87"/>
      <c r="E212" s="88"/>
      <c r="F212" s="88">
        <v>0</v>
      </c>
      <c r="G212" s="88"/>
      <c r="H212" s="88"/>
      <c r="I212" s="88"/>
      <c r="J212" s="88"/>
      <c r="K212" s="88"/>
    </row>
    <row r="213" spans="1:11" ht="12.75">
      <c r="A213" s="1">
        <f t="shared" si="0"/>
        <v>0</v>
      </c>
      <c r="B213" s="64">
        <v>1967</v>
      </c>
      <c r="C213" s="86" t="s">
        <v>512</v>
      </c>
      <c r="D213" s="87"/>
      <c r="E213" s="88"/>
      <c r="F213" s="88">
        <v>0</v>
      </c>
      <c r="G213" s="88"/>
      <c r="H213" s="88"/>
      <c r="I213" s="88"/>
      <c r="J213" s="88"/>
      <c r="K213" s="88"/>
    </row>
    <row r="214" spans="1:11" ht="12.75">
      <c r="A214" s="1">
        <f t="shared" si="0"/>
        <v>0</v>
      </c>
      <c r="B214" s="64">
        <v>1967</v>
      </c>
      <c r="C214" s="86" t="s">
        <v>513</v>
      </c>
      <c r="D214" s="87"/>
      <c r="E214" s="88"/>
      <c r="F214" s="88">
        <v>0</v>
      </c>
      <c r="G214" s="88"/>
      <c r="H214" s="88"/>
      <c r="I214" s="88"/>
      <c r="J214" s="88"/>
      <c r="K214" s="88"/>
    </row>
    <row r="215" spans="1:11" ht="12.75">
      <c r="A215" s="1">
        <f t="shared" si="0"/>
        <v>3</v>
      </c>
      <c r="B215" s="64">
        <v>1967</v>
      </c>
      <c r="C215" s="86" t="s">
        <v>54</v>
      </c>
      <c r="D215" s="88"/>
      <c r="E215" s="88"/>
      <c r="F215" s="88">
        <v>0</v>
      </c>
      <c r="G215" s="88">
        <v>1</v>
      </c>
      <c r="H215" s="88">
        <v>1</v>
      </c>
      <c r="I215" s="88"/>
      <c r="J215" s="88"/>
      <c r="K215" s="88">
        <v>1</v>
      </c>
    </row>
    <row r="216" spans="1:11" ht="12.75">
      <c r="A216" s="1">
        <f t="shared" si="0"/>
        <v>3</v>
      </c>
      <c r="B216" s="64">
        <v>1968</v>
      </c>
      <c r="C216" s="86" t="s">
        <v>514</v>
      </c>
      <c r="D216" s="87"/>
      <c r="E216" s="88"/>
      <c r="F216" s="88">
        <v>0</v>
      </c>
      <c r="G216" s="88"/>
      <c r="H216" s="88">
        <v>1</v>
      </c>
      <c r="I216" s="88"/>
      <c r="J216" s="88">
        <v>1</v>
      </c>
      <c r="K216" s="88">
        <v>1</v>
      </c>
    </row>
    <row r="217" spans="1:11" ht="12.75">
      <c r="A217" s="1">
        <f t="shared" si="0"/>
        <v>0</v>
      </c>
      <c r="B217" s="64">
        <v>1968</v>
      </c>
      <c r="C217" s="86" t="s">
        <v>515</v>
      </c>
      <c r="D217" s="89"/>
      <c r="E217" s="88"/>
      <c r="F217" s="88">
        <v>0</v>
      </c>
      <c r="G217" s="88"/>
      <c r="H217" s="88"/>
      <c r="I217" s="88"/>
      <c r="J217" s="88"/>
      <c r="K217" s="88"/>
    </row>
    <row r="218" spans="1:11" ht="12.75">
      <c r="A218" s="1">
        <f t="shared" si="0"/>
        <v>4</v>
      </c>
      <c r="B218" s="64">
        <v>1968</v>
      </c>
      <c r="C218" s="86" t="s">
        <v>516</v>
      </c>
      <c r="D218" s="88"/>
      <c r="E218" s="88">
        <v>1</v>
      </c>
      <c r="F218" s="88">
        <v>0</v>
      </c>
      <c r="G218" s="88">
        <v>1</v>
      </c>
      <c r="H218" s="88"/>
      <c r="I218" s="88"/>
      <c r="J218" s="88">
        <v>1</v>
      </c>
      <c r="K218" s="88">
        <v>1</v>
      </c>
    </row>
    <row r="219" spans="1:11" ht="12.75">
      <c r="A219" s="1">
        <f t="shared" si="0"/>
        <v>0</v>
      </c>
      <c r="B219" s="64">
        <v>1969</v>
      </c>
      <c r="C219" s="86" t="s">
        <v>517</v>
      </c>
      <c r="D219" s="87"/>
      <c r="E219" s="88"/>
      <c r="F219" s="88">
        <v>0</v>
      </c>
      <c r="G219" s="88"/>
      <c r="H219" s="88"/>
      <c r="I219" s="88"/>
      <c r="J219" s="88"/>
      <c r="K219" s="88"/>
    </row>
    <row r="220" spans="1:11" ht="12.75">
      <c r="A220" s="1">
        <f t="shared" si="0"/>
        <v>2</v>
      </c>
      <c r="B220" s="64">
        <v>1969</v>
      </c>
      <c r="C220" s="86" t="s">
        <v>518</v>
      </c>
      <c r="D220" s="88"/>
      <c r="E220" s="88"/>
      <c r="F220" s="88">
        <v>0</v>
      </c>
      <c r="G220" s="88">
        <v>1</v>
      </c>
      <c r="H220" s="88">
        <v>1</v>
      </c>
      <c r="I220" s="88"/>
      <c r="J220" s="88"/>
      <c r="K220" s="88"/>
    </row>
    <row r="221" spans="1:11" ht="12.75">
      <c r="A221" s="1">
        <f t="shared" si="0"/>
        <v>0</v>
      </c>
      <c r="B221" s="64">
        <v>1969</v>
      </c>
      <c r="C221" s="86" t="s">
        <v>519</v>
      </c>
      <c r="D221" s="89"/>
      <c r="E221" s="88"/>
      <c r="F221" s="88">
        <v>0</v>
      </c>
      <c r="G221" s="88"/>
      <c r="H221" s="88"/>
      <c r="I221" s="88"/>
      <c r="J221" s="88"/>
      <c r="K221" s="88"/>
    </row>
    <row r="222" spans="1:11" ht="12.75">
      <c r="A222" s="1">
        <f t="shared" si="0"/>
        <v>3</v>
      </c>
      <c r="B222" s="64">
        <v>1969</v>
      </c>
      <c r="C222" s="86" t="s">
        <v>151</v>
      </c>
      <c r="D222" s="88"/>
      <c r="E222" s="88"/>
      <c r="F222" s="88">
        <v>0</v>
      </c>
      <c r="G222" s="88">
        <v>1</v>
      </c>
      <c r="H222" s="88"/>
      <c r="I222" s="88"/>
      <c r="J222" s="88">
        <v>1</v>
      </c>
      <c r="K222" s="88">
        <v>1</v>
      </c>
    </row>
    <row r="223" spans="1:11" ht="12.75">
      <c r="A223" s="1">
        <f t="shared" si="0"/>
        <v>0</v>
      </c>
      <c r="B223" s="64">
        <v>1969</v>
      </c>
      <c r="C223" s="86" t="s">
        <v>520</v>
      </c>
      <c r="D223" s="88"/>
      <c r="E223" s="88"/>
      <c r="F223" s="88">
        <v>0</v>
      </c>
      <c r="G223" s="88"/>
      <c r="H223" s="88"/>
      <c r="I223" s="88"/>
      <c r="J223" s="88"/>
      <c r="K223" s="88"/>
    </row>
    <row r="224" spans="1:11" ht="12.75">
      <c r="A224" s="1">
        <f t="shared" si="0"/>
        <v>0</v>
      </c>
      <c r="B224" s="64">
        <v>1969</v>
      </c>
      <c r="C224" s="86" t="s">
        <v>521</v>
      </c>
      <c r="D224" s="87"/>
      <c r="E224" s="88"/>
      <c r="F224" s="88">
        <v>0</v>
      </c>
      <c r="G224" s="88"/>
      <c r="H224" s="88"/>
      <c r="I224" s="88"/>
      <c r="J224" s="88"/>
      <c r="K224" s="88"/>
    </row>
    <row r="225" spans="1:11" ht="12.75">
      <c r="A225" s="1">
        <f t="shared" si="0"/>
        <v>0</v>
      </c>
      <c r="B225" s="64">
        <v>1970</v>
      </c>
      <c r="C225" s="86" t="s">
        <v>522</v>
      </c>
      <c r="D225" s="88"/>
      <c r="E225" s="88"/>
      <c r="F225" s="88">
        <v>0</v>
      </c>
      <c r="G225" s="88"/>
      <c r="H225" s="88"/>
      <c r="I225" s="88"/>
      <c r="J225" s="88"/>
      <c r="K225" s="88"/>
    </row>
    <row r="226" spans="1:11" ht="12.75">
      <c r="A226" s="1">
        <f t="shared" si="0"/>
        <v>0</v>
      </c>
      <c r="B226" s="64">
        <v>1970</v>
      </c>
      <c r="C226" s="86" t="s">
        <v>523</v>
      </c>
      <c r="D226" s="89"/>
      <c r="E226" s="88"/>
      <c r="F226" s="88">
        <v>0</v>
      </c>
      <c r="G226" s="88"/>
      <c r="H226" s="88"/>
      <c r="I226" s="88"/>
      <c r="J226" s="88"/>
      <c r="K226" s="88"/>
    </row>
    <row r="227" spans="1:11" ht="12.75">
      <c r="A227" s="1">
        <f t="shared" si="0"/>
        <v>5</v>
      </c>
      <c r="B227" s="64">
        <v>1971</v>
      </c>
      <c r="C227" s="86" t="s">
        <v>524</v>
      </c>
      <c r="D227" s="89"/>
      <c r="E227" s="88"/>
      <c r="F227" s="88">
        <v>1</v>
      </c>
      <c r="G227" s="88">
        <v>1</v>
      </c>
      <c r="H227" s="88">
        <v>1</v>
      </c>
      <c r="I227" s="88"/>
      <c r="J227" s="88">
        <v>1</v>
      </c>
      <c r="K227" s="88">
        <v>1</v>
      </c>
    </row>
    <row r="228" spans="1:11" ht="12.75">
      <c r="A228" s="1">
        <f t="shared" si="0"/>
        <v>2</v>
      </c>
      <c r="B228" s="64">
        <v>1971</v>
      </c>
      <c r="C228" s="86" t="s">
        <v>162</v>
      </c>
      <c r="D228" s="88"/>
      <c r="E228" s="88"/>
      <c r="F228" s="88">
        <v>0</v>
      </c>
      <c r="G228" s="88">
        <v>1</v>
      </c>
      <c r="H228" s="88"/>
      <c r="I228" s="88"/>
      <c r="J228" s="88"/>
      <c r="K228" s="88">
        <v>1</v>
      </c>
    </row>
    <row r="229" spans="1:11" ht="12.75">
      <c r="A229" s="1">
        <f t="shared" si="0"/>
        <v>0</v>
      </c>
      <c r="B229" s="64">
        <v>1971</v>
      </c>
      <c r="C229" s="86" t="s">
        <v>9</v>
      </c>
      <c r="D229" s="89"/>
      <c r="E229" s="88"/>
      <c r="F229" s="88">
        <v>0</v>
      </c>
      <c r="G229" s="88"/>
      <c r="H229" s="88"/>
      <c r="I229" s="88"/>
      <c r="J229" s="88"/>
      <c r="K229" s="88"/>
    </row>
    <row r="230" spans="1:11" ht="12.75">
      <c r="A230" s="1">
        <f t="shared" si="0"/>
        <v>0</v>
      </c>
      <c r="B230" s="64">
        <v>1972</v>
      </c>
      <c r="C230" s="86" t="s">
        <v>525</v>
      </c>
      <c r="D230" s="87"/>
      <c r="E230" s="88"/>
      <c r="F230" s="88">
        <v>0</v>
      </c>
      <c r="G230" s="88"/>
      <c r="H230" s="88"/>
      <c r="I230" s="88"/>
      <c r="J230" s="88"/>
      <c r="K230" s="88"/>
    </row>
    <row r="231" spans="1:11" ht="12.75">
      <c r="A231" s="1">
        <f t="shared" si="0"/>
        <v>1</v>
      </c>
      <c r="B231" s="64">
        <v>1972</v>
      </c>
      <c r="C231" s="86" t="s">
        <v>526</v>
      </c>
      <c r="D231" s="88"/>
      <c r="E231" s="88"/>
      <c r="F231" s="88">
        <v>0</v>
      </c>
      <c r="G231" s="88">
        <v>1</v>
      </c>
      <c r="H231" s="88"/>
      <c r="I231" s="88"/>
      <c r="J231" s="88"/>
      <c r="K231" s="88"/>
    </row>
    <row r="232" spans="1:11" ht="12.75">
      <c r="A232" s="1">
        <f t="shared" si="0"/>
        <v>0</v>
      </c>
      <c r="B232" s="64">
        <v>1972</v>
      </c>
      <c r="C232" s="86" t="s">
        <v>527</v>
      </c>
      <c r="D232" s="88"/>
      <c r="E232" s="88"/>
      <c r="F232" s="88">
        <v>0</v>
      </c>
      <c r="G232" s="88"/>
      <c r="H232" s="88"/>
      <c r="I232" s="88"/>
      <c r="J232" s="88"/>
      <c r="K232" s="88"/>
    </row>
    <row r="233" spans="1:11" ht="12.75">
      <c r="A233" s="1">
        <f t="shared" si="0"/>
        <v>0</v>
      </c>
      <c r="B233" s="64">
        <v>1972</v>
      </c>
      <c r="C233" s="86" t="s">
        <v>528</v>
      </c>
      <c r="D233" s="88"/>
      <c r="E233" s="88"/>
      <c r="F233" s="88">
        <v>0</v>
      </c>
      <c r="G233" s="88"/>
      <c r="H233" s="88"/>
      <c r="I233" s="88"/>
      <c r="J233" s="88"/>
      <c r="K233" s="88"/>
    </row>
    <row r="234" spans="1:11" ht="12.75">
      <c r="A234" s="1">
        <f t="shared" si="0"/>
        <v>1</v>
      </c>
      <c r="B234" s="64">
        <v>1972</v>
      </c>
      <c r="C234" s="86" t="s">
        <v>529</v>
      </c>
      <c r="D234" s="89"/>
      <c r="E234" s="88"/>
      <c r="F234" s="88">
        <v>1</v>
      </c>
      <c r="G234" s="88"/>
      <c r="H234" s="88"/>
      <c r="I234" s="88"/>
      <c r="J234" s="88"/>
      <c r="K234" s="88"/>
    </row>
    <row r="235" spans="1:11" ht="12.75">
      <c r="A235" s="1">
        <f t="shared" si="0"/>
        <v>0</v>
      </c>
      <c r="B235" s="64">
        <v>1972</v>
      </c>
      <c r="C235" s="86" t="s">
        <v>530</v>
      </c>
      <c r="D235" s="88"/>
      <c r="E235" s="88"/>
      <c r="F235" s="88">
        <v>0</v>
      </c>
      <c r="G235" s="88"/>
      <c r="H235" s="88"/>
      <c r="I235" s="88"/>
      <c r="J235" s="88"/>
      <c r="K235" s="88"/>
    </row>
    <row r="236" spans="1:11" ht="12.75">
      <c r="A236" s="1">
        <f t="shared" si="0"/>
        <v>6</v>
      </c>
      <c r="B236" s="64">
        <v>1972</v>
      </c>
      <c r="C236" s="86" t="s">
        <v>531</v>
      </c>
      <c r="D236" s="88"/>
      <c r="E236" s="88">
        <v>1</v>
      </c>
      <c r="F236" s="88">
        <v>1</v>
      </c>
      <c r="G236" s="88">
        <v>1</v>
      </c>
      <c r="H236" s="88">
        <v>1</v>
      </c>
      <c r="I236" s="88"/>
      <c r="J236" s="88">
        <v>1</v>
      </c>
      <c r="K236" s="88">
        <v>1</v>
      </c>
    </row>
    <row r="237" spans="1:11" ht="12.75">
      <c r="A237" s="1">
        <f t="shared" si="0"/>
        <v>0</v>
      </c>
      <c r="B237" s="64">
        <v>1973</v>
      </c>
      <c r="C237" s="86" t="s">
        <v>532</v>
      </c>
      <c r="D237" s="87"/>
      <c r="E237" s="88"/>
      <c r="F237" s="88">
        <v>0</v>
      </c>
      <c r="G237" s="88"/>
      <c r="H237" s="88"/>
      <c r="I237" s="88"/>
      <c r="J237" s="88"/>
      <c r="K237" s="88"/>
    </row>
    <row r="238" spans="1:11" ht="12.75">
      <c r="A238" s="1">
        <f t="shared" si="0"/>
        <v>0</v>
      </c>
      <c r="B238" s="64">
        <v>1973</v>
      </c>
      <c r="C238" s="86" t="s">
        <v>533</v>
      </c>
      <c r="D238" s="88"/>
      <c r="E238" s="88"/>
      <c r="F238" s="88">
        <v>0</v>
      </c>
      <c r="G238" s="88"/>
      <c r="H238" s="88"/>
      <c r="I238" s="88"/>
      <c r="J238" s="88"/>
      <c r="K238" s="88"/>
    </row>
    <row r="239" spans="1:11" ht="12.75">
      <c r="A239" s="1">
        <f t="shared" si="0"/>
        <v>0</v>
      </c>
      <c r="B239" s="64">
        <v>1973</v>
      </c>
      <c r="C239" s="86" t="s">
        <v>534</v>
      </c>
      <c r="D239" s="88"/>
      <c r="E239" s="88"/>
      <c r="F239" s="88">
        <v>0</v>
      </c>
      <c r="G239" s="88"/>
      <c r="H239" s="88"/>
      <c r="I239" s="88"/>
      <c r="J239" s="88"/>
      <c r="K239" s="88"/>
    </row>
    <row r="240" spans="1:11" ht="12.75">
      <c r="A240" s="1">
        <f t="shared" si="0"/>
        <v>3</v>
      </c>
      <c r="B240" s="64">
        <v>1973</v>
      </c>
      <c r="C240" s="86" t="s">
        <v>161</v>
      </c>
      <c r="D240" s="88"/>
      <c r="E240" s="88"/>
      <c r="F240" s="88">
        <v>0</v>
      </c>
      <c r="G240" s="88">
        <v>1</v>
      </c>
      <c r="H240" s="88"/>
      <c r="I240" s="88"/>
      <c r="J240" s="88">
        <v>1</v>
      </c>
      <c r="K240" s="88">
        <v>1</v>
      </c>
    </row>
    <row r="241" spans="1:11" ht="12.75">
      <c r="A241" s="1">
        <f t="shared" si="0"/>
        <v>0</v>
      </c>
      <c r="B241" s="64">
        <v>1973</v>
      </c>
      <c r="C241" s="86" t="s">
        <v>535</v>
      </c>
      <c r="D241" s="89"/>
      <c r="E241" s="88"/>
      <c r="F241" s="88">
        <v>0</v>
      </c>
      <c r="G241" s="88"/>
      <c r="H241" s="88"/>
      <c r="I241" s="88"/>
      <c r="J241" s="88"/>
      <c r="K241" s="88"/>
    </row>
    <row r="242" spans="1:11" ht="12.75">
      <c r="A242" s="1">
        <f t="shared" si="0"/>
        <v>0</v>
      </c>
      <c r="B242" s="64">
        <v>1973</v>
      </c>
      <c r="C242" s="86" t="s">
        <v>536</v>
      </c>
      <c r="D242" s="88"/>
      <c r="E242" s="88"/>
      <c r="F242" s="88">
        <v>0</v>
      </c>
      <c r="G242" s="88"/>
      <c r="H242" s="88"/>
      <c r="I242" s="88"/>
      <c r="J242" s="88"/>
      <c r="K242" s="88"/>
    </row>
    <row r="243" spans="1:11" ht="12.75">
      <c r="A243" s="1">
        <f t="shared" si="0"/>
        <v>2</v>
      </c>
      <c r="B243" s="64">
        <v>1973</v>
      </c>
      <c r="C243" s="86" t="s">
        <v>158</v>
      </c>
      <c r="D243" s="87"/>
      <c r="E243" s="88"/>
      <c r="F243" s="88">
        <v>0</v>
      </c>
      <c r="G243" s="88">
        <v>1</v>
      </c>
      <c r="H243" s="88"/>
      <c r="I243" s="88"/>
      <c r="J243" s="88"/>
      <c r="K243" s="88">
        <v>1</v>
      </c>
    </row>
    <row r="244" spans="1:11" ht="12.75">
      <c r="A244" s="1">
        <f t="shared" si="0"/>
        <v>0</v>
      </c>
      <c r="B244" s="64">
        <v>1974</v>
      </c>
      <c r="C244" s="86" t="s">
        <v>537</v>
      </c>
      <c r="D244" s="89"/>
      <c r="E244" s="88"/>
      <c r="F244" s="88">
        <v>0</v>
      </c>
      <c r="G244" s="88"/>
      <c r="H244" s="88"/>
      <c r="I244" s="88"/>
      <c r="J244" s="88"/>
      <c r="K244" s="88"/>
    </row>
    <row r="245" spans="1:11" ht="12.75">
      <c r="A245" s="1">
        <f t="shared" si="0"/>
        <v>0</v>
      </c>
      <c r="B245" s="64">
        <v>1974</v>
      </c>
      <c r="C245" s="86" t="s">
        <v>538</v>
      </c>
      <c r="D245" s="89"/>
      <c r="E245" s="88"/>
      <c r="F245" s="88">
        <v>0</v>
      </c>
      <c r="G245" s="88"/>
      <c r="H245" s="88"/>
      <c r="I245" s="88"/>
      <c r="J245" s="88"/>
      <c r="K245" s="88"/>
    </row>
    <row r="246" spans="1:11" ht="12.75">
      <c r="A246" s="1">
        <f t="shared" si="0"/>
        <v>0</v>
      </c>
      <c r="B246" s="64">
        <v>1974</v>
      </c>
      <c r="C246" s="86" t="s">
        <v>539</v>
      </c>
      <c r="D246" s="88"/>
      <c r="E246" s="88"/>
      <c r="F246" s="88">
        <v>0</v>
      </c>
      <c r="G246" s="88"/>
      <c r="H246" s="88"/>
      <c r="I246" s="88"/>
      <c r="J246" s="88"/>
      <c r="K246" s="88"/>
    </row>
    <row r="247" spans="1:11" ht="12.75">
      <c r="A247" s="1">
        <f t="shared" si="0"/>
        <v>4</v>
      </c>
      <c r="B247" s="64">
        <v>1974</v>
      </c>
      <c r="C247" s="86" t="s">
        <v>144</v>
      </c>
      <c r="D247" s="87"/>
      <c r="E247" s="88"/>
      <c r="F247" s="88">
        <v>0</v>
      </c>
      <c r="G247" s="88">
        <v>1</v>
      </c>
      <c r="H247" s="88">
        <v>1</v>
      </c>
      <c r="I247" s="88"/>
      <c r="J247" s="88">
        <v>1</v>
      </c>
      <c r="K247" s="88">
        <v>1</v>
      </c>
    </row>
    <row r="248" spans="1:11" ht="12.75">
      <c r="A248" s="1">
        <f t="shared" si="0"/>
        <v>0</v>
      </c>
      <c r="B248" s="64">
        <v>1974</v>
      </c>
      <c r="C248" s="86" t="s">
        <v>540</v>
      </c>
      <c r="D248" s="89"/>
      <c r="E248" s="88"/>
      <c r="F248" s="88">
        <v>0</v>
      </c>
      <c r="G248" s="88"/>
      <c r="H248" s="88"/>
      <c r="I248" s="88"/>
      <c r="J248" s="88"/>
      <c r="K248" s="88"/>
    </row>
    <row r="249" spans="1:11" ht="12.75">
      <c r="A249" s="1">
        <f t="shared" si="0"/>
        <v>1</v>
      </c>
      <c r="B249" s="64">
        <v>1974</v>
      </c>
      <c r="C249" s="86" t="s">
        <v>541</v>
      </c>
      <c r="D249" s="88"/>
      <c r="E249" s="88"/>
      <c r="F249" s="88">
        <v>0</v>
      </c>
      <c r="G249" s="88"/>
      <c r="H249" s="88"/>
      <c r="I249" s="88"/>
      <c r="J249" s="88"/>
      <c r="K249" s="88">
        <v>1</v>
      </c>
    </row>
    <row r="250" spans="1:11" ht="12.75">
      <c r="A250" s="1">
        <f t="shared" si="0"/>
        <v>0</v>
      </c>
      <c r="B250" s="64">
        <v>1974</v>
      </c>
      <c r="C250" s="86" t="s">
        <v>542</v>
      </c>
      <c r="D250" s="88"/>
      <c r="E250" s="88"/>
      <c r="F250" s="88">
        <v>0</v>
      </c>
      <c r="G250" s="88"/>
      <c r="H250" s="88"/>
      <c r="I250" s="88"/>
      <c r="J250" s="88"/>
      <c r="K250" s="88"/>
    </row>
    <row r="251" spans="1:11" ht="12.75">
      <c r="A251" s="1">
        <f t="shared" si="0"/>
        <v>5</v>
      </c>
      <c r="B251" s="64">
        <v>1974</v>
      </c>
      <c r="C251" s="86" t="s">
        <v>543</v>
      </c>
      <c r="D251" s="89"/>
      <c r="E251" s="88"/>
      <c r="F251" s="88">
        <v>1</v>
      </c>
      <c r="G251" s="88">
        <v>1</v>
      </c>
      <c r="H251" s="88">
        <v>1</v>
      </c>
      <c r="I251" s="88"/>
      <c r="J251" s="88">
        <v>1</v>
      </c>
      <c r="K251" s="88">
        <v>1</v>
      </c>
    </row>
    <row r="252" spans="1:11" ht="12.75">
      <c r="A252" s="1">
        <f t="shared" si="0"/>
        <v>0</v>
      </c>
      <c r="B252" s="64">
        <v>1974</v>
      </c>
      <c r="C252" s="86" t="s">
        <v>544</v>
      </c>
      <c r="D252" s="88"/>
      <c r="E252" s="88"/>
      <c r="F252" s="88">
        <v>0</v>
      </c>
      <c r="G252" s="88"/>
      <c r="H252" s="88"/>
      <c r="I252" s="88"/>
      <c r="J252" s="88"/>
      <c r="K252" s="88"/>
    </row>
    <row r="253" spans="1:11" ht="12.75">
      <c r="A253" s="1">
        <f t="shared" si="0"/>
        <v>2</v>
      </c>
      <c r="B253" s="64">
        <v>1975</v>
      </c>
      <c r="C253" s="86" t="s">
        <v>545</v>
      </c>
      <c r="D253" s="89"/>
      <c r="E253" s="88"/>
      <c r="F253" s="88">
        <v>0</v>
      </c>
      <c r="G253" s="88">
        <v>1</v>
      </c>
      <c r="H253" s="88"/>
      <c r="I253" s="88"/>
      <c r="J253" s="88"/>
      <c r="K253" s="88">
        <v>1</v>
      </c>
    </row>
    <row r="254" spans="1:11" ht="12.75">
      <c r="A254" s="1">
        <f t="shared" si="0"/>
        <v>0</v>
      </c>
      <c r="B254" s="64">
        <v>1975</v>
      </c>
      <c r="C254" s="86" t="s">
        <v>546</v>
      </c>
      <c r="D254" s="89"/>
      <c r="E254" s="88"/>
      <c r="F254" s="88">
        <v>0</v>
      </c>
      <c r="G254" s="88"/>
      <c r="H254" s="88"/>
      <c r="I254" s="88"/>
      <c r="J254" s="88"/>
      <c r="K254" s="88"/>
    </row>
    <row r="255" spans="1:11" ht="12.75">
      <c r="A255" s="1">
        <f t="shared" si="0"/>
        <v>3</v>
      </c>
      <c r="B255" s="64">
        <v>1975</v>
      </c>
      <c r="C255" s="86" t="s">
        <v>146</v>
      </c>
      <c r="D255" s="87"/>
      <c r="E255" s="88"/>
      <c r="F255" s="88">
        <v>0</v>
      </c>
      <c r="G255" s="88">
        <v>1</v>
      </c>
      <c r="H255" s="88"/>
      <c r="I255" s="88"/>
      <c r="J255" s="88">
        <v>1</v>
      </c>
      <c r="K255" s="88">
        <v>1</v>
      </c>
    </row>
    <row r="256" spans="1:11" ht="12.75">
      <c r="A256" s="1">
        <f t="shared" si="0"/>
        <v>5</v>
      </c>
      <c r="B256" s="64">
        <v>1975</v>
      </c>
      <c r="C256" s="86" t="s">
        <v>547</v>
      </c>
      <c r="D256" s="88"/>
      <c r="E256" s="88">
        <v>1</v>
      </c>
      <c r="F256" s="88">
        <v>0</v>
      </c>
      <c r="G256" s="88">
        <v>1</v>
      </c>
      <c r="H256" s="88">
        <v>1</v>
      </c>
      <c r="I256" s="88"/>
      <c r="J256" s="88">
        <v>1</v>
      </c>
      <c r="K256" s="88">
        <v>1</v>
      </c>
    </row>
    <row r="257" spans="1:11" ht="12.75">
      <c r="A257" s="1">
        <f t="shared" si="0"/>
        <v>0</v>
      </c>
      <c r="B257" s="64">
        <v>1975</v>
      </c>
      <c r="C257" s="86" t="s">
        <v>548</v>
      </c>
      <c r="D257" s="87"/>
      <c r="E257" s="88"/>
      <c r="F257" s="88">
        <v>0</v>
      </c>
      <c r="G257" s="88"/>
      <c r="H257" s="88"/>
      <c r="I257" s="88"/>
      <c r="J257" s="88"/>
      <c r="K257" s="88"/>
    </row>
    <row r="258" spans="1:11" ht="12.75">
      <c r="A258" s="1">
        <f t="shared" ref="A258:A512" si="1">SUM(D258:K258)</f>
        <v>0</v>
      </c>
      <c r="B258" s="64">
        <v>1975</v>
      </c>
      <c r="C258" s="86" t="s">
        <v>549</v>
      </c>
      <c r="D258" s="88"/>
      <c r="E258" s="88"/>
      <c r="F258" s="88">
        <v>0</v>
      </c>
      <c r="G258" s="88"/>
      <c r="H258" s="88"/>
      <c r="I258" s="88"/>
      <c r="J258" s="88"/>
      <c r="K258" s="88"/>
    </row>
    <row r="259" spans="1:11" ht="12.75">
      <c r="A259" s="1">
        <f t="shared" si="1"/>
        <v>0</v>
      </c>
      <c r="B259" s="64">
        <v>1975</v>
      </c>
      <c r="C259" s="86" t="s">
        <v>550</v>
      </c>
      <c r="D259" s="87"/>
      <c r="E259" s="88"/>
      <c r="F259" s="88">
        <v>0</v>
      </c>
      <c r="G259" s="88"/>
      <c r="H259" s="88"/>
      <c r="I259" s="88"/>
      <c r="J259" s="88"/>
      <c r="K259" s="88"/>
    </row>
    <row r="260" spans="1:11" ht="12.75">
      <c r="A260" s="1">
        <f t="shared" si="1"/>
        <v>4</v>
      </c>
      <c r="B260" s="64">
        <v>1975</v>
      </c>
      <c r="C260" s="86" t="s">
        <v>551</v>
      </c>
      <c r="D260" s="89"/>
      <c r="E260" s="88"/>
      <c r="F260" s="88">
        <v>1</v>
      </c>
      <c r="G260" s="88">
        <v>1</v>
      </c>
      <c r="H260" s="88"/>
      <c r="I260" s="88"/>
      <c r="J260" s="88">
        <v>1</v>
      </c>
      <c r="K260" s="88">
        <v>1</v>
      </c>
    </row>
    <row r="261" spans="1:11" ht="12.75">
      <c r="A261" s="1">
        <f t="shared" si="1"/>
        <v>2</v>
      </c>
      <c r="B261" s="64">
        <v>1975</v>
      </c>
      <c r="C261" s="86" t="s">
        <v>175</v>
      </c>
      <c r="D261" s="88"/>
      <c r="E261" s="88"/>
      <c r="F261" s="88">
        <v>0</v>
      </c>
      <c r="G261" s="88">
        <v>1</v>
      </c>
      <c r="H261" s="88"/>
      <c r="I261" s="88"/>
      <c r="J261" s="88"/>
      <c r="K261" s="88">
        <v>1</v>
      </c>
    </row>
    <row r="262" spans="1:11" ht="12.75">
      <c r="A262" s="1">
        <f t="shared" si="1"/>
        <v>6</v>
      </c>
      <c r="B262" s="64">
        <v>1975</v>
      </c>
      <c r="C262" s="86" t="s">
        <v>552</v>
      </c>
      <c r="D262" s="87"/>
      <c r="E262" s="88">
        <v>1</v>
      </c>
      <c r="F262" s="88">
        <v>1</v>
      </c>
      <c r="G262" s="88">
        <v>1</v>
      </c>
      <c r="H262" s="88">
        <v>1</v>
      </c>
      <c r="I262" s="88"/>
      <c r="J262" s="88">
        <v>1</v>
      </c>
      <c r="K262" s="88">
        <v>1</v>
      </c>
    </row>
    <row r="263" spans="1:11" ht="12.75">
      <c r="A263" s="1">
        <f t="shared" si="1"/>
        <v>0</v>
      </c>
      <c r="B263" s="64">
        <v>1975</v>
      </c>
      <c r="C263" s="86" t="s">
        <v>553</v>
      </c>
      <c r="D263" s="88"/>
      <c r="E263" s="88"/>
      <c r="F263" s="88">
        <v>0</v>
      </c>
      <c r="G263" s="88"/>
      <c r="H263" s="88"/>
      <c r="I263" s="88"/>
      <c r="J263" s="88"/>
      <c r="K263" s="88"/>
    </row>
    <row r="264" spans="1:11" ht="12.75">
      <c r="A264" s="1">
        <f t="shared" si="1"/>
        <v>1</v>
      </c>
      <c r="B264" s="64">
        <v>1976</v>
      </c>
      <c r="C264" s="86" t="s">
        <v>554</v>
      </c>
      <c r="D264" s="88"/>
      <c r="E264" s="88"/>
      <c r="F264" s="88">
        <v>0</v>
      </c>
      <c r="G264" s="88"/>
      <c r="H264" s="88"/>
      <c r="I264" s="88"/>
      <c r="J264" s="88"/>
      <c r="K264" s="88">
        <v>1</v>
      </c>
    </row>
    <row r="265" spans="1:11" ht="12.75">
      <c r="A265" s="1">
        <f t="shared" si="1"/>
        <v>1</v>
      </c>
      <c r="B265" s="64">
        <v>1976</v>
      </c>
      <c r="C265" s="86" t="s">
        <v>78</v>
      </c>
      <c r="D265" s="88"/>
      <c r="E265" s="88"/>
      <c r="F265" s="88">
        <v>0</v>
      </c>
      <c r="G265" s="88"/>
      <c r="H265" s="88"/>
      <c r="I265" s="88"/>
      <c r="J265" s="88"/>
      <c r="K265" s="88">
        <v>1</v>
      </c>
    </row>
    <row r="266" spans="1:11" ht="12.75">
      <c r="A266" s="1">
        <f t="shared" si="1"/>
        <v>6</v>
      </c>
      <c r="B266" s="64">
        <v>1976</v>
      </c>
      <c r="C266" s="86" t="s">
        <v>555</v>
      </c>
      <c r="D266" s="88"/>
      <c r="E266" s="88">
        <v>1</v>
      </c>
      <c r="F266" s="88">
        <v>1</v>
      </c>
      <c r="G266" s="88">
        <v>1</v>
      </c>
      <c r="H266" s="88">
        <v>1</v>
      </c>
      <c r="I266" s="88"/>
      <c r="J266" s="88">
        <v>1</v>
      </c>
      <c r="K266" s="88">
        <v>1</v>
      </c>
    </row>
    <row r="267" spans="1:11" ht="12.75">
      <c r="A267" s="1">
        <f t="shared" si="1"/>
        <v>4</v>
      </c>
      <c r="B267" s="64">
        <v>1976</v>
      </c>
      <c r="C267" s="86" t="s">
        <v>556</v>
      </c>
      <c r="D267" s="87"/>
      <c r="E267" s="88"/>
      <c r="F267" s="88">
        <v>0</v>
      </c>
      <c r="G267" s="88">
        <v>1</v>
      </c>
      <c r="H267" s="88">
        <v>1</v>
      </c>
      <c r="I267" s="88"/>
      <c r="J267" s="88">
        <v>1</v>
      </c>
      <c r="K267" s="88">
        <v>1</v>
      </c>
    </row>
    <row r="268" spans="1:11" ht="12.75">
      <c r="A268" s="1">
        <f t="shared" si="1"/>
        <v>0</v>
      </c>
      <c r="B268" s="64">
        <v>1977</v>
      </c>
      <c r="C268" s="86" t="s">
        <v>557</v>
      </c>
      <c r="D268" s="88"/>
      <c r="E268" s="88"/>
      <c r="F268" s="88">
        <v>0</v>
      </c>
      <c r="G268" s="88"/>
      <c r="H268" s="88"/>
      <c r="I268" s="88"/>
      <c r="J268" s="88"/>
      <c r="K268" s="88"/>
    </row>
    <row r="269" spans="1:11" ht="12.75">
      <c r="A269" s="1">
        <f t="shared" si="1"/>
        <v>1</v>
      </c>
      <c r="B269" s="64">
        <v>1977</v>
      </c>
      <c r="C269" s="86" t="s">
        <v>558</v>
      </c>
      <c r="D269" s="87"/>
      <c r="E269" s="88"/>
      <c r="F269" s="88">
        <v>0</v>
      </c>
      <c r="G269" s="88">
        <v>1</v>
      </c>
      <c r="H269" s="88"/>
      <c r="I269" s="88"/>
      <c r="J269" s="88"/>
      <c r="K269" s="88"/>
    </row>
    <row r="270" spans="1:11" ht="12.75">
      <c r="A270" s="1">
        <f t="shared" si="1"/>
        <v>0</v>
      </c>
      <c r="B270" s="64">
        <v>1977</v>
      </c>
      <c r="C270" s="86" t="s">
        <v>559</v>
      </c>
      <c r="D270" s="88"/>
      <c r="E270" s="88"/>
      <c r="F270" s="88">
        <v>0</v>
      </c>
      <c r="G270" s="88"/>
      <c r="H270" s="88"/>
      <c r="I270" s="88"/>
      <c r="J270" s="88"/>
      <c r="K270" s="88"/>
    </row>
    <row r="271" spans="1:11" ht="12.75">
      <c r="A271" s="1">
        <f t="shared" si="1"/>
        <v>5</v>
      </c>
      <c r="B271" s="64">
        <v>1977</v>
      </c>
      <c r="C271" s="86" t="s">
        <v>560</v>
      </c>
      <c r="D271" s="89"/>
      <c r="E271" s="88"/>
      <c r="F271" s="88">
        <v>1</v>
      </c>
      <c r="G271" s="88">
        <v>1</v>
      </c>
      <c r="H271" s="88">
        <v>1</v>
      </c>
      <c r="I271" s="88"/>
      <c r="J271" s="88">
        <v>1</v>
      </c>
      <c r="K271" s="88">
        <v>1</v>
      </c>
    </row>
    <row r="272" spans="1:11" ht="12.75">
      <c r="A272" s="1">
        <f t="shared" si="1"/>
        <v>0</v>
      </c>
      <c r="B272" s="64">
        <v>1977</v>
      </c>
      <c r="C272" s="86" t="s">
        <v>561</v>
      </c>
      <c r="D272" s="88"/>
      <c r="E272" s="88"/>
      <c r="F272" s="88">
        <v>0</v>
      </c>
      <c r="G272" s="88"/>
      <c r="H272" s="88"/>
      <c r="I272" s="88"/>
      <c r="J272" s="88"/>
      <c r="K272" s="88"/>
    </row>
    <row r="273" spans="1:11" ht="12.75">
      <c r="A273" s="1">
        <f t="shared" si="1"/>
        <v>0</v>
      </c>
      <c r="B273" s="64">
        <v>1977</v>
      </c>
      <c r="C273" s="86" t="s">
        <v>562</v>
      </c>
      <c r="D273" s="88"/>
      <c r="E273" s="88"/>
      <c r="F273" s="88">
        <v>0</v>
      </c>
      <c r="G273" s="88"/>
      <c r="H273" s="88"/>
      <c r="I273" s="88"/>
      <c r="J273" s="88"/>
      <c r="K273" s="88"/>
    </row>
    <row r="274" spans="1:11" ht="12.75">
      <c r="A274" s="1">
        <f t="shared" si="1"/>
        <v>0</v>
      </c>
      <c r="B274" s="64">
        <v>1978</v>
      </c>
      <c r="C274" s="86" t="s">
        <v>563</v>
      </c>
      <c r="D274" s="89"/>
      <c r="E274" s="88"/>
      <c r="F274" s="88">
        <v>0</v>
      </c>
      <c r="G274" s="88"/>
      <c r="H274" s="88"/>
      <c r="I274" s="88"/>
      <c r="J274" s="88"/>
      <c r="K274" s="88"/>
    </row>
    <row r="275" spans="1:11" ht="12.75">
      <c r="A275" s="1">
        <f t="shared" si="1"/>
        <v>1</v>
      </c>
      <c r="B275" s="64">
        <v>1978</v>
      </c>
      <c r="C275" s="86" t="s">
        <v>564</v>
      </c>
      <c r="D275" s="88"/>
      <c r="E275" s="88"/>
      <c r="F275" s="88">
        <v>0</v>
      </c>
      <c r="G275" s="88"/>
      <c r="H275" s="88"/>
      <c r="I275" s="88"/>
      <c r="J275" s="88"/>
      <c r="K275" s="88">
        <v>1</v>
      </c>
    </row>
    <row r="276" spans="1:11" ht="12.75">
      <c r="A276" s="1">
        <f t="shared" si="1"/>
        <v>5</v>
      </c>
      <c r="B276" s="64">
        <v>1978</v>
      </c>
      <c r="C276" s="86" t="s">
        <v>565</v>
      </c>
      <c r="D276" s="87"/>
      <c r="E276" s="88"/>
      <c r="F276" s="88">
        <v>1</v>
      </c>
      <c r="G276" s="88">
        <v>1</v>
      </c>
      <c r="H276" s="88">
        <v>1</v>
      </c>
      <c r="I276" s="88"/>
      <c r="J276" s="88">
        <v>1</v>
      </c>
      <c r="K276" s="88">
        <v>1</v>
      </c>
    </row>
    <row r="277" spans="1:11" ht="12.75">
      <c r="A277" s="1">
        <f t="shared" si="1"/>
        <v>6</v>
      </c>
      <c r="B277" s="64">
        <v>1979</v>
      </c>
      <c r="C277" s="86" t="s">
        <v>566</v>
      </c>
      <c r="D277" s="89"/>
      <c r="E277" s="88">
        <v>1</v>
      </c>
      <c r="F277" s="88">
        <v>1</v>
      </c>
      <c r="G277" s="88">
        <v>1</v>
      </c>
      <c r="H277" s="88">
        <v>1</v>
      </c>
      <c r="I277" s="88"/>
      <c r="J277" s="88">
        <v>1</v>
      </c>
      <c r="K277" s="88">
        <v>1</v>
      </c>
    </row>
    <row r="278" spans="1:11" ht="12.75">
      <c r="A278" s="1">
        <f t="shared" si="1"/>
        <v>5</v>
      </c>
      <c r="B278" s="64">
        <v>1979</v>
      </c>
      <c r="C278" s="86" t="s">
        <v>567</v>
      </c>
      <c r="D278" s="89"/>
      <c r="E278" s="88"/>
      <c r="F278" s="88">
        <v>1</v>
      </c>
      <c r="G278" s="88">
        <v>1</v>
      </c>
      <c r="H278" s="88">
        <v>1</v>
      </c>
      <c r="I278" s="88"/>
      <c r="J278" s="88">
        <v>1</v>
      </c>
      <c r="K278" s="88">
        <v>1</v>
      </c>
    </row>
    <row r="279" spans="1:11" ht="12.75">
      <c r="A279" s="1">
        <f t="shared" si="1"/>
        <v>0</v>
      </c>
      <c r="B279" s="64">
        <v>1979</v>
      </c>
      <c r="C279" s="86" t="s">
        <v>568</v>
      </c>
      <c r="D279" s="88"/>
      <c r="E279" s="88"/>
      <c r="F279" s="88">
        <v>0</v>
      </c>
      <c r="G279" s="88"/>
      <c r="H279" s="88"/>
      <c r="I279" s="88"/>
      <c r="J279" s="88"/>
      <c r="K279" s="88"/>
    </row>
    <row r="280" spans="1:11" ht="12.75">
      <c r="A280" s="1">
        <f t="shared" si="1"/>
        <v>2</v>
      </c>
      <c r="B280" s="64">
        <v>1979</v>
      </c>
      <c r="C280" s="86" t="s">
        <v>569</v>
      </c>
      <c r="D280" s="88"/>
      <c r="E280" s="88"/>
      <c r="F280" s="88">
        <v>0</v>
      </c>
      <c r="G280" s="88">
        <v>1</v>
      </c>
      <c r="H280" s="88"/>
      <c r="I280" s="88"/>
      <c r="J280" s="88"/>
      <c r="K280" s="88">
        <v>1</v>
      </c>
    </row>
    <row r="281" spans="1:11" ht="12.75">
      <c r="A281" s="1">
        <f t="shared" si="1"/>
        <v>4</v>
      </c>
      <c r="B281" s="64">
        <v>1979</v>
      </c>
      <c r="C281" s="86" t="s">
        <v>133</v>
      </c>
      <c r="D281" s="88"/>
      <c r="E281" s="88">
        <v>1</v>
      </c>
      <c r="F281" s="88">
        <v>0</v>
      </c>
      <c r="G281" s="88">
        <v>1</v>
      </c>
      <c r="H281" s="88"/>
      <c r="I281" s="88"/>
      <c r="J281" s="88">
        <v>1</v>
      </c>
      <c r="K281" s="88">
        <v>1</v>
      </c>
    </row>
    <row r="282" spans="1:11" ht="12.75">
      <c r="A282" s="1">
        <f t="shared" si="1"/>
        <v>2</v>
      </c>
      <c r="B282" s="64">
        <v>1979</v>
      </c>
      <c r="C282" s="86" t="s">
        <v>570</v>
      </c>
      <c r="D282" s="87"/>
      <c r="E282" s="88"/>
      <c r="F282" s="88">
        <v>0</v>
      </c>
      <c r="G282" s="88">
        <v>1</v>
      </c>
      <c r="H282" s="88"/>
      <c r="I282" s="88"/>
      <c r="J282" s="88"/>
      <c r="K282" s="88">
        <v>1</v>
      </c>
    </row>
    <row r="283" spans="1:11" ht="12.75">
      <c r="A283" s="1">
        <f t="shared" si="1"/>
        <v>0</v>
      </c>
      <c r="B283" s="64">
        <v>1980</v>
      </c>
      <c r="C283" s="86" t="s">
        <v>571</v>
      </c>
      <c r="D283" s="88"/>
      <c r="E283" s="88"/>
      <c r="F283" s="88">
        <v>0</v>
      </c>
      <c r="G283" s="88"/>
      <c r="H283" s="88"/>
      <c r="I283" s="88"/>
      <c r="J283" s="88"/>
      <c r="K283" s="88"/>
    </row>
    <row r="284" spans="1:11" ht="12.75">
      <c r="A284" s="1">
        <f t="shared" si="1"/>
        <v>5</v>
      </c>
      <c r="B284" s="64">
        <v>1980</v>
      </c>
      <c r="C284" s="86" t="s">
        <v>135</v>
      </c>
      <c r="D284" s="89"/>
      <c r="E284" s="88"/>
      <c r="F284" s="88">
        <v>1</v>
      </c>
      <c r="G284" s="88">
        <v>1</v>
      </c>
      <c r="H284" s="88">
        <v>1</v>
      </c>
      <c r="I284" s="88"/>
      <c r="J284" s="88">
        <v>1</v>
      </c>
      <c r="K284" s="88">
        <v>1</v>
      </c>
    </row>
    <row r="285" spans="1:11" ht="12.75">
      <c r="A285" s="1">
        <f t="shared" si="1"/>
        <v>5</v>
      </c>
      <c r="B285" s="64">
        <v>1980</v>
      </c>
      <c r="C285" s="86" t="s">
        <v>572</v>
      </c>
      <c r="D285" s="87"/>
      <c r="E285" s="88"/>
      <c r="F285" s="88">
        <v>1</v>
      </c>
      <c r="G285" s="88">
        <v>1</v>
      </c>
      <c r="H285" s="88">
        <v>1</v>
      </c>
      <c r="I285" s="88"/>
      <c r="J285" s="88">
        <v>1</v>
      </c>
      <c r="K285" s="88">
        <v>1</v>
      </c>
    </row>
    <row r="286" spans="1:11" ht="12.75">
      <c r="A286" s="1">
        <f t="shared" si="1"/>
        <v>1</v>
      </c>
      <c r="B286" s="64">
        <v>1980</v>
      </c>
      <c r="C286" s="86" t="s">
        <v>573</v>
      </c>
      <c r="D286" s="89"/>
      <c r="E286" s="88"/>
      <c r="F286" s="88">
        <v>0</v>
      </c>
      <c r="G286" s="88">
        <v>1</v>
      </c>
      <c r="H286" s="88"/>
      <c r="I286" s="88"/>
      <c r="J286" s="88"/>
      <c r="K286" s="88"/>
    </row>
    <row r="287" spans="1:11" ht="12.75">
      <c r="A287" s="1">
        <f t="shared" si="1"/>
        <v>6</v>
      </c>
      <c r="B287" s="64">
        <v>1980</v>
      </c>
      <c r="C287" s="86" t="s">
        <v>574</v>
      </c>
      <c r="D287" s="87"/>
      <c r="E287" s="88">
        <v>1</v>
      </c>
      <c r="F287" s="88">
        <v>1</v>
      </c>
      <c r="G287" s="88">
        <v>1</v>
      </c>
      <c r="H287" s="88">
        <v>1</v>
      </c>
      <c r="I287" s="88"/>
      <c r="J287" s="88">
        <v>1</v>
      </c>
      <c r="K287" s="88">
        <v>1</v>
      </c>
    </row>
    <row r="288" spans="1:11" ht="12.75">
      <c r="A288" s="1">
        <f t="shared" si="1"/>
        <v>0</v>
      </c>
      <c r="B288" s="64">
        <v>1981</v>
      </c>
      <c r="C288" s="86" t="s">
        <v>575</v>
      </c>
      <c r="D288" s="89"/>
      <c r="E288" s="88"/>
      <c r="F288" s="88">
        <v>0</v>
      </c>
      <c r="G288" s="88"/>
      <c r="H288" s="88"/>
      <c r="I288" s="88"/>
      <c r="J288" s="88"/>
      <c r="K288" s="88"/>
    </row>
    <row r="289" spans="1:11" ht="12.75">
      <c r="A289" s="1">
        <f t="shared" si="1"/>
        <v>5</v>
      </c>
      <c r="B289" s="64">
        <v>1981</v>
      </c>
      <c r="C289" s="86" t="s">
        <v>576</v>
      </c>
      <c r="D289" s="89"/>
      <c r="E289" s="88"/>
      <c r="F289" s="88">
        <v>1</v>
      </c>
      <c r="G289" s="88">
        <v>1</v>
      </c>
      <c r="H289" s="88">
        <v>1</v>
      </c>
      <c r="I289" s="88"/>
      <c r="J289" s="88">
        <v>1</v>
      </c>
      <c r="K289" s="88">
        <v>1</v>
      </c>
    </row>
    <row r="290" spans="1:11" ht="12.75">
      <c r="A290" s="1">
        <f t="shared" si="1"/>
        <v>4</v>
      </c>
      <c r="B290" s="64">
        <v>1982</v>
      </c>
      <c r="C290" s="86" t="s">
        <v>577</v>
      </c>
      <c r="D290" s="89"/>
      <c r="E290" s="88"/>
      <c r="F290" s="88">
        <v>1</v>
      </c>
      <c r="G290" s="88">
        <v>1</v>
      </c>
      <c r="H290" s="88">
        <v>1</v>
      </c>
      <c r="I290" s="88"/>
      <c r="J290" s="88"/>
      <c r="K290" s="88">
        <v>1</v>
      </c>
    </row>
    <row r="291" spans="1:11" ht="12.75">
      <c r="A291" s="1">
        <f t="shared" si="1"/>
        <v>6</v>
      </c>
      <c r="B291" s="64">
        <v>1982</v>
      </c>
      <c r="C291" s="86" t="s">
        <v>578</v>
      </c>
      <c r="D291" s="88"/>
      <c r="E291" s="88">
        <v>1</v>
      </c>
      <c r="F291" s="88">
        <v>1</v>
      </c>
      <c r="G291" s="88">
        <v>1</v>
      </c>
      <c r="H291" s="88">
        <v>1</v>
      </c>
      <c r="I291" s="88"/>
      <c r="J291" s="88">
        <v>1</v>
      </c>
      <c r="K291" s="88">
        <v>1</v>
      </c>
    </row>
    <row r="292" spans="1:11" ht="12.75">
      <c r="A292" s="1">
        <f t="shared" si="1"/>
        <v>0</v>
      </c>
      <c r="B292" s="64">
        <v>1982</v>
      </c>
      <c r="C292" s="86" t="s">
        <v>579</v>
      </c>
      <c r="D292" s="87"/>
      <c r="E292" s="88"/>
      <c r="F292" s="88">
        <v>0</v>
      </c>
      <c r="G292" s="88"/>
      <c r="H292" s="88"/>
      <c r="I292" s="88"/>
      <c r="J292" s="88"/>
      <c r="K292" s="88"/>
    </row>
    <row r="293" spans="1:11" ht="12.75">
      <c r="A293" s="1">
        <f t="shared" si="1"/>
        <v>0</v>
      </c>
      <c r="B293" s="64">
        <v>1982</v>
      </c>
      <c r="C293" s="86" t="s">
        <v>580</v>
      </c>
      <c r="D293" s="88"/>
      <c r="E293" s="88"/>
      <c r="F293" s="88">
        <v>0</v>
      </c>
      <c r="G293" s="88"/>
      <c r="H293" s="88"/>
      <c r="I293" s="88"/>
      <c r="J293" s="88"/>
      <c r="K293" s="88"/>
    </row>
    <row r="294" spans="1:11" ht="12.75">
      <c r="A294" s="1">
        <f t="shared" si="1"/>
        <v>2</v>
      </c>
      <c r="B294" s="64">
        <v>1982</v>
      </c>
      <c r="C294" s="86" t="s">
        <v>581</v>
      </c>
      <c r="D294" s="88"/>
      <c r="E294" s="88"/>
      <c r="F294" s="88">
        <v>0</v>
      </c>
      <c r="G294" s="88">
        <v>1</v>
      </c>
      <c r="H294" s="88"/>
      <c r="I294" s="88"/>
      <c r="J294" s="88"/>
      <c r="K294" s="88">
        <v>1</v>
      </c>
    </row>
    <row r="295" spans="1:11" ht="12.75">
      <c r="A295" s="1">
        <f t="shared" si="1"/>
        <v>0</v>
      </c>
      <c r="B295" s="64">
        <v>1983</v>
      </c>
      <c r="C295" s="86" t="s">
        <v>582</v>
      </c>
      <c r="D295" s="88"/>
      <c r="E295" s="88"/>
      <c r="F295" s="88">
        <v>0</v>
      </c>
      <c r="G295" s="88"/>
      <c r="H295" s="88"/>
      <c r="I295" s="88"/>
      <c r="J295" s="88"/>
      <c r="K295" s="88"/>
    </row>
    <row r="296" spans="1:11" ht="12.75">
      <c r="A296" s="1">
        <f t="shared" si="1"/>
        <v>0</v>
      </c>
      <c r="B296" s="64">
        <v>1983</v>
      </c>
      <c r="C296" s="86" t="s">
        <v>583</v>
      </c>
      <c r="D296" s="89"/>
      <c r="E296" s="88"/>
      <c r="F296" s="88">
        <v>0</v>
      </c>
      <c r="G296" s="88"/>
      <c r="H296" s="88"/>
      <c r="I296" s="88"/>
      <c r="J296" s="88"/>
      <c r="K296" s="88"/>
    </row>
    <row r="297" spans="1:11" ht="12.75">
      <c r="A297" s="1">
        <f t="shared" si="1"/>
        <v>1</v>
      </c>
      <c r="B297" s="64">
        <v>1984</v>
      </c>
      <c r="C297" s="86" t="s">
        <v>584</v>
      </c>
      <c r="D297" s="89"/>
      <c r="E297" s="88"/>
      <c r="F297" s="88">
        <v>0</v>
      </c>
      <c r="G297" s="88">
        <v>1</v>
      </c>
      <c r="H297" s="88"/>
      <c r="I297" s="88"/>
      <c r="J297" s="88"/>
      <c r="K297" s="88"/>
    </row>
    <row r="298" spans="1:11" ht="12.75">
      <c r="A298" s="1">
        <f t="shared" si="1"/>
        <v>0</v>
      </c>
      <c r="B298" s="64">
        <v>1984</v>
      </c>
      <c r="C298" s="86" t="s">
        <v>585</v>
      </c>
      <c r="D298" s="88"/>
      <c r="E298" s="88"/>
      <c r="F298" s="88">
        <v>0</v>
      </c>
      <c r="G298" s="88"/>
      <c r="H298" s="88"/>
      <c r="I298" s="88"/>
      <c r="J298" s="88"/>
      <c r="K298" s="88"/>
    </row>
    <row r="299" spans="1:11" ht="12.75">
      <c r="A299" s="1">
        <f t="shared" si="1"/>
        <v>1</v>
      </c>
      <c r="B299" s="64">
        <v>1984</v>
      </c>
      <c r="C299" s="86" t="s">
        <v>586</v>
      </c>
      <c r="D299" s="87"/>
      <c r="E299" s="88"/>
      <c r="F299" s="88">
        <v>0</v>
      </c>
      <c r="G299" s="88">
        <v>1</v>
      </c>
      <c r="H299" s="88"/>
      <c r="I299" s="88"/>
      <c r="J299" s="88"/>
      <c r="K299" s="88"/>
    </row>
    <row r="300" spans="1:11" ht="12.75">
      <c r="A300" s="1">
        <f t="shared" si="1"/>
        <v>2</v>
      </c>
      <c r="B300" s="64">
        <v>1984</v>
      </c>
      <c r="C300" s="86" t="s">
        <v>180</v>
      </c>
      <c r="D300" s="89"/>
      <c r="E300" s="88"/>
      <c r="F300" s="88">
        <v>0</v>
      </c>
      <c r="G300" s="88">
        <v>1</v>
      </c>
      <c r="H300" s="88"/>
      <c r="I300" s="88"/>
      <c r="J300" s="88"/>
      <c r="K300" s="88">
        <v>1</v>
      </c>
    </row>
    <row r="301" spans="1:11" ht="12.75">
      <c r="A301" s="1">
        <f t="shared" si="1"/>
        <v>5</v>
      </c>
      <c r="B301" s="64">
        <v>1984</v>
      </c>
      <c r="C301" s="86" t="s">
        <v>587</v>
      </c>
      <c r="D301" s="88"/>
      <c r="E301" s="88">
        <v>1</v>
      </c>
      <c r="F301" s="88">
        <v>1</v>
      </c>
      <c r="G301" s="88">
        <v>1</v>
      </c>
      <c r="H301" s="88"/>
      <c r="I301" s="88"/>
      <c r="J301" s="88">
        <v>1</v>
      </c>
      <c r="K301" s="88">
        <v>1</v>
      </c>
    </row>
    <row r="302" spans="1:11" ht="12.75">
      <c r="A302" s="1">
        <f t="shared" si="1"/>
        <v>6</v>
      </c>
      <c r="B302" s="64">
        <v>1985</v>
      </c>
      <c r="C302" s="86" t="s">
        <v>588</v>
      </c>
      <c r="D302" s="89"/>
      <c r="E302" s="88">
        <v>1</v>
      </c>
      <c r="F302" s="88">
        <v>1</v>
      </c>
      <c r="G302" s="88">
        <v>1</v>
      </c>
      <c r="H302" s="88">
        <v>1</v>
      </c>
      <c r="I302" s="88"/>
      <c r="J302" s="88">
        <v>1</v>
      </c>
      <c r="K302" s="88">
        <v>1</v>
      </c>
    </row>
    <row r="303" spans="1:11" ht="12.75">
      <c r="A303" s="1">
        <f t="shared" si="1"/>
        <v>2</v>
      </c>
      <c r="B303" s="64">
        <v>1985</v>
      </c>
      <c r="C303" s="86" t="s">
        <v>167</v>
      </c>
      <c r="D303" s="88"/>
      <c r="E303" s="88"/>
      <c r="F303" s="88">
        <v>0</v>
      </c>
      <c r="G303" s="88">
        <v>1</v>
      </c>
      <c r="H303" s="88"/>
      <c r="I303" s="88"/>
      <c r="J303" s="88"/>
      <c r="K303" s="88">
        <v>1</v>
      </c>
    </row>
    <row r="304" spans="1:11" ht="12.75">
      <c r="A304" s="1">
        <f t="shared" si="1"/>
        <v>0</v>
      </c>
      <c r="B304" s="64">
        <v>1985</v>
      </c>
      <c r="C304" s="86" t="s">
        <v>589</v>
      </c>
      <c r="D304" s="89"/>
      <c r="E304" s="88"/>
      <c r="F304" s="88">
        <v>0</v>
      </c>
      <c r="G304" s="88"/>
      <c r="H304" s="88"/>
      <c r="I304" s="88"/>
      <c r="J304" s="88"/>
      <c r="K304" s="88"/>
    </row>
    <row r="305" spans="1:11" ht="12.75">
      <c r="A305" s="1">
        <f t="shared" si="1"/>
        <v>0</v>
      </c>
      <c r="B305" s="64">
        <v>1985</v>
      </c>
      <c r="C305" s="86" t="s">
        <v>590</v>
      </c>
      <c r="D305" s="87"/>
      <c r="E305" s="88"/>
      <c r="F305" s="88">
        <v>0</v>
      </c>
      <c r="G305" s="88"/>
      <c r="H305" s="88"/>
      <c r="I305" s="88"/>
      <c r="J305" s="88"/>
      <c r="K305" s="88"/>
    </row>
    <row r="306" spans="1:11" ht="12.75">
      <c r="A306" s="1">
        <f t="shared" si="1"/>
        <v>0</v>
      </c>
      <c r="B306" s="64">
        <v>1985</v>
      </c>
      <c r="C306" s="86" t="s">
        <v>591</v>
      </c>
      <c r="D306" s="88"/>
      <c r="E306" s="88"/>
      <c r="F306" s="88">
        <v>0</v>
      </c>
      <c r="G306" s="88"/>
      <c r="H306" s="88"/>
      <c r="I306" s="88"/>
      <c r="J306" s="88"/>
      <c r="K306" s="88"/>
    </row>
    <row r="307" spans="1:11" ht="12.75">
      <c r="A307" s="1">
        <f t="shared" si="1"/>
        <v>5</v>
      </c>
      <c r="B307" s="64">
        <v>1986</v>
      </c>
      <c r="C307" s="86" t="s">
        <v>592</v>
      </c>
      <c r="D307" s="89"/>
      <c r="E307" s="88">
        <v>1</v>
      </c>
      <c r="F307" s="88">
        <v>1</v>
      </c>
      <c r="G307" s="88">
        <v>1</v>
      </c>
      <c r="H307" s="88">
        <v>1</v>
      </c>
      <c r="I307" s="88"/>
      <c r="J307" s="88"/>
      <c r="K307" s="88">
        <v>1</v>
      </c>
    </row>
    <row r="308" spans="1:11" ht="12.75">
      <c r="A308" s="1">
        <f t="shared" si="1"/>
        <v>3</v>
      </c>
      <c r="B308" s="64">
        <v>1986</v>
      </c>
      <c r="C308" s="86" t="s">
        <v>593</v>
      </c>
      <c r="D308" s="88"/>
      <c r="E308" s="88"/>
      <c r="F308" s="88">
        <v>0</v>
      </c>
      <c r="G308" s="88">
        <v>1</v>
      </c>
      <c r="H308" s="88">
        <v>1</v>
      </c>
      <c r="I308" s="88"/>
      <c r="J308" s="88"/>
      <c r="K308" s="88">
        <v>1</v>
      </c>
    </row>
    <row r="309" spans="1:11" ht="12.75">
      <c r="A309" s="1">
        <f t="shared" si="1"/>
        <v>0</v>
      </c>
      <c r="B309" s="64">
        <v>1986</v>
      </c>
      <c r="C309" s="86" t="s">
        <v>594</v>
      </c>
      <c r="D309" s="88"/>
      <c r="E309" s="88"/>
      <c r="F309" s="88">
        <v>0</v>
      </c>
      <c r="G309" s="88"/>
      <c r="H309" s="88"/>
      <c r="I309" s="88"/>
      <c r="J309" s="88"/>
      <c r="K309" s="88"/>
    </row>
    <row r="310" spans="1:11" ht="12.75">
      <c r="A310" s="1">
        <f t="shared" si="1"/>
        <v>0</v>
      </c>
      <c r="B310" s="64">
        <v>1986</v>
      </c>
      <c r="C310" s="86" t="s">
        <v>595</v>
      </c>
      <c r="D310" s="88"/>
      <c r="E310" s="88"/>
      <c r="F310" s="88">
        <v>0</v>
      </c>
      <c r="G310" s="88"/>
      <c r="H310" s="88"/>
      <c r="I310" s="88"/>
      <c r="J310" s="88"/>
      <c r="K310" s="88"/>
    </row>
    <row r="311" spans="1:11" ht="12.75">
      <c r="A311" s="1">
        <f t="shared" si="1"/>
        <v>0</v>
      </c>
      <c r="B311" s="64">
        <v>1986</v>
      </c>
      <c r="C311" s="86" t="s">
        <v>596</v>
      </c>
      <c r="D311" s="88"/>
      <c r="E311" s="88"/>
      <c r="F311" s="88">
        <v>0</v>
      </c>
      <c r="G311" s="88"/>
      <c r="H311" s="88"/>
      <c r="I311" s="88"/>
      <c r="J311" s="88"/>
      <c r="K311" s="88"/>
    </row>
    <row r="312" spans="1:11" ht="12.75">
      <c r="A312" s="1">
        <f t="shared" si="1"/>
        <v>0</v>
      </c>
      <c r="B312" s="64">
        <v>1986</v>
      </c>
      <c r="C312" s="86" t="s">
        <v>597</v>
      </c>
      <c r="D312" s="88"/>
      <c r="E312" s="88"/>
      <c r="F312" s="88">
        <v>0</v>
      </c>
      <c r="G312" s="88"/>
      <c r="H312" s="88"/>
      <c r="I312" s="88"/>
      <c r="J312" s="88"/>
      <c r="K312" s="88"/>
    </row>
    <row r="313" spans="1:11" ht="12.75">
      <c r="A313" s="1">
        <f t="shared" si="1"/>
        <v>3</v>
      </c>
      <c r="B313" s="64">
        <v>1986</v>
      </c>
      <c r="C313" s="86" t="s">
        <v>598</v>
      </c>
      <c r="D313" s="88"/>
      <c r="E313" s="88"/>
      <c r="F313" s="88">
        <v>1</v>
      </c>
      <c r="G313" s="88"/>
      <c r="H313" s="88">
        <v>1</v>
      </c>
      <c r="I313" s="88"/>
      <c r="J313" s="88"/>
      <c r="K313" s="88">
        <v>1</v>
      </c>
    </row>
    <row r="314" spans="1:11" ht="12.75">
      <c r="A314" s="1">
        <f t="shared" si="1"/>
        <v>5</v>
      </c>
      <c r="B314" s="64">
        <v>1986</v>
      </c>
      <c r="C314" s="86" t="s">
        <v>599</v>
      </c>
      <c r="D314" s="88"/>
      <c r="E314" s="88"/>
      <c r="F314" s="88">
        <v>1</v>
      </c>
      <c r="G314" s="88">
        <v>1</v>
      </c>
      <c r="H314" s="88">
        <v>1</v>
      </c>
      <c r="I314" s="88"/>
      <c r="J314" s="88">
        <v>1</v>
      </c>
      <c r="K314" s="88">
        <v>1</v>
      </c>
    </row>
    <row r="315" spans="1:11" ht="12.75" hidden="1">
      <c r="A315" s="91">
        <f t="shared" si="1"/>
        <v>5</v>
      </c>
      <c r="B315" s="64">
        <v>1983</v>
      </c>
      <c r="C315" s="64" t="s">
        <v>600</v>
      </c>
      <c r="D315" s="88"/>
      <c r="E315" s="88">
        <v>1</v>
      </c>
      <c r="F315" s="88"/>
      <c r="G315" s="88">
        <v>1</v>
      </c>
      <c r="H315" s="88">
        <v>1</v>
      </c>
      <c r="I315" s="88"/>
      <c r="J315" s="88">
        <v>1</v>
      </c>
      <c r="K315" s="88">
        <v>1</v>
      </c>
    </row>
    <row r="316" spans="1:11" ht="12.75" hidden="1">
      <c r="A316" s="91">
        <f t="shared" si="1"/>
        <v>0</v>
      </c>
      <c r="B316" s="64">
        <v>1932</v>
      </c>
      <c r="C316" s="64" t="s">
        <v>600</v>
      </c>
      <c r="D316" s="88"/>
      <c r="E316" s="88"/>
      <c r="F316" s="88"/>
      <c r="G316" s="88"/>
      <c r="H316" s="88"/>
      <c r="I316" s="88"/>
      <c r="J316" s="88"/>
      <c r="K316" s="88"/>
    </row>
    <row r="317" spans="1:11" ht="12.75">
      <c r="A317" s="1">
        <f t="shared" si="1"/>
        <v>0</v>
      </c>
      <c r="B317" s="64">
        <v>1986</v>
      </c>
      <c r="C317" s="86" t="s">
        <v>601</v>
      </c>
      <c r="D317" s="88"/>
      <c r="E317" s="88"/>
      <c r="F317" s="88">
        <v>0</v>
      </c>
      <c r="G317" s="88"/>
      <c r="H317" s="88"/>
      <c r="I317" s="88"/>
      <c r="J317" s="88"/>
      <c r="K317" s="88"/>
    </row>
    <row r="318" spans="1:11" ht="12.75">
      <c r="A318" s="1">
        <f t="shared" si="1"/>
        <v>0</v>
      </c>
      <c r="B318" s="64">
        <v>1987</v>
      </c>
      <c r="C318" s="86" t="s">
        <v>602</v>
      </c>
      <c r="D318" s="88"/>
      <c r="E318" s="88"/>
      <c r="F318" s="88">
        <v>0</v>
      </c>
      <c r="G318" s="88"/>
      <c r="H318" s="88"/>
      <c r="I318" s="88"/>
      <c r="J318" s="88"/>
      <c r="K318" s="88"/>
    </row>
    <row r="319" spans="1:11" ht="12.75">
      <c r="A319" s="1">
        <f t="shared" si="1"/>
        <v>5</v>
      </c>
      <c r="B319" s="64">
        <v>1987</v>
      </c>
      <c r="C319" s="86" t="s">
        <v>603</v>
      </c>
      <c r="D319" s="89"/>
      <c r="E319" s="88"/>
      <c r="F319" s="88">
        <v>1</v>
      </c>
      <c r="G319" s="88">
        <v>1</v>
      </c>
      <c r="H319" s="88">
        <v>1</v>
      </c>
      <c r="I319" s="88"/>
      <c r="J319" s="88">
        <v>1</v>
      </c>
      <c r="K319" s="88">
        <v>1</v>
      </c>
    </row>
    <row r="320" spans="1:11" ht="12.75">
      <c r="A320" s="1">
        <f t="shared" si="1"/>
        <v>0</v>
      </c>
      <c r="B320" s="64">
        <v>1987</v>
      </c>
      <c r="C320" s="86" t="s">
        <v>604</v>
      </c>
      <c r="D320" s="88"/>
      <c r="E320" s="88"/>
      <c r="F320" s="88">
        <v>0</v>
      </c>
      <c r="G320" s="88"/>
      <c r="H320" s="88"/>
      <c r="I320" s="88"/>
      <c r="J320" s="88"/>
      <c r="K320" s="88"/>
    </row>
    <row r="321" spans="1:11" ht="12.75">
      <c r="A321" s="1">
        <f t="shared" si="1"/>
        <v>0</v>
      </c>
      <c r="B321" s="64">
        <v>1987</v>
      </c>
      <c r="C321" s="86" t="s">
        <v>605</v>
      </c>
      <c r="D321" s="87"/>
      <c r="E321" s="88"/>
      <c r="F321" s="88">
        <v>0</v>
      </c>
      <c r="G321" s="88"/>
      <c r="H321" s="88"/>
      <c r="I321" s="88"/>
      <c r="J321" s="88"/>
      <c r="K321" s="88"/>
    </row>
    <row r="322" spans="1:11" ht="12.75">
      <c r="A322" s="1">
        <f t="shared" si="1"/>
        <v>0</v>
      </c>
      <c r="B322" s="64">
        <v>1988</v>
      </c>
      <c r="C322" s="86" t="s">
        <v>606</v>
      </c>
      <c r="D322" s="88"/>
      <c r="E322" s="88"/>
      <c r="F322" s="88">
        <v>0</v>
      </c>
      <c r="G322" s="88"/>
      <c r="H322" s="88"/>
      <c r="I322" s="88"/>
      <c r="J322" s="88"/>
      <c r="K322" s="88"/>
    </row>
    <row r="323" spans="1:11" ht="12.75">
      <c r="A323" s="1">
        <f t="shared" si="1"/>
        <v>0</v>
      </c>
      <c r="B323" s="64">
        <v>1988</v>
      </c>
      <c r="C323" s="86" t="s">
        <v>607</v>
      </c>
      <c r="D323" s="87"/>
      <c r="E323" s="88"/>
      <c r="F323" s="88">
        <v>0</v>
      </c>
      <c r="G323" s="88"/>
      <c r="H323" s="88"/>
      <c r="I323" s="88"/>
      <c r="J323" s="88"/>
      <c r="K323" s="88"/>
    </row>
    <row r="324" spans="1:11" ht="12.75">
      <c r="A324" s="1">
        <f t="shared" si="1"/>
        <v>2</v>
      </c>
      <c r="B324" s="64">
        <v>1988</v>
      </c>
      <c r="C324" s="86" t="s">
        <v>211</v>
      </c>
      <c r="D324" s="88"/>
      <c r="E324" s="88"/>
      <c r="F324" s="88">
        <v>0</v>
      </c>
      <c r="G324" s="88">
        <v>1</v>
      </c>
      <c r="H324" s="88"/>
      <c r="I324" s="88"/>
      <c r="J324" s="88"/>
      <c r="K324" s="88">
        <v>1</v>
      </c>
    </row>
    <row r="325" spans="1:11" ht="12.75">
      <c r="A325" s="1">
        <f t="shared" si="1"/>
        <v>1</v>
      </c>
      <c r="B325" s="64">
        <v>1988</v>
      </c>
      <c r="C325" s="86" t="s">
        <v>608</v>
      </c>
      <c r="D325" s="87"/>
      <c r="E325" s="88"/>
      <c r="F325" s="88">
        <v>0</v>
      </c>
      <c r="G325" s="88"/>
      <c r="H325" s="88"/>
      <c r="I325" s="88"/>
      <c r="J325" s="88"/>
      <c r="K325" s="88">
        <v>1</v>
      </c>
    </row>
    <row r="326" spans="1:11" ht="12.75">
      <c r="A326" s="1">
        <f t="shared" si="1"/>
        <v>5</v>
      </c>
      <c r="B326" s="64">
        <v>1988</v>
      </c>
      <c r="C326" s="86" t="s">
        <v>609</v>
      </c>
      <c r="D326" s="88"/>
      <c r="E326" s="88">
        <v>1</v>
      </c>
      <c r="F326" s="88">
        <v>1</v>
      </c>
      <c r="G326" s="88">
        <v>1</v>
      </c>
      <c r="H326" s="88"/>
      <c r="I326" s="88"/>
      <c r="J326" s="88">
        <v>1</v>
      </c>
      <c r="K326" s="88">
        <v>1</v>
      </c>
    </row>
    <row r="327" spans="1:11" ht="12.75">
      <c r="A327" s="1">
        <f t="shared" si="1"/>
        <v>0</v>
      </c>
      <c r="B327" s="64">
        <v>1988</v>
      </c>
      <c r="C327" s="86" t="s">
        <v>610</v>
      </c>
      <c r="D327" s="87"/>
      <c r="E327" s="88"/>
      <c r="F327" s="88">
        <v>0</v>
      </c>
      <c r="G327" s="88"/>
      <c r="H327" s="88"/>
      <c r="I327" s="88"/>
      <c r="J327" s="88"/>
      <c r="K327" s="88"/>
    </row>
    <row r="328" spans="1:11" ht="12.75">
      <c r="A328" s="1">
        <f t="shared" si="1"/>
        <v>0</v>
      </c>
      <c r="B328" s="64">
        <v>1988</v>
      </c>
      <c r="C328" s="86" t="s">
        <v>611</v>
      </c>
      <c r="D328" s="88"/>
      <c r="E328" s="88"/>
      <c r="F328" s="88">
        <v>0</v>
      </c>
      <c r="G328" s="88"/>
      <c r="H328" s="88"/>
      <c r="I328" s="88"/>
      <c r="J328" s="88"/>
      <c r="K328" s="88"/>
    </row>
    <row r="329" spans="1:11" ht="12.75">
      <c r="A329" s="1">
        <f t="shared" si="1"/>
        <v>1</v>
      </c>
      <c r="B329" s="64">
        <v>1988</v>
      </c>
      <c r="C329" s="86" t="s">
        <v>612</v>
      </c>
      <c r="D329" s="87"/>
      <c r="E329" s="88"/>
      <c r="F329" s="88">
        <v>0</v>
      </c>
      <c r="G329" s="88">
        <v>1</v>
      </c>
      <c r="H329" s="88"/>
      <c r="I329" s="88"/>
      <c r="J329" s="88"/>
      <c r="K329" s="88"/>
    </row>
    <row r="330" spans="1:11" ht="12.75">
      <c r="A330" s="1">
        <f t="shared" si="1"/>
        <v>0</v>
      </c>
      <c r="B330" s="64">
        <v>1988</v>
      </c>
      <c r="C330" s="86" t="s">
        <v>613</v>
      </c>
      <c r="D330" s="87"/>
      <c r="E330" s="88"/>
      <c r="F330" s="88">
        <v>0</v>
      </c>
      <c r="G330" s="88"/>
      <c r="H330" s="88"/>
      <c r="I330" s="88"/>
      <c r="J330" s="88"/>
      <c r="K330" s="88"/>
    </row>
    <row r="331" spans="1:11" ht="12.75">
      <c r="A331" s="1">
        <f t="shared" si="1"/>
        <v>4</v>
      </c>
      <c r="B331" s="64">
        <v>1989</v>
      </c>
      <c r="C331" s="86" t="s">
        <v>614</v>
      </c>
      <c r="D331" s="88"/>
      <c r="E331" s="88"/>
      <c r="F331" s="88">
        <v>1</v>
      </c>
      <c r="G331" s="88">
        <v>1</v>
      </c>
      <c r="H331" s="88"/>
      <c r="I331" s="88"/>
      <c r="J331" s="88">
        <v>1</v>
      </c>
      <c r="K331" s="88">
        <v>1</v>
      </c>
    </row>
    <row r="332" spans="1:11" ht="12.75">
      <c r="A332" s="1">
        <f t="shared" si="1"/>
        <v>2</v>
      </c>
      <c r="B332" s="64">
        <v>1989</v>
      </c>
      <c r="C332" s="86" t="s">
        <v>615</v>
      </c>
      <c r="D332" s="88"/>
      <c r="E332" s="88"/>
      <c r="F332" s="88">
        <v>0</v>
      </c>
      <c r="G332" s="88"/>
      <c r="H332" s="88"/>
      <c r="I332" s="88"/>
      <c r="J332" s="88">
        <v>1</v>
      </c>
      <c r="K332" s="88">
        <v>1</v>
      </c>
    </row>
    <row r="333" spans="1:11" ht="12.75">
      <c r="A333" s="1">
        <f t="shared" si="1"/>
        <v>6</v>
      </c>
      <c r="B333" s="64">
        <v>1989</v>
      </c>
      <c r="C333" s="86" t="s">
        <v>616</v>
      </c>
      <c r="D333" s="88"/>
      <c r="E333" s="88">
        <v>1</v>
      </c>
      <c r="F333" s="88">
        <v>1</v>
      </c>
      <c r="G333" s="88">
        <v>1</v>
      </c>
      <c r="H333" s="88">
        <v>1</v>
      </c>
      <c r="I333" s="88"/>
      <c r="J333" s="88">
        <v>1</v>
      </c>
      <c r="K333" s="88">
        <v>1</v>
      </c>
    </row>
    <row r="334" spans="1:11" ht="12.75">
      <c r="A334" s="1">
        <f t="shared" si="1"/>
        <v>0</v>
      </c>
      <c r="B334" s="64">
        <v>1989</v>
      </c>
      <c r="C334" s="86" t="s">
        <v>617</v>
      </c>
      <c r="D334" s="88"/>
      <c r="E334" s="88"/>
      <c r="F334" s="88">
        <v>0</v>
      </c>
      <c r="G334" s="88"/>
      <c r="H334" s="88"/>
      <c r="I334" s="88"/>
      <c r="J334" s="88"/>
      <c r="K334" s="88"/>
    </row>
    <row r="335" spans="1:11" ht="12.75">
      <c r="A335" s="1">
        <f t="shared" si="1"/>
        <v>2</v>
      </c>
      <c r="B335" s="64">
        <v>1989</v>
      </c>
      <c r="C335" s="86" t="s">
        <v>618</v>
      </c>
      <c r="D335" s="88"/>
      <c r="E335" s="88"/>
      <c r="F335" s="88">
        <v>0</v>
      </c>
      <c r="G335" s="88"/>
      <c r="H335" s="88"/>
      <c r="I335" s="88"/>
      <c r="J335" s="88">
        <v>1</v>
      </c>
      <c r="K335" s="88">
        <v>1</v>
      </c>
    </row>
    <row r="336" spans="1:11" ht="12.75">
      <c r="A336" s="1">
        <f t="shared" si="1"/>
        <v>0</v>
      </c>
      <c r="B336" s="64">
        <v>1989</v>
      </c>
      <c r="C336" s="86" t="s">
        <v>619</v>
      </c>
      <c r="D336" s="88"/>
      <c r="E336" s="88"/>
      <c r="F336" s="88">
        <v>0</v>
      </c>
      <c r="G336" s="88"/>
      <c r="H336" s="88"/>
      <c r="I336" s="88"/>
      <c r="J336" s="88"/>
      <c r="K336" s="88"/>
    </row>
    <row r="337" spans="1:11" ht="12.75">
      <c r="A337" s="1">
        <f t="shared" si="1"/>
        <v>0</v>
      </c>
      <c r="B337" s="64">
        <v>1990</v>
      </c>
      <c r="C337" s="86" t="s">
        <v>620</v>
      </c>
      <c r="D337" s="89"/>
      <c r="E337" s="88"/>
      <c r="F337" s="88">
        <v>0</v>
      </c>
      <c r="G337" s="88"/>
      <c r="H337" s="88"/>
      <c r="I337" s="88"/>
      <c r="J337" s="88"/>
      <c r="K337" s="88"/>
    </row>
    <row r="338" spans="1:11" ht="12.75">
      <c r="A338" s="1">
        <f t="shared" si="1"/>
        <v>5</v>
      </c>
      <c r="B338" s="64">
        <v>1990</v>
      </c>
      <c r="C338" s="86" t="s">
        <v>621</v>
      </c>
      <c r="D338" s="88"/>
      <c r="E338" s="88">
        <v>1</v>
      </c>
      <c r="F338" s="88">
        <v>0</v>
      </c>
      <c r="G338" s="88">
        <v>1</v>
      </c>
      <c r="H338" s="88">
        <v>1</v>
      </c>
      <c r="I338" s="88"/>
      <c r="J338" s="88">
        <v>1</v>
      </c>
      <c r="K338" s="88">
        <v>1</v>
      </c>
    </row>
    <row r="339" spans="1:11" ht="12.75">
      <c r="A339" s="1">
        <f t="shared" si="1"/>
        <v>5</v>
      </c>
      <c r="B339" s="64">
        <v>1990</v>
      </c>
      <c r="C339" s="86" t="s">
        <v>622</v>
      </c>
      <c r="D339" s="87"/>
      <c r="E339" s="88"/>
      <c r="F339" s="88">
        <v>1</v>
      </c>
      <c r="G339" s="88">
        <v>1</v>
      </c>
      <c r="H339" s="88">
        <v>1</v>
      </c>
      <c r="I339" s="88"/>
      <c r="J339" s="88">
        <v>1</v>
      </c>
      <c r="K339" s="88">
        <v>1</v>
      </c>
    </row>
    <row r="340" spans="1:11" ht="12.75">
      <c r="A340" s="1">
        <f t="shared" si="1"/>
        <v>0</v>
      </c>
      <c r="B340" s="93">
        <v>1990</v>
      </c>
      <c r="C340" s="94" t="s">
        <v>623</v>
      </c>
      <c r="D340" s="88"/>
      <c r="E340" s="88"/>
      <c r="F340" s="88">
        <v>0</v>
      </c>
      <c r="G340" s="88"/>
      <c r="H340" s="88"/>
      <c r="I340" s="88"/>
      <c r="J340" s="88"/>
      <c r="K340" s="88"/>
    </row>
    <row r="341" spans="1:11" ht="12.75">
      <c r="A341" s="1">
        <f t="shared" si="1"/>
        <v>0</v>
      </c>
      <c r="B341" s="64">
        <v>1991</v>
      </c>
      <c r="C341" s="86" t="s">
        <v>624</v>
      </c>
      <c r="D341" s="87"/>
      <c r="E341" s="88"/>
      <c r="F341" s="88">
        <v>0</v>
      </c>
      <c r="G341" s="88"/>
      <c r="H341" s="88"/>
      <c r="I341" s="88"/>
      <c r="J341" s="88"/>
      <c r="K341" s="88"/>
    </row>
    <row r="342" spans="1:11" ht="12.75">
      <c r="A342" s="1">
        <f t="shared" si="1"/>
        <v>0</v>
      </c>
      <c r="B342" s="64">
        <v>1991</v>
      </c>
      <c r="C342" s="86" t="s">
        <v>625</v>
      </c>
      <c r="D342" s="87"/>
      <c r="E342" s="88"/>
      <c r="F342" s="88">
        <v>0</v>
      </c>
      <c r="G342" s="88"/>
      <c r="H342" s="88"/>
      <c r="I342" s="88"/>
      <c r="J342" s="88"/>
      <c r="K342" s="88"/>
    </row>
    <row r="343" spans="1:11" ht="12.75">
      <c r="A343" s="1">
        <f t="shared" si="1"/>
        <v>4</v>
      </c>
      <c r="B343" s="64">
        <v>1991</v>
      </c>
      <c r="C343" s="86" t="s">
        <v>626</v>
      </c>
      <c r="D343" s="89"/>
      <c r="E343" s="88"/>
      <c r="F343" s="88">
        <v>1</v>
      </c>
      <c r="G343" s="88">
        <v>1</v>
      </c>
      <c r="H343" s="88">
        <v>1</v>
      </c>
      <c r="I343" s="88"/>
      <c r="J343" s="88"/>
      <c r="K343" s="88">
        <v>1</v>
      </c>
    </row>
    <row r="344" spans="1:11" ht="12.75">
      <c r="A344" s="1">
        <f t="shared" si="1"/>
        <v>0</v>
      </c>
      <c r="B344" s="64">
        <v>1991</v>
      </c>
      <c r="C344" s="86" t="s">
        <v>627</v>
      </c>
      <c r="D344" s="88"/>
      <c r="E344" s="88"/>
      <c r="F344" s="88">
        <v>0</v>
      </c>
      <c r="G344" s="88"/>
      <c r="H344" s="88"/>
      <c r="I344" s="88"/>
      <c r="J344" s="88"/>
      <c r="K344" s="88"/>
    </row>
    <row r="345" spans="1:11" ht="12.75">
      <c r="A345" s="1">
        <f t="shared" si="1"/>
        <v>6</v>
      </c>
      <c r="B345" s="64">
        <v>1991</v>
      </c>
      <c r="C345" s="86" t="s">
        <v>628</v>
      </c>
      <c r="D345" s="89"/>
      <c r="E345" s="88">
        <v>1</v>
      </c>
      <c r="F345" s="88">
        <v>1</v>
      </c>
      <c r="G345" s="88">
        <v>1</v>
      </c>
      <c r="H345" s="88">
        <v>1</v>
      </c>
      <c r="I345" s="88"/>
      <c r="J345" s="88">
        <v>1</v>
      </c>
      <c r="K345" s="88">
        <v>1</v>
      </c>
    </row>
    <row r="346" spans="1:11" ht="12.75">
      <c r="A346" s="1">
        <f t="shared" si="1"/>
        <v>4</v>
      </c>
      <c r="B346" s="93">
        <v>1991</v>
      </c>
      <c r="C346" s="94" t="s">
        <v>629</v>
      </c>
      <c r="D346" s="88"/>
      <c r="E346" s="88"/>
      <c r="F346" s="88">
        <v>0</v>
      </c>
      <c r="G346" s="88">
        <v>1</v>
      </c>
      <c r="H346" s="88">
        <v>1</v>
      </c>
      <c r="I346" s="88"/>
      <c r="J346" s="88">
        <v>1</v>
      </c>
      <c r="K346" s="88">
        <v>1</v>
      </c>
    </row>
    <row r="347" spans="1:11" ht="12.75">
      <c r="A347" s="1">
        <f t="shared" si="1"/>
        <v>1</v>
      </c>
      <c r="B347" s="93">
        <v>1991</v>
      </c>
      <c r="C347" s="94" t="s">
        <v>630</v>
      </c>
      <c r="D347" s="88"/>
      <c r="E347" s="88"/>
      <c r="F347" s="88">
        <v>0</v>
      </c>
      <c r="G347" s="88"/>
      <c r="H347" s="88"/>
      <c r="I347" s="88"/>
      <c r="J347" s="88">
        <v>1</v>
      </c>
      <c r="K347" s="88"/>
    </row>
    <row r="348" spans="1:11" ht="12.75">
      <c r="A348" s="1">
        <f t="shared" si="1"/>
        <v>2</v>
      </c>
      <c r="B348" s="93">
        <v>1991</v>
      </c>
      <c r="C348" s="94" t="s">
        <v>631</v>
      </c>
      <c r="D348" s="88"/>
      <c r="E348" s="88"/>
      <c r="F348" s="88">
        <v>0</v>
      </c>
      <c r="G348" s="88">
        <v>1</v>
      </c>
      <c r="H348" s="88"/>
      <c r="I348" s="88"/>
      <c r="J348" s="88"/>
      <c r="K348" s="88">
        <v>1</v>
      </c>
    </row>
    <row r="349" spans="1:11" ht="12.75">
      <c r="A349" s="1">
        <f t="shared" si="1"/>
        <v>0</v>
      </c>
      <c r="B349" s="93">
        <v>1991</v>
      </c>
      <c r="C349" s="94" t="s">
        <v>632</v>
      </c>
      <c r="D349" s="88"/>
      <c r="E349" s="88"/>
      <c r="F349" s="88">
        <v>0</v>
      </c>
      <c r="G349" s="88"/>
      <c r="H349" s="88"/>
      <c r="I349" s="88"/>
      <c r="J349" s="88"/>
      <c r="K349" s="88"/>
    </row>
    <row r="350" spans="1:11" ht="12.75">
      <c r="A350" s="1">
        <f t="shared" si="1"/>
        <v>6</v>
      </c>
      <c r="B350" s="64">
        <v>1992</v>
      </c>
      <c r="C350" s="86" t="s">
        <v>633</v>
      </c>
      <c r="D350" s="87"/>
      <c r="E350" s="88">
        <v>1</v>
      </c>
      <c r="F350" s="88">
        <v>1</v>
      </c>
      <c r="G350" s="88">
        <v>1</v>
      </c>
      <c r="H350" s="88">
        <v>1</v>
      </c>
      <c r="I350" s="88"/>
      <c r="J350" s="88">
        <v>1</v>
      </c>
      <c r="K350" s="88">
        <v>1</v>
      </c>
    </row>
    <row r="351" spans="1:11" ht="12.75">
      <c r="A351" s="1">
        <f t="shared" si="1"/>
        <v>1</v>
      </c>
      <c r="B351" s="64">
        <v>1992</v>
      </c>
      <c r="C351" s="86" t="s">
        <v>634</v>
      </c>
      <c r="D351" s="89"/>
      <c r="E351" s="88"/>
      <c r="F351" s="88">
        <v>0</v>
      </c>
      <c r="G351" s="88"/>
      <c r="H351" s="88"/>
      <c r="I351" s="88"/>
      <c r="J351" s="88"/>
      <c r="K351" s="88">
        <v>1</v>
      </c>
    </row>
    <row r="352" spans="1:11" ht="12.75">
      <c r="A352" s="1">
        <f t="shared" si="1"/>
        <v>3</v>
      </c>
      <c r="B352" s="93">
        <v>1992</v>
      </c>
      <c r="C352" s="94" t="s">
        <v>635</v>
      </c>
      <c r="D352" s="88"/>
      <c r="E352" s="88"/>
      <c r="F352" s="88">
        <v>0</v>
      </c>
      <c r="G352" s="88">
        <v>1</v>
      </c>
      <c r="H352" s="88">
        <v>1</v>
      </c>
      <c r="I352" s="88"/>
      <c r="J352" s="88">
        <v>1</v>
      </c>
      <c r="K352" s="88"/>
    </row>
    <row r="353" spans="1:11" ht="12.75">
      <c r="A353" s="1">
        <f t="shared" si="1"/>
        <v>0</v>
      </c>
      <c r="B353" s="93">
        <v>1992</v>
      </c>
      <c r="C353" s="94" t="s">
        <v>636</v>
      </c>
      <c r="D353" s="88"/>
      <c r="E353" s="88"/>
      <c r="F353" s="88">
        <v>0</v>
      </c>
      <c r="G353" s="88"/>
      <c r="H353" s="88"/>
      <c r="I353" s="88"/>
      <c r="J353" s="88"/>
      <c r="K353" s="88"/>
    </row>
    <row r="354" spans="1:11" ht="12.75">
      <c r="A354" s="1">
        <f t="shared" si="1"/>
        <v>2</v>
      </c>
      <c r="B354" s="93">
        <v>1992</v>
      </c>
      <c r="C354" s="94" t="s">
        <v>637</v>
      </c>
      <c r="D354" s="88"/>
      <c r="E354" s="88"/>
      <c r="F354" s="88">
        <v>0</v>
      </c>
      <c r="G354" s="88"/>
      <c r="H354" s="88">
        <v>1</v>
      </c>
      <c r="I354" s="88"/>
      <c r="J354" s="88"/>
      <c r="K354" s="88">
        <v>1</v>
      </c>
    </row>
    <row r="355" spans="1:11" ht="12.75">
      <c r="A355" s="1">
        <f t="shared" si="1"/>
        <v>0</v>
      </c>
      <c r="B355" s="93">
        <v>1992</v>
      </c>
      <c r="C355" s="94" t="s">
        <v>638</v>
      </c>
      <c r="D355" s="88"/>
      <c r="E355" s="88"/>
      <c r="F355" s="88">
        <v>0</v>
      </c>
      <c r="G355" s="88"/>
      <c r="H355" s="88"/>
      <c r="I355" s="88"/>
      <c r="J355" s="88"/>
      <c r="K355" s="88"/>
    </row>
    <row r="356" spans="1:11" ht="12.75">
      <c r="A356" s="1">
        <f t="shared" si="1"/>
        <v>0</v>
      </c>
      <c r="B356" s="64">
        <v>1993</v>
      </c>
      <c r="C356" s="86" t="s">
        <v>639</v>
      </c>
      <c r="D356" s="88"/>
      <c r="E356" s="88"/>
      <c r="F356" s="88">
        <v>0</v>
      </c>
      <c r="G356" s="88"/>
      <c r="H356" s="88"/>
      <c r="I356" s="88"/>
      <c r="J356" s="88"/>
      <c r="K356" s="88"/>
    </row>
    <row r="357" spans="1:11" ht="12.75">
      <c r="A357" s="1">
        <f t="shared" si="1"/>
        <v>0</v>
      </c>
      <c r="B357" s="64">
        <v>1993</v>
      </c>
      <c r="C357" s="86" t="s">
        <v>640</v>
      </c>
      <c r="D357" s="88"/>
      <c r="E357" s="88"/>
      <c r="F357" s="88">
        <v>0</v>
      </c>
      <c r="G357" s="88"/>
      <c r="H357" s="88"/>
      <c r="I357" s="88"/>
      <c r="J357" s="88"/>
      <c r="K357" s="88"/>
    </row>
    <row r="358" spans="1:11" ht="12.75">
      <c r="A358" s="1">
        <f t="shared" si="1"/>
        <v>6</v>
      </c>
      <c r="B358" s="64">
        <v>1993</v>
      </c>
      <c r="C358" s="86" t="s">
        <v>641</v>
      </c>
      <c r="D358" s="88"/>
      <c r="E358" s="88">
        <v>1</v>
      </c>
      <c r="F358" s="88">
        <v>1</v>
      </c>
      <c r="G358" s="88">
        <v>1</v>
      </c>
      <c r="H358" s="88">
        <v>1</v>
      </c>
      <c r="I358" s="88"/>
      <c r="J358" s="88">
        <v>1</v>
      </c>
      <c r="K358" s="88">
        <v>1</v>
      </c>
    </row>
    <row r="359" spans="1:11" ht="12.75">
      <c r="A359" s="1">
        <f t="shared" si="1"/>
        <v>2</v>
      </c>
      <c r="B359" s="64">
        <v>1993</v>
      </c>
      <c r="C359" s="86" t="s">
        <v>164</v>
      </c>
      <c r="D359" s="88"/>
      <c r="E359" s="88"/>
      <c r="F359" s="88">
        <v>0</v>
      </c>
      <c r="G359" s="88">
        <v>1</v>
      </c>
      <c r="H359" s="88"/>
      <c r="I359" s="88"/>
      <c r="J359" s="88"/>
      <c r="K359" s="88">
        <v>1</v>
      </c>
    </row>
    <row r="360" spans="1:11" ht="12.75">
      <c r="A360" s="1">
        <f t="shared" si="1"/>
        <v>0</v>
      </c>
      <c r="B360" s="64">
        <v>1993</v>
      </c>
      <c r="C360" s="86" t="s">
        <v>642</v>
      </c>
      <c r="D360" s="88"/>
      <c r="E360" s="88"/>
      <c r="F360" s="88">
        <v>0</v>
      </c>
      <c r="G360" s="88"/>
      <c r="H360" s="88"/>
      <c r="I360" s="88"/>
      <c r="J360" s="88"/>
      <c r="K360" s="88"/>
    </row>
    <row r="361" spans="1:11" ht="12.75">
      <c r="A361" s="1">
        <f t="shared" si="1"/>
        <v>3</v>
      </c>
      <c r="B361" s="64">
        <v>1993</v>
      </c>
      <c r="C361" s="86" t="s">
        <v>643</v>
      </c>
      <c r="D361" s="89"/>
      <c r="E361" s="88">
        <v>1</v>
      </c>
      <c r="F361" s="88">
        <v>0</v>
      </c>
      <c r="G361" s="88"/>
      <c r="H361" s="88"/>
      <c r="I361" s="88"/>
      <c r="J361" s="88">
        <v>1</v>
      </c>
      <c r="K361" s="88">
        <v>1</v>
      </c>
    </row>
    <row r="362" spans="1:11" ht="12.75">
      <c r="A362" s="1">
        <f t="shared" si="1"/>
        <v>5</v>
      </c>
      <c r="B362" s="64">
        <v>1993</v>
      </c>
      <c r="C362" s="86" t="s">
        <v>644</v>
      </c>
      <c r="D362" s="88"/>
      <c r="E362" s="88">
        <v>1</v>
      </c>
      <c r="F362" s="88">
        <v>1</v>
      </c>
      <c r="G362" s="88">
        <v>1</v>
      </c>
      <c r="H362" s="88"/>
      <c r="I362" s="88"/>
      <c r="J362" s="88">
        <v>1</v>
      </c>
      <c r="K362" s="88">
        <v>1</v>
      </c>
    </row>
    <row r="363" spans="1:11" ht="12.75">
      <c r="A363" s="1">
        <f t="shared" si="1"/>
        <v>1</v>
      </c>
      <c r="B363" s="64">
        <v>1993</v>
      </c>
      <c r="C363" s="86" t="s">
        <v>645</v>
      </c>
      <c r="D363" s="88"/>
      <c r="E363" s="88"/>
      <c r="F363" s="88">
        <v>0</v>
      </c>
      <c r="G363" s="88"/>
      <c r="H363" s="88"/>
      <c r="I363" s="88"/>
      <c r="J363" s="88"/>
      <c r="K363" s="88">
        <v>1</v>
      </c>
    </row>
    <row r="364" spans="1:11" ht="12.75">
      <c r="A364" s="1">
        <f t="shared" si="1"/>
        <v>0</v>
      </c>
      <c r="B364" s="64">
        <v>1993</v>
      </c>
      <c r="C364" s="86" t="s">
        <v>646</v>
      </c>
      <c r="D364" s="88"/>
      <c r="E364" s="88"/>
      <c r="F364" s="88">
        <v>0</v>
      </c>
      <c r="G364" s="88"/>
      <c r="H364" s="88"/>
      <c r="I364" s="88"/>
      <c r="J364" s="88"/>
      <c r="K364" s="88"/>
    </row>
    <row r="365" spans="1:11" ht="12.75">
      <c r="A365" s="1">
        <f t="shared" si="1"/>
        <v>2</v>
      </c>
      <c r="B365" s="93">
        <v>1993</v>
      </c>
      <c r="C365" s="94" t="s">
        <v>647</v>
      </c>
      <c r="D365" s="88"/>
      <c r="E365" s="88"/>
      <c r="F365" s="88">
        <v>0</v>
      </c>
      <c r="G365" s="88">
        <v>1</v>
      </c>
      <c r="H365" s="88"/>
      <c r="I365" s="88"/>
      <c r="J365" s="88">
        <v>1</v>
      </c>
      <c r="K365" s="88"/>
    </row>
    <row r="366" spans="1:11" ht="12.75">
      <c r="A366" s="1">
        <f t="shared" si="1"/>
        <v>5</v>
      </c>
      <c r="B366" s="93">
        <v>1993</v>
      </c>
      <c r="C366" s="94" t="s">
        <v>648</v>
      </c>
      <c r="D366" s="88"/>
      <c r="E366" s="88"/>
      <c r="F366" s="88">
        <v>1</v>
      </c>
      <c r="G366" s="88">
        <v>1</v>
      </c>
      <c r="H366" s="88">
        <v>1</v>
      </c>
      <c r="I366" s="88"/>
      <c r="J366" s="88">
        <v>1</v>
      </c>
      <c r="K366" s="88">
        <v>1</v>
      </c>
    </row>
    <row r="367" spans="1:11" ht="12.75">
      <c r="A367" s="1">
        <f t="shared" si="1"/>
        <v>1</v>
      </c>
      <c r="B367" s="64">
        <v>1994</v>
      </c>
      <c r="C367" s="86" t="s">
        <v>649</v>
      </c>
      <c r="D367" s="88"/>
      <c r="E367" s="88"/>
      <c r="F367" s="88">
        <v>0</v>
      </c>
      <c r="G367" s="88"/>
      <c r="H367" s="88"/>
      <c r="I367" s="88"/>
      <c r="J367" s="88"/>
      <c r="K367" s="88">
        <v>1</v>
      </c>
    </row>
    <row r="368" spans="1:11" ht="12.75">
      <c r="A368" s="1">
        <f t="shared" si="1"/>
        <v>6</v>
      </c>
      <c r="B368" s="64">
        <v>1994</v>
      </c>
      <c r="C368" s="86" t="s">
        <v>650</v>
      </c>
      <c r="D368" s="87"/>
      <c r="E368" s="88">
        <v>1</v>
      </c>
      <c r="F368" s="88">
        <v>1</v>
      </c>
      <c r="G368" s="88">
        <v>1</v>
      </c>
      <c r="H368" s="88">
        <v>1</v>
      </c>
      <c r="I368" s="88"/>
      <c r="J368" s="88">
        <v>1</v>
      </c>
      <c r="K368" s="88">
        <v>1</v>
      </c>
    </row>
    <row r="369" spans="1:11" ht="12.75">
      <c r="A369" s="1">
        <f t="shared" si="1"/>
        <v>2</v>
      </c>
      <c r="B369" s="64">
        <v>1994</v>
      </c>
      <c r="C369" s="86" t="s">
        <v>651</v>
      </c>
      <c r="D369" s="89"/>
      <c r="E369" s="88"/>
      <c r="F369" s="88">
        <v>0</v>
      </c>
      <c r="G369" s="88">
        <v>1</v>
      </c>
      <c r="H369" s="88"/>
      <c r="I369" s="88"/>
      <c r="J369" s="88"/>
      <c r="K369" s="88">
        <v>1</v>
      </c>
    </row>
    <row r="370" spans="1:11" ht="12.75">
      <c r="A370" s="1">
        <f t="shared" si="1"/>
        <v>6</v>
      </c>
      <c r="B370" s="64">
        <v>1994</v>
      </c>
      <c r="C370" s="86" t="s">
        <v>652</v>
      </c>
      <c r="D370" s="87"/>
      <c r="E370" s="88">
        <v>1</v>
      </c>
      <c r="F370" s="88">
        <v>1</v>
      </c>
      <c r="G370" s="88">
        <v>1</v>
      </c>
      <c r="H370" s="88">
        <v>1</v>
      </c>
      <c r="I370" s="88"/>
      <c r="J370" s="88">
        <v>1</v>
      </c>
      <c r="K370" s="88">
        <v>1</v>
      </c>
    </row>
    <row r="371" spans="1:11" ht="12.75">
      <c r="A371" s="1">
        <f t="shared" si="1"/>
        <v>0</v>
      </c>
      <c r="B371" s="64">
        <v>1994</v>
      </c>
      <c r="C371" s="86" t="s">
        <v>653</v>
      </c>
      <c r="D371" s="87"/>
      <c r="E371" s="88"/>
      <c r="F371" s="88">
        <v>0</v>
      </c>
      <c r="G371" s="88"/>
      <c r="H371" s="88"/>
      <c r="I371" s="88"/>
      <c r="J371" s="88"/>
      <c r="K371" s="88"/>
    </row>
    <row r="372" spans="1:11" ht="12.75">
      <c r="A372" s="1">
        <f t="shared" si="1"/>
        <v>6</v>
      </c>
      <c r="B372" s="64">
        <v>1994</v>
      </c>
      <c r="C372" s="86" t="s">
        <v>654</v>
      </c>
      <c r="D372" s="87"/>
      <c r="E372" s="88">
        <v>1</v>
      </c>
      <c r="F372" s="88">
        <v>1</v>
      </c>
      <c r="G372" s="88">
        <v>1</v>
      </c>
      <c r="H372" s="88">
        <v>1</v>
      </c>
      <c r="I372" s="88"/>
      <c r="J372" s="88">
        <v>1</v>
      </c>
      <c r="K372" s="88">
        <v>1</v>
      </c>
    </row>
    <row r="373" spans="1:11" ht="12.75">
      <c r="A373" s="1">
        <f t="shared" si="1"/>
        <v>6</v>
      </c>
      <c r="B373" s="64">
        <v>1994</v>
      </c>
      <c r="C373" s="86" t="s">
        <v>655</v>
      </c>
      <c r="D373" s="87"/>
      <c r="E373" s="88">
        <v>1</v>
      </c>
      <c r="F373" s="88">
        <v>1</v>
      </c>
      <c r="G373" s="88">
        <v>1</v>
      </c>
      <c r="H373" s="88">
        <v>1</v>
      </c>
      <c r="I373" s="88"/>
      <c r="J373" s="88">
        <v>1</v>
      </c>
      <c r="K373" s="88">
        <v>1</v>
      </c>
    </row>
    <row r="374" spans="1:11" ht="12.75">
      <c r="A374" s="1">
        <f t="shared" si="1"/>
        <v>0</v>
      </c>
      <c r="B374" s="64">
        <v>1994</v>
      </c>
      <c r="C374" s="86" t="s">
        <v>656</v>
      </c>
      <c r="D374" s="89"/>
      <c r="E374" s="88"/>
      <c r="F374" s="88">
        <v>0</v>
      </c>
      <c r="G374" s="88"/>
      <c r="H374" s="88"/>
      <c r="I374" s="88"/>
      <c r="J374" s="88"/>
      <c r="K374" s="88"/>
    </row>
    <row r="375" spans="1:11" ht="12.75">
      <c r="A375" s="1">
        <f t="shared" si="1"/>
        <v>0</v>
      </c>
      <c r="B375" s="64">
        <v>1994</v>
      </c>
      <c r="C375" s="86" t="s">
        <v>657</v>
      </c>
      <c r="D375" s="87"/>
      <c r="E375" s="88"/>
      <c r="F375" s="88">
        <v>0</v>
      </c>
      <c r="G375" s="88"/>
      <c r="H375" s="88"/>
      <c r="I375" s="88"/>
      <c r="J375" s="88"/>
      <c r="K375" s="88"/>
    </row>
    <row r="376" spans="1:11" ht="12.75">
      <c r="A376" s="1">
        <f t="shared" si="1"/>
        <v>4</v>
      </c>
      <c r="B376" s="93">
        <v>1994</v>
      </c>
      <c r="C376" s="94" t="s">
        <v>658</v>
      </c>
      <c r="D376" s="88"/>
      <c r="E376" s="88"/>
      <c r="F376" s="88">
        <v>1</v>
      </c>
      <c r="G376" s="88">
        <v>1</v>
      </c>
      <c r="H376" s="88">
        <v>1</v>
      </c>
      <c r="I376" s="88"/>
      <c r="J376" s="88"/>
      <c r="K376" s="88">
        <v>1</v>
      </c>
    </row>
    <row r="377" spans="1:11" ht="12.75">
      <c r="A377" s="1">
        <f t="shared" si="1"/>
        <v>0</v>
      </c>
      <c r="B377" s="93">
        <v>1994</v>
      </c>
      <c r="C377" s="94" t="s">
        <v>659</v>
      </c>
      <c r="D377" s="88"/>
      <c r="E377" s="88"/>
      <c r="F377" s="88">
        <v>0</v>
      </c>
      <c r="G377" s="88"/>
      <c r="H377" s="88"/>
      <c r="I377" s="88"/>
      <c r="J377" s="88"/>
      <c r="K377" s="88"/>
    </row>
    <row r="378" spans="1:11" ht="12.75">
      <c r="A378" s="1">
        <f t="shared" si="1"/>
        <v>1</v>
      </c>
      <c r="B378" s="93">
        <v>1994</v>
      </c>
      <c r="C378" s="94" t="s">
        <v>660</v>
      </c>
      <c r="D378" s="88"/>
      <c r="E378" s="88"/>
      <c r="F378" s="88">
        <v>0</v>
      </c>
      <c r="G378" s="88"/>
      <c r="H378" s="88"/>
      <c r="I378" s="88"/>
      <c r="J378" s="88">
        <v>1</v>
      </c>
      <c r="K378" s="88"/>
    </row>
    <row r="379" spans="1:11" ht="12.75">
      <c r="A379" s="1">
        <f t="shared" si="1"/>
        <v>5</v>
      </c>
      <c r="B379" s="93">
        <v>1994</v>
      </c>
      <c r="C379" s="94" t="s">
        <v>661</v>
      </c>
      <c r="D379" s="88"/>
      <c r="E379" s="88"/>
      <c r="F379" s="88">
        <v>1</v>
      </c>
      <c r="G379" s="88">
        <v>1</v>
      </c>
      <c r="H379" s="88">
        <v>1</v>
      </c>
      <c r="I379" s="88"/>
      <c r="J379" s="88">
        <v>1</v>
      </c>
      <c r="K379" s="88">
        <v>1</v>
      </c>
    </row>
    <row r="380" spans="1:11" ht="12.75">
      <c r="A380" s="1">
        <f t="shared" si="1"/>
        <v>0</v>
      </c>
      <c r="B380" s="93">
        <v>1994</v>
      </c>
      <c r="C380" s="94" t="s">
        <v>662</v>
      </c>
      <c r="D380" s="88"/>
      <c r="E380" s="88"/>
      <c r="F380" s="88">
        <v>0</v>
      </c>
      <c r="G380" s="88"/>
      <c r="H380" s="88"/>
      <c r="I380" s="88"/>
      <c r="J380" s="88"/>
      <c r="K380" s="88"/>
    </row>
    <row r="381" spans="1:11" ht="12.75">
      <c r="A381" s="1">
        <f t="shared" si="1"/>
        <v>1</v>
      </c>
      <c r="B381" s="64">
        <v>1995</v>
      </c>
      <c r="C381" s="86" t="s">
        <v>663</v>
      </c>
      <c r="D381" s="88"/>
      <c r="E381" s="88"/>
      <c r="F381" s="88">
        <v>0</v>
      </c>
      <c r="G381" s="88"/>
      <c r="H381" s="88"/>
      <c r="I381" s="88"/>
      <c r="J381" s="88"/>
      <c r="K381" s="88">
        <v>1</v>
      </c>
    </row>
    <row r="382" spans="1:11" ht="12.75">
      <c r="A382" s="1">
        <f t="shared" si="1"/>
        <v>4</v>
      </c>
      <c r="B382" s="64">
        <v>1995</v>
      </c>
      <c r="C382" s="86" t="s">
        <v>664</v>
      </c>
      <c r="D382" s="88"/>
      <c r="E382" s="88"/>
      <c r="F382" s="88">
        <v>0</v>
      </c>
      <c r="G382" s="88">
        <v>1</v>
      </c>
      <c r="H382" s="88">
        <v>1</v>
      </c>
      <c r="I382" s="88"/>
      <c r="J382" s="88">
        <v>1</v>
      </c>
      <c r="K382" s="88">
        <v>1</v>
      </c>
    </row>
    <row r="383" spans="1:11" ht="12.75">
      <c r="A383" s="1">
        <f t="shared" si="1"/>
        <v>1</v>
      </c>
      <c r="B383" s="64">
        <v>1995</v>
      </c>
      <c r="C383" s="86" t="s">
        <v>665</v>
      </c>
      <c r="D383" s="88"/>
      <c r="E383" s="88"/>
      <c r="F383" s="88">
        <v>0</v>
      </c>
      <c r="G383" s="88">
        <v>1</v>
      </c>
      <c r="H383" s="88"/>
      <c r="I383" s="88"/>
      <c r="J383" s="88"/>
      <c r="K383" s="88"/>
    </row>
    <row r="384" spans="1:11" ht="12.75">
      <c r="A384" s="1">
        <f t="shared" si="1"/>
        <v>2</v>
      </c>
      <c r="B384" s="64">
        <v>1995</v>
      </c>
      <c r="C384" s="86" t="s">
        <v>666</v>
      </c>
      <c r="D384" s="89"/>
      <c r="E384" s="88"/>
      <c r="F384" s="88">
        <v>0</v>
      </c>
      <c r="G384" s="88">
        <v>1</v>
      </c>
      <c r="H384" s="88"/>
      <c r="I384" s="88"/>
      <c r="J384" s="88"/>
      <c r="K384" s="88">
        <v>1</v>
      </c>
    </row>
    <row r="385" spans="1:11" ht="12.75">
      <c r="A385" s="1">
        <f t="shared" si="1"/>
        <v>1</v>
      </c>
      <c r="B385" s="64">
        <v>1995</v>
      </c>
      <c r="C385" s="86" t="s">
        <v>667</v>
      </c>
      <c r="D385" s="88"/>
      <c r="E385" s="88"/>
      <c r="F385" s="88">
        <v>0</v>
      </c>
      <c r="G385" s="88"/>
      <c r="H385" s="88"/>
      <c r="I385" s="88"/>
      <c r="J385" s="88"/>
      <c r="K385" s="88">
        <v>1</v>
      </c>
    </row>
    <row r="386" spans="1:11" ht="12.75">
      <c r="A386" s="1">
        <f t="shared" si="1"/>
        <v>4</v>
      </c>
      <c r="B386" s="64">
        <v>1995</v>
      </c>
      <c r="C386" s="86" t="s">
        <v>668</v>
      </c>
      <c r="D386" s="87"/>
      <c r="E386" s="88"/>
      <c r="F386" s="88">
        <v>1</v>
      </c>
      <c r="G386" s="88">
        <v>1</v>
      </c>
      <c r="H386" s="88">
        <v>1</v>
      </c>
      <c r="I386" s="88"/>
      <c r="J386" s="88"/>
      <c r="K386" s="88">
        <v>1</v>
      </c>
    </row>
    <row r="387" spans="1:11" ht="12.75">
      <c r="A387" s="1">
        <f t="shared" si="1"/>
        <v>4</v>
      </c>
      <c r="B387" s="64">
        <v>1995</v>
      </c>
      <c r="C387" s="86" t="s">
        <v>669</v>
      </c>
      <c r="D387" s="87"/>
      <c r="E387" s="88"/>
      <c r="F387" s="88">
        <v>0</v>
      </c>
      <c r="G387" s="88">
        <v>1</v>
      </c>
      <c r="H387" s="88">
        <v>1</v>
      </c>
      <c r="I387" s="88"/>
      <c r="J387" s="88">
        <v>1</v>
      </c>
      <c r="K387" s="88">
        <v>1</v>
      </c>
    </row>
    <row r="388" spans="1:11" ht="12.75">
      <c r="A388" s="1">
        <f t="shared" si="1"/>
        <v>6</v>
      </c>
      <c r="B388" s="64">
        <v>1995</v>
      </c>
      <c r="C388" s="86" t="s">
        <v>670</v>
      </c>
      <c r="D388" s="87"/>
      <c r="E388" s="88">
        <v>1</v>
      </c>
      <c r="F388" s="88">
        <v>1</v>
      </c>
      <c r="G388" s="88">
        <v>1</v>
      </c>
      <c r="H388" s="88">
        <v>1</v>
      </c>
      <c r="I388" s="88"/>
      <c r="J388" s="88">
        <v>1</v>
      </c>
      <c r="K388" s="88">
        <v>1</v>
      </c>
    </row>
    <row r="389" spans="1:11" ht="12.75">
      <c r="A389" s="1">
        <f t="shared" si="1"/>
        <v>0</v>
      </c>
      <c r="B389" s="64">
        <v>1995</v>
      </c>
      <c r="C389" s="86" t="s">
        <v>671</v>
      </c>
      <c r="D389" s="87"/>
      <c r="E389" s="88"/>
      <c r="F389" s="88">
        <v>0</v>
      </c>
      <c r="G389" s="88"/>
      <c r="H389" s="88"/>
      <c r="I389" s="88"/>
      <c r="J389" s="88"/>
      <c r="K389" s="88"/>
    </row>
    <row r="390" spans="1:11" ht="12.75">
      <c r="A390" s="1">
        <f t="shared" si="1"/>
        <v>0</v>
      </c>
      <c r="B390" s="64">
        <v>1995</v>
      </c>
      <c r="C390" s="86" t="s">
        <v>672</v>
      </c>
      <c r="D390" s="88"/>
      <c r="E390" s="88"/>
      <c r="F390" s="88">
        <v>0</v>
      </c>
      <c r="G390" s="88"/>
      <c r="H390" s="88"/>
      <c r="I390" s="88"/>
      <c r="J390" s="88"/>
      <c r="K390" s="88"/>
    </row>
    <row r="391" spans="1:11" ht="12.75">
      <c r="A391" s="1">
        <f t="shared" si="1"/>
        <v>4</v>
      </c>
      <c r="B391" s="93">
        <v>1995</v>
      </c>
      <c r="C391" s="94" t="s">
        <v>673</v>
      </c>
      <c r="D391" s="88"/>
      <c r="E391" s="88"/>
      <c r="F391" s="88">
        <v>0</v>
      </c>
      <c r="G391" s="88">
        <v>1</v>
      </c>
      <c r="H391" s="88">
        <v>1</v>
      </c>
      <c r="I391" s="88"/>
      <c r="J391" s="88">
        <v>1</v>
      </c>
      <c r="K391" s="88">
        <v>1</v>
      </c>
    </row>
    <row r="392" spans="1:11" ht="12.75">
      <c r="A392" s="1">
        <f t="shared" si="1"/>
        <v>5</v>
      </c>
      <c r="B392" s="93">
        <v>1995</v>
      </c>
      <c r="C392" s="94" t="s">
        <v>674</v>
      </c>
      <c r="D392" s="88"/>
      <c r="E392" s="88"/>
      <c r="F392" s="88">
        <v>1</v>
      </c>
      <c r="G392" s="88">
        <v>1</v>
      </c>
      <c r="H392" s="88">
        <v>1</v>
      </c>
      <c r="I392" s="88"/>
      <c r="J392" s="88">
        <v>1</v>
      </c>
      <c r="K392" s="88">
        <v>1</v>
      </c>
    </row>
    <row r="393" spans="1:11" ht="12.75">
      <c r="A393" s="1">
        <f t="shared" si="1"/>
        <v>0</v>
      </c>
      <c r="B393" s="64">
        <v>1996</v>
      </c>
      <c r="C393" s="86" t="s">
        <v>675</v>
      </c>
      <c r="D393" s="88"/>
      <c r="E393" s="88"/>
      <c r="F393" s="88">
        <v>0</v>
      </c>
      <c r="G393" s="88"/>
      <c r="H393" s="88"/>
      <c r="I393" s="88"/>
      <c r="J393" s="88"/>
      <c r="K393" s="88"/>
    </row>
    <row r="394" spans="1:11" ht="12.75">
      <c r="A394" s="1">
        <f t="shared" si="1"/>
        <v>5</v>
      </c>
      <c r="B394" s="64">
        <v>1996</v>
      </c>
      <c r="C394" s="86" t="s">
        <v>676</v>
      </c>
      <c r="D394" s="87"/>
      <c r="E394" s="88"/>
      <c r="F394" s="88">
        <v>1</v>
      </c>
      <c r="G394" s="88">
        <v>1</v>
      </c>
      <c r="H394" s="88">
        <v>1</v>
      </c>
      <c r="I394" s="88"/>
      <c r="J394" s="88">
        <v>1</v>
      </c>
      <c r="K394" s="88">
        <v>1</v>
      </c>
    </row>
    <row r="395" spans="1:11" ht="12.75">
      <c r="A395" s="1">
        <f t="shared" si="1"/>
        <v>0</v>
      </c>
      <c r="B395" s="64">
        <v>1996</v>
      </c>
      <c r="C395" s="86" t="s">
        <v>677</v>
      </c>
      <c r="D395" s="88"/>
      <c r="E395" s="88"/>
      <c r="F395" s="88">
        <v>0</v>
      </c>
      <c r="G395" s="88"/>
      <c r="H395" s="88"/>
      <c r="I395" s="88"/>
      <c r="J395" s="88"/>
      <c r="K395" s="88"/>
    </row>
    <row r="396" spans="1:11" ht="12.75">
      <c r="A396" s="1">
        <f t="shared" si="1"/>
        <v>5</v>
      </c>
      <c r="B396" s="64">
        <v>1996</v>
      </c>
      <c r="C396" s="86" t="s">
        <v>678</v>
      </c>
      <c r="D396" s="87"/>
      <c r="E396" s="88">
        <v>1</v>
      </c>
      <c r="F396" s="88">
        <v>0</v>
      </c>
      <c r="G396" s="88">
        <v>1</v>
      </c>
      <c r="H396" s="88">
        <v>1</v>
      </c>
      <c r="I396" s="88"/>
      <c r="J396" s="88">
        <v>1</v>
      </c>
      <c r="K396" s="88">
        <v>1</v>
      </c>
    </row>
    <row r="397" spans="1:11" ht="12.75">
      <c r="A397" s="1">
        <f t="shared" si="1"/>
        <v>4</v>
      </c>
      <c r="B397" s="93">
        <v>1996</v>
      </c>
      <c r="C397" s="94" t="s">
        <v>679</v>
      </c>
      <c r="D397" s="88"/>
      <c r="E397" s="88"/>
      <c r="F397" s="88">
        <v>0</v>
      </c>
      <c r="G397" s="88">
        <v>1</v>
      </c>
      <c r="H397" s="88">
        <v>1</v>
      </c>
      <c r="I397" s="88"/>
      <c r="J397" s="88">
        <v>1</v>
      </c>
      <c r="K397" s="88">
        <v>1</v>
      </c>
    </row>
    <row r="398" spans="1:11" ht="12.75">
      <c r="A398" s="1">
        <f t="shared" si="1"/>
        <v>0</v>
      </c>
      <c r="B398" s="93">
        <v>1996</v>
      </c>
      <c r="C398" s="94" t="s">
        <v>680</v>
      </c>
      <c r="D398" s="88"/>
      <c r="E398" s="88"/>
      <c r="F398" s="88">
        <v>0</v>
      </c>
      <c r="G398" s="88"/>
      <c r="H398" s="88"/>
      <c r="I398" s="88"/>
      <c r="J398" s="88"/>
      <c r="K398" s="88"/>
    </row>
    <row r="399" spans="1:11" ht="12.75">
      <c r="A399" s="1">
        <f t="shared" si="1"/>
        <v>0</v>
      </c>
      <c r="B399" s="93">
        <v>1996</v>
      </c>
      <c r="C399" s="94" t="s">
        <v>681</v>
      </c>
      <c r="D399" s="88"/>
      <c r="E399" s="88"/>
      <c r="F399" s="88">
        <v>0</v>
      </c>
      <c r="G399" s="88"/>
      <c r="H399" s="88"/>
      <c r="I399" s="88"/>
      <c r="J399" s="88"/>
      <c r="K399" s="88"/>
    </row>
    <row r="400" spans="1:11" ht="12.75">
      <c r="A400" s="1">
        <f t="shared" si="1"/>
        <v>5</v>
      </c>
      <c r="B400" s="93">
        <v>1996</v>
      </c>
      <c r="C400" s="94" t="s">
        <v>682</v>
      </c>
      <c r="D400" s="88"/>
      <c r="E400" s="88"/>
      <c r="F400" s="88">
        <v>1</v>
      </c>
      <c r="G400" s="88">
        <v>1</v>
      </c>
      <c r="H400" s="88">
        <v>1</v>
      </c>
      <c r="I400" s="88"/>
      <c r="J400" s="88">
        <v>1</v>
      </c>
      <c r="K400" s="88">
        <v>1</v>
      </c>
    </row>
    <row r="401" spans="1:11" ht="12.75">
      <c r="A401" s="1">
        <f t="shared" si="1"/>
        <v>0</v>
      </c>
      <c r="B401" s="64">
        <v>1997</v>
      </c>
      <c r="C401" s="86" t="s">
        <v>683</v>
      </c>
      <c r="D401" s="88"/>
      <c r="E401" s="88"/>
      <c r="F401" s="88">
        <v>0</v>
      </c>
      <c r="G401" s="88"/>
      <c r="H401" s="88"/>
      <c r="I401" s="88"/>
      <c r="J401" s="88"/>
      <c r="K401" s="88"/>
    </row>
    <row r="402" spans="1:11" ht="12.75">
      <c r="A402" s="1">
        <f t="shared" si="1"/>
        <v>0</v>
      </c>
      <c r="B402" s="64">
        <v>1997</v>
      </c>
      <c r="C402" s="86" t="s">
        <v>684</v>
      </c>
      <c r="D402" s="88"/>
      <c r="E402" s="88"/>
      <c r="F402" s="88">
        <v>0</v>
      </c>
      <c r="G402" s="88"/>
      <c r="H402" s="88"/>
      <c r="I402" s="88"/>
      <c r="J402" s="88"/>
      <c r="K402" s="88"/>
    </row>
    <row r="403" spans="1:11" ht="12.75">
      <c r="A403" s="1">
        <f t="shared" si="1"/>
        <v>5</v>
      </c>
      <c r="B403" s="64">
        <v>1997</v>
      </c>
      <c r="C403" s="86" t="s">
        <v>685</v>
      </c>
      <c r="D403" s="88"/>
      <c r="E403" s="88"/>
      <c r="F403" s="88">
        <v>1</v>
      </c>
      <c r="G403" s="88">
        <v>1</v>
      </c>
      <c r="H403" s="88">
        <v>1</v>
      </c>
      <c r="I403" s="88"/>
      <c r="J403" s="88">
        <v>1</v>
      </c>
      <c r="K403" s="88">
        <v>1</v>
      </c>
    </row>
    <row r="404" spans="1:11" ht="12.75">
      <c r="A404" s="1">
        <f t="shared" si="1"/>
        <v>3</v>
      </c>
      <c r="B404" s="64">
        <v>1997</v>
      </c>
      <c r="C404" s="86" t="s">
        <v>686</v>
      </c>
      <c r="D404" s="87"/>
      <c r="E404" s="88"/>
      <c r="F404" s="88">
        <v>0</v>
      </c>
      <c r="G404" s="88">
        <v>1</v>
      </c>
      <c r="H404" s="88"/>
      <c r="I404" s="88"/>
      <c r="J404" s="88">
        <v>1</v>
      </c>
      <c r="K404" s="88">
        <v>1</v>
      </c>
    </row>
    <row r="405" spans="1:11" ht="12.75">
      <c r="A405" s="1">
        <f t="shared" si="1"/>
        <v>1</v>
      </c>
      <c r="B405" s="64">
        <v>1997</v>
      </c>
      <c r="C405" s="86" t="s">
        <v>687</v>
      </c>
      <c r="D405" s="89"/>
      <c r="E405" s="88"/>
      <c r="F405" s="88">
        <v>0</v>
      </c>
      <c r="G405" s="88"/>
      <c r="H405" s="88"/>
      <c r="I405" s="88"/>
      <c r="J405" s="88"/>
      <c r="K405" s="88">
        <v>1</v>
      </c>
    </row>
    <row r="406" spans="1:11" ht="12.75">
      <c r="A406" s="1">
        <f t="shared" si="1"/>
        <v>2</v>
      </c>
      <c r="B406" s="64">
        <v>1997</v>
      </c>
      <c r="C406" s="86" t="s">
        <v>688</v>
      </c>
      <c r="D406" s="88"/>
      <c r="E406" s="88"/>
      <c r="F406" s="88">
        <v>0</v>
      </c>
      <c r="G406" s="88">
        <v>1</v>
      </c>
      <c r="H406" s="88"/>
      <c r="I406" s="88"/>
      <c r="J406" s="88"/>
      <c r="K406" s="88">
        <v>1</v>
      </c>
    </row>
    <row r="407" spans="1:11" ht="12.75">
      <c r="A407" s="1">
        <f t="shared" si="1"/>
        <v>5</v>
      </c>
      <c r="B407" s="93">
        <v>1997</v>
      </c>
      <c r="C407" s="94" t="s">
        <v>689</v>
      </c>
      <c r="D407" s="88"/>
      <c r="E407" s="88"/>
      <c r="F407" s="88">
        <v>1</v>
      </c>
      <c r="G407" s="88">
        <v>1</v>
      </c>
      <c r="H407" s="88">
        <v>1</v>
      </c>
      <c r="I407" s="88"/>
      <c r="J407" s="88">
        <v>1</v>
      </c>
      <c r="K407" s="88">
        <v>1</v>
      </c>
    </row>
    <row r="408" spans="1:11" ht="12.75">
      <c r="A408" s="1">
        <f t="shared" si="1"/>
        <v>5</v>
      </c>
      <c r="B408" s="64">
        <v>1998</v>
      </c>
      <c r="C408" s="86" t="s">
        <v>690</v>
      </c>
      <c r="D408" s="88"/>
      <c r="E408" s="88"/>
      <c r="F408" s="88">
        <v>1</v>
      </c>
      <c r="G408" s="88">
        <v>1</v>
      </c>
      <c r="H408" s="88">
        <v>1</v>
      </c>
      <c r="I408" s="88"/>
      <c r="J408" s="88">
        <v>1</v>
      </c>
      <c r="K408" s="88">
        <v>1</v>
      </c>
    </row>
    <row r="409" spans="1:11" ht="12.75">
      <c r="A409" s="1">
        <f t="shared" si="1"/>
        <v>0</v>
      </c>
      <c r="B409" s="64">
        <v>1998</v>
      </c>
      <c r="C409" s="86" t="s">
        <v>691</v>
      </c>
      <c r="D409" s="88"/>
      <c r="E409" s="88"/>
      <c r="F409" s="88">
        <v>0</v>
      </c>
      <c r="G409" s="88"/>
      <c r="H409" s="88"/>
      <c r="I409" s="88"/>
      <c r="J409" s="88"/>
      <c r="K409" s="88"/>
    </row>
    <row r="410" spans="1:11" ht="12.75">
      <c r="A410" s="1">
        <f t="shared" si="1"/>
        <v>2</v>
      </c>
      <c r="B410" s="64">
        <v>1998</v>
      </c>
      <c r="C410" s="86" t="s">
        <v>692</v>
      </c>
      <c r="D410" s="88"/>
      <c r="E410" s="88"/>
      <c r="F410" s="88">
        <v>0</v>
      </c>
      <c r="G410" s="88">
        <v>1</v>
      </c>
      <c r="H410" s="88"/>
      <c r="I410" s="88"/>
      <c r="J410" s="88"/>
      <c r="K410" s="88">
        <v>1</v>
      </c>
    </row>
    <row r="411" spans="1:11" ht="12.75">
      <c r="A411" s="1">
        <f t="shared" si="1"/>
        <v>5</v>
      </c>
      <c r="B411" s="64">
        <v>1998</v>
      </c>
      <c r="C411" s="86" t="s">
        <v>693</v>
      </c>
      <c r="D411" s="89"/>
      <c r="E411" s="88"/>
      <c r="F411" s="88">
        <v>1</v>
      </c>
      <c r="G411" s="88">
        <v>1</v>
      </c>
      <c r="H411" s="88">
        <v>1</v>
      </c>
      <c r="I411" s="88"/>
      <c r="J411" s="88">
        <v>1</v>
      </c>
      <c r="K411" s="88">
        <v>1</v>
      </c>
    </row>
    <row r="412" spans="1:11" ht="12.75">
      <c r="A412" s="1">
        <f t="shared" si="1"/>
        <v>6</v>
      </c>
      <c r="B412" s="64">
        <v>1998</v>
      </c>
      <c r="C412" s="86" t="s">
        <v>694</v>
      </c>
      <c r="D412" s="88"/>
      <c r="E412" s="88">
        <v>1</v>
      </c>
      <c r="F412" s="88">
        <v>1</v>
      </c>
      <c r="G412" s="88">
        <v>1</v>
      </c>
      <c r="H412" s="88">
        <v>1</v>
      </c>
      <c r="I412" s="88"/>
      <c r="J412" s="88">
        <v>1</v>
      </c>
      <c r="K412" s="88">
        <v>1</v>
      </c>
    </row>
    <row r="413" spans="1:11" ht="12.75">
      <c r="A413" s="1">
        <f t="shared" si="1"/>
        <v>0</v>
      </c>
      <c r="B413" s="64">
        <v>1998</v>
      </c>
      <c r="C413" s="86" t="s">
        <v>695</v>
      </c>
      <c r="D413" s="88"/>
      <c r="E413" s="88"/>
      <c r="F413" s="88">
        <v>0</v>
      </c>
      <c r="G413" s="88"/>
      <c r="H413" s="88"/>
      <c r="I413" s="88"/>
      <c r="J413" s="88"/>
      <c r="K413" s="88"/>
    </row>
    <row r="414" spans="1:11" ht="12.75">
      <c r="A414" s="1">
        <f t="shared" si="1"/>
        <v>5</v>
      </c>
      <c r="B414" s="64">
        <v>1998</v>
      </c>
      <c r="C414" s="86" t="s">
        <v>696</v>
      </c>
      <c r="D414" s="87"/>
      <c r="E414" s="88"/>
      <c r="F414" s="88">
        <v>1</v>
      </c>
      <c r="G414" s="88">
        <v>1</v>
      </c>
      <c r="H414" s="88">
        <v>1</v>
      </c>
      <c r="I414" s="88"/>
      <c r="J414" s="88">
        <v>1</v>
      </c>
      <c r="K414" s="88">
        <v>1</v>
      </c>
    </row>
    <row r="415" spans="1:11" ht="12.75">
      <c r="A415" s="1">
        <f t="shared" si="1"/>
        <v>3</v>
      </c>
      <c r="B415" s="93">
        <v>1998</v>
      </c>
      <c r="C415" s="94" t="s">
        <v>697</v>
      </c>
      <c r="D415" s="88"/>
      <c r="E415" s="88"/>
      <c r="F415" s="88">
        <v>0</v>
      </c>
      <c r="G415" s="88">
        <v>1</v>
      </c>
      <c r="H415" s="88">
        <v>1</v>
      </c>
      <c r="I415" s="88"/>
      <c r="J415" s="88"/>
      <c r="K415" s="88">
        <v>1</v>
      </c>
    </row>
    <row r="416" spans="1:11" ht="12.75">
      <c r="A416" s="1">
        <f t="shared" si="1"/>
        <v>3</v>
      </c>
      <c r="B416" s="93">
        <v>1998</v>
      </c>
      <c r="C416" s="94" t="s">
        <v>185</v>
      </c>
      <c r="D416" s="88"/>
      <c r="E416" s="88"/>
      <c r="F416" s="88">
        <v>0</v>
      </c>
      <c r="G416" s="88">
        <v>1</v>
      </c>
      <c r="H416" s="88">
        <v>1</v>
      </c>
      <c r="I416" s="88"/>
      <c r="J416" s="88"/>
      <c r="K416" s="88">
        <v>1</v>
      </c>
    </row>
    <row r="417" spans="1:11" ht="12.75">
      <c r="A417" s="1">
        <f t="shared" si="1"/>
        <v>5</v>
      </c>
      <c r="B417" s="93">
        <v>1998</v>
      </c>
      <c r="C417" s="94" t="s">
        <v>698</v>
      </c>
      <c r="D417" s="88"/>
      <c r="E417" s="88"/>
      <c r="F417" s="88">
        <v>1</v>
      </c>
      <c r="G417" s="88">
        <v>1</v>
      </c>
      <c r="H417" s="88">
        <v>1</v>
      </c>
      <c r="I417" s="88"/>
      <c r="J417" s="88">
        <v>1</v>
      </c>
      <c r="K417" s="88">
        <v>1</v>
      </c>
    </row>
    <row r="418" spans="1:11" ht="12.75">
      <c r="A418" s="1">
        <f t="shared" si="1"/>
        <v>0</v>
      </c>
      <c r="B418" s="64">
        <v>1999</v>
      </c>
      <c r="C418" s="86" t="s">
        <v>699</v>
      </c>
      <c r="D418" s="88"/>
      <c r="E418" s="88"/>
      <c r="F418" s="88">
        <v>0</v>
      </c>
      <c r="G418" s="88"/>
      <c r="H418" s="88"/>
      <c r="I418" s="88"/>
      <c r="J418" s="88"/>
      <c r="K418" s="88"/>
    </row>
    <row r="419" spans="1:11" ht="12.75">
      <c r="A419" s="1">
        <f t="shared" si="1"/>
        <v>5</v>
      </c>
      <c r="B419" s="64">
        <v>1999</v>
      </c>
      <c r="C419" s="86" t="s">
        <v>700</v>
      </c>
      <c r="D419" s="89"/>
      <c r="E419" s="88"/>
      <c r="F419" s="88">
        <v>1</v>
      </c>
      <c r="G419" s="88">
        <v>1</v>
      </c>
      <c r="H419" s="88">
        <v>1</v>
      </c>
      <c r="I419" s="88"/>
      <c r="J419" s="88">
        <v>1</v>
      </c>
      <c r="K419" s="88">
        <v>1</v>
      </c>
    </row>
    <row r="420" spans="1:11" ht="12.75">
      <c r="A420" s="1">
        <f t="shared" si="1"/>
        <v>6</v>
      </c>
      <c r="B420" s="64">
        <v>1999</v>
      </c>
      <c r="C420" s="86" t="s">
        <v>701</v>
      </c>
      <c r="D420" s="87"/>
      <c r="E420" s="88">
        <v>1</v>
      </c>
      <c r="F420" s="88">
        <v>1</v>
      </c>
      <c r="G420" s="88">
        <v>1</v>
      </c>
      <c r="H420" s="88">
        <v>1</v>
      </c>
      <c r="I420" s="88"/>
      <c r="J420" s="88">
        <v>1</v>
      </c>
      <c r="K420" s="88">
        <v>1</v>
      </c>
    </row>
    <row r="421" spans="1:11" ht="12.75">
      <c r="A421" s="1">
        <f t="shared" si="1"/>
        <v>1</v>
      </c>
      <c r="B421" s="64">
        <v>1999</v>
      </c>
      <c r="C421" s="86" t="s">
        <v>702</v>
      </c>
      <c r="D421" s="87"/>
      <c r="E421" s="88"/>
      <c r="F421" s="88">
        <v>0</v>
      </c>
      <c r="G421" s="88">
        <v>1</v>
      </c>
      <c r="H421" s="88"/>
      <c r="I421" s="88"/>
      <c r="J421" s="88"/>
      <c r="K421" s="88"/>
    </row>
    <row r="422" spans="1:11" ht="12.75">
      <c r="A422" s="1">
        <f t="shared" si="1"/>
        <v>6</v>
      </c>
      <c r="B422" s="64">
        <v>1999</v>
      </c>
      <c r="C422" s="86" t="s">
        <v>703</v>
      </c>
      <c r="D422" s="88"/>
      <c r="E422" s="88">
        <v>1</v>
      </c>
      <c r="F422" s="88">
        <v>1</v>
      </c>
      <c r="G422" s="88">
        <v>1</v>
      </c>
      <c r="H422" s="88">
        <v>1</v>
      </c>
      <c r="I422" s="88"/>
      <c r="J422" s="88">
        <v>1</v>
      </c>
      <c r="K422" s="88">
        <v>1</v>
      </c>
    </row>
    <row r="423" spans="1:11" ht="12.75">
      <c r="A423" s="1">
        <f t="shared" si="1"/>
        <v>3</v>
      </c>
      <c r="B423" s="64">
        <v>1999</v>
      </c>
      <c r="C423" s="86" t="s">
        <v>704</v>
      </c>
      <c r="D423" s="88"/>
      <c r="E423" s="88"/>
      <c r="F423" s="88">
        <v>0</v>
      </c>
      <c r="G423" s="88">
        <v>1</v>
      </c>
      <c r="H423" s="88">
        <v>1</v>
      </c>
      <c r="I423" s="88"/>
      <c r="J423" s="88"/>
      <c r="K423" s="88">
        <v>1</v>
      </c>
    </row>
    <row r="424" spans="1:11" ht="12.75">
      <c r="A424" s="1">
        <f t="shared" si="1"/>
        <v>6</v>
      </c>
      <c r="B424" s="64">
        <v>1999</v>
      </c>
      <c r="C424" s="86" t="s">
        <v>705</v>
      </c>
      <c r="D424" s="89"/>
      <c r="E424" s="88">
        <v>1</v>
      </c>
      <c r="F424" s="88">
        <v>1</v>
      </c>
      <c r="G424" s="88">
        <v>1</v>
      </c>
      <c r="H424" s="88">
        <v>1</v>
      </c>
      <c r="I424" s="88"/>
      <c r="J424" s="88">
        <v>1</v>
      </c>
      <c r="K424" s="88">
        <v>1</v>
      </c>
    </row>
    <row r="425" spans="1:11" ht="12.75">
      <c r="A425" s="1">
        <f t="shared" si="1"/>
        <v>2</v>
      </c>
      <c r="B425" s="64">
        <v>1999</v>
      </c>
      <c r="C425" s="86" t="s">
        <v>43</v>
      </c>
      <c r="D425" s="88"/>
      <c r="E425" s="88"/>
      <c r="F425" s="88">
        <v>0</v>
      </c>
      <c r="G425" s="88">
        <v>1</v>
      </c>
      <c r="H425" s="88"/>
      <c r="I425" s="88"/>
      <c r="J425" s="88"/>
      <c r="K425" s="88">
        <v>1</v>
      </c>
    </row>
    <row r="426" spans="1:11" ht="12.75">
      <c r="A426" s="1">
        <f t="shared" si="1"/>
        <v>6</v>
      </c>
      <c r="B426" s="64">
        <v>1999</v>
      </c>
      <c r="C426" s="86" t="s">
        <v>706</v>
      </c>
      <c r="D426" s="88"/>
      <c r="E426" s="88">
        <v>1</v>
      </c>
      <c r="F426" s="88">
        <v>1</v>
      </c>
      <c r="G426" s="88">
        <v>1</v>
      </c>
      <c r="H426" s="88">
        <v>1</v>
      </c>
      <c r="I426" s="88"/>
      <c r="J426" s="88">
        <v>1</v>
      </c>
      <c r="K426" s="88">
        <v>1</v>
      </c>
    </row>
    <row r="427" spans="1:11" ht="12.75">
      <c r="A427" s="1">
        <f t="shared" si="1"/>
        <v>5</v>
      </c>
      <c r="B427" s="93">
        <v>1999</v>
      </c>
      <c r="C427" s="94" t="s">
        <v>707</v>
      </c>
      <c r="D427" s="88"/>
      <c r="E427" s="88"/>
      <c r="F427" s="88">
        <v>1</v>
      </c>
      <c r="G427" s="88">
        <v>1</v>
      </c>
      <c r="H427" s="88">
        <v>1</v>
      </c>
      <c r="I427" s="88"/>
      <c r="J427" s="88">
        <v>1</v>
      </c>
      <c r="K427" s="88">
        <v>1</v>
      </c>
    </row>
    <row r="428" spans="1:11" ht="12.75">
      <c r="A428" s="1">
        <f t="shared" si="1"/>
        <v>4</v>
      </c>
      <c r="B428" s="93">
        <v>1999</v>
      </c>
      <c r="C428" s="94" t="s">
        <v>708</v>
      </c>
      <c r="D428" s="88"/>
      <c r="E428" s="88"/>
      <c r="F428" s="88">
        <v>1</v>
      </c>
      <c r="G428" s="88">
        <v>1</v>
      </c>
      <c r="H428" s="88">
        <v>1</v>
      </c>
      <c r="I428" s="88"/>
      <c r="J428" s="88"/>
      <c r="K428" s="88">
        <v>1</v>
      </c>
    </row>
    <row r="429" spans="1:11" ht="12.75">
      <c r="A429" s="1">
        <f t="shared" si="1"/>
        <v>5</v>
      </c>
      <c r="B429" s="93">
        <v>1999</v>
      </c>
      <c r="C429" s="94" t="s">
        <v>709</v>
      </c>
      <c r="D429" s="88"/>
      <c r="E429" s="88"/>
      <c r="F429" s="88">
        <v>1</v>
      </c>
      <c r="G429" s="88">
        <v>1</v>
      </c>
      <c r="H429" s="88">
        <v>1</v>
      </c>
      <c r="I429" s="88"/>
      <c r="J429" s="88">
        <v>1</v>
      </c>
      <c r="K429" s="88">
        <v>1</v>
      </c>
    </row>
    <row r="430" spans="1:11" ht="12.75">
      <c r="A430" s="1">
        <f t="shared" si="1"/>
        <v>1</v>
      </c>
      <c r="B430" s="93">
        <v>1999</v>
      </c>
      <c r="C430" s="94" t="s">
        <v>710</v>
      </c>
      <c r="D430" s="88"/>
      <c r="E430" s="88"/>
      <c r="F430" s="88">
        <v>0</v>
      </c>
      <c r="G430" s="88"/>
      <c r="H430" s="88">
        <v>1</v>
      </c>
      <c r="I430" s="88"/>
      <c r="J430" s="88"/>
      <c r="K430" s="88"/>
    </row>
    <row r="431" spans="1:11" ht="12.75">
      <c r="A431" s="1">
        <f t="shared" si="1"/>
        <v>2</v>
      </c>
      <c r="B431" s="93">
        <v>1999</v>
      </c>
      <c r="C431" s="94" t="s">
        <v>711</v>
      </c>
      <c r="D431" s="88"/>
      <c r="E431" s="88"/>
      <c r="F431" s="88">
        <v>0</v>
      </c>
      <c r="G431" s="88">
        <v>1</v>
      </c>
      <c r="H431" s="88"/>
      <c r="I431" s="88"/>
      <c r="J431" s="88"/>
      <c r="K431" s="88">
        <v>1</v>
      </c>
    </row>
    <row r="432" spans="1:11" ht="12.75">
      <c r="A432" s="1">
        <f t="shared" si="1"/>
        <v>6</v>
      </c>
      <c r="B432" s="64">
        <v>2000</v>
      </c>
      <c r="C432" s="86" t="s">
        <v>712</v>
      </c>
      <c r="D432" s="88"/>
      <c r="E432" s="88">
        <v>1</v>
      </c>
      <c r="F432" s="88">
        <v>1</v>
      </c>
      <c r="G432" s="88">
        <v>1</v>
      </c>
      <c r="H432" s="88">
        <v>1</v>
      </c>
      <c r="I432" s="88"/>
      <c r="J432" s="88">
        <v>1</v>
      </c>
      <c r="K432" s="88">
        <v>1</v>
      </c>
    </row>
    <row r="433" spans="1:11" ht="12.75">
      <c r="A433" s="1">
        <f t="shared" si="1"/>
        <v>1</v>
      </c>
      <c r="B433" s="64">
        <v>2000</v>
      </c>
      <c r="C433" s="86" t="s">
        <v>713</v>
      </c>
      <c r="D433" s="89"/>
      <c r="E433" s="88"/>
      <c r="F433" s="88">
        <v>0</v>
      </c>
      <c r="G433" s="88"/>
      <c r="H433" s="88"/>
      <c r="I433" s="88"/>
      <c r="J433" s="88"/>
      <c r="K433" s="88">
        <v>1</v>
      </c>
    </row>
    <row r="434" spans="1:11" ht="12.75">
      <c r="A434" s="1">
        <f t="shared" si="1"/>
        <v>3</v>
      </c>
      <c r="B434" s="64">
        <v>2000</v>
      </c>
      <c r="C434" s="86" t="s">
        <v>714</v>
      </c>
      <c r="D434" s="87"/>
      <c r="E434" s="88"/>
      <c r="F434" s="88">
        <v>0</v>
      </c>
      <c r="G434" s="88">
        <v>1</v>
      </c>
      <c r="H434" s="88">
        <v>1</v>
      </c>
      <c r="I434" s="88"/>
      <c r="J434" s="88"/>
      <c r="K434" s="88">
        <v>1</v>
      </c>
    </row>
    <row r="435" spans="1:11" ht="12.75">
      <c r="A435" s="1">
        <f t="shared" si="1"/>
        <v>5</v>
      </c>
      <c r="B435" s="64">
        <v>2000</v>
      </c>
      <c r="C435" s="86" t="s">
        <v>715</v>
      </c>
      <c r="D435" s="88"/>
      <c r="E435" s="88">
        <v>1</v>
      </c>
      <c r="F435" s="88">
        <v>0</v>
      </c>
      <c r="G435" s="88">
        <v>1</v>
      </c>
      <c r="H435" s="88">
        <v>1</v>
      </c>
      <c r="I435" s="88"/>
      <c r="J435" s="88">
        <v>1</v>
      </c>
      <c r="K435" s="88">
        <v>1</v>
      </c>
    </row>
    <row r="436" spans="1:11" ht="12.75">
      <c r="A436" s="1">
        <f t="shared" si="1"/>
        <v>0</v>
      </c>
      <c r="B436" s="64">
        <v>2000</v>
      </c>
      <c r="C436" s="86" t="s">
        <v>716</v>
      </c>
      <c r="D436" s="87"/>
      <c r="E436" s="88"/>
      <c r="F436" s="88">
        <v>0</v>
      </c>
      <c r="G436" s="88"/>
      <c r="H436" s="88"/>
      <c r="I436" s="88"/>
      <c r="J436" s="88"/>
      <c r="K436" s="88"/>
    </row>
    <row r="437" spans="1:11" ht="12.75">
      <c r="A437" s="1">
        <f t="shared" si="1"/>
        <v>5</v>
      </c>
      <c r="B437" s="93">
        <v>2000</v>
      </c>
      <c r="C437" s="94" t="s">
        <v>717</v>
      </c>
      <c r="D437" s="88"/>
      <c r="E437" s="88"/>
      <c r="F437" s="88">
        <v>1</v>
      </c>
      <c r="G437" s="88">
        <v>1</v>
      </c>
      <c r="H437" s="88">
        <v>1</v>
      </c>
      <c r="I437" s="88"/>
      <c r="J437" s="88">
        <v>1</v>
      </c>
      <c r="K437" s="88">
        <v>1</v>
      </c>
    </row>
    <row r="438" spans="1:11" ht="12.75">
      <c r="A438" s="1">
        <f t="shared" si="1"/>
        <v>5</v>
      </c>
      <c r="B438" s="93">
        <v>2000</v>
      </c>
      <c r="C438" s="94" t="s">
        <v>718</v>
      </c>
      <c r="D438" s="88"/>
      <c r="E438" s="88"/>
      <c r="F438" s="88">
        <v>1</v>
      </c>
      <c r="G438" s="88">
        <v>1</v>
      </c>
      <c r="H438" s="88">
        <v>1</v>
      </c>
      <c r="I438" s="88"/>
      <c r="J438" s="88">
        <v>1</v>
      </c>
      <c r="K438" s="88">
        <v>1</v>
      </c>
    </row>
    <row r="439" spans="1:11" ht="12.75">
      <c r="A439" s="1">
        <f t="shared" si="1"/>
        <v>5</v>
      </c>
      <c r="B439" s="64">
        <v>2001</v>
      </c>
      <c r="C439" s="86" t="s">
        <v>719</v>
      </c>
      <c r="D439" s="88"/>
      <c r="E439" s="88">
        <v>1</v>
      </c>
      <c r="F439" s="88">
        <v>1</v>
      </c>
      <c r="G439" s="88">
        <v>1</v>
      </c>
      <c r="H439" s="88">
        <v>1</v>
      </c>
      <c r="I439" s="88"/>
      <c r="J439" s="88"/>
      <c r="K439" s="88">
        <v>1</v>
      </c>
    </row>
    <row r="440" spans="1:11" ht="12.75">
      <c r="A440" s="1">
        <f t="shared" si="1"/>
        <v>5</v>
      </c>
      <c r="B440" s="64">
        <v>2001</v>
      </c>
      <c r="C440" s="86" t="s">
        <v>720</v>
      </c>
      <c r="D440" s="88"/>
      <c r="E440" s="88">
        <v>1</v>
      </c>
      <c r="F440" s="88">
        <v>1</v>
      </c>
      <c r="G440" s="88">
        <v>1</v>
      </c>
      <c r="H440" s="88"/>
      <c r="I440" s="88"/>
      <c r="J440" s="88">
        <v>1</v>
      </c>
      <c r="K440" s="88">
        <v>1</v>
      </c>
    </row>
    <row r="441" spans="1:11" ht="12.75">
      <c r="A441" s="1">
        <f t="shared" si="1"/>
        <v>4</v>
      </c>
      <c r="B441" s="64">
        <v>2001</v>
      </c>
      <c r="C441" s="86" t="s">
        <v>721</v>
      </c>
      <c r="D441" s="88"/>
      <c r="E441" s="88"/>
      <c r="F441" s="88">
        <v>0</v>
      </c>
      <c r="G441" s="88">
        <v>1</v>
      </c>
      <c r="H441" s="88">
        <v>1</v>
      </c>
      <c r="I441" s="88"/>
      <c r="J441" s="88">
        <v>1</v>
      </c>
      <c r="K441" s="88">
        <v>1</v>
      </c>
    </row>
    <row r="442" spans="1:11" ht="12.75">
      <c r="A442" s="1">
        <f t="shared" si="1"/>
        <v>2</v>
      </c>
      <c r="B442" s="64">
        <v>2001</v>
      </c>
      <c r="C442" s="86" t="s">
        <v>722</v>
      </c>
      <c r="D442" s="89"/>
      <c r="E442" s="88"/>
      <c r="F442" s="88">
        <v>0</v>
      </c>
      <c r="G442" s="88">
        <v>1</v>
      </c>
      <c r="H442" s="88"/>
      <c r="I442" s="88"/>
      <c r="J442" s="88"/>
      <c r="K442" s="88">
        <v>1</v>
      </c>
    </row>
    <row r="443" spans="1:11" ht="12.75">
      <c r="A443" s="1">
        <f t="shared" si="1"/>
        <v>6</v>
      </c>
      <c r="B443" s="64">
        <v>2001</v>
      </c>
      <c r="C443" s="86" t="s">
        <v>723</v>
      </c>
      <c r="D443" s="87"/>
      <c r="E443" s="88">
        <v>1</v>
      </c>
      <c r="F443" s="88">
        <v>1</v>
      </c>
      <c r="G443" s="88">
        <v>1</v>
      </c>
      <c r="H443" s="88">
        <v>1</v>
      </c>
      <c r="I443" s="88"/>
      <c r="J443" s="88">
        <v>1</v>
      </c>
      <c r="K443" s="88">
        <v>1</v>
      </c>
    </row>
    <row r="444" spans="1:11" ht="12.75">
      <c r="A444" s="1">
        <f t="shared" si="1"/>
        <v>4</v>
      </c>
      <c r="B444" s="64">
        <v>2001</v>
      </c>
      <c r="C444" s="86" t="s">
        <v>724</v>
      </c>
      <c r="D444" s="88"/>
      <c r="E444" s="88"/>
      <c r="F444" s="88">
        <v>1</v>
      </c>
      <c r="G444" s="88">
        <v>1</v>
      </c>
      <c r="H444" s="88">
        <v>1</v>
      </c>
      <c r="I444" s="88"/>
      <c r="J444" s="88"/>
      <c r="K444" s="88">
        <v>1</v>
      </c>
    </row>
    <row r="445" spans="1:11" ht="12.75">
      <c r="A445" s="1">
        <f t="shared" si="1"/>
        <v>3</v>
      </c>
      <c r="B445" s="93">
        <v>2001</v>
      </c>
      <c r="C445" s="94" t="s">
        <v>725</v>
      </c>
      <c r="D445" s="88"/>
      <c r="E445" s="88"/>
      <c r="F445" s="88">
        <v>1</v>
      </c>
      <c r="G445" s="88"/>
      <c r="H445" s="88"/>
      <c r="I445" s="88"/>
      <c r="J445" s="88">
        <v>1</v>
      </c>
      <c r="K445" s="88">
        <v>1</v>
      </c>
    </row>
    <row r="446" spans="1:11" ht="12.75">
      <c r="A446" s="1">
        <f t="shared" si="1"/>
        <v>4</v>
      </c>
      <c r="B446" s="93">
        <v>2001</v>
      </c>
      <c r="C446" s="94" t="s">
        <v>726</v>
      </c>
      <c r="D446" s="88"/>
      <c r="E446" s="88"/>
      <c r="F446" s="88">
        <v>1</v>
      </c>
      <c r="G446" s="88">
        <v>1</v>
      </c>
      <c r="H446" s="88">
        <v>1</v>
      </c>
      <c r="I446" s="88"/>
      <c r="J446" s="88">
        <v>1</v>
      </c>
      <c r="K446" s="88"/>
    </row>
    <row r="447" spans="1:11" ht="12.75">
      <c r="A447" s="1">
        <f t="shared" si="1"/>
        <v>3</v>
      </c>
      <c r="B447" s="93">
        <v>2001</v>
      </c>
      <c r="C447" s="94" t="s">
        <v>727</v>
      </c>
      <c r="D447" s="88"/>
      <c r="E447" s="88"/>
      <c r="F447" s="88">
        <v>1</v>
      </c>
      <c r="G447" s="88">
        <v>1</v>
      </c>
      <c r="H447" s="88"/>
      <c r="I447" s="88"/>
      <c r="J447" s="88"/>
      <c r="K447" s="88">
        <v>1</v>
      </c>
    </row>
    <row r="448" spans="1:11" ht="12.75">
      <c r="A448" s="1">
        <f t="shared" si="1"/>
        <v>5</v>
      </c>
      <c r="B448" s="64">
        <v>2002</v>
      </c>
      <c r="C448" s="86" t="s">
        <v>728</v>
      </c>
      <c r="D448" s="88"/>
      <c r="E448" s="88"/>
      <c r="F448" s="88">
        <v>1</v>
      </c>
      <c r="G448" s="88">
        <v>1</v>
      </c>
      <c r="H448" s="88">
        <v>1</v>
      </c>
      <c r="I448" s="88"/>
      <c r="J448" s="88">
        <v>1</v>
      </c>
      <c r="K448" s="88">
        <v>1</v>
      </c>
    </row>
    <row r="449" spans="1:11" ht="12.75">
      <c r="A449" s="1">
        <f t="shared" si="1"/>
        <v>3</v>
      </c>
      <c r="B449" s="64">
        <v>2002</v>
      </c>
      <c r="C449" s="86" t="s">
        <v>32</v>
      </c>
      <c r="D449" s="89"/>
      <c r="E449" s="88"/>
      <c r="F449" s="88">
        <v>0</v>
      </c>
      <c r="G449" s="88">
        <v>1</v>
      </c>
      <c r="H449" s="88">
        <v>1</v>
      </c>
      <c r="I449" s="88"/>
      <c r="J449" s="88"/>
      <c r="K449" s="88">
        <v>1</v>
      </c>
    </row>
    <row r="450" spans="1:11" ht="12.75">
      <c r="A450" s="1">
        <f t="shared" si="1"/>
        <v>0</v>
      </c>
      <c r="B450" s="64">
        <v>2002</v>
      </c>
      <c r="C450" s="86" t="s">
        <v>729</v>
      </c>
      <c r="D450" s="88"/>
      <c r="E450" s="88"/>
      <c r="F450" s="88">
        <v>0</v>
      </c>
      <c r="G450" s="88"/>
      <c r="H450" s="88"/>
      <c r="I450" s="88"/>
      <c r="J450" s="88"/>
      <c r="K450" s="88"/>
    </row>
    <row r="451" spans="1:11" ht="12.75">
      <c r="A451" s="1">
        <f t="shared" si="1"/>
        <v>0</v>
      </c>
      <c r="B451" s="64">
        <v>2002</v>
      </c>
      <c r="C451" s="86" t="s">
        <v>730</v>
      </c>
      <c r="D451" s="88"/>
      <c r="E451" s="88"/>
      <c r="F451" s="88">
        <v>0</v>
      </c>
      <c r="G451" s="88"/>
      <c r="H451" s="88"/>
      <c r="I451" s="88"/>
      <c r="J451" s="88"/>
      <c r="K451" s="88"/>
    </row>
    <row r="452" spans="1:11" ht="12.75">
      <c r="A452" s="1">
        <f t="shared" si="1"/>
        <v>6</v>
      </c>
      <c r="B452" s="64">
        <v>2002</v>
      </c>
      <c r="C452" s="86" t="s">
        <v>731</v>
      </c>
      <c r="D452" s="87"/>
      <c r="E452" s="88">
        <v>1</v>
      </c>
      <c r="F452" s="88">
        <v>1</v>
      </c>
      <c r="G452" s="88">
        <v>1</v>
      </c>
      <c r="H452" s="88">
        <v>1</v>
      </c>
      <c r="I452" s="88"/>
      <c r="J452" s="88">
        <v>1</v>
      </c>
      <c r="K452" s="88">
        <v>1</v>
      </c>
    </row>
    <row r="453" spans="1:11" ht="12.75">
      <c r="A453" s="1">
        <f t="shared" si="1"/>
        <v>2</v>
      </c>
      <c r="B453" s="64">
        <v>2002</v>
      </c>
      <c r="C453" s="86" t="s">
        <v>732</v>
      </c>
      <c r="D453" s="87"/>
      <c r="E453" s="88"/>
      <c r="F453" s="88">
        <v>0</v>
      </c>
      <c r="G453" s="88"/>
      <c r="H453" s="88"/>
      <c r="I453" s="88"/>
      <c r="J453" s="88">
        <v>1</v>
      </c>
      <c r="K453" s="88">
        <v>1</v>
      </c>
    </row>
    <row r="454" spans="1:11" ht="12.75">
      <c r="A454" s="1">
        <f t="shared" si="1"/>
        <v>0</v>
      </c>
      <c r="B454" s="64">
        <v>2002</v>
      </c>
      <c r="C454" s="86" t="s">
        <v>733</v>
      </c>
      <c r="D454" s="88"/>
      <c r="E454" s="88"/>
      <c r="F454" s="88">
        <v>0</v>
      </c>
      <c r="G454" s="88"/>
      <c r="H454" s="88"/>
      <c r="I454" s="88"/>
      <c r="J454" s="88"/>
      <c r="K454" s="88"/>
    </row>
    <row r="455" spans="1:11" ht="12.75">
      <c r="A455" s="1">
        <f t="shared" si="1"/>
        <v>3</v>
      </c>
      <c r="B455" s="93">
        <v>2002</v>
      </c>
      <c r="C455" s="94" t="s">
        <v>734</v>
      </c>
      <c r="D455" s="88"/>
      <c r="E455" s="88"/>
      <c r="F455" s="88">
        <v>1</v>
      </c>
      <c r="G455" s="88"/>
      <c r="H455" s="88"/>
      <c r="I455" s="88"/>
      <c r="J455" s="88">
        <v>1</v>
      </c>
      <c r="K455" s="88">
        <v>1</v>
      </c>
    </row>
    <row r="456" spans="1:11" ht="12.75">
      <c r="A456" s="1">
        <f t="shared" si="1"/>
        <v>3</v>
      </c>
      <c r="B456" s="93">
        <v>2002</v>
      </c>
      <c r="C456" s="94" t="s">
        <v>735</v>
      </c>
      <c r="D456" s="88"/>
      <c r="E456" s="88"/>
      <c r="F456" s="88">
        <v>1</v>
      </c>
      <c r="G456" s="88">
        <v>1</v>
      </c>
      <c r="H456" s="88"/>
      <c r="I456" s="88"/>
      <c r="J456" s="88">
        <v>1</v>
      </c>
      <c r="K456" s="88"/>
    </row>
    <row r="457" spans="1:11" ht="12.75">
      <c r="A457" s="1">
        <f t="shared" si="1"/>
        <v>5</v>
      </c>
      <c r="B457" s="64">
        <v>2003</v>
      </c>
      <c r="C457" s="86" t="s">
        <v>736</v>
      </c>
      <c r="D457" s="88"/>
      <c r="E457" s="88">
        <v>1</v>
      </c>
      <c r="F457" s="88">
        <v>1</v>
      </c>
      <c r="G457" s="88">
        <v>1</v>
      </c>
      <c r="H457" s="88"/>
      <c r="I457" s="88"/>
      <c r="J457" s="88">
        <v>1</v>
      </c>
      <c r="K457" s="88">
        <v>1</v>
      </c>
    </row>
    <row r="458" spans="1:11" ht="12.75">
      <c r="A458" s="1">
        <f t="shared" si="1"/>
        <v>3</v>
      </c>
      <c r="B458" s="64">
        <v>2003</v>
      </c>
      <c r="C458" s="86" t="s">
        <v>142</v>
      </c>
      <c r="D458" s="89"/>
      <c r="E458" s="88"/>
      <c r="F458" s="88">
        <v>0</v>
      </c>
      <c r="G458" s="88">
        <v>1</v>
      </c>
      <c r="H458" s="88"/>
      <c r="I458" s="88"/>
      <c r="J458" s="88">
        <v>1</v>
      </c>
      <c r="K458" s="88">
        <v>1</v>
      </c>
    </row>
    <row r="459" spans="1:11" ht="12.75">
      <c r="A459" s="1">
        <f t="shared" si="1"/>
        <v>2</v>
      </c>
      <c r="B459" s="64">
        <v>2003</v>
      </c>
      <c r="C459" s="86" t="s">
        <v>737</v>
      </c>
      <c r="D459" s="89"/>
      <c r="E459" s="88"/>
      <c r="F459" s="88">
        <v>0</v>
      </c>
      <c r="G459" s="88">
        <v>1</v>
      </c>
      <c r="H459" s="88"/>
      <c r="I459" s="88"/>
      <c r="J459" s="88"/>
      <c r="K459" s="88">
        <v>1</v>
      </c>
    </row>
    <row r="460" spans="1:11" ht="12.75">
      <c r="A460" s="1">
        <f t="shared" si="1"/>
        <v>0</v>
      </c>
      <c r="B460" s="64">
        <v>2003</v>
      </c>
      <c r="C460" s="86" t="s">
        <v>738</v>
      </c>
      <c r="D460" s="88"/>
      <c r="E460" s="88"/>
      <c r="F460" s="88">
        <v>0</v>
      </c>
      <c r="G460" s="88"/>
      <c r="H460" s="88"/>
      <c r="I460" s="88"/>
      <c r="J460" s="88"/>
      <c r="K460" s="88"/>
    </row>
    <row r="461" spans="1:11" ht="12.75">
      <c r="A461" s="1">
        <f t="shared" si="1"/>
        <v>0</v>
      </c>
      <c r="B461" s="64">
        <v>2003</v>
      </c>
      <c r="C461" s="86" t="s">
        <v>739</v>
      </c>
      <c r="D461" s="87"/>
      <c r="E461" s="88"/>
      <c r="F461" s="88">
        <v>0</v>
      </c>
      <c r="G461" s="88"/>
      <c r="H461" s="88"/>
      <c r="I461" s="88"/>
      <c r="J461" s="88"/>
      <c r="K461" s="88"/>
    </row>
    <row r="462" spans="1:11" ht="12.75">
      <c r="A462" s="1">
        <f t="shared" si="1"/>
        <v>6</v>
      </c>
      <c r="B462" s="64">
        <v>2003</v>
      </c>
      <c r="C462" s="86" t="s">
        <v>740</v>
      </c>
      <c r="D462" s="89"/>
      <c r="E462" s="88">
        <v>1</v>
      </c>
      <c r="F462" s="88">
        <v>1</v>
      </c>
      <c r="G462" s="88">
        <v>1</v>
      </c>
      <c r="H462" s="88">
        <v>1</v>
      </c>
      <c r="I462" s="88"/>
      <c r="J462" s="88">
        <v>1</v>
      </c>
      <c r="K462" s="88">
        <v>1</v>
      </c>
    </row>
    <row r="463" spans="1:11" ht="12.75">
      <c r="A463" s="1">
        <f t="shared" si="1"/>
        <v>0</v>
      </c>
      <c r="B463" s="64">
        <v>2003</v>
      </c>
      <c r="C463" s="86" t="s">
        <v>741</v>
      </c>
      <c r="D463" s="88"/>
      <c r="E463" s="88"/>
      <c r="F463" s="88">
        <v>0</v>
      </c>
      <c r="G463" s="88"/>
      <c r="H463" s="88"/>
      <c r="I463" s="88"/>
      <c r="J463" s="88"/>
      <c r="K463" s="88"/>
    </row>
    <row r="464" spans="1:11" ht="12.75">
      <c r="A464" s="1">
        <f t="shared" si="1"/>
        <v>0</v>
      </c>
      <c r="B464" s="64">
        <v>2003</v>
      </c>
      <c r="C464" s="86" t="s">
        <v>742</v>
      </c>
      <c r="D464" s="88"/>
      <c r="E464" s="88"/>
      <c r="F464" s="88">
        <v>0</v>
      </c>
      <c r="G464" s="88"/>
      <c r="H464" s="88"/>
      <c r="I464" s="88"/>
      <c r="J464" s="88"/>
      <c r="K464" s="88"/>
    </row>
    <row r="465" spans="1:11" ht="12.75">
      <c r="A465" s="1">
        <f t="shared" si="1"/>
        <v>1</v>
      </c>
      <c r="B465" s="93">
        <v>2003</v>
      </c>
      <c r="C465" s="94" t="s">
        <v>743</v>
      </c>
      <c r="D465" s="88"/>
      <c r="E465" s="88"/>
      <c r="F465" s="88">
        <v>0</v>
      </c>
      <c r="G465" s="88"/>
      <c r="H465" s="88"/>
      <c r="I465" s="88"/>
      <c r="J465" s="88"/>
      <c r="K465" s="88">
        <v>1</v>
      </c>
    </row>
    <row r="466" spans="1:11" ht="12.75">
      <c r="A466" s="1">
        <f t="shared" si="1"/>
        <v>5</v>
      </c>
      <c r="B466" s="93">
        <v>2003</v>
      </c>
      <c r="C466" s="94" t="s">
        <v>744</v>
      </c>
      <c r="D466" s="88"/>
      <c r="E466" s="88"/>
      <c r="F466" s="88">
        <v>1</v>
      </c>
      <c r="G466" s="88">
        <v>1</v>
      </c>
      <c r="H466" s="88">
        <v>1</v>
      </c>
      <c r="I466" s="88"/>
      <c r="J466" s="88">
        <v>1</v>
      </c>
      <c r="K466" s="88">
        <v>1</v>
      </c>
    </row>
    <row r="467" spans="1:11" ht="12.75">
      <c r="A467" s="1">
        <f t="shared" si="1"/>
        <v>4</v>
      </c>
      <c r="B467" s="93">
        <v>2003</v>
      </c>
      <c r="C467" s="94" t="s">
        <v>745</v>
      </c>
      <c r="D467" s="88"/>
      <c r="E467" s="88"/>
      <c r="F467" s="88">
        <v>1</v>
      </c>
      <c r="G467" s="88">
        <v>1</v>
      </c>
      <c r="H467" s="88">
        <v>1</v>
      </c>
      <c r="I467" s="88"/>
      <c r="J467" s="88"/>
      <c r="K467" s="88">
        <v>1</v>
      </c>
    </row>
    <row r="468" spans="1:11" ht="12.75">
      <c r="A468" s="1">
        <f t="shared" si="1"/>
        <v>0</v>
      </c>
      <c r="B468" s="64">
        <v>2004</v>
      </c>
      <c r="C468" s="86" t="s">
        <v>746</v>
      </c>
      <c r="D468" s="88"/>
      <c r="E468" s="88"/>
      <c r="F468" s="88">
        <v>0</v>
      </c>
      <c r="G468" s="88"/>
      <c r="H468" s="88"/>
      <c r="I468" s="88"/>
      <c r="J468" s="88"/>
      <c r="K468" s="88"/>
    </row>
    <row r="469" spans="1:11" ht="12.75">
      <c r="A469" s="1">
        <f t="shared" si="1"/>
        <v>0</v>
      </c>
      <c r="B469" s="64">
        <v>2004</v>
      </c>
      <c r="C469" s="86" t="s">
        <v>747</v>
      </c>
      <c r="D469" s="88"/>
      <c r="E469" s="88"/>
      <c r="F469" s="88">
        <v>0</v>
      </c>
      <c r="G469" s="88"/>
      <c r="H469" s="88"/>
      <c r="I469" s="88"/>
      <c r="J469" s="88"/>
      <c r="K469" s="88"/>
    </row>
    <row r="470" spans="1:11" ht="12.75">
      <c r="A470" s="1">
        <f t="shared" si="1"/>
        <v>0</v>
      </c>
      <c r="B470" s="64">
        <v>2004</v>
      </c>
      <c r="C470" s="86" t="s">
        <v>748</v>
      </c>
      <c r="D470" s="88"/>
      <c r="E470" s="88"/>
      <c r="F470" s="88">
        <v>0</v>
      </c>
      <c r="G470" s="88"/>
      <c r="H470" s="88"/>
      <c r="I470" s="88"/>
      <c r="J470" s="88"/>
      <c r="K470" s="88"/>
    </row>
    <row r="471" spans="1:11" ht="12.75">
      <c r="A471" s="1">
        <f t="shared" si="1"/>
        <v>3</v>
      </c>
      <c r="B471" s="64">
        <v>2004</v>
      </c>
      <c r="C471" s="86" t="s">
        <v>749</v>
      </c>
      <c r="D471" s="87"/>
      <c r="E471" s="88"/>
      <c r="F471" s="88">
        <v>1</v>
      </c>
      <c r="G471" s="88">
        <v>1</v>
      </c>
      <c r="H471" s="88"/>
      <c r="I471" s="88"/>
      <c r="J471" s="88"/>
      <c r="K471" s="88">
        <v>1</v>
      </c>
    </row>
    <row r="472" spans="1:11" ht="12.75">
      <c r="A472" s="1">
        <f t="shared" si="1"/>
        <v>1</v>
      </c>
      <c r="B472" s="64">
        <v>2004</v>
      </c>
      <c r="C472" s="86" t="s">
        <v>750</v>
      </c>
      <c r="D472" s="88"/>
      <c r="E472" s="88"/>
      <c r="F472" s="88">
        <v>0</v>
      </c>
      <c r="G472" s="88"/>
      <c r="H472" s="88"/>
      <c r="I472" s="88"/>
      <c r="J472" s="88"/>
      <c r="K472" s="88">
        <v>1</v>
      </c>
    </row>
    <row r="473" spans="1:11" ht="12.75">
      <c r="A473" s="1">
        <f t="shared" si="1"/>
        <v>0</v>
      </c>
      <c r="B473" s="64">
        <v>2004</v>
      </c>
      <c r="C473" s="86" t="s">
        <v>751</v>
      </c>
      <c r="D473" s="88"/>
      <c r="E473" s="88"/>
      <c r="F473" s="88">
        <v>0</v>
      </c>
      <c r="G473" s="88"/>
      <c r="H473" s="88"/>
      <c r="I473" s="88"/>
      <c r="J473" s="88"/>
      <c r="K473" s="88"/>
    </row>
    <row r="474" spans="1:11" ht="12.75">
      <c r="A474" s="1">
        <f t="shared" si="1"/>
        <v>0</v>
      </c>
      <c r="B474" s="64">
        <v>2004</v>
      </c>
      <c r="C474" s="86" t="s">
        <v>752</v>
      </c>
      <c r="D474" s="88"/>
      <c r="E474" s="88"/>
      <c r="F474" s="88">
        <v>0</v>
      </c>
      <c r="G474" s="88"/>
      <c r="H474" s="88"/>
      <c r="I474" s="88"/>
      <c r="J474" s="88"/>
      <c r="K474" s="88"/>
    </row>
    <row r="475" spans="1:11" ht="12.75">
      <c r="A475" s="1">
        <f t="shared" si="1"/>
        <v>0</v>
      </c>
      <c r="B475" s="64">
        <v>2004</v>
      </c>
      <c r="C475" s="86" t="s">
        <v>753</v>
      </c>
      <c r="D475" s="88"/>
      <c r="E475" s="88"/>
      <c r="F475" s="88">
        <v>0</v>
      </c>
      <c r="G475" s="88"/>
      <c r="H475" s="88"/>
      <c r="I475" s="88"/>
      <c r="J475" s="88"/>
      <c r="K475" s="88"/>
    </row>
    <row r="476" spans="1:11" ht="12.75">
      <c r="A476" s="1">
        <f t="shared" si="1"/>
        <v>3</v>
      </c>
      <c r="B476" s="64">
        <v>2004</v>
      </c>
      <c r="C476" s="86" t="s">
        <v>754</v>
      </c>
      <c r="D476" s="88"/>
      <c r="E476" s="88"/>
      <c r="F476" s="88">
        <v>1</v>
      </c>
      <c r="G476" s="88">
        <v>1</v>
      </c>
      <c r="H476" s="88"/>
      <c r="I476" s="88"/>
      <c r="J476" s="88"/>
      <c r="K476" s="88">
        <v>1</v>
      </c>
    </row>
    <row r="477" spans="1:11" ht="12.75">
      <c r="A477" s="1">
        <f t="shared" si="1"/>
        <v>0</v>
      </c>
      <c r="B477" s="93">
        <v>2004</v>
      </c>
      <c r="C477" s="94" t="s">
        <v>755</v>
      </c>
      <c r="D477" s="88"/>
      <c r="E477" s="88"/>
      <c r="F477" s="88">
        <v>0</v>
      </c>
      <c r="G477" s="88"/>
      <c r="H477" s="88"/>
      <c r="I477" s="88"/>
      <c r="J477" s="88"/>
      <c r="K477" s="88"/>
    </row>
    <row r="478" spans="1:11" ht="12.75">
      <c r="A478" s="1">
        <f t="shared" si="1"/>
        <v>0</v>
      </c>
      <c r="B478" s="93">
        <v>2004</v>
      </c>
      <c r="C478" s="94" t="s">
        <v>756</v>
      </c>
      <c r="D478" s="88"/>
      <c r="E478" s="88"/>
      <c r="F478" s="88">
        <v>0</v>
      </c>
      <c r="G478" s="88"/>
      <c r="H478" s="88"/>
      <c r="I478" s="88"/>
      <c r="J478" s="88"/>
      <c r="K478" s="88"/>
    </row>
    <row r="479" spans="1:11" ht="12.75">
      <c r="A479" s="1">
        <f t="shared" si="1"/>
        <v>2</v>
      </c>
      <c r="B479" s="93">
        <v>2004</v>
      </c>
      <c r="C479" s="94" t="s">
        <v>757</v>
      </c>
      <c r="D479" s="88"/>
      <c r="E479" s="88"/>
      <c r="F479" s="88">
        <v>0</v>
      </c>
      <c r="G479" s="88">
        <v>1</v>
      </c>
      <c r="H479" s="88"/>
      <c r="I479" s="88"/>
      <c r="J479" s="88"/>
      <c r="K479" s="88">
        <v>1</v>
      </c>
    </row>
    <row r="480" spans="1:11" ht="12.75">
      <c r="A480" s="1">
        <f t="shared" si="1"/>
        <v>3</v>
      </c>
      <c r="B480" s="93">
        <v>2004</v>
      </c>
      <c r="C480" s="94" t="s">
        <v>758</v>
      </c>
      <c r="D480" s="88"/>
      <c r="E480" s="88"/>
      <c r="F480" s="88">
        <v>1</v>
      </c>
      <c r="G480" s="88">
        <v>1</v>
      </c>
      <c r="H480" s="88"/>
      <c r="I480" s="88"/>
      <c r="J480" s="88"/>
      <c r="K480" s="88">
        <v>1</v>
      </c>
    </row>
    <row r="481" spans="1:11" ht="12.75">
      <c r="A481" s="1">
        <f t="shared" si="1"/>
        <v>3</v>
      </c>
      <c r="B481" s="93">
        <v>2004</v>
      </c>
      <c r="C481" s="94" t="s">
        <v>759</v>
      </c>
      <c r="D481" s="88"/>
      <c r="E481" s="88"/>
      <c r="F481" s="88">
        <v>0</v>
      </c>
      <c r="G481" s="88">
        <v>1</v>
      </c>
      <c r="H481" s="88">
        <v>1</v>
      </c>
      <c r="I481" s="88"/>
      <c r="J481" s="88"/>
      <c r="K481" s="88">
        <v>1</v>
      </c>
    </row>
    <row r="482" spans="1:11" ht="12.75">
      <c r="A482" s="1">
        <f t="shared" si="1"/>
        <v>4</v>
      </c>
      <c r="B482" s="93">
        <v>2004</v>
      </c>
      <c r="C482" s="94" t="s">
        <v>760</v>
      </c>
      <c r="D482" s="88"/>
      <c r="E482" s="88"/>
      <c r="F482" s="88">
        <v>0</v>
      </c>
      <c r="G482" s="88">
        <v>1</v>
      </c>
      <c r="H482" s="88">
        <v>1</v>
      </c>
      <c r="I482" s="88"/>
      <c r="J482" s="88">
        <v>1</v>
      </c>
      <c r="K482" s="88">
        <v>1</v>
      </c>
    </row>
    <row r="483" spans="1:11" ht="12.75">
      <c r="A483" s="1">
        <f t="shared" si="1"/>
        <v>1</v>
      </c>
      <c r="B483" s="93">
        <v>2004</v>
      </c>
      <c r="C483" s="94" t="s">
        <v>761</v>
      </c>
      <c r="D483" s="88"/>
      <c r="E483" s="88"/>
      <c r="F483" s="88">
        <v>0</v>
      </c>
      <c r="G483" s="88"/>
      <c r="H483" s="88"/>
      <c r="I483" s="88"/>
      <c r="J483" s="88">
        <v>1</v>
      </c>
      <c r="K483" s="88"/>
    </row>
    <row r="484" spans="1:11" ht="12.75">
      <c r="A484" s="1">
        <f t="shared" si="1"/>
        <v>3</v>
      </c>
      <c r="B484" s="64">
        <v>2006</v>
      </c>
      <c r="C484" s="86" t="s">
        <v>762</v>
      </c>
      <c r="D484" s="88"/>
      <c r="E484" s="88">
        <v>1</v>
      </c>
      <c r="F484" s="88">
        <v>0</v>
      </c>
      <c r="G484" s="88">
        <v>1</v>
      </c>
      <c r="H484" s="88">
        <v>1</v>
      </c>
      <c r="I484" s="88"/>
      <c r="J484" s="88"/>
      <c r="K484" s="88"/>
    </row>
    <row r="485" spans="1:11" ht="12.75">
      <c r="A485" s="1">
        <f t="shared" si="1"/>
        <v>4</v>
      </c>
      <c r="B485" s="64">
        <v>2006</v>
      </c>
      <c r="C485" s="86" t="s">
        <v>763</v>
      </c>
      <c r="D485" s="88"/>
      <c r="E485" s="88"/>
      <c r="F485" s="88">
        <v>0</v>
      </c>
      <c r="G485" s="88">
        <v>1</v>
      </c>
      <c r="H485" s="88">
        <v>1</v>
      </c>
      <c r="I485" s="88"/>
      <c r="J485" s="88">
        <v>1</v>
      </c>
      <c r="K485" s="88">
        <v>1</v>
      </c>
    </row>
    <row r="486" spans="1:11" ht="12.75">
      <c r="A486" s="1">
        <f t="shared" si="1"/>
        <v>1</v>
      </c>
      <c r="B486" s="64">
        <v>2006</v>
      </c>
      <c r="C486" s="86" t="s">
        <v>764</v>
      </c>
      <c r="D486" s="89"/>
      <c r="E486" s="88"/>
      <c r="F486" s="88">
        <v>0</v>
      </c>
      <c r="G486" s="88"/>
      <c r="H486" s="88"/>
      <c r="I486" s="88"/>
      <c r="J486" s="88"/>
      <c r="K486" s="88">
        <v>1</v>
      </c>
    </row>
    <row r="487" spans="1:11" ht="12.75">
      <c r="A487" s="1">
        <f t="shared" si="1"/>
        <v>3</v>
      </c>
      <c r="B487" s="64">
        <v>2006</v>
      </c>
      <c r="C487" s="86" t="s">
        <v>163</v>
      </c>
      <c r="D487" s="88"/>
      <c r="E487" s="88"/>
      <c r="F487" s="88">
        <v>0</v>
      </c>
      <c r="G487" s="88">
        <v>1</v>
      </c>
      <c r="H487" s="88">
        <v>1</v>
      </c>
      <c r="I487" s="88"/>
      <c r="J487" s="88"/>
      <c r="K487" s="88">
        <v>1</v>
      </c>
    </row>
    <row r="488" spans="1:11" ht="12.75">
      <c r="A488" s="1">
        <f t="shared" si="1"/>
        <v>3</v>
      </c>
      <c r="B488" s="93">
        <v>2006</v>
      </c>
      <c r="C488" s="94" t="s">
        <v>765</v>
      </c>
      <c r="D488" s="88"/>
      <c r="E488" s="88"/>
      <c r="F488" s="88">
        <v>0</v>
      </c>
      <c r="G488" s="88">
        <v>1</v>
      </c>
      <c r="H488" s="88">
        <v>1</v>
      </c>
      <c r="I488" s="88"/>
      <c r="J488" s="88">
        <v>1</v>
      </c>
      <c r="K488" s="88"/>
    </row>
    <row r="489" spans="1:11" ht="12.75">
      <c r="A489" s="1">
        <f t="shared" si="1"/>
        <v>5</v>
      </c>
      <c r="B489" s="93">
        <v>2006</v>
      </c>
      <c r="C489" s="94" t="s">
        <v>766</v>
      </c>
      <c r="D489" s="88"/>
      <c r="E489" s="88"/>
      <c r="F489" s="88">
        <v>1</v>
      </c>
      <c r="G489" s="88">
        <v>1</v>
      </c>
      <c r="H489" s="88">
        <v>1</v>
      </c>
      <c r="I489" s="88"/>
      <c r="J489" s="88">
        <v>1</v>
      </c>
      <c r="K489" s="88">
        <v>1</v>
      </c>
    </row>
    <row r="490" spans="1:11" ht="12.75">
      <c r="A490" s="1">
        <f t="shared" si="1"/>
        <v>0</v>
      </c>
      <c r="B490" s="93">
        <v>2006</v>
      </c>
      <c r="C490" s="94" t="s">
        <v>767</v>
      </c>
      <c r="D490" s="88"/>
      <c r="E490" s="88"/>
      <c r="F490" s="88">
        <v>0</v>
      </c>
      <c r="G490" s="88"/>
      <c r="H490" s="88"/>
      <c r="I490" s="88"/>
      <c r="J490" s="88"/>
      <c r="K490" s="88"/>
    </row>
    <row r="491" spans="1:11" ht="12.75">
      <c r="A491" s="1">
        <f t="shared" si="1"/>
        <v>3</v>
      </c>
      <c r="B491" s="93">
        <v>2006</v>
      </c>
      <c r="C491" s="94" t="s">
        <v>768</v>
      </c>
      <c r="D491" s="88"/>
      <c r="E491" s="88"/>
      <c r="F491" s="88">
        <v>1</v>
      </c>
      <c r="G491" s="88">
        <v>1</v>
      </c>
      <c r="H491" s="88"/>
      <c r="I491" s="88"/>
      <c r="J491" s="88"/>
      <c r="K491" s="88">
        <v>1</v>
      </c>
    </row>
    <row r="492" spans="1:11" ht="12.75">
      <c r="A492" s="1">
        <f t="shared" si="1"/>
        <v>0</v>
      </c>
      <c r="B492" s="93">
        <v>2006</v>
      </c>
      <c r="C492" s="94" t="s">
        <v>769</v>
      </c>
      <c r="D492" s="88"/>
      <c r="E492" s="88"/>
      <c r="F492" s="88">
        <v>0</v>
      </c>
      <c r="G492" s="88"/>
      <c r="H492" s="88"/>
      <c r="I492" s="88"/>
      <c r="J492" s="88"/>
      <c r="K492" s="88"/>
    </row>
    <row r="493" spans="1:11" ht="12.75">
      <c r="A493" s="1">
        <f t="shared" si="1"/>
        <v>0</v>
      </c>
      <c r="B493" s="93">
        <v>2006</v>
      </c>
      <c r="C493" s="94" t="s">
        <v>770</v>
      </c>
      <c r="D493" s="88"/>
      <c r="E493" s="88"/>
      <c r="F493" s="88">
        <v>0</v>
      </c>
      <c r="G493" s="88"/>
      <c r="H493" s="88"/>
      <c r="I493" s="88"/>
      <c r="J493" s="88"/>
      <c r="K493" s="88"/>
    </row>
    <row r="494" spans="1:11" ht="12.75">
      <c r="A494" s="1">
        <f t="shared" si="1"/>
        <v>1</v>
      </c>
      <c r="B494" s="93">
        <v>2006</v>
      </c>
      <c r="C494" s="94" t="s">
        <v>771</v>
      </c>
      <c r="D494" s="88"/>
      <c r="E494" s="88"/>
      <c r="F494" s="88">
        <v>0</v>
      </c>
      <c r="G494" s="88">
        <v>1</v>
      </c>
      <c r="H494" s="88"/>
      <c r="I494" s="88"/>
      <c r="J494" s="88"/>
      <c r="K494" s="88"/>
    </row>
    <row r="495" spans="1:11" ht="12.75">
      <c r="A495" s="1">
        <f t="shared" si="1"/>
        <v>0</v>
      </c>
      <c r="B495" s="64">
        <v>2007</v>
      </c>
      <c r="C495" s="86" t="s">
        <v>772</v>
      </c>
      <c r="D495" s="88"/>
      <c r="E495" s="88"/>
      <c r="F495" s="88">
        <v>0</v>
      </c>
      <c r="G495" s="88"/>
      <c r="H495" s="88"/>
      <c r="I495" s="88"/>
      <c r="J495" s="88"/>
      <c r="K495" s="88"/>
    </row>
    <row r="496" spans="1:11" ht="12.75">
      <c r="A496" s="1">
        <f t="shared" si="1"/>
        <v>0</v>
      </c>
      <c r="B496" s="64">
        <v>2007</v>
      </c>
      <c r="C496" s="86" t="s">
        <v>773</v>
      </c>
      <c r="D496" s="88"/>
      <c r="E496" s="88"/>
      <c r="F496" s="88">
        <v>0</v>
      </c>
      <c r="G496" s="88"/>
      <c r="H496" s="88"/>
      <c r="I496" s="88"/>
      <c r="J496" s="88"/>
      <c r="K496" s="88"/>
    </row>
    <row r="497" spans="1:11" ht="12.75">
      <c r="A497" s="1">
        <f t="shared" si="1"/>
        <v>5</v>
      </c>
      <c r="B497" s="64">
        <v>2007</v>
      </c>
      <c r="C497" s="86" t="s">
        <v>774</v>
      </c>
      <c r="D497" s="88"/>
      <c r="E497" s="88"/>
      <c r="F497" s="88">
        <v>1</v>
      </c>
      <c r="G497" s="88">
        <v>1</v>
      </c>
      <c r="H497" s="88">
        <v>1</v>
      </c>
      <c r="I497" s="88"/>
      <c r="J497" s="88">
        <v>1</v>
      </c>
      <c r="K497" s="88">
        <v>1</v>
      </c>
    </row>
    <row r="498" spans="1:11" ht="12.75">
      <c r="A498" s="1">
        <f t="shared" si="1"/>
        <v>0</v>
      </c>
      <c r="B498" s="64">
        <v>2007</v>
      </c>
      <c r="C498" s="86" t="s">
        <v>775</v>
      </c>
      <c r="D498" s="88"/>
      <c r="E498" s="88"/>
      <c r="F498" s="88">
        <v>0</v>
      </c>
      <c r="G498" s="88"/>
      <c r="H498" s="88"/>
      <c r="I498" s="88"/>
      <c r="J498" s="88"/>
      <c r="K498" s="88"/>
    </row>
    <row r="499" spans="1:11" ht="12.75">
      <c r="A499" s="1">
        <f t="shared" si="1"/>
        <v>0</v>
      </c>
      <c r="B499" s="64">
        <v>2007</v>
      </c>
      <c r="C499" s="86" t="s">
        <v>776</v>
      </c>
      <c r="D499" s="88"/>
      <c r="E499" s="88"/>
      <c r="F499" s="88">
        <v>0</v>
      </c>
      <c r="G499" s="88"/>
      <c r="H499" s="88"/>
      <c r="I499" s="88"/>
      <c r="J499" s="88"/>
      <c r="K499" s="88"/>
    </row>
    <row r="500" spans="1:11" ht="12.75">
      <c r="A500" s="1">
        <f t="shared" si="1"/>
        <v>0</v>
      </c>
      <c r="B500" s="64">
        <v>2007</v>
      </c>
      <c r="C500" s="86" t="s">
        <v>777</v>
      </c>
      <c r="D500" s="88"/>
      <c r="E500" s="88"/>
      <c r="F500" s="88">
        <v>0</v>
      </c>
      <c r="G500" s="88"/>
      <c r="H500" s="88"/>
      <c r="I500" s="88"/>
      <c r="J500" s="88"/>
      <c r="K500" s="88"/>
    </row>
    <row r="501" spans="1:11" ht="12.75">
      <c r="A501" s="1">
        <f t="shared" si="1"/>
        <v>4</v>
      </c>
      <c r="B501" s="64">
        <v>2007</v>
      </c>
      <c r="C501" s="86" t="s">
        <v>778</v>
      </c>
      <c r="D501" s="89"/>
      <c r="E501" s="88"/>
      <c r="F501" s="88">
        <v>0</v>
      </c>
      <c r="G501" s="88">
        <v>1</v>
      </c>
      <c r="H501" s="88">
        <v>1</v>
      </c>
      <c r="I501" s="88"/>
      <c r="J501" s="88">
        <v>1</v>
      </c>
      <c r="K501" s="88">
        <v>1</v>
      </c>
    </row>
    <row r="502" spans="1:11" ht="12.75">
      <c r="A502" s="91">
        <f t="shared" si="1"/>
        <v>3</v>
      </c>
      <c r="B502" s="93">
        <v>2007</v>
      </c>
      <c r="C502" s="94" t="s">
        <v>779</v>
      </c>
      <c r="D502" s="88"/>
      <c r="E502" s="88"/>
      <c r="F502" s="88">
        <v>1</v>
      </c>
      <c r="G502" s="88">
        <v>1</v>
      </c>
      <c r="H502" s="88"/>
      <c r="I502" s="88"/>
      <c r="J502" s="88"/>
      <c r="K502" s="88">
        <v>1</v>
      </c>
    </row>
    <row r="503" spans="1:11" ht="12.75">
      <c r="A503" s="91">
        <f t="shared" si="1"/>
        <v>4</v>
      </c>
      <c r="B503" s="93">
        <v>2007</v>
      </c>
      <c r="C503" s="94" t="s">
        <v>780</v>
      </c>
      <c r="D503" s="88"/>
      <c r="E503" s="88"/>
      <c r="F503" s="88">
        <v>0</v>
      </c>
      <c r="G503" s="88">
        <v>1</v>
      </c>
      <c r="H503" s="88">
        <v>1</v>
      </c>
      <c r="I503" s="88"/>
      <c r="J503" s="88">
        <v>1</v>
      </c>
      <c r="K503" s="88">
        <v>1</v>
      </c>
    </row>
    <row r="504" spans="1:11" ht="12.75">
      <c r="A504" s="91">
        <f t="shared" si="1"/>
        <v>4</v>
      </c>
      <c r="B504" s="64">
        <v>2008</v>
      </c>
      <c r="C504" s="86" t="s">
        <v>781</v>
      </c>
      <c r="D504" s="88"/>
      <c r="E504" s="88"/>
      <c r="F504" s="88">
        <v>0</v>
      </c>
      <c r="G504" s="88">
        <v>1</v>
      </c>
      <c r="H504" s="88">
        <v>1</v>
      </c>
      <c r="I504" s="88"/>
      <c r="J504" s="88">
        <v>1</v>
      </c>
      <c r="K504" s="88">
        <v>1</v>
      </c>
    </row>
    <row r="505" spans="1:11" ht="12.75">
      <c r="A505" s="91">
        <f t="shared" si="1"/>
        <v>0</v>
      </c>
      <c r="B505" s="64">
        <v>2008</v>
      </c>
      <c r="C505" s="86" t="s">
        <v>782</v>
      </c>
      <c r="D505" s="88"/>
      <c r="E505" s="88"/>
      <c r="F505" s="88">
        <v>0</v>
      </c>
      <c r="G505" s="88"/>
      <c r="H505" s="88"/>
      <c r="I505" s="88"/>
      <c r="J505" s="88"/>
      <c r="K505" s="88"/>
    </row>
    <row r="506" spans="1:11" ht="12.75">
      <c r="A506" s="91">
        <f t="shared" si="1"/>
        <v>0</v>
      </c>
      <c r="B506" s="64">
        <v>2008</v>
      </c>
      <c r="C506" s="86" t="s">
        <v>783</v>
      </c>
      <c r="D506" s="88"/>
      <c r="E506" s="88"/>
      <c r="F506" s="88">
        <v>0</v>
      </c>
      <c r="G506" s="88"/>
      <c r="H506" s="88"/>
      <c r="I506" s="88"/>
      <c r="J506" s="88"/>
      <c r="K506" s="88"/>
    </row>
    <row r="507" spans="1:11" ht="12.75">
      <c r="A507" s="91">
        <f t="shared" si="1"/>
        <v>5</v>
      </c>
      <c r="B507" s="64">
        <v>2008</v>
      </c>
      <c r="C507" s="86" t="s">
        <v>784</v>
      </c>
      <c r="D507" s="89"/>
      <c r="E507" s="88"/>
      <c r="F507" s="88">
        <v>1</v>
      </c>
      <c r="G507" s="88">
        <v>1</v>
      </c>
      <c r="H507" s="88">
        <v>1</v>
      </c>
      <c r="I507" s="88"/>
      <c r="J507" s="88">
        <v>1</v>
      </c>
      <c r="K507" s="88">
        <v>1</v>
      </c>
    </row>
    <row r="508" spans="1:11" ht="12.75">
      <c r="A508" s="91">
        <f t="shared" si="1"/>
        <v>3</v>
      </c>
      <c r="B508" s="64">
        <v>2008</v>
      </c>
      <c r="C508" s="86" t="s">
        <v>785</v>
      </c>
      <c r="D508" s="87"/>
      <c r="E508" s="88">
        <v>1</v>
      </c>
      <c r="F508" s="88">
        <v>0</v>
      </c>
      <c r="G508" s="88">
        <v>1</v>
      </c>
      <c r="H508" s="88"/>
      <c r="I508" s="88"/>
      <c r="J508" s="88"/>
      <c r="K508" s="88">
        <v>1</v>
      </c>
    </row>
    <row r="509" spans="1:11" ht="12.75">
      <c r="A509" s="91">
        <f t="shared" si="1"/>
        <v>0</v>
      </c>
      <c r="B509" s="93">
        <v>2008</v>
      </c>
      <c r="C509" s="94" t="s">
        <v>786</v>
      </c>
      <c r="D509" s="88"/>
      <c r="E509" s="88"/>
      <c r="F509" s="88">
        <v>0</v>
      </c>
      <c r="G509" s="88"/>
      <c r="H509" s="88"/>
      <c r="I509" s="88"/>
      <c r="J509" s="88"/>
      <c r="K509" s="88"/>
    </row>
    <row r="510" spans="1:11" ht="12.75">
      <c r="A510" s="91">
        <f t="shared" si="1"/>
        <v>3</v>
      </c>
      <c r="B510" s="93">
        <v>2008</v>
      </c>
      <c r="C510" s="94" t="s">
        <v>787</v>
      </c>
      <c r="D510" s="88"/>
      <c r="E510" s="88"/>
      <c r="F510" s="88">
        <v>1</v>
      </c>
      <c r="G510" s="88">
        <v>1</v>
      </c>
      <c r="H510" s="88">
        <v>1</v>
      </c>
      <c r="I510" s="88"/>
      <c r="J510" s="88"/>
      <c r="K510" s="88"/>
    </row>
    <row r="511" spans="1:11" ht="12.75">
      <c r="A511" s="91">
        <f t="shared" si="1"/>
        <v>2</v>
      </c>
      <c r="B511" s="93">
        <v>2008</v>
      </c>
      <c r="C511" s="94" t="s">
        <v>788</v>
      </c>
      <c r="D511" s="88"/>
      <c r="E511" s="88"/>
      <c r="F511" s="88">
        <v>0</v>
      </c>
      <c r="G511" s="88">
        <v>1</v>
      </c>
      <c r="H511" s="88"/>
      <c r="I511" s="88"/>
      <c r="J511" s="88"/>
      <c r="K511" s="88">
        <v>1</v>
      </c>
    </row>
    <row r="512" spans="1:11" ht="12.75">
      <c r="A512" s="91">
        <f t="shared" si="1"/>
        <v>0</v>
      </c>
      <c r="B512" s="93">
        <v>2008</v>
      </c>
      <c r="C512" s="94" t="s">
        <v>789</v>
      </c>
      <c r="D512" s="88"/>
      <c r="E512" s="88"/>
      <c r="F512" s="88">
        <v>0</v>
      </c>
      <c r="G512" s="88"/>
      <c r="H512" s="88"/>
      <c r="I512" s="88"/>
      <c r="J512" s="88"/>
      <c r="K512" s="88"/>
    </row>
    <row r="513" spans="1:11" ht="12.75">
      <c r="A513" s="91">
        <f t="shared" ref="A513:A616" si="2">SUM(D513:K513)</f>
        <v>3</v>
      </c>
      <c r="B513" s="93">
        <v>2008</v>
      </c>
      <c r="C513" s="94" t="s">
        <v>790</v>
      </c>
      <c r="D513" s="88"/>
      <c r="E513" s="88"/>
      <c r="F513" s="88">
        <v>0</v>
      </c>
      <c r="G513" s="88"/>
      <c r="H513" s="88">
        <v>1</v>
      </c>
      <c r="I513" s="88"/>
      <c r="J513" s="88">
        <v>1</v>
      </c>
      <c r="K513" s="88">
        <v>1</v>
      </c>
    </row>
    <row r="514" spans="1:11" ht="12.75">
      <c r="A514" s="91">
        <f t="shared" si="2"/>
        <v>0</v>
      </c>
      <c r="B514" s="93">
        <v>2008</v>
      </c>
      <c r="C514" s="94" t="s">
        <v>791</v>
      </c>
      <c r="D514" s="88"/>
      <c r="E514" s="88"/>
      <c r="F514" s="88">
        <v>0</v>
      </c>
      <c r="G514" s="88"/>
      <c r="H514" s="88"/>
      <c r="I514" s="88"/>
      <c r="J514" s="88"/>
      <c r="K514" s="88"/>
    </row>
    <row r="515" spans="1:11" ht="12.75">
      <c r="A515" s="91">
        <f t="shared" si="2"/>
        <v>1</v>
      </c>
      <c r="B515" s="64">
        <v>2009</v>
      </c>
      <c r="C515" s="86" t="s">
        <v>792</v>
      </c>
      <c r="D515" s="88"/>
      <c r="E515" s="88"/>
      <c r="F515" s="88">
        <v>0</v>
      </c>
      <c r="G515" s="88"/>
      <c r="H515" s="88"/>
      <c r="I515" s="88"/>
      <c r="J515" s="88"/>
      <c r="K515" s="88">
        <v>1</v>
      </c>
    </row>
    <row r="516" spans="1:11" ht="12.75">
      <c r="A516" s="91">
        <f t="shared" si="2"/>
        <v>5</v>
      </c>
      <c r="B516" s="64">
        <v>2009</v>
      </c>
      <c r="C516" s="86" t="s">
        <v>793</v>
      </c>
      <c r="D516" s="88"/>
      <c r="E516" s="88"/>
      <c r="F516" s="88">
        <v>1</v>
      </c>
      <c r="G516" s="88">
        <v>1</v>
      </c>
      <c r="H516" s="88">
        <v>1</v>
      </c>
      <c r="I516" s="88"/>
      <c r="J516" s="88">
        <v>1</v>
      </c>
      <c r="K516" s="88">
        <v>1</v>
      </c>
    </row>
    <row r="517" spans="1:11" ht="12.75">
      <c r="A517" s="91">
        <f t="shared" si="2"/>
        <v>1</v>
      </c>
      <c r="B517" s="64">
        <v>2009</v>
      </c>
      <c r="C517" s="86" t="s">
        <v>794</v>
      </c>
      <c r="D517" s="88"/>
      <c r="E517" s="88"/>
      <c r="F517" s="88">
        <v>0</v>
      </c>
      <c r="G517" s="88">
        <v>1</v>
      </c>
      <c r="H517" s="88"/>
      <c r="I517" s="88"/>
      <c r="J517" s="88"/>
      <c r="K517" s="88"/>
    </row>
    <row r="518" spans="1:11" ht="12.75">
      <c r="A518" s="91">
        <f t="shared" si="2"/>
        <v>0</v>
      </c>
      <c r="B518" s="64">
        <v>2009</v>
      </c>
      <c r="C518" s="86" t="s">
        <v>795</v>
      </c>
      <c r="D518" s="88"/>
      <c r="E518" s="88"/>
      <c r="F518" s="88">
        <v>0</v>
      </c>
      <c r="G518" s="88"/>
      <c r="H518" s="88"/>
      <c r="I518" s="88"/>
      <c r="J518" s="88"/>
      <c r="K518" s="88"/>
    </row>
    <row r="519" spans="1:11" ht="12.75">
      <c r="A519" s="91">
        <f t="shared" si="2"/>
        <v>3</v>
      </c>
      <c r="B519" s="64">
        <v>2009</v>
      </c>
      <c r="C519" s="86" t="s">
        <v>796</v>
      </c>
      <c r="D519" s="87"/>
      <c r="E519" s="88">
        <v>1</v>
      </c>
      <c r="F519" s="88">
        <v>0</v>
      </c>
      <c r="G519" s="88">
        <v>1</v>
      </c>
      <c r="H519" s="88">
        <v>1</v>
      </c>
      <c r="I519" s="88"/>
      <c r="J519" s="88"/>
      <c r="K519" s="88"/>
    </row>
    <row r="520" spans="1:11" ht="12.75">
      <c r="A520" s="91">
        <f t="shared" si="2"/>
        <v>3</v>
      </c>
      <c r="B520" s="93">
        <v>2009</v>
      </c>
      <c r="C520" s="94" t="s">
        <v>797</v>
      </c>
      <c r="D520" s="88"/>
      <c r="E520" s="88"/>
      <c r="F520" s="88">
        <v>1</v>
      </c>
      <c r="G520" s="88">
        <v>1</v>
      </c>
      <c r="H520" s="88"/>
      <c r="I520" s="88"/>
      <c r="J520" s="88"/>
      <c r="K520" s="88">
        <v>1</v>
      </c>
    </row>
    <row r="521" spans="1:11" ht="12.75">
      <c r="A521" s="91">
        <f t="shared" si="2"/>
        <v>3</v>
      </c>
      <c r="B521" s="93">
        <v>2009</v>
      </c>
      <c r="C521" s="94" t="s">
        <v>798</v>
      </c>
      <c r="D521" s="88"/>
      <c r="E521" s="88"/>
      <c r="F521" s="88">
        <v>1</v>
      </c>
      <c r="G521" s="88">
        <v>1</v>
      </c>
      <c r="H521" s="88"/>
      <c r="I521" s="88"/>
      <c r="J521" s="88"/>
      <c r="K521" s="88">
        <v>1</v>
      </c>
    </row>
    <row r="522" spans="1:11" ht="12.75">
      <c r="A522" s="91">
        <f t="shared" si="2"/>
        <v>0</v>
      </c>
      <c r="B522" s="93">
        <v>2009</v>
      </c>
      <c r="C522" s="94" t="s">
        <v>799</v>
      </c>
      <c r="D522" s="88"/>
      <c r="E522" s="88"/>
      <c r="F522" s="88">
        <v>0</v>
      </c>
      <c r="G522" s="88"/>
      <c r="H522" s="88"/>
      <c r="I522" s="88"/>
      <c r="J522" s="88"/>
      <c r="K522" s="88"/>
    </row>
    <row r="523" spans="1:11" ht="12.75">
      <c r="A523" s="91">
        <f t="shared" si="2"/>
        <v>0</v>
      </c>
      <c r="B523" s="93">
        <v>2009</v>
      </c>
      <c r="C523" s="94" t="s">
        <v>800</v>
      </c>
      <c r="D523" s="88"/>
      <c r="E523" s="88"/>
      <c r="F523" s="88">
        <v>0</v>
      </c>
      <c r="G523" s="88"/>
      <c r="H523" s="88"/>
      <c r="I523" s="88"/>
      <c r="J523" s="88"/>
      <c r="K523" s="88"/>
    </row>
    <row r="524" spans="1:11" ht="12.75">
      <c r="A524" s="91">
        <f t="shared" si="2"/>
        <v>0</v>
      </c>
      <c r="B524" s="93">
        <v>2009</v>
      </c>
      <c r="C524" s="94" t="s">
        <v>801</v>
      </c>
      <c r="D524" s="88"/>
      <c r="E524" s="88"/>
      <c r="F524" s="88">
        <v>0</v>
      </c>
      <c r="G524" s="88"/>
      <c r="H524" s="88"/>
      <c r="I524" s="88"/>
      <c r="J524" s="88"/>
      <c r="K524" s="88"/>
    </row>
    <row r="525" spans="1:11" ht="12.75">
      <c r="A525" s="91">
        <f t="shared" si="2"/>
        <v>5</v>
      </c>
      <c r="B525" s="93">
        <v>2009</v>
      </c>
      <c r="C525" s="94" t="s">
        <v>802</v>
      </c>
      <c r="D525" s="88"/>
      <c r="E525" s="88"/>
      <c r="F525" s="88">
        <v>1</v>
      </c>
      <c r="G525" s="88">
        <v>1</v>
      </c>
      <c r="H525" s="88">
        <v>1</v>
      </c>
      <c r="I525" s="88"/>
      <c r="J525" s="88">
        <v>1</v>
      </c>
      <c r="K525" s="88">
        <v>1</v>
      </c>
    </row>
    <row r="526" spans="1:11" ht="12.75">
      <c r="A526" s="91">
        <f t="shared" si="2"/>
        <v>0</v>
      </c>
      <c r="B526" s="93">
        <v>2009</v>
      </c>
      <c r="C526" s="94" t="s">
        <v>803</v>
      </c>
      <c r="D526" s="88"/>
      <c r="E526" s="88"/>
      <c r="F526" s="88">
        <v>0</v>
      </c>
      <c r="G526" s="88"/>
      <c r="H526" s="88"/>
      <c r="I526" s="88"/>
      <c r="J526" s="88"/>
      <c r="K526" s="88"/>
    </row>
    <row r="527" spans="1:11" ht="12.75">
      <c r="A527" s="91">
        <f t="shared" si="2"/>
        <v>0</v>
      </c>
      <c r="B527" s="93">
        <v>2009</v>
      </c>
      <c r="C527" s="94" t="s">
        <v>804</v>
      </c>
      <c r="D527" s="88"/>
      <c r="E527" s="88"/>
      <c r="F527" s="88">
        <v>0</v>
      </c>
      <c r="G527" s="88"/>
      <c r="H527" s="88"/>
      <c r="I527" s="88"/>
      <c r="J527" s="88"/>
      <c r="K527" s="88"/>
    </row>
    <row r="528" spans="1:11" ht="12.75">
      <c r="A528" s="91">
        <f t="shared" si="2"/>
        <v>2</v>
      </c>
      <c r="B528" s="64">
        <v>2010</v>
      </c>
      <c r="C528" s="86" t="s">
        <v>805</v>
      </c>
      <c r="D528" s="88"/>
      <c r="E528" s="88">
        <v>1</v>
      </c>
      <c r="F528" s="88">
        <v>1</v>
      </c>
      <c r="G528" s="88"/>
      <c r="H528" s="88"/>
      <c r="I528" s="88"/>
      <c r="J528" s="88"/>
      <c r="K528" s="88"/>
    </row>
    <row r="529" spans="1:11" ht="12.75">
      <c r="A529" s="91">
        <f t="shared" si="2"/>
        <v>5</v>
      </c>
      <c r="B529" s="64">
        <v>2010</v>
      </c>
      <c r="C529" s="86" t="s">
        <v>806</v>
      </c>
      <c r="D529" s="89"/>
      <c r="E529" s="88"/>
      <c r="F529" s="88">
        <v>1</v>
      </c>
      <c r="G529" s="88">
        <v>1</v>
      </c>
      <c r="H529" s="88">
        <v>1</v>
      </c>
      <c r="I529" s="88"/>
      <c r="J529" s="88">
        <v>1</v>
      </c>
      <c r="K529" s="88">
        <v>1</v>
      </c>
    </row>
    <row r="530" spans="1:11" ht="12.75">
      <c r="A530" s="91">
        <f t="shared" si="2"/>
        <v>1</v>
      </c>
      <c r="B530" s="64">
        <v>2010</v>
      </c>
      <c r="C530" s="86" t="s">
        <v>807</v>
      </c>
      <c r="D530" s="88"/>
      <c r="E530" s="88"/>
      <c r="F530" s="88">
        <v>0</v>
      </c>
      <c r="G530" s="88"/>
      <c r="H530" s="88"/>
      <c r="I530" s="88"/>
      <c r="J530" s="88"/>
      <c r="K530" s="88">
        <v>1</v>
      </c>
    </row>
    <row r="531" spans="1:11" ht="12.75">
      <c r="A531" s="91">
        <f t="shared" si="2"/>
        <v>5</v>
      </c>
      <c r="B531" s="64">
        <v>2010</v>
      </c>
      <c r="C531" s="86" t="s">
        <v>808</v>
      </c>
      <c r="D531" s="89"/>
      <c r="E531" s="88">
        <v>1</v>
      </c>
      <c r="F531" s="88">
        <v>1</v>
      </c>
      <c r="G531" s="88"/>
      <c r="H531" s="88">
        <v>1</v>
      </c>
      <c r="I531" s="88"/>
      <c r="J531" s="88">
        <v>1</v>
      </c>
      <c r="K531" s="88">
        <v>1</v>
      </c>
    </row>
    <row r="532" spans="1:11" ht="12.75">
      <c r="A532" s="91">
        <f t="shared" si="2"/>
        <v>2</v>
      </c>
      <c r="B532" s="93">
        <v>2010</v>
      </c>
      <c r="C532" s="94" t="s">
        <v>809</v>
      </c>
      <c r="D532" s="88"/>
      <c r="E532" s="88"/>
      <c r="F532" s="88">
        <v>0</v>
      </c>
      <c r="G532" s="88">
        <v>1</v>
      </c>
      <c r="H532" s="88"/>
      <c r="I532" s="88"/>
      <c r="J532" s="88"/>
      <c r="K532" s="88">
        <v>1</v>
      </c>
    </row>
    <row r="533" spans="1:11" ht="12.75">
      <c r="A533" s="91">
        <f t="shared" si="2"/>
        <v>5</v>
      </c>
      <c r="B533" s="93">
        <v>2010</v>
      </c>
      <c r="C533" s="94" t="s">
        <v>810</v>
      </c>
      <c r="D533" s="88"/>
      <c r="E533" s="88"/>
      <c r="F533" s="88">
        <v>1</v>
      </c>
      <c r="G533" s="88">
        <v>1</v>
      </c>
      <c r="H533" s="88">
        <v>1</v>
      </c>
      <c r="I533" s="88"/>
      <c r="J533" s="88">
        <v>1</v>
      </c>
      <c r="K533" s="88">
        <v>1</v>
      </c>
    </row>
    <row r="534" spans="1:11" ht="12.75">
      <c r="A534" s="91">
        <f t="shared" si="2"/>
        <v>0</v>
      </c>
      <c r="B534" s="93">
        <v>2010</v>
      </c>
      <c r="C534" s="94" t="s">
        <v>811</v>
      </c>
      <c r="D534" s="88"/>
      <c r="E534" s="88"/>
      <c r="F534" s="88">
        <v>0</v>
      </c>
      <c r="G534" s="88"/>
      <c r="H534" s="88"/>
      <c r="I534" s="88"/>
      <c r="J534" s="88"/>
      <c r="K534" s="88"/>
    </row>
    <row r="535" spans="1:11" ht="12.75">
      <c r="A535" s="91">
        <f t="shared" si="2"/>
        <v>3</v>
      </c>
      <c r="B535" s="93">
        <v>2010</v>
      </c>
      <c r="C535" s="94" t="s">
        <v>812</v>
      </c>
      <c r="D535" s="88"/>
      <c r="E535" s="88"/>
      <c r="F535" s="88">
        <v>0</v>
      </c>
      <c r="G535" s="88">
        <v>1</v>
      </c>
      <c r="H535" s="88">
        <v>1</v>
      </c>
      <c r="I535" s="88"/>
      <c r="J535" s="88"/>
      <c r="K535" s="88">
        <v>1</v>
      </c>
    </row>
    <row r="536" spans="1:11" ht="12.75">
      <c r="A536" s="91">
        <f t="shared" si="2"/>
        <v>0</v>
      </c>
      <c r="B536" s="64">
        <v>2011</v>
      </c>
      <c r="C536" s="86" t="s">
        <v>813</v>
      </c>
      <c r="D536" s="89"/>
      <c r="E536" s="88"/>
      <c r="F536" s="88">
        <v>0</v>
      </c>
      <c r="G536" s="88"/>
      <c r="H536" s="88"/>
      <c r="I536" s="88"/>
      <c r="J536" s="88"/>
      <c r="K536" s="88"/>
    </row>
    <row r="537" spans="1:11" ht="12.75">
      <c r="A537" s="91">
        <f t="shared" si="2"/>
        <v>3</v>
      </c>
      <c r="B537" s="64">
        <v>2011</v>
      </c>
      <c r="C537" s="86" t="s">
        <v>814</v>
      </c>
      <c r="D537" s="88"/>
      <c r="E537" s="88"/>
      <c r="F537" s="88">
        <v>1</v>
      </c>
      <c r="G537" s="88">
        <v>1</v>
      </c>
      <c r="H537" s="88"/>
      <c r="I537" s="88"/>
      <c r="J537" s="88"/>
      <c r="K537" s="88">
        <v>1</v>
      </c>
    </row>
    <row r="538" spans="1:11" ht="12.75">
      <c r="A538" s="91">
        <f t="shared" si="2"/>
        <v>3</v>
      </c>
      <c r="B538" s="64">
        <v>2011</v>
      </c>
      <c r="C538" s="86" t="s">
        <v>815</v>
      </c>
      <c r="D538" s="88"/>
      <c r="E538" s="88"/>
      <c r="F538" s="88">
        <v>1</v>
      </c>
      <c r="G538" s="88">
        <v>1</v>
      </c>
      <c r="H538" s="88"/>
      <c r="I538" s="88"/>
      <c r="J538" s="88"/>
      <c r="K538" s="88">
        <v>1</v>
      </c>
    </row>
    <row r="539" spans="1:11" ht="12.75">
      <c r="A539" s="91">
        <f t="shared" si="2"/>
        <v>0</v>
      </c>
      <c r="B539" s="64">
        <v>2011</v>
      </c>
      <c r="C539" s="86" t="s">
        <v>816</v>
      </c>
      <c r="D539" s="88"/>
      <c r="E539" s="88"/>
      <c r="F539" s="88">
        <v>0</v>
      </c>
      <c r="G539" s="88"/>
      <c r="H539" s="88"/>
      <c r="I539" s="88"/>
      <c r="J539" s="88"/>
      <c r="K539" s="88"/>
    </row>
    <row r="540" spans="1:11" ht="12.75">
      <c r="A540" s="91">
        <f t="shared" si="2"/>
        <v>0</v>
      </c>
      <c r="B540" s="93">
        <v>2011</v>
      </c>
      <c r="C540" s="94" t="s">
        <v>817</v>
      </c>
      <c r="D540" s="88"/>
      <c r="E540" s="88"/>
      <c r="F540" s="88">
        <v>0</v>
      </c>
      <c r="G540" s="88"/>
      <c r="H540" s="88"/>
      <c r="I540" s="88"/>
      <c r="J540" s="88"/>
      <c r="K540" s="88"/>
    </row>
    <row r="541" spans="1:11" ht="12.75">
      <c r="A541" s="91">
        <f t="shared" si="2"/>
        <v>0</v>
      </c>
      <c r="B541" s="93">
        <v>2011</v>
      </c>
      <c r="C541" s="94" t="s">
        <v>818</v>
      </c>
      <c r="D541" s="88"/>
      <c r="E541" s="88"/>
      <c r="F541" s="88">
        <v>0</v>
      </c>
      <c r="G541" s="88"/>
      <c r="H541" s="88"/>
      <c r="I541" s="88"/>
      <c r="J541" s="88"/>
      <c r="K541" s="88"/>
    </row>
    <row r="542" spans="1:11" ht="12.75">
      <c r="A542" s="91">
        <f t="shared" si="2"/>
        <v>1</v>
      </c>
      <c r="B542" s="93">
        <v>2011</v>
      </c>
      <c r="C542" s="94" t="s">
        <v>819</v>
      </c>
      <c r="D542" s="88"/>
      <c r="E542" s="88"/>
      <c r="F542" s="88">
        <v>0</v>
      </c>
      <c r="G542" s="88"/>
      <c r="H542" s="88"/>
      <c r="I542" s="88"/>
      <c r="J542" s="88"/>
      <c r="K542" s="88">
        <v>1</v>
      </c>
    </row>
    <row r="543" spans="1:11" ht="12.75">
      <c r="A543" s="91">
        <f t="shared" si="2"/>
        <v>1</v>
      </c>
      <c r="B543" s="93">
        <v>2011</v>
      </c>
      <c r="C543" s="94" t="s">
        <v>820</v>
      </c>
      <c r="D543" s="88"/>
      <c r="E543" s="88"/>
      <c r="F543" s="88">
        <v>0</v>
      </c>
      <c r="G543" s="88"/>
      <c r="H543" s="88"/>
      <c r="I543" s="88"/>
      <c r="J543" s="88"/>
      <c r="K543" s="88">
        <v>1</v>
      </c>
    </row>
    <row r="544" spans="1:11" ht="12.75">
      <c r="A544" s="91">
        <f t="shared" si="2"/>
        <v>2</v>
      </c>
      <c r="B544" s="93">
        <v>2011</v>
      </c>
      <c r="C544" s="94" t="s">
        <v>821</v>
      </c>
      <c r="D544" s="88"/>
      <c r="E544" s="88"/>
      <c r="F544" s="88">
        <v>0</v>
      </c>
      <c r="G544" s="88">
        <v>1</v>
      </c>
      <c r="H544" s="88"/>
      <c r="I544" s="88"/>
      <c r="J544" s="88"/>
      <c r="K544" s="88">
        <v>1</v>
      </c>
    </row>
    <row r="545" spans="1:11" ht="12.75">
      <c r="A545" s="91">
        <f t="shared" si="2"/>
        <v>2</v>
      </c>
      <c r="B545" s="93">
        <v>2011</v>
      </c>
      <c r="C545" s="94" t="s">
        <v>822</v>
      </c>
      <c r="D545" s="88"/>
      <c r="E545" s="88"/>
      <c r="F545" s="88">
        <v>0</v>
      </c>
      <c r="G545" s="88"/>
      <c r="H545" s="88"/>
      <c r="I545" s="88"/>
      <c r="J545" s="88">
        <v>1</v>
      </c>
      <c r="K545" s="88">
        <v>1</v>
      </c>
    </row>
    <row r="546" spans="1:11" ht="12.75">
      <c r="A546" s="91">
        <f t="shared" si="2"/>
        <v>0</v>
      </c>
      <c r="B546" s="93">
        <v>2011</v>
      </c>
      <c r="C546" s="94" t="s">
        <v>823</v>
      </c>
      <c r="D546" s="88"/>
      <c r="E546" s="88"/>
      <c r="F546" s="88">
        <v>0</v>
      </c>
      <c r="G546" s="88"/>
      <c r="H546" s="88"/>
      <c r="I546" s="88"/>
      <c r="J546" s="88"/>
      <c r="K546" s="88"/>
    </row>
    <row r="547" spans="1:11" ht="12.75">
      <c r="A547" s="91">
        <f t="shared" si="2"/>
        <v>0</v>
      </c>
      <c r="B547" s="93">
        <v>2011</v>
      </c>
      <c r="C547" s="94" t="s">
        <v>824</v>
      </c>
      <c r="D547" s="88"/>
      <c r="E547" s="88"/>
      <c r="F547" s="88">
        <v>0</v>
      </c>
      <c r="G547" s="88"/>
      <c r="H547" s="88"/>
      <c r="I547" s="88"/>
      <c r="J547" s="88"/>
      <c r="K547" s="88"/>
    </row>
    <row r="548" spans="1:11" ht="12.75">
      <c r="A548" s="91">
        <f t="shared" si="2"/>
        <v>1</v>
      </c>
      <c r="B548" s="93">
        <v>2011</v>
      </c>
      <c r="C548" s="94" t="s">
        <v>825</v>
      </c>
      <c r="D548" s="88"/>
      <c r="E548" s="88"/>
      <c r="F548" s="88">
        <v>0</v>
      </c>
      <c r="G548" s="88"/>
      <c r="H548" s="88"/>
      <c r="I548" s="88"/>
      <c r="J548" s="88"/>
      <c r="K548" s="88">
        <v>1</v>
      </c>
    </row>
    <row r="549" spans="1:11" ht="12.75">
      <c r="A549" s="91">
        <f t="shared" si="2"/>
        <v>0</v>
      </c>
      <c r="B549" s="93">
        <v>2011</v>
      </c>
      <c r="C549" s="94" t="s">
        <v>826</v>
      </c>
      <c r="D549" s="88"/>
      <c r="E549" s="88"/>
      <c r="F549" s="88">
        <v>0</v>
      </c>
      <c r="G549" s="88"/>
      <c r="H549" s="88"/>
      <c r="I549" s="88"/>
      <c r="J549" s="88"/>
      <c r="K549" s="88"/>
    </row>
    <row r="550" spans="1:11" ht="12.75">
      <c r="A550" s="91">
        <f t="shared" si="2"/>
        <v>0</v>
      </c>
      <c r="B550" s="93">
        <v>2011</v>
      </c>
      <c r="C550" s="94" t="s">
        <v>827</v>
      </c>
      <c r="D550" s="88"/>
      <c r="E550" s="88"/>
      <c r="F550" s="88">
        <v>0</v>
      </c>
      <c r="G550" s="88"/>
      <c r="H550" s="88"/>
      <c r="I550" s="88"/>
      <c r="J550" s="88"/>
      <c r="K550" s="88"/>
    </row>
    <row r="551" spans="1:11" ht="12.75">
      <c r="A551" s="91">
        <f t="shared" si="2"/>
        <v>0</v>
      </c>
      <c r="B551" s="93">
        <v>2011</v>
      </c>
      <c r="C551" s="94" t="s">
        <v>828</v>
      </c>
      <c r="D551" s="88"/>
      <c r="E551" s="88"/>
      <c r="F551" s="88">
        <v>0</v>
      </c>
      <c r="G551" s="88"/>
      <c r="H551" s="88"/>
      <c r="I551" s="88"/>
      <c r="J551" s="88"/>
      <c r="K551" s="88"/>
    </row>
    <row r="552" spans="1:11" ht="12.75">
      <c r="A552" s="91">
        <f t="shared" si="2"/>
        <v>2</v>
      </c>
      <c r="B552" s="64">
        <v>2012</v>
      </c>
      <c r="C552" s="86" t="s">
        <v>829</v>
      </c>
      <c r="D552" s="88"/>
      <c r="E552" s="88"/>
      <c r="F552" s="88">
        <v>0</v>
      </c>
      <c r="G552" s="88"/>
      <c r="H552" s="88">
        <v>1</v>
      </c>
      <c r="I552" s="88"/>
      <c r="J552" s="88"/>
      <c r="K552" s="88">
        <v>1</v>
      </c>
    </row>
    <row r="553" spans="1:11" ht="12.75">
      <c r="A553" s="91">
        <f t="shared" si="2"/>
        <v>0</v>
      </c>
      <c r="B553" s="64">
        <v>2012</v>
      </c>
      <c r="C553" s="86" t="s">
        <v>830</v>
      </c>
      <c r="D553" s="88"/>
      <c r="E553" s="88"/>
      <c r="F553" s="88">
        <v>0</v>
      </c>
      <c r="G553" s="88"/>
      <c r="H553" s="88"/>
      <c r="I553" s="88"/>
      <c r="J553" s="88"/>
      <c r="K553" s="88"/>
    </row>
    <row r="554" spans="1:11" ht="12.75">
      <c r="A554" s="91">
        <f t="shared" si="2"/>
        <v>6</v>
      </c>
      <c r="B554" s="64">
        <v>2012</v>
      </c>
      <c r="C554" s="86" t="s">
        <v>831</v>
      </c>
      <c r="D554" s="89"/>
      <c r="E554" s="88">
        <v>1</v>
      </c>
      <c r="F554" s="88">
        <v>1</v>
      </c>
      <c r="G554" s="88">
        <v>1</v>
      </c>
      <c r="H554" s="88">
        <v>1</v>
      </c>
      <c r="I554" s="88"/>
      <c r="J554" s="88">
        <v>1</v>
      </c>
      <c r="K554" s="88">
        <v>1</v>
      </c>
    </row>
    <row r="555" spans="1:11" ht="12.75">
      <c r="A555" s="91">
        <f t="shared" si="2"/>
        <v>0</v>
      </c>
      <c r="B555" s="64">
        <v>2012</v>
      </c>
      <c r="C555" s="86" t="s">
        <v>832</v>
      </c>
      <c r="D555" s="87"/>
      <c r="E555" s="88"/>
      <c r="F555" s="88">
        <v>0</v>
      </c>
      <c r="G555" s="88"/>
      <c r="H555" s="88"/>
      <c r="I555" s="88"/>
      <c r="J555" s="88"/>
      <c r="K555" s="88"/>
    </row>
    <row r="556" spans="1:11" ht="12.75">
      <c r="A556" s="91">
        <f t="shared" si="2"/>
        <v>1</v>
      </c>
      <c r="B556" s="64">
        <v>2012</v>
      </c>
      <c r="C556" s="86" t="s">
        <v>833</v>
      </c>
      <c r="D556" s="89"/>
      <c r="E556" s="88"/>
      <c r="F556" s="88">
        <v>0</v>
      </c>
      <c r="G556" s="88"/>
      <c r="H556" s="88"/>
      <c r="I556" s="88"/>
      <c r="J556" s="88"/>
      <c r="K556" s="88">
        <v>1</v>
      </c>
    </row>
    <row r="557" spans="1:11" ht="12.75">
      <c r="A557" s="91">
        <f t="shared" si="2"/>
        <v>1</v>
      </c>
      <c r="B557" s="93">
        <v>2012</v>
      </c>
      <c r="C557" s="94" t="s">
        <v>834</v>
      </c>
      <c r="D557" s="88"/>
      <c r="E557" s="88"/>
      <c r="F557" s="88">
        <v>0</v>
      </c>
      <c r="G557" s="88"/>
      <c r="H557" s="88"/>
      <c r="I557" s="88"/>
      <c r="J557" s="88"/>
      <c r="K557" s="88">
        <v>1</v>
      </c>
    </row>
    <row r="558" spans="1:11" ht="12.75">
      <c r="A558" s="91">
        <f t="shared" si="2"/>
        <v>2</v>
      </c>
      <c r="B558" s="93">
        <v>2012</v>
      </c>
      <c r="C558" s="94" t="s">
        <v>835</v>
      </c>
      <c r="D558" s="88"/>
      <c r="E558" s="88"/>
      <c r="F558" s="88">
        <v>1</v>
      </c>
      <c r="G558" s="88">
        <v>1</v>
      </c>
      <c r="H558" s="88"/>
      <c r="I558" s="88"/>
      <c r="J558" s="88"/>
      <c r="K558" s="88"/>
    </row>
    <row r="559" spans="1:11" ht="12.75">
      <c r="A559" s="91">
        <f t="shared" si="2"/>
        <v>3</v>
      </c>
      <c r="B559" s="93">
        <v>2012</v>
      </c>
      <c r="C559" s="94" t="s">
        <v>836</v>
      </c>
      <c r="D559" s="88"/>
      <c r="E559" s="88"/>
      <c r="F559" s="88">
        <v>0</v>
      </c>
      <c r="G559" s="88"/>
      <c r="H559" s="88">
        <v>1</v>
      </c>
      <c r="I559" s="88"/>
      <c r="J559" s="88">
        <v>1</v>
      </c>
      <c r="K559" s="88">
        <v>1</v>
      </c>
    </row>
    <row r="560" spans="1:11" ht="12.75">
      <c r="A560" s="91">
        <f t="shared" si="2"/>
        <v>0</v>
      </c>
      <c r="B560" s="93">
        <v>2012</v>
      </c>
      <c r="C560" s="94" t="s">
        <v>837</v>
      </c>
      <c r="D560" s="88"/>
      <c r="E560" s="88"/>
      <c r="F560" s="88">
        <v>0</v>
      </c>
      <c r="G560" s="88"/>
      <c r="H560" s="88"/>
      <c r="I560" s="88"/>
      <c r="J560" s="88"/>
      <c r="K560" s="88"/>
    </row>
    <row r="561" spans="1:11" ht="12.75">
      <c r="A561" s="91">
        <f t="shared" si="2"/>
        <v>3</v>
      </c>
      <c r="B561" s="93">
        <v>2012</v>
      </c>
      <c r="C561" s="94" t="s">
        <v>838</v>
      </c>
      <c r="D561" s="88"/>
      <c r="E561" s="88"/>
      <c r="F561" s="88">
        <v>1</v>
      </c>
      <c r="G561" s="88">
        <v>1</v>
      </c>
      <c r="H561" s="88"/>
      <c r="I561" s="88"/>
      <c r="J561" s="88"/>
      <c r="K561" s="88">
        <v>1</v>
      </c>
    </row>
    <row r="562" spans="1:11" ht="12.75">
      <c r="A562" s="91">
        <f t="shared" si="2"/>
        <v>2</v>
      </c>
      <c r="B562" s="93">
        <v>2012</v>
      </c>
      <c r="C562" s="94" t="s">
        <v>839</v>
      </c>
      <c r="D562" s="88"/>
      <c r="E562" s="88"/>
      <c r="F562" s="88">
        <v>1</v>
      </c>
      <c r="G562" s="88"/>
      <c r="H562" s="88">
        <v>1</v>
      </c>
      <c r="I562" s="88"/>
      <c r="J562" s="88"/>
      <c r="K562" s="88"/>
    </row>
    <row r="563" spans="1:11" ht="12.75">
      <c r="A563" s="91">
        <f t="shared" si="2"/>
        <v>2</v>
      </c>
      <c r="B563" s="93">
        <v>2012</v>
      </c>
      <c r="C563" s="94" t="s">
        <v>840</v>
      </c>
      <c r="D563" s="88"/>
      <c r="E563" s="88"/>
      <c r="F563" s="88">
        <v>1</v>
      </c>
      <c r="G563" s="88">
        <v>1</v>
      </c>
      <c r="H563" s="88"/>
      <c r="I563" s="88"/>
      <c r="J563" s="88"/>
      <c r="K563" s="88"/>
    </row>
    <row r="564" spans="1:11" ht="12.75">
      <c r="A564" s="91">
        <f t="shared" si="2"/>
        <v>1</v>
      </c>
      <c r="B564" s="64">
        <v>2013</v>
      </c>
      <c r="C564" s="86" t="s">
        <v>841</v>
      </c>
      <c r="D564" s="88"/>
      <c r="E564" s="88"/>
      <c r="F564" s="88">
        <v>0</v>
      </c>
      <c r="G564" s="88"/>
      <c r="H564" s="88">
        <v>1</v>
      </c>
      <c r="I564" s="88"/>
      <c r="J564" s="88"/>
      <c r="K564" s="88"/>
    </row>
    <row r="565" spans="1:11" ht="12.75">
      <c r="A565" s="91">
        <f t="shared" si="2"/>
        <v>2</v>
      </c>
      <c r="B565" s="64">
        <v>2013</v>
      </c>
      <c r="C565" s="86" t="s">
        <v>149</v>
      </c>
      <c r="D565" s="88"/>
      <c r="E565" s="88"/>
      <c r="F565" s="88">
        <v>0</v>
      </c>
      <c r="G565" s="88"/>
      <c r="H565" s="88">
        <v>1</v>
      </c>
      <c r="I565" s="88"/>
      <c r="J565" s="88"/>
      <c r="K565" s="88">
        <v>1</v>
      </c>
    </row>
    <row r="566" spans="1:11" ht="12.75">
      <c r="A566" s="91">
        <f t="shared" si="2"/>
        <v>0</v>
      </c>
      <c r="B566" s="64">
        <v>2013</v>
      </c>
      <c r="C566" s="86" t="s">
        <v>842</v>
      </c>
      <c r="D566" s="89"/>
      <c r="E566" s="88"/>
      <c r="F566" s="88">
        <v>0</v>
      </c>
      <c r="G566" s="88"/>
      <c r="H566" s="88"/>
      <c r="I566" s="88"/>
      <c r="J566" s="88"/>
      <c r="K566" s="88"/>
    </row>
    <row r="567" spans="1:11" ht="12.75">
      <c r="A567" s="91">
        <f t="shared" si="2"/>
        <v>3</v>
      </c>
      <c r="B567" s="93">
        <v>2013</v>
      </c>
      <c r="C567" s="94" t="s">
        <v>843</v>
      </c>
      <c r="D567" s="88"/>
      <c r="E567" s="88"/>
      <c r="F567" s="88">
        <v>0</v>
      </c>
      <c r="G567" s="88"/>
      <c r="H567" s="88">
        <v>1</v>
      </c>
      <c r="I567" s="88"/>
      <c r="J567" s="88">
        <v>1</v>
      </c>
      <c r="K567" s="88">
        <v>1</v>
      </c>
    </row>
    <row r="568" spans="1:11" ht="12.75">
      <c r="A568" s="91">
        <f t="shared" si="2"/>
        <v>2</v>
      </c>
      <c r="B568" s="93">
        <v>2013</v>
      </c>
      <c r="C568" s="94" t="s">
        <v>844</v>
      </c>
      <c r="D568" s="88"/>
      <c r="E568" s="88"/>
      <c r="F568" s="88">
        <v>0</v>
      </c>
      <c r="G568" s="88">
        <v>1</v>
      </c>
      <c r="H568" s="88"/>
      <c r="I568" s="88"/>
      <c r="J568" s="88"/>
      <c r="K568" s="88">
        <v>1</v>
      </c>
    </row>
    <row r="569" spans="1:11" ht="12.75">
      <c r="A569" s="91">
        <f t="shared" si="2"/>
        <v>4</v>
      </c>
      <c r="B569" s="93">
        <v>2013</v>
      </c>
      <c r="C569" s="94" t="s">
        <v>845</v>
      </c>
      <c r="D569" s="88"/>
      <c r="E569" s="88"/>
      <c r="F569" s="88">
        <v>0</v>
      </c>
      <c r="G569" s="88">
        <v>1</v>
      </c>
      <c r="H569" s="88">
        <v>1</v>
      </c>
      <c r="I569" s="88"/>
      <c r="J569" s="88">
        <v>1</v>
      </c>
      <c r="K569" s="88">
        <v>1</v>
      </c>
    </row>
    <row r="570" spans="1:11" ht="12.75">
      <c r="A570" s="91">
        <f t="shared" si="2"/>
        <v>3</v>
      </c>
      <c r="B570" s="93">
        <v>2013</v>
      </c>
      <c r="C570" s="94" t="s">
        <v>846</v>
      </c>
      <c r="D570" s="88"/>
      <c r="E570" s="88"/>
      <c r="F570" s="88">
        <v>0</v>
      </c>
      <c r="G570" s="88">
        <v>1</v>
      </c>
      <c r="H570" s="88"/>
      <c r="I570" s="88"/>
      <c r="J570" s="88">
        <v>1</v>
      </c>
      <c r="K570" s="88">
        <v>1</v>
      </c>
    </row>
    <row r="571" spans="1:11" ht="12.75">
      <c r="A571" s="91">
        <f t="shared" si="2"/>
        <v>4</v>
      </c>
      <c r="B571" s="93">
        <v>2013</v>
      </c>
      <c r="C571" s="94" t="s">
        <v>847</v>
      </c>
      <c r="D571" s="88"/>
      <c r="E571" s="88"/>
      <c r="F571" s="88">
        <v>0</v>
      </c>
      <c r="G571" s="88">
        <v>1</v>
      </c>
      <c r="H571" s="88">
        <v>1</v>
      </c>
      <c r="I571" s="88"/>
      <c r="J571" s="88">
        <v>1</v>
      </c>
      <c r="K571" s="88">
        <v>1</v>
      </c>
    </row>
    <row r="572" spans="1:11" ht="12.75">
      <c r="A572" s="91">
        <f t="shared" si="2"/>
        <v>0</v>
      </c>
      <c r="B572" s="93">
        <v>2013</v>
      </c>
      <c r="C572" s="94" t="s">
        <v>848</v>
      </c>
      <c r="D572" s="88"/>
      <c r="E572" s="88"/>
      <c r="F572" s="88">
        <v>0</v>
      </c>
      <c r="G572" s="88"/>
      <c r="H572" s="88"/>
      <c r="I572" s="88"/>
      <c r="J572" s="88"/>
      <c r="K572" s="88"/>
    </row>
    <row r="573" spans="1:11" ht="12.75">
      <c r="A573" s="91">
        <f t="shared" si="2"/>
        <v>1</v>
      </c>
      <c r="B573" s="93">
        <v>2013</v>
      </c>
      <c r="C573" s="94" t="s">
        <v>849</v>
      </c>
      <c r="D573" s="88"/>
      <c r="E573" s="88"/>
      <c r="F573" s="88">
        <v>0</v>
      </c>
      <c r="G573" s="88"/>
      <c r="H573" s="88"/>
      <c r="I573" s="88"/>
      <c r="J573" s="88"/>
      <c r="K573" s="88">
        <v>1</v>
      </c>
    </row>
    <row r="574" spans="1:11" ht="12.75">
      <c r="A574" s="91">
        <f t="shared" si="2"/>
        <v>0</v>
      </c>
      <c r="B574" s="64">
        <v>2014</v>
      </c>
      <c r="C574" s="86" t="s">
        <v>850</v>
      </c>
      <c r="D574" s="88"/>
      <c r="E574" s="88"/>
      <c r="F574" s="88">
        <v>0</v>
      </c>
      <c r="G574" s="88"/>
      <c r="H574" s="88"/>
      <c r="I574" s="88"/>
      <c r="J574" s="88"/>
      <c r="K574" s="88"/>
    </row>
    <row r="575" spans="1:11" ht="12.75">
      <c r="A575" s="91">
        <f t="shared" si="2"/>
        <v>6</v>
      </c>
      <c r="B575" s="64">
        <v>2014</v>
      </c>
      <c r="C575" s="86" t="s">
        <v>134</v>
      </c>
      <c r="D575" s="88"/>
      <c r="E575" s="88">
        <v>1</v>
      </c>
      <c r="F575" s="88">
        <v>1</v>
      </c>
      <c r="G575" s="88">
        <v>1</v>
      </c>
      <c r="H575" s="88">
        <v>1</v>
      </c>
      <c r="I575" s="88"/>
      <c r="J575" s="88">
        <v>1</v>
      </c>
      <c r="K575" s="88">
        <v>1</v>
      </c>
    </row>
    <row r="576" spans="1:11" ht="12.75">
      <c r="A576" s="91">
        <f t="shared" si="2"/>
        <v>2</v>
      </c>
      <c r="B576" s="64">
        <v>2014</v>
      </c>
      <c r="C576" s="86" t="s">
        <v>851</v>
      </c>
      <c r="D576" s="88"/>
      <c r="E576" s="88"/>
      <c r="F576" s="88">
        <v>0</v>
      </c>
      <c r="G576" s="88"/>
      <c r="H576" s="88">
        <v>1</v>
      </c>
      <c r="I576" s="88"/>
      <c r="J576" s="88"/>
      <c r="K576" s="88">
        <v>1</v>
      </c>
    </row>
    <row r="577" spans="1:11" ht="12.75">
      <c r="A577" s="91">
        <f t="shared" si="2"/>
        <v>4</v>
      </c>
      <c r="B577" s="64">
        <v>2014</v>
      </c>
      <c r="C577" s="86" t="s">
        <v>852</v>
      </c>
      <c r="D577" s="88"/>
      <c r="E577" s="88"/>
      <c r="F577" s="88">
        <v>1</v>
      </c>
      <c r="G577" s="88">
        <v>1</v>
      </c>
      <c r="H577" s="88">
        <v>1</v>
      </c>
      <c r="I577" s="88"/>
      <c r="J577" s="88"/>
      <c r="K577" s="88">
        <v>1</v>
      </c>
    </row>
    <row r="578" spans="1:11" ht="12.75">
      <c r="A578" s="91">
        <f t="shared" si="2"/>
        <v>1</v>
      </c>
      <c r="B578" s="64">
        <v>2014</v>
      </c>
      <c r="C578" s="86" t="s">
        <v>853</v>
      </c>
      <c r="D578" s="88"/>
      <c r="E578" s="88"/>
      <c r="F578" s="88">
        <v>0</v>
      </c>
      <c r="G578" s="88"/>
      <c r="H578" s="88"/>
      <c r="I578" s="88"/>
      <c r="J578" s="88"/>
      <c r="K578" s="88">
        <v>1</v>
      </c>
    </row>
    <row r="579" spans="1:11" ht="12.75">
      <c r="A579" s="91">
        <f t="shared" si="2"/>
        <v>0</v>
      </c>
      <c r="B579" s="64">
        <v>2014</v>
      </c>
      <c r="C579" s="86" t="s">
        <v>854</v>
      </c>
      <c r="D579" s="87"/>
      <c r="E579" s="88"/>
      <c r="F579" s="88">
        <v>0</v>
      </c>
      <c r="G579" s="88"/>
      <c r="H579" s="88"/>
      <c r="I579" s="88"/>
      <c r="J579" s="88"/>
      <c r="K579" s="88"/>
    </row>
    <row r="580" spans="1:11" ht="12.75">
      <c r="A580" s="91">
        <f t="shared" si="2"/>
        <v>4</v>
      </c>
      <c r="B580" s="64">
        <v>2014</v>
      </c>
      <c r="C580" s="86" t="s">
        <v>855</v>
      </c>
      <c r="D580" s="88"/>
      <c r="E580" s="88">
        <v>1</v>
      </c>
      <c r="F580" s="88">
        <v>0</v>
      </c>
      <c r="G580" s="88">
        <v>1</v>
      </c>
      <c r="H580" s="88">
        <v>1</v>
      </c>
      <c r="I580" s="88"/>
      <c r="J580" s="88">
        <v>1</v>
      </c>
      <c r="K580" s="88"/>
    </row>
    <row r="581" spans="1:11" ht="12.75">
      <c r="A581" s="91">
        <f t="shared" si="2"/>
        <v>4</v>
      </c>
      <c r="B581" s="64">
        <v>2014</v>
      </c>
      <c r="C581" s="86" t="s">
        <v>856</v>
      </c>
      <c r="D581" s="87"/>
      <c r="E581" s="88"/>
      <c r="F581" s="88">
        <v>0</v>
      </c>
      <c r="G581" s="88">
        <v>1</v>
      </c>
      <c r="H581" s="88">
        <v>1</v>
      </c>
      <c r="I581" s="88"/>
      <c r="J581" s="88">
        <v>1</v>
      </c>
      <c r="K581" s="88">
        <v>1</v>
      </c>
    </row>
    <row r="582" spans="1:11" ht="12.75">
      <c r="A582" s="91">
        <f t="shared" si="2"/>
        <v>0</v>
      </c>
      <c r="B582" s="64">
        <v>2014</v>
      </c>
      <c r="C582" s="86" t="s">
        <v>857</v>
      </c>
      <c r="D582" s="88"/>
      <c r="E582" s="88"/>
      <c r="F582" s="88">
        <v>0</v>
      </c>
      <c r="G582" s="88"/>
      <c r="H582" s="88"/>
      <c r="I582" s="88"/>
      <c r="J582" s="88"/>
      <c r="K582" s="88"/>
    </row>
    <row r="583" spans="1:11" ht="12.75">
      <c r="A583" s="91">
        <f t="shared" si="2"/>
        <v>4</v>
      </c>
      <c r="B583" s="93">
        <v>2014</v>
      </c>
      <c r="C583" s="94" t="s">
        <v>858</v>
      </c>
      <c r="D583" s="88"/>
      <c r="E583" s="88"/>
      <c r="F583" s="88">
        <v>1</v>
      </c>
      <c r="G583" s="88"/>
      <c r="H583" s="88">
        <v>1</v>
      </c>
      <c r="I583" s="88"/>
      <c r="J583" s="88">
        <v>1</v>
      </c>
      <c r="K583" s="88">
        <v>1</v>
      </c>
    </row>
    <row r="584" spans="1:11" ht="12.75">
      <c r="A584" s="91">
        <f t="shared" si="2"/>
        <v>2</v>
      </c>
      <c r="B584" s="93">
        <v>2014</v>
      </c>
      <c r="C584" s="94" t="s">
        <v>859</v>
      </c>
      <c r="D584" s="88"/>
      <c r="E584" s="88"/>
      <c r="F584" s="88">
        <v>0</v>
      </c>
      <c r="G584" s="88">
        <v>1</v>
      </c>
      <c r="H584" s="88"/>
      <c r="I584" s="88"/>
      <c r="J584" s="88"/>
      <c r="K584" s="88">
        <v>1</v>
      </c>
    </row>
    <row r="585" spans="1:11" ht="12.75">
      <c r="A585" s="91">
        <f t="shared" si="2"/>
        <v>1</v>
      </c>
      <c r="B585" s="93">
        <v>2014</v>
      </c>
      <c r="C585" s="94" t="s">
        <v>860</v>
      </c>
      <c r="D585" s="88"/>
      <c r="E585" s="88"/>
      <c r="F585" s="88">
        <v>0</v>
      </c>
      <c r="G585" s="88"/>
      <c r="H585" s="88"/>
      <c r="I585" s="88"/>
      <c r="J585" s="88"/>
      <c r="K585" s="88">
        <v>1</v>
      </c>
    </row>
    <row r="586" spans="1:11" ht="12.75">
      <c r="A586" s="91">
        <f t="shared" si="2"/>
        <v>0</v>
      </c>
      <c r="B586" s="64">
        <v>2015</v>
      </c>
      <c r="C586" s="86" t="s">
        <v>861</v>
      </c>
      <c r="D586" s="88"/>
      <c r="E586" s="88"/>
      <c r="F586" s="88">
        <v>0</v>
      </c>
      <c r="G586" s="88"/>
      <c r="H586" s="88"/>
      <c r="I586" s="88"/>
      <c r="J586" s="88"/>
      <c r="K586" s="88"/>
    </row>
    <row r="587" spans="1:11" ht="12.75">
      <c r="A587" s="91">
        <f t="shared" si="2"/>
        <v>3</v>
      </c>
      <c r="B587" s="64">
        <v>2015</v>
      </c>
      <c r="C587" s="86" t="s">
        <v>862</v>
      </c>
      <c r="D587" s="88"/>
      <c r="E587" s="88"/>
      <c r="F587" s="88">
        <v>1</v>
      </c>
      <c r="G587" s="88">
        <v>1</v>
      </c>
      <c r="H587" s="88"/>
      <c r="I587" s="88"/>
      <c r="J587" s="88"/>
      <c r="K587" s="88">
        <v>1</v>
      </c>
    </row>
    <row r="588" spans="1:11" ht="12.75">
      <c r="A588" s="91">
        <f t="shared" si="2"/>
        <v>1</v>
      </c>
      <c r="B588" s="64">
        <v>2015</v>
      </c>
      <c r="C588" s="86" t="s">
        <v>863</v>
      </c>
      <c r="D588" s="88"/>
      <c r="E588" s="88"/>
      <c r="F588" s="88">
        <v>0</v>
      </c>
      <c r="G588" s="88"/>
      <c r="H588" s="88"/>
      <c r="I588" s="88"/>
      <c r="J588" s="88"/>
      <c r="K588" s="88">
        <v>1</v>
      </c>
    </row>
    <row r="589" spans="1:11" ht="12.75">
      <c r="A589" s="91">
        <f t="shared" si="2"/>
        <v>1</v>
      </c>
      <c r="B589" s="64">
        <v>2015</v>
      </c>
      <c r="C589" s="86" t="s">
        <v>864</v>
      </c>
      <c r="D589" s="88"/>
      <c r="E589" s="88"/>
      <c r="F589" s="88">
        <v>0</v>
      </c>
      <c r="G589" s="88"/>
      <c r="H589" s="88"/>
      <c r="I589" s="88"/>
      <c r="J589" s="88">
        <v>1</v>
      </c>
      <c r="K589" s="88"/>
    </row>
    <row r="590" spans="1:11" ht="12.75">
      <c r="A590" s="91">
        <f t="shared" si="2"/>
        <v>5</v>
      </c>
      <c r="B590" s="93">
        <v>2015</v>
      </c>
      <c r="C590" s="94" t="s">
        <v>865</v>
      </c>
      <c r="D590" s="88"/>
      <c r="E590" s="88"/>
      <c r="F590" s="88">
        <v>1</v>
      </c>
      <c r="G590" s="88">
        <v>1</v>
      </c>
      <c r="H590" s="88">
        <v>1</v>
      </c>
      <c r="I590" s="88"/>
      <c r="J590" s="88">
        <v>1</v>
      </c>
      <c r="K590" s="88">
        <v>1</v>
      </c>
    </row>
    <row r="591" spans="1:11" ht="12.75">
      <c r="A591" s="91">
        <f t="shared" si="2"/>
        <v>4</v>
      </c>
      <c r="B591" s="93">
        <v>2015</v>
      </c>
      <c r="C591" s="94" t="s">
        <v>866</v>
      </c>
      <c r="D591" s="88"/>
      <c r="E591" s="88"/>
      <c r="F591" s="88">
        <v>0</v>
      </c>
      <c r="G591" s="88">
        <v>1</v>
      </c>
      <c r="H591" s="88">
        <v>1</v>
      </c>
      <c r="I591" s="88"/>
      <c r="J591" s="88">
        <v>1</v>
      </c>
      <c r="K591" s="88">
        <v>1</v>
      </c>
    </row>
    <row r="592" spans="1:11" ht="12.75">
      <c r="A592" s="91">
        <f t="shared" si="2"/>
        <v>0</v>
      </c>
      <c r="B592" s="93">
        <v>2015</v>
      </c>
      <c r="C592" s="94" t="s">
        <v>867</v>
      </c>
      <c r="D592" s="88"/>
      <c r="E592" s="88"/>
      <c r="F592" s="88">
        <v>0</v>
      </c>
      <c r="G592" s="88"/>
      <c r="H592" s="88"/>
      <c r="I592" s="88"/>
      <c r="J592" s="88"/>
      <c r="K592" s="88"/>
    </row>
    <row r="593" spans="1:11" ht="12.75">
      <c r="A593" s="91">
        <f t="shared" si="2"/>
        <v>4</v>
      </c>
      <c r="B593" s="93">
        <v>2015</v>
      </c>
      <c r="C593" s="94" t="s">
        <v>868</v>
      </c>
      <c r="D593" s="88"/>
      <c r="E593" s="88"/>
      <c r="F593" s="88">
        <v>0</v>
      </c>
      <c r="G593" s="88">
        <v>1</v>
      </c>
      <c r="H593" s="88">
        <v>1</v>
      </c>
      <c r="I593" s="88"/>
      <c r="J593" s="88">
        <v>1</v>
      </c>
      <c r="K593" s="88">
        <v>1</v>
      </c>
    </row>
    <row r="594" spans="1:11" ht="12.75">
      <c r="A594" s="91">
        <f t="shared" si="2"/>
        <v>2</v>
      </c>
      <c r="B594" s="93">
        <v>2015</v>
      </c>
      <c r="C594" s="94" t="s">
        <v>869</v>
      </c>
      <c r="D594" s="88"/>
      <c r="E594" s="88"/>
      <c r="F594" s="88">
        <v>1</v>
      </c>
      <c r="G594" s="88">
        <v>1</v>
      </c>
      <c r="H594" s="88"/>
      <c r="I594" s="88"/>
      <c r="J594" s="88"/>
      <c r="K594" s="88"/>
    </row>
    <row r="595" spans="1:11" ht="12.75">
      <c r="A595" s="91">
        <f t="shared" si="2"/>
        <v>3</v>
      </c>
      <c r="B595" s="93">
        <v>2015</v>
      </c>
      <c r="C595" s="94" t="s">
        <v>870</v>
      </c>
      <c r="D595" s="88"/>
      <c r="E595" s="88"/>
      <c r="F595" s="88">
        <v>1</v>
      </c>
      <c r="G595" s="88">
        <v>1</v>
      </c>
      <c r="H595" s="88"/>
      <c r="I595" s="88"/>
      <c r="J595" s="88"/>
      <c r="K595" s="88">
        <v>1</v>
      </c>
    </row>
    <row r="596" spans="1:11" ht="12.75">
      <c r="A596" s="91">
        <f t="shared" si="2"/>
        <v>0</v>
      </c>
      <c r="B596" s="93">
        <v>2015</v>
      </c>
      <c r="C596" s="94" t="s">
        <v>871</v>
      </c>
      <c r="D596" s="88"/>
      <c r="E596" s="88"/>
      <c r="F596" s="88">
        <v>0</v>
      </c>
      <c r="G596" s="88"/>
      <c r="H596" s="88"/>
      <c r="I596" s="88"/>
      <c r="J596" s="88"/>
      <c r="K596" s="88"/>
    </row>
    <row r="597" spans="1:11" ht="12.75">
      <c r="A597" s="91">
        <f t="shared" si="2"/>
        <v>0</v>
      </c>
      <c r="B597" s="93">
        <v>2015</v>
      </c>
      <c r="C597" s="94" t="s">
        <v>872</v>
      </c>
      <c r="D597" s="88"/>
      <c r="E597" s="88"/>
      <c r="F597" s="88">
        <v>0</v>
      </c>
      <c r="G597" s="88"/>
      <c r="H597" s="88"/>
      <c r="I597" s="88"/>
      <c r="J597" s="88"/>
      <c r="K597" s="88"/>
    </row>
    <row r="598" spans="1:11" ht="12.75">
      <c r="A598" s="91">
        <f t="shared" si="2"/>
        <v>2</v>
      </c>
      <c r="B598" s="64">
        <v>2016</v>
      </c>
      <c r="C598" s="86" t="s">
        <v>187</v>
      </c>
      <c r="D598" s="88"/>
      <c r="E598" s="88"/>
      <c r="F598" s="88">
        <v>0</v>
      </c>
      <c r="G598" s="88">
        <v>1</v>
      </c>
      <c r="H598" s="88"/>
      <c r="I598" s="88"/>
      <c r="J598" s="88"/>
      <c r="K598" s="88">
        <v>1</v>
      </c>
    </row>
    <row r="599" spans="1:11" ht="12.75">
      <c r="A599" s="91">
        <f t="shared" si="2"/>
        <v>0</v>
      </c>
      <c r="B599" s="64">
        <v>2016</v>
      </c>
      <c r="C599" s="86" t="s">
        <v>873</v>
      </c>
      <c r="D599" s="88"/>
      <c r="E599" s="88"/>
      <c r="F599" s="88">
        <v>0</v>
      </c>
      <c r="G599" s="88"/>
      <c r="H599" s="88"/>
      <c r="I599" s="88"/>
      <c r="J599" s="88"/>
      <c r="K599" s="88"/>
    </row>
    <row r="600" spans="1:11" ht="12.75">
      <c r="A600" s="91">
        <f t="shared" si="2"/>
        <v>1</v>
      </c>
      <c r="B600" s="64">
        <v>2016</v>
      </c>
      <c r="C600" s="86" t="s">
        <v>874</v>
      </c>
      <c r="D600" s="88"/>
      <c r="E600" s="88"/>
      <c r="F600" s="88">
        <v>0</v>
      </c>
      <c r="G600" s="88"/>
      <c r="H600" s="88"/>
      <c r="I600" s="88"/>
      <c r="J600" s="88"/>
      <c r="K600" s="88">
        <v>1</v>
      </c>
    </row>
    <row r="601" spans="1:11" ht="12.75">
      <c r="A601" s="91">
        <f t="shared" si="2"/>
        <v>1</v>
      </c>
      <c r="B601" s="93">
        <v>2016</v>
      </c>
      <c r="C601" s="94" t="s">
        <v>875</v>
      </c>
      <c r="D601" s="88"/>
      <c r="E601" s="88"/>
      <c r="F601" s="88">
        <v>0</v>
      </c>
      <c r="G601" s="88"/>
      <c r="H601" s="88"/>
      <c r="I601" s="88"/>
      <c r="J601" s="88"/>
      <c r="K601" s="88">
        <v>1</v>
      </c>
    </row>
    <row r="602" spans="1:11" ht="12.75">
      <c r="A602" s="91">
        <f t="shared" si="2"/>
        <v>1</v>
      </c>
      <c r="B602" s="93">
        <v>2016</v>
      </c>
      <c r="C602" s="94" t="s">
        <v>876</v>
      </c>
      <c r="D602" s="88"/>
      <c r="E602" s="88"/>
      <c r="F602" s="88">
        <v>0</v>
      </c>
      <c r="G602" s="88"/>
      <c r="H602" s="88"/>
      <c r="I602" s="88"/>
      <c r="J602" s="88"/>
      <c r="K602" s="88">
        <v>1</v>
      </c>
    </row>
    <row r="603" spans="1:11" ht="12.75">
      <c r="A603" s="91">
        <f t="shared" si="2"/>
        <v>1</v>
      </c>
      <c r="B603" s="93">
        <v>2016</v>
      </c>
      <c r="C603" s="94" t="s">
        <v>877</v>
      </c>
      <c r="D603" s="88"/>
      <c r="E603" s="88"/>
      <c r="F603" s="88">
        <v>0</v>
      </c>
      <c r="G603" s="88"/>
      <c r="H603" s="88"/>
      <c r="I603" s="88"/>
      <c r="J603" s="88"/>
      <c r="K603" s="88">
        <v>1</v>
      </c>
    </row>
    <row r="604" spans="1:11" ht="12.75">
      <c r="A604" s="91">
        <f t="shared" si="2"/>
        <v>0</v>
      </c>
      <c r="B604" s="93">
        <v>2016</v>
      </c>
      <c r="C604" s="94" t="s">
        <v>878</v>
      </c>
      <c r="D604" s="88"/>
      <c r="E604" s="88"/>
      <c r="F604" s="88">
        <v>0</v>
      </c>
      <c r="G604" s="88"/>
      <c r="H604" s="88"/>
      <c r="I604" s="88"/>
      <c r="J604" s="88"/>
      <c r="K604" s="88"/>
    </row>
    <row r="605" spans="1:11" ht="12.75">
      <c r="A605" s="91">
        <f t="shared" si="2"/>
        <v>2</v>
      </c>
      <c r="B605" s="93">
        <v>2016</v>
      </c>
      <c r="C605" s="94" t="s">
        <v>879</v>
      </c>
      <c r="D605" s="88"/>
      <c r="E605" s="88"/>
      <c r="F605" s="88">
        <v>0</v>
      </c>
      <c r="G605" s="88"/>
      <c r="H605" s="88"/>
      <c r="I605" s="88"/>
      <c r="J605" s="88">
        <v>1</v>
      </c>
      <c r="K605" s="88">
        <v>1</v>
      </c>
    </row>
    <row r="606" spans="1:11" ht="12.75">
      <c r="A606" s="91">
        <f t="shared" si="2"/>
        <v>0</v>
      </c>
      <c r="B606" s="93">
        <v>2016</v>
      </c>
      <c r="C606" s="94" t="s">
        <v>880</v>
      </c>
      <c r="D606" s="88"/>
      <c r="E606" s="88"/>
      <c r="F606" s="88">
        <v>0</v>
      </c>
      <c r="G606" s="88"/>
      <c r="H606" s="88"/>
      <c r="I606" s="88"/>
      <c r="J606" s="88"/>
      <c r="K606" s="88"/>
    </row>
    <row r="607" spans="1:11" ht="12.75">
      <c r="A607" s="91">
        <f t="shared" si="2"/>
        <v>0</v>
      </c>
      <c r="B607" s="93">
        <v>2016</v>
      </c>
      <c r="C607" s="94" t="s">
        <v>881</v>
      </c>
      <c r="D607" s="88"/>
      <c r="E607" s="88"/>
      <c r="F607" s="88">
        <v>0</v>
      </c>
      <c r="G607" s="88"/>
      <c r="H607" s="88"/>
      <c r="I607" s="88"/>
      <c r="J607" s="88"/>
      <c r="K607" s="88"/>
    </row>
    <row r="608" spans="1:11" ht="12.75">
      <c r="A608" s="91">
        <f t="shared" si="2"/>
        <v>0</v>
      </c>
      <c r="B608" s="93">
        <v>2016</v>
      </c>
      <c r="C608" s="94" t="s">
        <v>882</v>
      </c>
      <c r="D608" s="88"/>
      <c r="E608" s="88"/>
      <c r="F608" s="88">
        <v>0</v>
      </c>
      <c r="G608" s="88"/>
      <c r="H608" s="88"/>
      <c r="I608" s="88"/>
      <c r="J608" s="88"/>
      <c r="K608" s="88"/>
    </row>
    <row r="609" spans="1:11" ht="12.75">
      <c r="A609" s="91">
        <f t="shared" si="2"/>
        <v>3</v>
      </c>
      <c r="B609" s="64">
        <v>2017</v>
      </c>
      <c r="C609" s="86" t="s">
        <v>883</v>
      </c>
      <c r="D609" s="88"/>
      <c r="E609" s="88"/>
      <c r="F609" s="88">
        <v>1</v>
      </c>
      <c r="G609" s="88">
        <v>1</v>
      </c>
      <c r="H609" s="88"/>
      <c r="I609" s="88"/>
      <c r="J609" s="88"/>
      <c r="K609" s="88">
        <v>1</v>
      </c>
    </row>
    <row r="610" spans="1:11" ht="12.75">
      <c r="A610" s="91">
        <f t="shared" si="2"/>
        <v>1</v>
      </c>
      <c r="B610" s="64">
        <v>2017</v>
      </c>
      <c r="C610" s="86" t="s">
        <v>884</v>
      </c>
      <c r="D610" s="88"/>
      <c r="E610" s="88"/>
      <c r="F610" s="88">
        <v>0</v>
      </c>
      <c r="G610" s="88"/>
      <c r="H610" s="88"/>
      <c r="I610" s="88"/>
      <c r="J610" s="88"/>
      <c r="K610" s="88">
        <v>1</v>
      </c>
    </row>
    <row r="611" spans="1:11" ht="12.75">
      <c r="A611" s="91">
        <f t="shared" si="2"/>
        <v>1</v>
      </c>
      <c r="B611" s="64">
        <v>2017</v>
      </c>
      <c r="C611" s="86" t="s">
        <v>885</v>
      </c>
      <c r="D611" s="89"/>
      <c r="E611" s="88"/>
      <c r="F611" s="88">
        <v>0</v>
      </c>
      <c r="G611" s="88"/>
      <c r="H611" s="88"/>
      <c r="I611" s="88"/>
      <c r="J611" s="88"/>
      <c r="K611" s="88">
        <v>1</v>
      </c>
    </row>
    <row r="612" spans="1:11" ht="12.75">
      <c r="A612" s="91">
        <f t="shared" si="2"/>
        <v>2</v>
      </c>
      <c r="B612" s="64">
        <v>2017</v>
      </c>
      <c r="C612" s="86" t="s">
        <v>207</v>
      </c>
      <c r="D612" s="88"/>
      <c r="E612" s="88"/>
      <c r="F612" s="88">
        <v>0</v>
      </c>
      <c r="G612" s="88"/>
      <c r="H612" s="88"/>
      <c r="I612" s="88"/>
      <c r="J612" s="88">
        <v>1</v>
      </c>
      <c r="K612" s="88">
        <v>1</v>
      </c>
    </row>
    <row r="613" spans="1:11" ht="12.75">
      <c r="A613" s="91">
        <f t="shared" si="2"/>
        <v>3</v>
      </c>
      <c r="B613" s="93">
        <v>2017</v>
      </c>
      <c r="C613" s="94" t="s">
        <v>886</v>
      </c>
      <c r="D613" s="88"/>
      <c r="E613" s="88"/>
      <c r="F613" s="88">
        <v>0</v>
      </c>
      <c r="G613" s="88">
        <v>1</v>
      </c>
      <c r="H613" s="88">
        <v>1</v>
      </c>
      <c r="I613" s="88"/>
      <c r="J613" s="88"/>
      <c r="K613" s="88">
        <v>1</v>
      </c>
    </row>
    <row r="614" spans="1:11" ht="12.75">
      <c r="A614" s="91">
        <f t="shared" si="2"/>
        <v>2</v>
      </c>
      <c r="B614" s="93">
        <v>2017</v>
      </c>
      <c r="C614" s="94" t="s">
        <v>887</v>
      </c>
      <c r="D614" s="88"/>
      <c r="E614" s="88"/>
      <c r="F614" s="88">
        <v>0</v>
      </c>
      <c r="G614" s="88"/>
      <c r="H614" s="88">
        <v>1</v>
      </c>
      <c r="I614" s="88"/>
      <c r="J614" s="88"/>
      <c r="K614" s="88">
        <v>1</v>
      </c>
    </row>
    <row r="615" spans="1:11" ht="12.75">
      <c r="A615" s="91">
        <f t="shared" si="2"/>
        <v>1</v>
      </c>
      <c r="B615" s="93">
        <v>2017</v>
      </c>
      <c r="C615" s="94" t="s">
        <v>888</v>
      </c>
      <c r="D615" s="88"/>
      <c r="E615" s="88"/>
      <c r="F615" s="88">
        <v>0</v>
      </c>
      <c r="G615" s="88">
        <v>1</v>
      </c>
      <c r="H615" s="88"/>
      <c r="I615" s="88"/>
      <c r="J615" s="88"/>
      <c r="K615" s="88"/>
    </row>
    <row r="616" spans="1:11" ht="12.75">
      <c r="A616" s="91">
        <f t="shared" si="2"/>
        <v>0</v>
      </c>
      <c r="B616" s="93">
        <v>2017</v>
      </c>
      <c r="C616" s="94" t="s">
        <v>889</v>
      </c>
      <c r="D616" s="88"/>
      <c r="E616" s="88"/>
      <c r="F616" s="88">
        <v>0</v>
      </c>
      <c r="G616" s="88"/>
      <c r="H616" s="88"/>
      <c r="I616" s="88"/>
      <c r="J616" s="88"/>
      <c r="K616" s="88"/>
    </row>
    <row r="617" spans="1:11" ht="12.75">
      <c r="A617" s="91"/>
      <c r="B617" s="93">
        <v>2017</v>
      </c>
      <c r="C617" s="94" t="s">
        <v>890</v>
      </c>
      <c r="D617" s="88"/>
      <c r="E617" s="88"/>
      <c r="F617" s="88">
        <v>0</v>
      </c>
      <c r="G617" s="88"/>
      <c r="H617" s="88"/>
      <c r="I617" s="88"/>
      <c r="J617" s="88"/>
      <c r="K617" s="88"/>
    </row>
    <row r="618" spans="1:11" ht="12.75">
      <c r="A618" s="91">
        <f t="shared" ref="A618:A682" si="3">SUM(D618:K618)</f>
        <v>0</v>
      </c>
      <c r="B618" s="64">
        <v>2018</v>
      </c>
      <c r="C618" s="86" t="s">
        <v>891</v>
      </c>
      <c r="D618" s="88"/>
      <c r="E618" s="88"/>
      <c r="F618" s="88">
        <v>0</v>
      </c>
      <c r="G618" s="88"/>
      <c r="H618" s="88"/>
      <c r="I618" s="88"/>
      <c r="J618" s="88"/>
      <c r="K618" s="88"/>
    </row>
    <row r="619" spans="1:11" ht="12.75">
      <c r="A619" s="91">
        <f t="shared" si="3"/>
        <v>1</v>
      </c>
      <c r="B619" s="64">
        <v>2018</v>
      </c>
      <c r="C619" s="86" t="s">
        <v>892</v>
      </c>
      <c r="D619" s="88"/>
      <c r="E619" s="88"/>
      <c r="F619" s="88">
        <v>0</v>
      </c>
      <c r="G619" s="88"/>
      <c r="H619" s="88"/>
      <c r="I619" s="88"/>
      <c r="J619" s="88">
        <v>1</v>
      </c>
      <c r="K619" s="88"/>
    </row>
    <row r="620" spans="1:11" ht="12.75">
      <c r="A620" s="91">
        <f t="shared" si="3"/>
        <v>2</v>
      </c>
      <c r="B620" s="64">
        <v>2018</v>
      </c>
      <c r="C620" s="86" t="s">
        <v>893</v>
      </c>
      <c r="D620" s="89"/>
      <c r="E620" s="88"/>
      <c r="F620" s="88">
        <v>1</v>
      </c>
      <c r="G620" s="88"/>
      <c r="H620" s="88">
        <v>1</v>
      </c>
      <c r="I620" s="88"/>
      <c r="J620" s="88"/>
      <c r="K620" s="88"/>
    </row>
    <row r="621" spans="1:11" ht="12.75">
      <c r="A621" s="91">
        <f t="shared" si="3"/>
        <v>2</v>
      </c>
      <c r="B621" s="93">
        <v>2018</v>
      </c>
      <c r="C621" s="94" t="s">
        <v>894</v>
      </c>
      <c r="D621" s="88"/>
      <c r="E621" s="88"/>
      <c r="F621" s="88">
        <v>1</v>
      </c>
      <c r="G621" s="88"/>
      <c r="H621" s="88"/>
      <c r="I621" s="88"/>
      <c r="J621" s="88"/>
      <c r="K621" s="88">
        <v>1</v>
      </c>
    </row>
    <row r="622" spans="1:11" ht="12.75">
      <c r="A622" s="91">
        <f t="shared" si="3"/>
        <v>4</v>
      </c>
      <c r="B622" s="64">
        <v>2019</v>
      </c>
      <c r="C622" s="95">
        <v>1917</v>
      </c>
      <c r="D622" s="88"/>
      <c r="E622" s="88"/>
      <c r="F622" s="88">
        <v>1</v>
      </c>
      <c r="G622" s="88">
        <v>1</v>
      </c>
      <c r="H622" s="88"/>
      <c r="I622" s="88"/>
      <c r="J622" s="88">
        <v>1</v>
      </c>
      <c r="K622" s="88">
        <v>1</v>
      </c>
    </row>
    <row r="623" spans="1:11" ht="12.75">
      <c r="A623" s="91">
        <f t="shared" si="3"/>
        <v>0</v>
      </c>
      <c r="B623" s="64">
        <v>2019</v>
      </c>
      <c r="C623" s="86" t="s">
        <v>895</v>
      </c>
      <c r="D623" s="88"/>
      <c r="E623" s="88"/>
      <c r="F623" s="88">
        <v>0</v>
      </c>
      <c r="G623" s="88"/>
      <c r="H623" s="88"/>
      <c r="I623" s="88"/>
      <c r="J623" s="88"/>
      <c r="K623" s="88"/>
    </row>
    <row r="624" spans="1:11" ht="12.75">
      <c r="A624" s="91">
        <f t="shared" si="3"/>
        <v>0</v>
      </c>
      <c r="B624" s="64">
        <v>2019</v>
      </c>
      <c r="C624" s="86" t="s">
        <v>896</v>
      </c>
      <c r="D624" s="88"/>
      <c r="E624" s="88"/>
      <c r="F624" s="88">
        <v>0</v>
      </c>
      <c r="G624" s="88"/>
      <c r="H624" s="88"/>
      <c r="I624" s="88"/>
      <c r="J624" s="88"/>
      <c r="K624" s="88"/>
    </row>
    <row r="625" spans="1:11" ht="12.75">
      <c r="A625" s="91">
        <f t="shared" si="3"/>
        <v>2</v>
      </c>
      <c r="B625" s="64">
        <v>2019</v>
      </c>
      <c r="C625" s="86" t="s">
        <v>897</v>
      </c>
      <c r="D625" s="88"/>
      <c r="E625" s="88">
        <v>1</v>
      </c>
      <c r="F625" s="88">
        <v>0</v>
      </c>
      <c r="G625" s="88"/>
      <c r="H625" s="88"/>
      <c r="I625" s="88"/>
      <c r="J625" s="88">
        <v>1</v>
      </c>
      <c r="K625" s="88"/>
    </row>
    <row r="626" spans="1:11" ht="12.75">
      <c r="A626" s="91">
        <f t="shared" si="3"/>
        <v>3</v>
      </c>
      <c r="B626" s="64">
        <v>2019</v>
      </c>
      <c r="C626" s="86" t="s">
        <v>898</v>
      </c>
      <c r="D626" s="89"/>
      <c r="E626" s="88"/>
      <c r="F626" s="88">
        <v>0</v>
      </c>
      <c r="G626" s="88">
        <v>1</v>
      </c>
      <c r="H626" s="88">
        <v>1</v>
      </c>
      <c r="I626" s="88"/>
      <c r="J626" s="88"/>
      <c r="K626" s="88">
        <v>1</v>
      </c>
    </row>
    <row r="627" spans="1:11" ht="12.75">
      <c r="A627" s="91">
        <f t="shared" si="3"/>
        <v>1</v>
      </c>
      <c r="B627" s="64">
        <v>2019</v>
      </c>
      <c r="C627" s="86" t="s">
        <v>899</v>
      </c>
      <c r="D627" s="87"/>
      <c r="E627" s="88"/>
      <c r="F627" s="88">
        <v>0</v>
      </c>
      <c r="G627" s="88"/>
      <c r="H627" s="88"/>
      <c r="I627" s="88"/>
      <c r="J627" s="88"/>
      <c r="K627" s="88">
        <v>1</v>
      </c>
    </row>
    <row r="628" spans="1:11" ht="12.75">
      <c r="A628" s="91">
        <f t="shared" si="3"/>
        <v>1</v>
      </c>
      <c r="B628" s="96">
        <v>2019</v>
      </c>
      <c r="C628" s="97" t="s">
        <v>900</v>
      </c>
      <c r="D628" s="88"/>
      <c r="E628" s="88"/>
      <c r="F628" s="88">
        <v>0</v>
      </c>
      <c r="G628" s="88"/>
      <c r="H628" s="88"/>
      <c r="I628" s="88"/>
      <c r="J628" s="88"/>
      <c r="K628" s="88">
        <v>1</v>
      </c>
    </row>
    <row r="629" spans="1:11" ht="12.75">
      <c r="A629" s="91">
        <f t="shared" si="3"/>
        <v>0</v>
      </c>
      <c r="B629" s="96">
        <v>2019</v>
      </c>
      <c r="C629" s="97" t="s">
        <v>901</v>
      </c>
      <c r="D629" s="88"/>
      <c r="E629" s="88"/>
      <c r="F629" s="88">
        <v>0</v>
      </c>
      <c r="G629" s="88"/>
      <c r="H629" s="88"/>
      <c r="I629" s="88"/>
      <c r="J629" s="88"/>
      <c r="K629" s="88"/>
    </row>
    <row r="630" spans="1:11" ht="12.75">
      <c r="A630" s="91">
        <f t="shared" si="3"/>
        <v>1</v>
      </c>
      <c r="B630" s="96">
        <v>2019</v>
      </c>
      <c r="C630" s="97" t="s">
        <v>902</v>
      </c>
      <c r="D630" s="88"/>
      <c r="E630" s="88"/>
      <c r="F630" s="88">
        <v>0</v>
      </c>
      <c r="G630" s="88"/>
      <c r="H630" s="88"/>
      <c r="I630" s="88"/>
      <c r="J630" s="88"/>
      <c r="K630" s="88">
        <v>1</v>
      </c>
    </row>
    <row r="631" spans="1:11" ht="12.75">
      <c r="A631" s="91">
        <f t="shared" si="3"/>
        <v>2</v>
      </c>
      <c r="B631" s="96">
        <v>2019</v>
      </c>
      <c r="C631" s="97" t="s">
        <v>903</v>
      </c>
      <c r="D631" s="88"/>
      <c r="E631" s="88"/>
      <c r="F631" s="88">
        <v>0</v>
      </c>
      <c r="G631" s="88"/>
      <c r="H631" s="88"/>
      <c r="I631" s="88"/>
      <c r="J631" s="88">
        <v>1</v>
      </c>
      <c r="K631" s="88">
        <v>1</v>
      </c>
    </row>
    <row r="632" spans="1:11" ht="12.75">
      <c r="A632" s="91">
        <f t="shared" si="3"/>
        <v>1</v>
      </c>
      <c r="B632" s="96">
        <v>2019</v>
      </c>
      <c r="C632" s="97" t="s">
        <v>904</v>
      </c>
      <c r="D632" s="88"/>
      <c r="E632" s="88"/>
      <c r="F632" s="88">
        <v>1</v>
      </c>
      <c r="G632" s="88"/>
      <c r="H632" s="88"/>
      <c r="I632" s="88"/>
      <c r="J632" s="88"/>
      <c r="K632" s="88"/>
    </row>
    <row r="633" spans="1:11" ht="12.75">
      <c r="A633" s="91">
        <f t="shared" si="3"/>
        <v>0</v>
      </c>
      <c r="B633" s="96">
        <v>2019</v>
      </c>
      <c r="C633" s="97" t="s">
        <v>905</v>
      </c>
      <c r="D633" s="88"/>
      <c r="E633" s="88"/>
      <c r="F633" s="88">
        <v>0</v>
      </c>
      <c r="G633" s="88"/>
      <c r="H633" s="88"/>
      <c r="I633" s="88"/>
      <c r="J633" s="88"/>
      <c r="K633" s="88"/>
    </row>
    <row r="634" spans="1:11" ht="12.75">
      <c r="A634" s="91">
        <f t="shared" si="3"/>
        <v>2</v>
      </c>
      <c r="B634" s="96">
        <v>2019</v>
      </c>
      <c r="C634" s="97" t="s">
        <v>906</v>
      </c>
      <c r="D634" s="88"/>
      <c r="E634" s="88"/>
      <c r="F634" s="88">
        <v>0</v>
      </c>
      <c r="G634" s="88">
        <v>1</v>
      </c>
      <c r="H634" s="88"/>
      <c r="I634" s="88"/>
      <c r="J634" s="88"/>
      <c r="K634" s="88">
        <v>1</v>
      </c>
    </row>
    <row r="635" spans="1:11" ht="12.75">
      <c r="A635" s="91">
        <f t="shared" si="3"/>
        <v>0</v>
      </c>
      <c r="B635" s="96">
        <v>2019</v>
      </c>
      <c r="C635" s="97" t="s">
        <v>907</v>
      </c>
      <c r="D635" s="88"/>
      <c r="E635" s="88"/>
      <c r="F635" s="88">
        <v>0</v>
      </c>
      <c r="G635" s="88"/>
      <c r="H635" s="88"/>
      <c r="I635" s="88"/>
      <c r="J635" s="88"/>
      <c r="K635" s="88"/>
    </row>
    <row r="636" spans="1:11" ht="12.75">
      <c r="A636" s="91">
        <f t="shared" si="3"/>
        <v>1</v>
      </c>
      <c r="B636" s="96">
        <v>2019</v>
      </c>
      <c r="C636" s="97" t="s">
        <v>908</v>
      </c>
      <c r="D636" s="88"/>
      <c r="E636" s="88"/>
      <c r="F636" s="88">
        <v>0</v>
      </c>
      <c r="G636" s="88">
        <v>1</v>
      </c>
      <c r="H636" s="88"/>
      <c r="I636" s="88"/>
      <c r="J636" s="88"/>
      <c r="K636" s="88"/>
    </row>
    <row r="637" spans="1:11" ht="12.75">
      <c r="A637" s="91">
        <f t="shared" si="3"/>
        <v>1</v>
      </c>
      <c r="B637" s="96">
        <v>2019</v>
      </c>
      <c r="C637" s="97" t="s">
        <v>909</v>
      </c>
      <c r="D637" s="88"/>
      <c r="E637" s="88"/>
      <c r="F637" s="88">
        <v>0</v>
      </c>
      <c r="G637" s="88"/>
      <c r="H637" s="88"/>
      <c r="I637" s="88"/>
      <c r="J637" s="88"/>
      <c r="K637" s="88">
        <v>1</v>
      </c>
    </row>
    <row r="638" spans="1:11" ht="12.75">
      <c r="A638" s="91">
        <f t="shared" si="3"/>
        <v>1</v>
      </c>
      <c r="B638" s="96">
        <v>2019</v>
      </c>
      <c r="C638" s="97" t="s">
        <v>910</v>
      </c>
      <c r="D638" s="88"/>
      <c r="E638" s="88"/>
      <c r="F638" s="88">
        <v>0</v>
      </c>
      <c r="G638" s="88"/>
      <c r="H638" s="88"/>
      <c r="I638" s="88"/>
      <c r="J638" s="88">
        <v>1</v>
      </c>
      <c r="K638" s="88"/>
    </row>
    <row r="639" spans="1:11" ht="12.75">
      <c r="A639" s="91">
        <f t="shared" si="3"/>
        <v>1</v>
      </c>
      <c r="B639" s="96">
        <v>2020</v>
      </c>
      <c r="C639" s="97" t="s">
        <v>911</v>
      </c>
      <c r="D639" s="88"/>
      <c r="E639" s="88"/>
      <c r="F639" s="88">
        <v>1</v>
      </c>
      <c r="G639" s="88"/>
      <c r="H639" s="88"/>
      <c r="I639" s="88"/>
      <c r="J639" s="88"/>
      <c r="K639" s="88"/>
    </row>
    <row r="640" spans="1:11" ht="12.75">
      <c r="A640" s="91">
        <f t="shared" si="3"/>
        <v>0</v>
      </c>
      <c r="B640" s="96">
        <v>2020</v>
      </c>
      <c r="C640" s="97" t="s">
        <v>912</v>
      </c>
      <c r="D640" s="88"/>
      <c r="E640" s="88"/>
      <c r="F640" s="88">
        <v>0</v>
      </c>
      <c r="G640" s="88"/>
      <c r="H640" s="88"/>
      <c r="I640" s="88"/>
      <c r="J640" s="88"/>
      <c r="K640" s="88"/>
    </row>
    <row r="641" spans="1:11" ht="12.75">
      <c r="A641" s="91">
        <f t="shared" si="3"/>
        <v>0</v>
      </c>
      <c r="B641" s="96">
        <v>2020</v>
      </c>
      <c r="C641" s="97" t="s">
        <v>913</v>
      </c>
      <c r="D641" s="88"/>
      <c r="E641" s="88"/>
      <c r="F641" s="88">
        <v>0</v>
      </c>
      <c r="G641" s="88"/>
      <c r="H641" s="88"/>
      <c r="I641" s="88"/>
      <c r="J641" s="88"/>
      <c r="K641" s="88"/>
    </row>
    <row r="642" spans="1:11" ht="12.75">
      <c r="A642" s="91">
        <f t="shared" si="3"/>
        <v>5</v>
      </c>
      <c r="B642" s="96">
        <v>2020</v>
      </c>
      <c r="C642" s="97" t="s">
        <v>914</v>
      </c>
      <c r="D642" s="88"/>
      <c r="E642" s="88"/>
      <c r="F642" s="88">
        <v>1</v>
      </c>
      <c r="G642" s="88">
        <v>1</v>
      </c>
      <c r="H642" s="88">
        <v>1</v>
      </c>
      <c r="I642" s="88"/>
      <c r="J642" s="88">
        <v>1</v>
      </c>
      <c r="K642" s="88">
        <v>1</v>
      </c>
    </row>
    <row r="643" spans="1:11" ht="12.75">
      <c r="A643" s="91">
        <f t="shared" si="3"/>
        <v>0</v>
      </c>
      <c r="B643" s="96">
        <v>2020</v>
      </c>
      <c r="C643" s="97" t="s">
        <v>915</v>
      </c>
      <c r="D643" s="88"/>
      <c r="E643" s="88"/>
      <c r="F643" s="88">
        <v>0</v>
      </c>
      <c r="G643" s="88"/>
      <c r="H643" s="88"/>
      <c r="I643" s="88"/>
      <c r="J643" s="88"/>
      <c r="K643" s="88"/>
    </row>
    <row r="644" spans="1:11" ht="12.75">
      <c r="A644" s="91">
        <f t="shared" si="3"/>
        <v>4</v>
      </c>
      <c r="B644" s="96">
        <v>2020</v>
      </c>
      <c r="C644" s="97" t="s">
        <v>916</v>
      </c>
      <c r="D644" s="88"/>
      <c r="E644" s="88"/>
      <c r="F644" s="88">
        <v>1</v>
      </c>
      <c r="G644" s="88"/>
      <c r="H644" s="88">
        <v>1</v>
      </c>
      <c r="I644" s="88"/>
      <c r="J644" s="88">
        <v>1</v>
      </c>
      <c r="K644" s="88">
        <v>1</v>
      </c>
    </row>
    <row r="645" spans="1:11" ht="12.75">
      <c r="A645" s="91">
        <f t="shared" si="3"/>
        <v>0</v>
      </c>
      <c r="B645" s="96">
        <v>2020</v>
      </c>
      <c r="C645" s="97" t="s">
        <v>917</v>
      </c>
      <c r="D645" s="88"/>
      <c r="E645" s="88"/>
      <c r="F645" s="88">
        <v>0</v>
      </c>
      <c r="G645" s="88"/>
      <c r="H645" s="88"/>
      <c r="I645" s="88"/>
      <c r="J645" s="88"/>
      <c r="K645" s="88"/>
    </row>
    <row r="646" spans="1:11" ht="12.75">
      <c r="A646" s="91">
        <f t="shared" si="3"/>
        <v>2</v>
      </c>
      <c r="B646" s="96">
        <v>2020</v>
      </c>
      <c r="C646" s="97" t="s">
        <v>918</v>
      </c>
      <c r="D646" s="88"/>
      <c r="E646" s="88"/>
      <c r="F646" s="88">
        <v>0</v>
      </c>
      <c r="G646" s="88">
        <v>1</v>
      </c>
      <c r="H646" s="88"/>
      <c r="I646" s="88"/>
      <c r="J646" s="88"/>
      <c r="K646" s="88">
        <v>1</v>
      </c>
    </row>
    <row r="647" spans="1:11" ht="12.75">
      <c r="A647" s="91">
        <f t="shared" si="3"/>
        <v>1</v>
      </c>
      <c r="B647" s="96">
        <v>2020</v>
      </c>
      <c r="C647" s="97" t="s">
        <v>919</v>
      </c>
      <c r="D647" s="88"/>
      <c r="E647" s="88"/>
      <c r="F647" s="88">
        <v>0</v>
      </c>
      <c r="G647" s="88"/>
      <c r="H647" s="88"/>
      <c r="I647" s="88"/>
      <c r="J647" s="88">
        <v>1</v>
      </c>
      <c r="K647" s="88"/>
    </row>
    <row r="648" spans="1:11" ht="12.75">
      <c r="A648" s="91">
        <f t="shared" si="3"/>
        <v>2</v>
      </c>
      <c r="B648" s="96">
        <v>2020</v>
      </c>
      <c r="C648" s="97" t="s">
        <v>920</v>
      </c>
      <c r="D648" s="88"/>
      <c r="E648" s="88"/>
      <c r="F648" s="88">
        <v>0</v>
      </c>
      <c r="G648" s="88">
        <v>1</v>
      </c>
      <c r="H648" s="88"/>
      <c r="I648" s="88"/>
      <c r="J648" s="88"/>
      <c r="K648" s="88">
        <v>1</v>
      </c>
    </row>
    <row r="649" spans="1:11" ht="12.75">
      <c r="A649" s="91">
        <f t="shared" si="3"/>
        <v>0</v>
      </c>
      <c r="B649" s="96">
        <v>2020</v>
      </c>
      <c r="C649" s="97" t="s">
        <v>921</v>
      </c>
      <c r="D649" s="88"/>
      <c r="E649" s="88"/>
      <c r="F649" s="88">
        <v>0</v>
      </c>
      <c r="G649" s="88"/>
      <c r="H649" s="88"/>
      <c r="I649" s="88"/>
      <c r="J649" s="88"/>
      <c r="K649" s="88"/>
    </row>
    <row r="650" spans="1:11" ht="12.75">
      <c r="A650" s="91">
        <f t="shared" si="3"/>
        <v>0</v>
      </c>
      <c r="B650" s="96">
        <v>2020</v>
      </c>
      <c r="C650" s="97" t="s">
        <v>922</v>
      </c>
      <c r="D650" s="88"/>
      <c r="E650" s="88"/>
      <c r="F650" s="88">
        <v>0</v>
      </c>
      <c r="G650" s="88"/>
      <c r="H650" s="88"/>
      <c r="I650" s="88"/>
      <c r="J650" s="88"/>
      <c r="K650" s="88"/>
    </row>
    <row r="651" spans="1:11" ht="12.75">
      <c r="A651" s="91">
        <f t="shared" si="3"/>
        <v>0</v>
      </c>
      <c r="B651" s="96">
        <v>2020</v>
      </c>
      <c r="C651" s="97" t="s">
        <v>923</v>
      </c>
      <c r="D651" s="88"/>
      <c r="E651" s="88"/>
      <c r="F651" s="88">
        <v>0</v>
      </c>
      <c r="G651" s="88"/>
      <c r="H651" s="88"/>
      <c r="I651" s="88"/>
      <c r="J651" s="88"/>
      <c r="K651" s="88"/>
    </row>
    <row r="652" spans="1:11" ht="12.75">
      <c r="A652" s="91">
        <f t="shared" si="3"/>
        <v>0</v>
      </c>
      <c r="B652" s="96">
        <v>2020</v>
      </c>
      <c r="C652" s="97" t="s">
        <v>924</v>
      </c>
      <c r="D652" s="88"/>
      <c r="E652" s="88"/>
      <c r="F652" s="88">
        <v>0</v>
      </c>
      <c r="G652" s="88"/>
      <c r="H652" s="88"/>
      <c r="I652" s="88"/>
      <c r="J652" s="88"/>
      <c r="K652" s="88"/>
    </row>
    <row r="653" spans="1:11" ht="12.75">
      <c r="A653" s="91">
        <f t="shared" si="3"/>
        <v>3</v>
      </c>
      <c r="B653" s="64">
        <v>2021</v>
      </c>
      <c r="C653" s="86" t="s">
        <v>925</v>
      </c>
      <c r="D653" s="88"/>
      <c r="E653" s="88"/>
      <c r="F653" s="88">
        <v>1</v>
      </c>
      <c r="G653" s="88">
        <v>1</v>
      </c>
      <c r="H653" s="88"/>
      <c r="I653" s="88"/>
      <c r="J653" s="88"/>
      <c r="K653" s="88">
        <v>1</v>
      </c>
    </row>
    <row r="654" spans="1:11" ht="12.75">
      <c r="A654" s="91">
        <f t="shared" si="3"/>
        <v>0</v>
      </c>
      <c r="B654" s="96">
        <v>2021</v>
      </c>
      <c r="C654" s="97" t="s">
        <v>926</v>
      </c>
      <c r="D654" s="98"/>
      <c r="E654" s="98"/>
      <c r="F654" s="98">
        <v>0</v>
      </c>
      <c r="G654" s="98"/>
      <c r="H654" s="98"/>
      <c r="I654" s="98"/>
      <c r="J654" s="98"/>
      <c r="K654" s="98"/>
    </row>
    <row r="655" spans="1:11" ht="12.75">
      <c r="A655" s="1">
        <f t="shared" si="3"/>
        <v>0</v>
      </c>
      <c r="B655" s="96">
        <v>2021</v>
      </c>
      <c r="C655" s="97" t="s">
        <v>927</v>
      </c>
      <c r="D655" s="98"/>
      <c r="E655" s="98"/>
      <c r="F655" s="98"/>
      <c r="G655" s="98"/>
      <c r="H655" s="98"/>
      <c r="I655" s="98"/>
      <c r="J655" s="98"/>
      <c r="K655" s="98"/>
    </row>
    <row r="656" spans="1:11" ht="12.75">
      <c r="A656" s="91">
        <f t="shared" si="3"/>
        <v>0</v>
      </c>
      <c r="B656" s="96">
        <v>2021</v>
      </c>
      <c r="C656" s="97" t="s">
        <v>928</v>
      </c>
      <c r="D656" s="98"/>
      <c r="E656" s="98"/>
      <c r="F656" s="98"/>
      <c r="G656" s="98"/>
      <c r="H656" s="98"/>
      <c r="I656" s="98"/>
      <c r="J656" s="98"/>
      <c r="K656" s="98"/>
    </row>
    <row r="657" spans="1:11" ht="12.75">
      <c r="A657" s="91">
        <f t="shared" si="3"/>
        <v>0</v>
      </c>
      <c r="B657" s="96">
        <v>2021</v>
      </c>
      <c r="C657" s="97" t="s">
        <v>929</v>
      </c>
      <c r="D657" s="98"/>
      <c r="E657" s="98"/>
      <c r="F657" s="98"/>
      <c r="G657" s="98"/>
      <c r="H657" s="98"/>
      <c r="I657" s="98"/>
      <c r="J657" s="98"/>
      <c r="K657" s="98"/>
    </row>
    <row r="658" spans="1:11" ht="12.75">
      <c r="A658" s="91">
        <f t="shared" si="3"/>
        <v>1</v>
      </c>
      <c r="B658" s="96">
        <v>2021</v>
      </c>
      <c r="C658" s="97" t="s">
        <v>930</v>
      </c>
      <c r="D658" s="98"/>
      <c r="E658" s="98"/>
      <c r="F658" s="98"/>
      <c r="G658" s="98"/>
      <c r="H658" s="98"/>
      <c r="I658" s="98"/>
      <c r="J658" s="98"/>
      <c r="K658" s="98">
        <v>1</v>
      </c>
    </row>
    <row r="659" spans="1:11" ht="12.75">
      <c r="A659" s="91">
        <f t="shared" si="3"/>
        <v>1</v>
      </c>
      <c r="B659" s="96">
        <v>2021</v>
      </c>
      <c r="C659" s="97" t="s">
        <v>931</v>
      </c>
      <c r="D659" s="98"/>
      <c r="E659" s="98"/>
      <c r="F659" s="98"/>
      <c r="G659" s="98"/>
      <c r="H659" s="98"/>
      <c r="I659" s="98"/>
      <c r="J659" s="98"/>
      <c r="K659" s="98">
        <v>1</v>
      </c>
    </row>
    <row r="660" spans="1:11" ht="12.75">
      <c r="A660" s="91">
        <f t="shared" si="3"/>
        <v>0</v>
      </c>
      <c r="B660" s="96">
        <v>2021</v>
      </c>
      <c r="C660" s="97" t="s">
        <v>932</v>
      </c>
      <c r="D660" s="98"/>
      <c r="E660" s="98"/>
      <c r="F660" s="98"/>
      <c r="G660" s="98"/>
      <c r="H660" s="98"/>
      <c r="I660" s="98"/>
      <c r="J660" s="98"/>
      <c r="K660" s="98"/>
    </row>
    <row r="661" spans="1:11" ht="12.75">
      <c r="A661" s="91">
        <f t="shared" si="3"/>
        <v>0</v>
      </c>
      <c r="B661" s="96">
        <v>2021</v>
      </c>
      <c r="C661" s="97" t="s">
        <v>933</v>
      </c>
      <c r="D661" s="98"/>
      <c r="E661" s="98"/>
      <c r="F661" s="98"/>
      <c r="G661" s="98"/>
      <c r="H661" s="98"/>
      <c r="I661" s="98"/>
      <c r="J661" s="98"/>
      <c r="K661" s="98"/>
    </row>
    <row r="662" spans="1:11" ht="12.75">
      <c r="A662" s="91">
        <f t="shared" si="3"/>
        <v>1</v>
      </c>
      <c r="B662" s="96">
        <v>2021</v>
      </c>
      <c r="C662" s="97" t="s">
        <v>934</v>
      </c>
      <c r="D662" s="98"/>
      <c r="E662" s="98"/>
      <c r="F662" s="98"/>
      <c r="G662" s="98"/>
      <c r="H662" s="98"/>
      <c r="I662" s="98"/>
      <c r="J662" s="98"/>
      <c r="K662" s="98">
        <v>1</v>
      </c>
    </row>
    <row r="663" spans="1:11" ht="12.75">
      <c r="A663" s="91">
        <f t="shared" si="3"/>
        <v>0</v>
      </c>
      <c r="B663" s="96">
        <v>2021</v>
      </c>
      <c r="C663" s="97" t="s">
        <v>935</v>
      </c>
      <c r="D663" s="98"/>
      <c r="E663" s="98"/>
      <c r="F663" s="98"/>
      <c r="G663" s="98"/>
      <c r="H663" s="98"/>
      <c r="I663" s="98"/>
      <c r="J663" s="98"/>
      <c r="K663" s="98"/>
    </row>
    <row r="664" spans="1:11" ht="12.75">
      <c r="A664" s="91">
        <f t="shared" si="3"/>
        <v>1</v>
      </c>
      <c r="B664" s="96">
        <v>2021</v>
      </c>
      <c r="C664" s="97" t="s">
        <v>936</v>
      </c>
      <c r="D664" s="98"/>
      <c r="E664" s="98"/>
      <c r="F664" s="98"/>
      <c r="G664" s="98"/>
      <c r="H664" s="98"/>
      <c r="I664" s="98"/>
      <c r="J664" s="98"/>
      <c r="K664" s="98">
        <v>1</v>
      </c>
    </row>
    <row r="665" spans="1:11" ht="12.75">
      <c r="A665" s="91">
        <f t="shared" si="3"/>
        <v>0</v>
      </c>
      <c r="B665" s="96">
        <v>2021</v>
      </c>
      <c r="C665" s="97" t="s">
        <v>937</v>
      </c>
      <c r="D665" s="98"/>
      <c r="E665" s="98"/>
      <c r="F665" s="98"/>
      <c r="G665" s="98"/>
      <c r="H665" s="98"/>
      <c r="I665" s="98"/>
      <c r="J665" s="98"/>
      <c r="K665" s="98"/>
    </row>
    <row r="666" spans="1:11" ht="12.75">
      <c r="A666" s="91">
        <f t="shared" si="3"/>
        <v>0</v>
      </c>
      <c r="B666" s="96">
        <v>2021</v>
      </c>
      <c r="C666" s="97" t="s">
        <v>938</v>
      </c>
      <c r="D666" s="98"/>
      <c r="E666" s="98"/>
      <c r="F666" s="98"/>
      <c r="G666" s="98"/>
      <c r="H666" s="98"/>
      <c r="I666" s="98"/>
      <c r="J666" s="98"/>
      <c r="K666" s="98"/>
    </row>
    <row r="667" spans="1:11" ht="12.75">
      <c r="A667" s="91">
        <f t="shared" si="3"/>
        <v>0</v>
      </c>
      <c r="B667" s="96">
        <v>2021</v>
      </c>
      <c r="C667" s="97" t="s">
        <v>939</v>
      </c>
      <c r="D667" s="98"/>
      <c r="E667" s="98"/>
      <c r="F667" s="98"/>
      <c r="G667" s="98"/>
      <c r="H667" s="98"/>
      <c r="I667" s="98"/>
      <c r="J667" s="98"/>
      <c r="K667" s="98"/>
    </row>
    <row r="668" spans="1:11" ht="12.75">
      <c r="A668" s="91">
        <f t="shared" si="3"/>
        <v>0</v>
      </c>
      <c r="B668" s="96">
        <v>2021</v>
      </c>
      <c r="C668" s="97" t="s">
        <v>940</v>
      </c>
      <c r="D668" s="98"/>
      <c r="E668" s="98"/>
      <c r="F668" s="98"/>
      <c r="G668" s="98"/>
      <c r="H668" s="98"/>
      <c r="I668" s="98"/>
      <c r="J668" s="98"/>
      <c r="K668" s="98"/>
    </row>
    <row r="669" spans="1:11" ht="12.75">
      <c r="A669" s="91">
        <f t="shared" si="3"/>
        <v>0</v>
      </c>
      <c r="B669" s="96">
        <v>2021</v>
      </c>
      <c r="C669" s="97" t="s">
        <v>941</v>
      </c>
      <c r="D669" s="98"/>
      <c r="E669" s="98"/>
      <c r="F669" s="98"/>
      <c r="G669" s="98"/>
      <c r="H669" s="98"/>
      <c r="I669" s="98"/>
      <c r="J669" s="98"/>
      <c r="K669" s="98"/>
    </row>
    <row r="670" spans="1:11" ht="12.75">
      <c r="A670" s="91">
        <f t="shared" si="3"/>
        <v>1</v>
      </c>
      <c r="B670" s="96">
        <v>2022</v>
      </c>
      <c r="C670" s="97" t="s">
        <v>942</v>
      </c>
      <c r="D670" s="98"/>
      <c r="E670" s="98"/>
      <c r="F670" s="98"/>
      <c r="G670" s="98"/>
      <c r="H670" s="98"/>
      <c r="I670" s="98"/>
      <c r="J670" s="98"/>
      <c r="K670" s="98">
        <v>1</v>
      </c>
    </row>
    <row r="671" spans="1:11" ht="12.75">
      <c r="A671" s="91">
        <f t="shared" si="3"/>
        <v>0</v>
      </c>
      <c r="B671" s="96">
        <v>2022</v>
      </c>
      <c r="C671" s="97" t="s">
        <v>943</v>
      </c>
      <c r="D671" s="98"/>
      <c r="E671" s="98"/>
      <c r="F671" s="98"/>
      <c r="G671" s="98"/>
      <c r="H671" s="98"/>
      <c r="I671" s="98"/>
      <c r="J671" s="98"/>
      <c r="K671" s="98"/>
    </row>
    <row r="672" spans="1:11" ht="12.75">
      <c r="A672" s="91">
        <f t="shared" si="3"/>
        <v>1</v>
      </c>
      <c r="B672" s="96">
        <v>2022</v>
      </c>
      <c r="C672" s="97" t="s">
        <v>944</v>
      </c>
      <c r="D672" s="98"/>
      <c r="E672" s="98"/>
      <c r="F672" s="98"/>
      <c r="G672" s="98"/>
      <c r="H672" s="98"/>
      <c r="I672" s="98"/>
      <c r="J672" s="98"/>
      <c r="K672" s="98">
        <v>1</v>
      </c>
    </row>
    <row r="673" spans="1:11" ht="12.75">
      <c r="A673" s="91">
        <f t="shared" si="3"/>
        <v>1</v>
      </c>
      <c r="B673" s="96">
        <v>2022</v>
      </c>
      <c r="C673" s="97" t="s">
        <v>945</v>
      </c>
      <c r="D673" s="98"/>
      <c r="E673" s="98"/>
      <c r="F673" s="98"/>
      <c r="G673" s="98"/>
      <c r="H673" s="98"/>
      <c r="I673" s="98"/>
      <c r="J673" s="98"/>
      <c r="K673" s="98">
        <v>1</v>
      </c>
    </row>
    <row r="674" spans="1:11" ht="12.75">
      <c r="A674" s="91">
        <f t="shared" si="3"/>
        <v>2</v>
      </c>
      <c r="B674" s="96">
        <v>2022</v>
      </c>
      <c r="C674" s="97" t="s">
        <v>946</v>
      </c>
      <c r="D674" s="98"/>
      <c r="E674" s="98"/>
      <c r="F674" s="98"/>
      <c r="G674" s="98">
        <v>1</v>
      </c>
      <c r="H674" s="98"/>
      <c r="I674" s="98"/>
      <c r="J674" s="98"/>
      <c r="K674" s="98">
        <v>1</v>
      </c>
    </row>
    <row r="675" spans="1:11" ht="12.75">
      <c r="A675" s="91">
        <f t="shared" si="3"/>
        <v>1</v>
      </c>
      <c r="B675" s="96">
        <v>2022</v>
      </c>
      <c r="C675" s="97" t="s">
        <v>947</v>
      </c>
      <c r="D675" s="98"/>
      <c r="E675" s="98"/>
      <c r="F675" s="98"/>
      <c r="G675" s="98"/>
      <c r="H675" s="98"/>
      <c r="I675" s="98"/>
      <c r="J675" s="98"/>
      <c r="K675" s="98">
        <v>1</v>
      </c>
    </row>
    <row r="676" spans="1:11" ht="12.75">
      <c r="A676" s="91">
        <f t="shared" si="3"/>
        <v>0</v>
      </c>
      <c r="B676" s="96">
        <v>2022</v>
      </c>
      <c r="C676" s="97" t="s">
        <v>948</v>
      </c>
      <c r="D676" s="98"/>
      <c r="E676" s="98"/>
      <c r="F676" s="98"/>
      <c r="G676" s="98"/>
      <c r="H676" s="98"/>
      <c r="I676" s="98"/>
      <c r="J676" s="98"/>
      <c r="K676" s="98"/>
    </row>
    <row r="677" spans="1:11" ht="12.75">
      <c r="A677" s="91">
        <f t="shared" si="3"/>
        <v>1</v>
      </c>
      <c r="B677" s="96">
        <v>2022</v>
      </c>
      <c r="C677" s="97" t="s">
        <v>949</v>
      </c>
      <c r="D677" s="98"/>
      <c r="E677" s="98"/>
      <c r="F677" s="98"/>
      <c r="G677" s="98"/>
      <c r="H677" s="98"/>
      <c r="I677" s="98"/>
      <c r="J677" s="98"/>
      <c r="K677" s="98">
        <v>1</v>
      </c>
    </row>
    <row r="678" spans="1:11" ht="12.75">
      <c r="A678" s="91">
        <f t="shared" si="3"/>
        <v>0</v>
      </c>
      <c r="B678" s="96">
        <v>2022</v>
      </c>
      <c r="C678" s="97" t="s">
        <v>950</v>
      </c>
      <c r="D678" s="98"/>
      <c r="E678" s="98"/>
      <c r="F678" s="98"/>
      <c r="G678" s="98"/>
      <c r="H678" s="98"/>
      <c r="I678" s="98"/>
      <c r="J678" s="98"/>
      <c r="K678" s="98"/>
    </row>
    <row r="679" spans="1:11" ht="12.75">
      <c r="A679" s="91">
        <f t="shared" si="3"/>
        <v>1</v>
      </c>
      <c r="B679" s="96">
        <v>2022</v>
      </c>
      <c r="C679" s="97" t="s">
        <v>951</v>
      </c>
      <c r="D679" s="98"/>
      <c r="E679" s="98"/>
      <c r="F679" s="98"/>
      <c r="G679" s="98"/>
      <c r="H679" s="98"/>
      <c r="I679" s="98"/>
      <c r="J679" s="98"/>
      <c r="K679" s="98">
        <v>1</v>
      </c>
    </row>
    <row r="680" spans="1:11" ht="12.75">
      <c r="A680" s="91">
        <f t="shared" si="3"/>
        <v>1</v>
      </c>
      <c r="B680" s="96">
        <v>2022</v>
      </c>
      <c r="C680" s="97" t="s">
        <v>952</v>
      </c>
      <c r="D680" s="98"/>
      <c r="E680" s="98"/>
      <c r="F680" s="98"/>
      <c r="G680" s="98"/>
      <c r="H680" s="98"/>
      <c r="I680" s="98"/>
      <c r="J680" s="98"/>
      <c r="K680" s="98">
        <v>1</v>
      </c>
    </row>
    <row r="681" spans="1:11" ht="12.75">
      <c r="A681" s="91">
        <f t="shared" si="3"/>
        <v>0</v>
      </c>
      <c r="B681" s="96">
        <v>2022</v>
      </c>
      <c r="C681" s="97" t="s">
        <v>953</v>
      </c>
      <c r="D681" s="98"/>
      <c r="E681" s="98"/>
      <c r="F681" s="98"/>
      <c r="G681" s="98"/>
      <c r="H681" s="98"/>
      <c r="I681" s="98"/>
      <c r="J681" s="98"/>
      <c r="K681" s="98"/>
    </row>
    <row r="682" spans="1:11" ht="12.75">
      <c r="A682" s="91">
        <f t="shared" si="3"/>
        <v>0</v>
      </c>
      <c r="B682" s="96">
        <v>2022</v>
      </c>
      <c r="C682" s="97" t="s">
        <v>954</v>
      </c>
      <c r="D682" s="98"/>
      <c r="E682" s="98"/>
      <c r="F682" s="98"/>
      <c r="G682" s="98"/>
      <c r="H682" s="98"/>
      <c r="I682" s="98"/>
      <c r="J682" s="98"/>
      <c r="K682" s="98"/>
    </row>
    <row r="683" spans="1:11" ht="12.75">
      <c r="A683" s="1"/>
      <c r="B683" s="85"/>
      <c r="C683" s="85" t="s">
        <v>273</v>
      </c>
      <c r="D683" s="85">
        <f t="shared" ref="D683:K683" si="4">SUM(D3:D682)</f>
        <v>0</v>
      </c>
      <c r="E683" s="85">
        <f t="shared" si="4"/>
        <v>56</v>
      </c>
      <c r="F683" s="85">
        <f t="shared" si="4"/>
        <v>128</v>
      </c>
      <c r="G683" s="85">
        <f t="shared" si="4"/>
        <v>226</v>
      </c>
      <c r="H683" s="85">
        <f t="shared" si="4"/>
        <v>155</v>
      </c>
      <c r="I683" s="85">
        <f t="shared" si="4"/>
        <v>0</v>
      </c>
      <c r="J683" s="85">
        <f t="shared" si="4"/>
        <v>145</v>
      </c>
      <c r="K683" s="85">
        <f t="shared" si="4"/>
        <v>284</v>
      </c>
    </row>
    <row r="684" spans="1:11" ht="12.75">
      <c r="A684" s="1"/>
    </row>
    <row r="685" spans="1:11" ht="12.75">
      <c r="A685" s="1"/>
    </row>
    <row r="686" spans="1:11" ht="12.75">
      <c r="A686" s="1"/>
    </row>
    <row r="687" spans="1:11" ht="12.75">
      <c r="A687" s="1"/>
    </row>
    <row r="688" spans="1:11" ht="12.75">
      <c r="A688" s="1"/>
    </row>
    <row r="689" spans="1:1" ht="12.75">
      <c r="A689" s="1"/>
    </row>
    <row r="690" spans="1:1" ht="12.75">
      <c r="A690" s="1"/>
    </row>
    <row r="691" spans="1:1" ht="12.75">
      <c r="A691" s="1"/>
    </row>
    <row r="692" spans="1:1" ht="12.75">
      <c r="A692" s="1"/>
    </row>
    <row r="693" spans="1:1" ht="12.75">
      <c r="A693" s="1"/>
    </row>
    <row r="694" spans="1:1" ht="12.75">
      <c r="A694" s="1"/>
    </row>
    <row r="695" spans="1:1" ht="12.75">
      <c r="A695" s="1"/>
    </row>
    <row r="696" spans="1:1" ht="12.75">
      <c r="A696" s="1"/>
    </row>
    <row r="697" spans="1:1" ht="12.75">
      <c r="A697" s="1"/>
    </row>
    <row r="698" spans="1:1" ht="12.75">
      <c r="A698" s="1"/>
    </row>
    <row r="699" spans="1:1" ht="12.75">
      <c r="A699" s="1"/>
    </row>
    <row r="700" spans="1:1" ht="12.75">
      <c r="A700" s="1"/>
    </row>
    <row r="701" spans="1:1" ht="12.75">
      <c r="A701" s="1"/>
    </row>
    <row r="702" spans="1:1" ht="12.75">
      <c r="A702" s="1"/>
    </row>
    <row r="703" spans="1:1" ht="12.75">
      <c r="A703" s="1"/>
    </row>
    <row r="704" spans="1:1" ht="12.75">
      <c r="A704" s="1"/>
    </row>
    <row r="705" spans="1:1" ht="12.75">
      <c r="A705" s="1"/>
    </row>
    <row r="706" spans="1:1" ht="12.75">
      <c r="A706" s="1"/>
    </row>
    <row r="707" spans="1:1" ht="12.75">
      <c r="A707" s="1"/>
    </row>
    <row r="708" spans="1:1" ht="12.75">
      <c r="A708" s="1"/>
    </row>
    <row r="709" spans="1:1" ht="12.75">
      <c r="A709" s="1"/>
    </row>
    <row r="710" spans="1:1" ht="12.75">
      <c r="A710" s="1"/>
    </row>
    <row r="711" spans="1:1" ht="12.75">
      <c r="A711" s="1"/>
    </row>
    <row r="712" spans="1:1" ht="12.75">
      <c r="A712" s="1"/>
    </row>
    <row r="713" spans="1:1" ht="12.75">
      <c r="A713" s="1"/>
    </row>
    <row r="714" spans="1:1" ht="12.75">
      <c r="A714" s="1"/>
    </row>
    <row r="715" spans="1:1" ht="12.75">
      <c r="A715" s="1"/>
    </row>
    <row r="716" spans="1:1" ht="12.75">
      <c r="A716" s="1"/>
    </row>
    <row r="717" spans="1:1" ht="12.75">
      <c r="A717" s="1"/>
    </row>
    <row r="718" spans="1:1" ht="12.75">
      <c r="A718" s="1"/>
    </row>
    <row r="719" spans="1:1" ht="12.75">
      <c r="A719" s="1"/>
    </row>
    <row r="720" spans="1:1" ht="12.75">
      <c r="A720" s="1"/>
    </row>
    <row r="721" spans="1:1" ht="12.75">
      <c r="A721" s="1"/>
    </row>
    <row r="722" spans="1:1" ht="12.75">
      <c r="A722" s="1"/>
    </row>
    <row r="723" spans="1:1" ht="12.75">
      <c r="A723" s="1"/>
    </row>
    <row r="724" spans="1:1" ht="12.75">
      <c r="A724" s="1"/>
    </row>
    <row r="725" spans="1:1" ht="12.75">
      <c r="A725" s="1"/>
    </row>
    <row r="726" spans="1:1" ht="12.75">
      <c r="A726" s="1"/>
    </row>
    <row r="727" spans="1:1" ht="12.75">
      <c r="A727" s="1"/>
    </row>
    <row r="728" spans="1:1" ht="12.75">
      <c r="A728" s="1"/>
    </row>
    <row r="729" spans="1:1" ht="12.75">
      <c r="A729" s="1"/>
    </row>
    <row r="730" spans="1:1" ht="12.75">
      <c r="A730" s="1"/>
    </row>
    <row r="731" spans="1:1" ht="12.75">
      <c r="A731" s="1"/>
    </row>
    <row r="732" spans="1:1" ht="12.75">
      <c r="A732" s="1"/>
    </row>
    <row r="733" spans="1:1" ht="12.75">
      <c r="A733" s="1"/>
    </row>
    <row r="734" spans="1:1" ht="12.75">
      <c r="A734" s="1"/>
    </row>
    <row r="735" spans="1:1" ht="12.75">
      <c r="A735" s="1"/>
    </row>
    <row r="736" spans="1:1" ht="12.75">
      <c r="A736" s="1"/>
    </row>
    <row r="737" spans="1:1" ht="12.75">
      <c r="A737" s="1"/>
    </row>
    <row r="738" spans="1:1" ht="12.75">
      <c r="A738" s="1"/>
    </row>
    <row r="739" spans="1:1" ht="12.75">
      <c r="A739" s="1"/>
    </row>
    <row r="740" spans="1:1" ht="12.75">
      <c r="A740" s="1"/>
    </row>
    <row r="741" spans="1:1" ht="12.75">
      <c r="A741" s="1"/>
    </row>
    <row r="742" spans="1:1" ht="12.75">
      <c r="A742" s="1"/>
    </row>
    <row r="743" spans="1:1" ht="12.75">
      <c r="A743" s="1"/>
    </row>
    <row r="744" spans="1:1" ht="12.75">
      <c r="A744" s="1"/>
    </row>
    <row r="745" spans="1:1" ht="12.75">
      <c r="A745" s="1"/>
    </row>
    <row r="746" spans="1:1" ht="12.75">
      <c r="A746" s="1"/>
    </row>
    <row r="747" spans="1:1" ht="12.75">
      <c r="A747" s="1"/>
    </row>
    <row r="748" spans="1:1" ht="12.75">
      <c r="A748" s="1"/>
    </row>
    <row r="749" spans="1:1" ht="12.75">
      <c r="A749" s="1"/>
    </row>
    <row r="750" spans="1:1" ht="12.75">
      <c r="A750" s="1"/>
    </row>
    <row r="751" spans="1:1" ht="12.75">
      <c r="A751" s="1"/>
    </row>
    <row r="752" spans="1:1" ht="12.75">
      <c r="A752" s="1"/>
    </row>
    <row r="753" spans="1:11" ht="12.75">
      <c r="A753" s="1"/>
    </row>
    <row r="754" spans="1:11" ht="12.75">
      <c r="A754" s="1"/>
    </row>
    <row r="755" spans="1:11" ht="12.75">
      <c r="A755" s="1"/>
    </row>
    <row r="756" spans="1:11" ht="12.75">
      <c r="A756" s="1"/>
    </row>
    <row r="757" spans="1:11" ht="12.75">
      <c r="A757" s="1"/>
    </row>
    <row r="758" spans="1:11" ht="12.75">
      <c r="A758" s="1"/>
    </row>
    <row r="759" spans="1:11" ht="12.75">
      <c r="A759" s="1"/>
    </row>
    <row r="760" spans="1:11" ht="12.75">
      <c r="A760" s="1"/>
    </row>
    <row r="761" spans="1:11" ht="12.75">
      <c r="A761" s="1"/>
    </row>
    <row r="762" spans="1:11" ht="12.75">
      <c r="A762" s="1"/>
    </row>
    <row r="763" spans="1:11" ht="12.75">
      <c r="A763" s="1"/>
    </row>
    <row r="764" spans="1:11" ht="12.75">
      <c r="A764" s="1"/>
    </row>
    <row r="765" spans="1:11" ht="12.75">
      <c r="A765" s="1"/>
    </row>
    <row r="766" spans="1:11" ht="12.75">
      <c r="A766" s="1"/>
    </row>
    <row r="767" spans="1:11" ht="12.75">
      <c r="A767" s="1"/>
      <c r="K767" s="88"/>
    </row>
  </sheetData>
  <autoFilter ref="B2:Y683" xr:uid="{00000000-0009-0000-0000-000007000000}">
    <filterColumn colId="1">
      <filters>
        <filter val="12 Angry Men"/>
        <filter val="12 Years a Slave"/>
        <filter val="13th"/>
        <filter val="1917"/>
        <filter val="2001: A Space Odyssey"/>
        <filter val="4 Months, 3 Weeks and 2 Days"/>
        <filter val="8½"/>
        <filter val="A Brighter Summer Day"/>
        <filter val="A Clockwork Orange"/>
        <filter val="A Hard Day's Night"/>
        <filter val="A Man Escaped"/>
        <filter val="A Matter of Life and Death"/>
        <filter val="A Place Beyond the Pines"/>
        <filter val="A Prophet"/>
        <filter val="A Separation"/>
        <filter val="A Short Film About Killing"/>
        <filter val="A Short Film About Love"/>
        <filter val="A Special Day"/>
        <filter val="A Star is Born"/>
        <filter val="A Streetcar Named Desire"/>
        <filter val="A Woman Under the Influence"/>
        <filter val="A.I.: Artificial Intelligence"/>
        <filter val="Ace in the Hole"/>
        <filter val="Aguirre: The Wrath of God"/>
        <filter val="Aileen Wuornos: The Selling of a Serial Killer"/>
        <filter val="Aileen: Life and Death of a Serial Killer"/>
        <filter val="Akira"/>
        <filter val="Ali: Fear Eats the Soul"/>
        <filter val="Alice in the Cities"/>
        <filter val="Alien"/>
        <filter val="Aliens"/>
        <filter val="All About Eve"/>
        <filter val="All About My Mother"/>
        <filter val="All Quiet on the Western Front"/>
        <filter val="All the President's Men"/>
        <filter val="Amadeus"/>
        <filter val="Amarcord"/>
        <filter val="Amélie"/>
        <filter val="American Beauty"/>
        <filter val="American History X"/>
        <filter val="American Hustle"/>
        <filter val="Amour"/>
        <filter val="An Autumn Afternoon"/>
        <filter val="An Education"/>
        <filter val="Anatomy of a Murder"/>
        <filter val="Andrei Rublev"/>
        <filter val="Annie Hall"/>
        <filter val="Aparajito"/>
        <filter val="Apocalypse Now"/>
        <filter val="Argo"/>
        <filter val="Army of Shadows"/>
        <filter val="Arrival"/>
        <filter val="Au Hasard Balthazar"/>
        <filter val="Au Revoir les Enfants"/>
        <filter val="Autumn Sonata"/>
        <filter val="Avatar"/>
        <filter val="Avengers: Endgame"/>
        <filter val="Avengers: Infinity War"/>
        <filter val="Babe"/>
        <filter val="Babel"/>
        <filter val="Back to the Future"/>
        <filter val="Badlands"/>
        <filter val="Barry Lyndon"/>
        <filter val="Battleship Potemkin"/>
        <filter val="Before Sunrise"/>
        <filter val="Before Sunset"/>
        <filter val="Being John Malkovich"/>
        <filter val="Being There"/>
        <filter val="Belfast"/>
        <filter val="Ben-Hur"/>
        <filter val="Bicycle Thieves"/>
        <filter val="Birdman: Or (The Unexpected Virtue of Ignorance)"/>
        <filter val="Black Panther"/>
        <filter val="Black Swan"/>
        <filter val="BlacKkKlansman"/>
        <filter val="Blade Runner"/>
        <filter val="Blade Runner 2049"/>
        <filter val="Blue Velvet"/>
        <filter val="Bonnie and Clyde"/>
        <filter val="Booksmart"/>
        <filter val="Borat"/>
        <filter val="Bowling for Columbine"/>
        <filter val="Boyhood"/>
        <filter val="Boyz 'N the Hood"/>
        <filter val="Bram Stoker's Dracula"/>
        <filter val="Brazil"/>
        <filter val="Breaking the Waves"/>
        <filter val="Breathless"/>
        <filter val="Bridesmaids"/>
        <filter val="Bridge of Spies"/>
        <filter val="Brief Encounter"/>
        <filter val="Bringing Up Baby"/>
        <filter val="Butch Cassidy and the Sundance Kid"/>
        <filter val="Cabaret"/>
        <filter val="Call Me by Your Name"/>
        <filter val="Capernaum"/>
        <filter val="Carlito's Way"/>
        <filter val="Casablanca"/>
        <filter val="Casino"/>
        <filter val="Castle in the Sky"/>
        <filter val="Cat on a Hot Tin Roof"/>
        <filter val="Catch Me If You Can"/>
        <filter val="Central Station"/>
        <filter val="Charade"/>
        <filter val="Chicago"/>
        <filter val="Children of Heaven"/>
        <filter val="Children of Men"/>
        <filter val="Children of Paradise"/>
        <filter val="Chinatown"/>
        <filter val="Chungking Express"/>
        <filter val="Cinema Paradiso"/>
        <filter val="Citizen Kane"/>
        <filter val="City Lights"/>
        <filter val="City of God"/>
        <filter val="Cléo from 5 to 7"/>
        <filter val="Clerks"/>
        <filter val="Close-Up"/>
        <filter val="Clueless"/>
        <filter val="Coco"/>
        <filter val="Coda"/>
        <filter val="Come and See"/>
        <filter val="Cool Hand Luke"/>
        <filter val="Crash"/>
        <filter val="Crazy Rich Asians"/>
        <filter val="Cries and Whispers"/>
        <filter val="Cyrano"/>
        <filter val="Dangal"/>
        <filter val="Dark City"/>
        <filter val="Das Boot"/>
        <filter val="Dawson City: Frozen Time"/>
        <filter val="Day for Night"/>
        <filter val="Day of Wrath"/>
        <filter val="Days of Heaven"/>
        <filter val="Dead Poets Society"/>
        <filter val="Dersu Uzala"/>
        <filter val="Diabolique"/>
        <filter val="Dial M for Murder"/>
        <filter val="Die Hard"/>
        <filter val="District 9"/>
        <filter val="Divorce Italian Style"/>
        <filter val="Django Unchained"/>
        <filter val="Do the Right Thing"/>
        <filter val="Dog Day Afternoon"/>
        <filter val="Donnie Darko"/>
        <filter val="Double Indemnity"/>
        <filter val="Down by Law"/>
        <filter val="Downfall"/>
        <filter val="Downfall (Der Untergang)"/>
        <filter val="Dr. Mabuse the Gambler"/>
        <filter val="Dr. Strangelove or: How I Learned to Stop Worrying and Love the Bomb"/>
        <filter val="Drive"/>
        <filter val="Duck Soup"/>
        <filter val="Dune"/>
        <filter val="E.T. the Extra-Terrestrial"/>
        <filter val="Early Summer"/>
        <filter val="Edward Scissorhands"/>
        <filter val="Elevator to the Gallows"/>
        <filter val="Elvis"/>
        <filter val="Eternal Sunshine of the Spotless Mind"/>
        <filter val="Everything, Everywhere All At Once"/>
        <filter val="Ex Machina"/>
        <filter val="Fahrenheit 9/11"/>
        <filter val="Fanny and Alexander"/>
        <filter val="Fantasia"/>
        <filter val="Farewell My Concubine"/>
        <filter val="Fargo"/>
        <filter val="Faust"/>
        <filter val="Fight Club"/>
        <filter val="Finding Nemo"/>
        <filter val="Fireworks"/>
        <filter val="Fish Tank"/>
        <filter val="Fitzcarraldo"/>
        <filter val="For a Few Dollars More"/>
        <filter val="For Sama"/>
        <filter val="Forbidden Games"/>
        <filter val="Ford v Ferrari"/>
        <filter val="Forrest Gump"/>
        <filter val="Four Lions"/>
        <filter val="Four Weddings and a Funeral"/>
        <filter val="Freaks"/>
        <filter val="Full Metal Jacket"/>
        <filter val="Germany Year Zero"/>
        <filter val="Get Out"/>
        <filter val="Ghost in the Shell"/>
        <filter val="Gladiator"/>
        <filter val="Glengarry Glen Ross"/>
        <filter val="Gone Girl"/>
        <filter val="Gone with the Wind"/>
        <filter val="Good Will Hunting"/>
        <filter val="GoodFellas"/>
        <filter val="Gran Torino"/>
        <filter val="Grand Illusion"/>
        <filter val="Grave of the Fireflies"/>
        <filter val="Gravity"/>
        <filter val="Greed"/>
        <filter val="Groundhog Day"/>
        <filter val="Guardians of the Galaxy"/>
        <filter val="Hannah and Her Sisters"/>
        <filter val="Harakiri"/>
        <filter val="Harry Potter and the Deathly Hallows: Part 2"/>
        <filter val="Hearts of Darkness: A Filmmaker's Apocalypse"/>
        <filter val="Heat"/>
        <filter val="Hell or High Water"/>
        <filter val="Henry: Portrait of a Serial Killer"/>
        <filter val="Hereditary"/>
        <filter val="High and Low"/>
        <filter val="High Noon"/>
        <filter val="Hiroshima Mon Amour"/>
        <filter val="His Girl Friday"/>
        <filter val="Hoop Dreams"/>
        <filter val="Hotel Rwanda"/>
        <filter val="How to Train Your Dragon"/>
        <filter val="Howl's Moving Castle"/>
        <filter val="Hugo"/>
        <filter val="I Am a Fugitive from a Chain Gang"/>
        <filter val="I Am Cuba"/>
        <filter val="I Vitelloni"/>
        <filter val="I, Daniel Blake"/>
        <filter val="Ida"/>
        <filter val="Ikiru"/>
        <filter val="Il Sorpasso"/>
        <filter val="In a Lonely Place"/>
        <filter val="In the Loop"/>
        <filter val="In the Mood for Love"/>
        <filter val="In the Name of the Father"/>
        <filter val="Incendies"/>
        <filter val="Inception"/>
        <filter val="Independence Day"/>
        <filter val="Indiana Jones and the Last Crusade"/>
        <filter val="Infernal Affairs"/>
        <filter val="Inglourious Basterds"/>
        <filter val="Inside Llewyn Davis"/>
        <filter val="Inside Out"/>
        <filter val="Interstellar"/>
        <filter val="Into the Wild"/>
        <filter val="Intolerance: Love's Struggle Throughout the Ages"/>
        <filter val="It Happened One Night"/>
        <filter val="It's a Wonderful Life"/>
        <filter val="It's Such a Beautiful Day"/>
        <filter val="Ivan's Childhood"/>
        <filter val="Jackie"/>
        <filter val="Jaws"/>
        <filter val="Jean de Florette"/>
        <filter val="Jeanne Dielman, 23 Commerce Quay, 1080 Brussels"/>
        <filter val="JFK"/>
        <filter val="Joker"/>
        <filter val="Judas and the Black Messiah"/>
        <filter val="Judgment at Nuremberg"/>
        <filter val="Jules and Jim"/>
        <filter val="Jurassic Park"/>
        <filter val="Kagemusha"/>
        <filter val="Kes"/>
        <filter val="Kiki's Delivery Service"/>
        <filter val="Kill Bill, Vol. 1"/>
        <filter val="Kind Hearts and Coronets"/>
        <filter val="King Richard"/>
        <filter val="Klaus"/>
        <filter val="Kwaidan"/>
        <filter val="L.A. Confidential"/>
        <filter val="La Dolce Vita"/>
        <filter val="La Haine"/>
        <filter val="La Jetée"/>
        <filter val="La La Land"/>
        <filter val="La Notte"/>
        <filter val="La Strada"/>
        <filter val="Lady Macbeth"/>
        <filter val="LadyBird"/>
        <filter val="Landscape in the Mist"/>
        <filter val="Last Year at Marienbad"/>
        <filter val="L'Atalante"/>
        <filter val="Late Spring"/>
        <filter val="Laura"/>
        <filter val="L'Avventura"/>
        <filter val="Lawrence of Arabia"/>
        <filter val="Le Cercle Rouge"/>
        <filter val="Le Havre"/>
        <filter val="Le Samouraï"/>
        <filter val="Le Trou"/>
        <filter val="L'Eclisse"/>
        <filter val="Léon: The Professional"/>
        <filter val="Les Misérables"/>
        <filter val="Let the Right One In (Låt den Rätte Komma In)"/>
        <filter val="Letter from an Unknown Woman"/>
        <filter val="Licorice Pizza"/>
        <filter val="Life Is Beautiful"/>
        <filter val="Life of Brian"/>
        <filter val="Life of Pi"/>
        <filter val="Like Stars on Earth"/>
        <filter val="Limelight"/>
        <filter val="Lincoln"/>
        <filter val="Little Miss Sunshine"/>
        <filter val="Little Women"/>
        <filter val="Lock, Stock, and Two Smoking Barrels"/>
        <filter val="Lone Star"/>
        <filter val="Lost in Translation"/>
        <filter val="Love and Death"/>
        <filter val="Love Exposure"/>
        <filter val="Lovers Rock"/>
        <filter val="M"/>
        <filter val="Ma Rainey’s Black Bottom"/>
        <filter val="Mad Max Fury Road"/>
        <filter val="Mad Max: Fury Road"/>
        <filter val="Magnolia"/>
        <filter val="Make Way for Tomorrow"/>
        <filter val="Man Bites Dog (C'est Arrivé Près de Chez Vous)"/>
        <filter val="Manchester by the Sea"/>
        <filter val="Manhattan"/>
        <filter val="Marriage Story"/>
        <filter val="Mary and Max"/>
        <filter val="Meet the Parents"/>
        <filter val="Memento"/>
        <filter val="Memories of Murder"/>
        <filter val="Meshes of the Afternoon"/>
        <filter val="Metropolis"/>
        <filter val="Midnight Cowboy"/>
        <filter val="Million Dollar Baby"/>
        <filter val="Mirror"/>
        <filter val="Modern Times"/>
        <filter val="Mommy"/>
        <filter val="Mon Oncle"/>
        <filter val="Monsieur Verdoux"/>
        <filter val="Monsters, Inc."/>
        <filter val="Monty Python and the Holy Grail"/>
        <filter val="Moonlight"/>
        <filter val="Mother!"/>
        <filter val="Moulin Rouge"/>
        <filter val="Mr. Smith Goes to Washington"/>
        <filter val="Mulholland Drive"/>
        <filter val="My Fair Lady"/>
        <filter val="My Left Foot: The Story of Christy Brown"/>
        <filter val="My Neighbor Totoro"/>
        <filter val="My Night at Maud's"/>
        <filter val="My Octopus Teacher"/>
        <filter val="My Own Private Idaho"/>
        <filter val="Naked"/>
        <filter val="Napoleon"/>
        <filter val="Nashville"/>
        <filter val="Natural Born Killers"/>
        <filter val="Nausicaä of the Valley of the Wind"/>
        <filter val="Nebraska"/>
        <filter val="Network"/>
        <filter val="Never Rarely Sometimes Always"/>
        <filter val="Nights of Cabiria"/>
        <filter val="Ninotchka"/>
        <filter val="No Country for Old Men"/>
        <filter val="Nobody"/>
        <filter val="Nobody Knows"/>
        <filter val="Nomadland"/>
        <filter val="Nope"/>
        <filter val="North by Northwest"/>
        <filter val="Nosferatu"/>
        <filter val="Nostalghia"/>
        <filter val="Notorious"/>
        <filter val="O Brother, Where Art Thou?"/>
        <filter val="Oldboy"/>
        <filter val="On the Waterfront"/>
        <filter val="Once"/>
        <filter val="Once Upon a Time in America"/>
        <filter val="Once Upon a Time in Hollywood"/>
        <filter val="Once Upon a Time in the West"/>
        <filter val="One Flew Over the Cuckoo's Nest"/>
        <filter val="Onibaba"/>
        <filter val="Opening Night"/>
        <filter val="Ordet"/>
        <filter val="Orpheus"/>
        <filter val="Our Hospitality"/>
        <filter val="Out of the Past"/>
        <filter val="Pan's Labyrinth"/>
        <filter val="Paper Moon"/>
        <filter val="Paranormal Activity"/>
        <filter val="Parasite"/>
        <filter val="Paris, Texas"/>
        <filter val="Pather Panchali"/>
        <filter val="Paths of Glory"/>
        <filter val="Perfect Blue"/>
        <filter val="Persepolis"/>
        <filter val="Persona"/>
        <filter val="Phantom Thread"/>
        <filter val="Philadelphia"/>
        <filter val="Pi"/>
        <filter val="Pickpocket"/>
        <filter val="Pierrot le Fou"/>
        <filter val="Pig"/>
        <filter val="Platoon"/>
        <filter val="PlayTime"/>
        <filter val="Portrait of a Lady on Fire"/>
        <filter val="Poser"/>
        <filter val="Precious: Based on the Novel &quot;Push&quot; by Sapphire"/>
        <filter val="Prey"/>
        <filter val="Princess Mononoke"/>
        <filter val="Prisoners"/>
        <filter val="Psycho"/>
        <filter val="Pulp Fiction"/>
        <filter val="Raging Bull"/>
        <filter val="Raiders of the Lost Ark"/>
        <filter val="Raise the Red Lantern"/>
        <filter val="Ran"/>
        <filter val="Rashomon"/>
        <filter val="Ratatouille"/>
        <filter val="Rear Window"/>
        <filter val="Rebecca"/>
        <filter val="Red Beard"/>
        <filter val="Repulsion"/>
        <filter val="Requiem for a Dream"/>
        <filter val="Reservoir Dogs"/>
        <filter val="Rififi"/>
        <filter val="Rio Bravo"/>
        <filter val="Rocco and His Brothers"/>
        <filter val="Rocky"/>
        <filter val="Roma"/>
        <filter val="Roman Holiday"/>
        <filter val="Rome, Open City"/>
        <filter val="Room"/>
        <filter val="Rope"/>
        <filter val="Rosemary's Baby"/>
        <filter val="Safety Last!"/>
        <filter val="Samurai Rebellion"/>
        <filter val="Sanjuro"/>
        <filter val="Sans Soleil"/>
        <filter val="Sansho the Bailiff"/>
        <filter val="Satantango"/>
        <filter val="Saving Private Ryan"/>
        <filter val="Scenes from a Marriage"/>
        <filter val="Schindler's List"/>
        <filter val="Scream"/>
        <filter val="Scream (2022)"/>
        <filter val="Se7en"/>
        <filter val="Secrets &amp; Lies"/>
        <filter val="See for Me"/>
        <filter val="Seven Samurai"/>
        <filter val="Shadow of a Doubt"/>
        <filter val="Shame"/>
        <filter val="Sherlock Jr."/>
        <filter val="Shoeshine"/>
        <filter val="Shoplifters"/>
        <filter val="Sideways"/>
        <filter val="Singin' in the Rain"/>
        <filter val="Skyfall"/>
        <filter val="Sleuth"/>
        <filter val="Slumdog Millionaire"/>
        <filter val="Solaris"/>
        <filter val="Some Like It Hot"/>
        <filter val="Song of the Sea"/>
        <filter val="Sorry to Bother You"/>
        <filter val="Soul"/>
        <filter val="Spider-Man: Into the Spider-Verse"/>
        <filter val="Spirited Away"/>
        <filter val="Spotlight"/>
        <filter val="Spring, Summer, Fall, Winter... and Spring"/>
        <filter val="Stagecoach"/>
        <filter val="Stalag 17"/>
        <filter val="Stalker"/>
        <filter val="Stand by Me"/>
        <filter val="Star Wars"/>
        <filter val="Star Wars: The Empire Strikes Back"/>
        <filter val="Star Wars: The Force Awakens"/>
        <filter val="Steamboat Bill, Jr."/>
        <filter val="Still Walking"/>
        <filter val="Straight Outta Compton"/>
        <filter val="Strangers on a Train"/>
        <filter val="Stroszek"/>
        <filter val="Summer of Soul"/>
        <filter val="Sunrise: A Song of Two Humans"/>
        <filter val="Sunset Boulevard"/>
        <filter val="Sweet Smell of Success"/>
        <filter val="Talk to Her"/>
        <filter val="Tampopo"/>
        <filter val="Taxi Driver"/>
        <filter val="Tenet"/>
        <filter val="Terminator 2: Judgment Day"/>
        <filter val="That Obscure Object of Desire"/>
        <filter val="The 400 Blows"/>
        <filter val="The Act of Killing"/>
        <filter val="The Adventures of Priscilla, Queen of the Desert"/>
        <filter val="The Apartment"/>
        <filter val="The Artist"/>
        <filter val="The Aviator"/>
        <filter val="The Batman"/>
        <filter val="The Battle of Algiers"/>
        <filter val="The Best of Youth"/>
        <filter val="The Best Years of Our Lives"/>
        <filter val="The Big Heat"/>
        <filter val="The Big Lebowski"/>
        <filter val="The Big Short"/>
        <filter val="The Big Sleep"/>
        <filter val="The Black Phone"/>
        <filter val="The Blair Witch Project"/>
        <filter val="The Bridge on the River Kwai"/>
        <filter val="The Cabin in the Woods"/>
        <filter val="The Cabinet of Dr. Caligari"/>
        <filter val="The Cameraman"/>
        <filter val="The Celebration"/>
        <filter val="The Circus"/>
        <filter val="The Class (Entre les Murs)"/>
        <filter val="The Conformist"/>
        <filter val="The Consequences of Love (Le Conseguenze dell’Amore)"/>
        <filter val="The Conversation"/>
        <filter val="The Cranes Are Flying"/>
        <filter val="The Crowd"/>
        <filter val="The Dark Knight"/>
        <filter val="The Deer Hunter"/>
        <filter val="The Departed"/>
        <filter val="The Descendants"/>
        <filter val="The Discreet Charm of the Bourgeoisie"/>
        <filter val="The Diving Bell and the Butterfly"/>
        <filter val="The Double Life of Véronique"/>
        <filter val="The Earrings of Madame de…"/>
        <filter val="The Elephant Man"/>
        <filter val="The English Patient"/>
        <filter val="The Enigma of Kaspar Hauser"/>
        <filter val="The Exterminating Angel"/>
        <filter val="The Face of Another"/>
        <filter val="The Farewell"/>
        <filter val="The Father"/>
        <filter val="The Favourite"/>
        <filter val="The Florida Project"/>
        <filter val="The French Connection"/>
        <filter val="The General"/>
        <filter val="The Girl with the Dragon Tattoo"/>
        <filter val="The Godfather"/>
        <filter val="The Godfather: Part II"/>
        <filter val="The Gold Rush"/>
        <filter val="The Good, the Bad and the Ugly"/>
        <filter val="The Good, the Bad, the Weird (Joheun nom Nabbeun nom Isanghan nom)"/>
        <filter val="The Gospel According to Matthew"/>
        <filter val="The Graduate"/>
        <filter val="The Grand Budapest Hotel"/>
        <filter val="The Grapes of Wrath"/>
        <filter val="The Great Dictator"/>
        <filter val="The Great Escape"/>
        <filter val="The Greatest Showman"/>
        <filter val="The Green Knight"/>
        <filter val="The Green Mile"/>
        <filter val="The Handmaiden"/>
        <filter val="The Hangover"/>
        <filter val="The Heiress"/>
        <filter val="The Hidden Fortress"/>
        <filter val="The Hunt"/>
        <filter val="The Hurt Locker"/>
        <filter val="The Hustler"/>
        <filter val="The Incredibles"/>
        <filter val="The Intouchables"/>
        <filter val="The Iron Giant"/>
        <filter val="The Jungle Book"/>
        <filter val="The Kid"/>
        <filter val="The Kid with a Bike"/>
        <filter val="The Killer"/>
        <filter val="The Killing"/>
        <filter val="The King's Speech"/>
        <filter val="The Last Duel"/>
        <filter val="The Last King of Scotland"/>
        <filter val="The Last Laugh"/>
        <filter val="The Last Picture Show"/>
        <filter val="The Leopard"/>
        <filter val="The Life and Death of Colonel Blimp"/>
        <filter val="The Lighthouse"/>
        <filter val="The Lion King"/>
        <filter val="The Lives of Others"/>
        <filter val="The Lord of the Rings: The Fellowship of the Ring"/>
        <filter val="The Lord of the Rings: The Return of the King"/>
        <filter val="The Lord of the Rings: The Two Towers"/>
        <filter val="The Maltese Falcon"/>
        <filter val="The Man Who Shot Liberty Valance"/>
        <filter val="The Man Who Would Be King"/>
        <filter val="The Matrix"/>
        <filter val="The Miracle Worker"/>
        <filter val="The Mother and the Whore"/>
        <filter val="The Night of the Hunter"/>
        <filter val="The Nightmare Before Christmas"/>
        <filter val="The Northman"/>
        <filter val="The Passion of Joan of Arc"/>
        <filter val="The Passion of the Christ"/>
        <filter val="The Phantom Carriage"/>
        <filter val="The Phantom of Liberty"/>
        <filter val="The Philadelphia Story"/>
        <filter val="The Pianist"/>
        <filter val="The Power of the Dog"/>
        <filter val="The Prestige"/>
        <filter val="The Red Balloon"/>
        <filter val="The Red Shoes"/>
        <filter val="The Remains of the Day"/>
        <filter val="The Return"/>
        <filter val="The Revenant"/>
        <filter val="The Roaring Twenties"/>
        <filter val="The Royal Tenenbaums"/>
        <filter val="The Rules of the Game"/>
        <filter val="The Sacrifice"/>
        <filter val="The Searchers"/>
        <filter val="The Secret in Their Eyes"/>
        <filter val="The Servant"/>
        <filter val="The Seventh Seal"/>
        <filter val="The Shape of Water"/>
        <filter val="The Shawshank Redemption"/>
        <filter val="The Shining"/>
        <filter val="The Shop Around the Corner"/>
        <filter val="The Shop on Main Street"/>
        <filter val="The Silence of the Lambs"/>
        <filter val="The Sixth Sense"/>
        <filter val="The Social Network"/>
        <filter val="The Spirit of the Beehive"/>
        <filter val="The Sting"/>
        <filter val="The Straight Story"/>
        <filter val="The Tale of the Princess Kaguya"/>
        <filter val="The Terminator"/>
        <filter val="The Testament of Dr. Mabuse"/>
        <filter val="The Theory of Everything"/>
        <filter val="The Thing"/>
        <filter val="The Third Man"/>
        <filter val="The Tragedy of Macbeth"/>
        <filter val="The Treasure of the Sierra Madre"/>
        <filter val="The Tree of Life"/>
        <filter val="The Triplets of Belleville"/>
        <filter val="The Truman Show"/>
        <filter val="The Twilight Samurai"/>
        <filter val="The Unbearable Weight of Massive Talent"/>
        <filter val="The Usual Suspects"/>
        <filter val="The Velvet Underground"/>
        <filter val="The Virgin Spring"/>
        <filter val="The Wages of Fear"/>
        <filter val="The White Ribbon (Das Weisse Band: Eine Deutsche Kindergeschichte)"/>
        <filter val="The Wild Bunch"/>
        <filter val="The Wizard of Oz"/>
        <filter val="The Wolf of Wall Street"/>
        <filter val="The World of Apu"/>
        <filter val="The Wrestler"/>
        <filter val="The Young and the Damned"/>
        <filter val="There Will Be Blood"/>
        <filter val="There's Something about Mary"/>
        <filter val="Three Billboards Outside Ebbing, Missouri"/>
        <filter val="Three Colors: Blue"/>
        <filter val="Three Colors: Red"/>
        <filter val="Three Kings"/>
        <filter val="Throne of Blood"/>
        <filter val="Through a Glass Darkly"/>
        <filter val="Time of the Gypsies"/>
        <filter val="Tinker Tailor Soldier Spy"/>
        <filter val="Titanic"/>
        <filter val="To Be or Not to Be"/>
        <filter val="To Kill a Mockingbird"/>
        <filter val="To Live"/>
        <filter val="Tokyo Story"/>
        <filter val="Top Gun: Maverick"/>
        <filter val="Total"/>
        <filter val="Touch of Evil"/>
        <filter val="Toy Story"/>
        <filter val="Toy Story 2"/>
        <filter val="Toy Story 3"/>
        <filter val="Toy Story 4"/>
        <filter val="Trainspotting"/>
        <filter val="Trip to the Moon"/>
        <filter val="Trouble in Paradise"/>
        <filter val="True Grit"/>
        <filter val="Ugetsu"/>
        <filter val="Umberto D."/>
        <filter val="Under the Skin"/>
        <filter val="Underground"/>
        <filter val="Unforgiven"/>
        <filter val="United 93"/>
        <filter val="Up"/>
        <filter val="Vanilla Sky"/>
        <filter val="Vertigo"/>
        <filter val="Vice"/>
        <filter val="Viridiana"/>
        <filter val="Vivre Sa Vie"/>
        <filter val="WALL-E"/>
        <filter val="War Horse"/>
        <filter val="Werckmeister Harmonies"/>
        <filter val="What Ever Happened to Baby Jane?"/>
        <filter val="Where is the Friend's Home?"/>
        <filter val="Whiplash"/>
        <filter val="Whisper of the Heart"/>
        <filter val="White Heat"/>
        <filter val="Who's Afraid of Virginia Woolf?"/>
        <filter val="Wild Strawberries"/>
        <filter val="Wild Tales"/>
        <filter val="Wings of Desire"/>
        <filter val="Winter Light"/>
      </filters>
    </filterColumn>
    <sortState xmlns:xlrd2="http://schemas.microsoft.com/office/spreadsheetml/2017/richdata2" ref="B2:Y683">
      <sortCondition ref="B2:B683"/>
      <sortCondition ref="C2:C683"/>
    </sortState>
  </autoFilter>
  <conditionalFormatting sqref="C1:C682 C684:C767">
    <cfRule type="expression" dxfId="1" priority="1">
      <formula>COUNTIF(C:C,C1)&gt;1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AB1003"/>
  <sheetViews>
    <sheetView workbookViewId="0"/>
  </sheetViews>
  <sheetFormatPr defaultColWidth="12.5703125" defaultRowHeight="15.75" customHeight="1"/>
  <cols>
    <col min="3" max="3" width="15.5703125" customWidth="1"/>
    <col min="4" max="4" width="13" customWidth="1"/>
    <col min="5" max="5" width="20.28515625" customWidth="1"/>
    <col min="6" max="6" width="16" customWidth="1"/>
    <col min="7" max="7" width="12.42578125" customWidth="1"/>
    <col min="8" max="8" width="34.28515625" customWidth="1"/>
    <col min="9" max="9" width="15.85546875" customWidth="1"/>
    <col min="10" max="10" width="14.140625" customWidth="1"/>
    <col min="11" max="11" width="17.5703125" customWidth="1"/>
  </cols>
  <sheetData>
    <row r="1" spans="2:28">
      <c r="B1" s="2">
        <f>B34</f>
        <v>0</v>
      </c>
      <c r="C1" s="3"/>
      <c r="D1" s="3"/>
      <c r="E1" s="3"/>
      <c r="F1" s="3"/>
      <c r="G1" s="3"/>
      <c r="H1" s="3"/>
      <c r="I1" s="3"/>
      <c r="J1" s="3"/>
      <c r="K1" s="3"/>
      <c r="L1" s="3"/>
      <c r="M1" s="5"/>
      <c r="N1" s="5"/>
      <c r="O1" s="5"/>
      <c r="P1" s="5"/>
      <c r="Q1" s="5"/>
      <c r="R1" s="5"/>
      <c r="S1" s="5"/>
      <c r="T1" s="5"/>
      <c r="U1" s="5"/>
      <c r="V1" s="5"/>
      <c r="W1" s="5"/>
      <c r="X1" s="5"/>
      <c r="Y1" s="5"/>
      <c r="Z1" s="5"/>
      <c r="AA1" s="5"/>
      <c r="AB1" s="5"/>
    </row>
    <row r="2" spans="2:28" ht="15.75" customHeight="1">
      <c r="B2" s="6"/>
      <c r="C2" s="137" t="s">
        <v>955</v>
      </c>
      <c r="D2" s="138"/>
      <c r="E2" s="138"/>
      <c r="F2" s="138"/>
      <c r="G2" s="138"/>
      <c r="H2" s="138"/>
      <c r="I2" s="138"/>
      <c r="J2" s="138"/>
      <c r="K2" s="138"/>
      <c r="L2" s="3"/>
      <c r="M2" s="5"/>
      <c r="N2" s="5"/>
      <c r="O2" s="5"/>
      <c r="P2" s="5"/>
      <c r="Q2" s="5"/>
      <c r="R2" s="5"/>
      <c r="S2" s="5"/>
      <c r="T2" s="5"/>
      <c r="U2" s="5"/>
      <c r="V2" s="5"/>
      <c r="W2" s="5"/>
      <c r="X2" s="5"/>
      <c r="Y2" s="5"/>
      <c r="Z2" s="5"/>
      <c r="AA2" s="5"/>
      <c r="AB2" s="5"/>
    </row>
    <row r="3" spans="2:28">
      <c r="B3" s="2"/>
      <c r="C3" s="3"/>
      <c r="D3" s="3"/>
      <c r="E3" s="3"/>
      <c r="F3" s="3"/>
      <c r="G3" s="3"/>
      <c r="H3" s="3"/>
      <c r="I3" s="3"/>
      <c r="J3" s="3"/>
      <c r="K3" s="3"/>
      <c r="L3" s="3"/>
      <c r="M3" s="5"/>
      <c r="N3" s="5"/>
      <c r="O3" s="5"/>
      <c r="P3" s="5"/>
      <c r="Q3" s="5"/>
      <c r="R3" s="5"/>
      <c r="S3" s="5"/>
      <c r="T3" s="5"/>
      <c r="U3" s="5"/>
      <c r="V3" s="5"/>
      <c r="W3" s="5"/>
      <c r="X3" s="5"/>
      <c r="Y3" s="5"/>
      <c r="Z3" s="5"/>
      <c r="AA3" s="5"/>
      <c r="AB3" s="5"/>
    </row>
    <row r="4" spans="2:28">
      <c r="B4" s="2"/>
      <c r="C4" s="3"/>
      <c r="D4" s="36" t="s">
        <v>57</v>
      </c>
      <c r="E4" s="36" t="s">
        <v>3</v>
      </c>
      <c r="F4" s="36" t="s">
        <v>58</v>
      </c>
      <c r="G4" s="36" t="s">
        <v>69</v>
      </c>
      <c r="H4" s="36" t="s">
        <v>121</v>
      </c>
      <c r="I4" s="36" t="s">
        <v>71</v>
      </c>
      <c r="J4" s="36" t="s">
        <v>956</v>
      </c>
      <c r="K4" s="36" t="s">
        <v>93</v>
      </c>
      <c r="L4" s="3"/>
      <c r="M4" s="5"/>
      <c r="N4" s="5"/>
      <c r="O4" s="5"/>
      <c r="P4" s="5"/>
      <c r="Q4" s="5"/>
      <c r="R4" s="5"/>
      <c r="S4" s="5"/>
      <c r="T4" s="5"/>
      <c r="U4" s="5"/>
      <c r="V4" s="5"/>
      <c r="W4" s="5"/>
      <c r="X4" s="5"/>
      <c r="Y4" s="5"/>
      <c r="Z4" s="5"/>
      <c r="AA4" s="5"/>
      <c r="AB4" s="5"/>
    </row>
    <row r="5" spans="2:28" ht="15.75" customHeight="1">
      <c r="B5" s="10"/>
      <c r="C5" s="42" t="s">
        <v>8</v>
      </c>
      <c r="D5" s="99" t="s">
        <v>399</v>
      </c>
      <c r="E5" s="100" t="s">
        <v>957</v>
      </c>
      <c r="F5" s="99" t="s">
        <v>958</v>
      </c>
      <c r="G5" s="99" t="s">
        <v>959</v>
      </c>
      <c r="H5" s="99" t="s">
        <v>960</v>
      </c>
      <c r="I5" s="99" t="s">
        <v>961</v>
      </c>
      <c r="J5" s="99" t="s">
        <v>962</v>
      </c>
      <c r="K5" s="99" t="s">
        <v>963</v>
      </c>
      <c r="L5" s="13"/>
      <c r="M5" s="15"/>
      <c r="N5" s="15"/>
      <c r="O5" s="15"/>
      <c r="P5" s="15"/>
      <c r="Q5" s="15"/>
      <c r="R5" s="15"/>
      <c r="S5" s="15"/>
      <c r="T5" s="15"/>
      <c r="U5" s="15"/>
      <c r="V5" s="15"/>
      <c r="W5" s="15"/>
      <c r="X5" s="15"/>
      <c r="Y5" s="15"/>
      <c r="Z5" s="15"/>
      <c r="AA5" s="15"/>
      <c r="AB5" s="15"/>
    </row>
    <row r="6" spans="2:28">
      <c r="B6" s="16"/>
      <c r="C6" s="38" t="s">
        <v>14</v>
      </c>
      <c r="D6" s="19"/>
      <c r="E6" s="18">
        <v>5.2</v>
      </c>
      <c r="F6" s="18">
        <v>8.3000000000000007</v>
      </c>
      <c r="G6" s="18">
        <v>7.6</v>
      </c>
      <c r="H6" s="19"/>
      <c r="I6" s="19"/>
      <c r="J6" s="19"/>
      <c r="K6" s="19"/>
    </row>
    <row r="7" spans="2:28">
      <c r="B7" s="16"/>
      <c r="C7" s="38" t="s">
        <v>236</v>
      </c>
      <c r="D7" s="19"/>
      <c r="E7" s="19"/>
      <c r="F7" s="19"/>
      <c r="G7" s="19"/>
      <c r="H7" s="19"/>
      <c r="I7" s="19"/>
      <c r="J7" s="19"/>
      <c r="K7" s="19"/>
    </row>
    <row r="8" spans="2:28">
      <c r="B8" s="16"/>
      <c r="C8" s="38" t="s">
        <v>16</v>
      </c>
      <c r="D8" s="18">
        <v>8.4</v>
      </c>
      <c r="E8" s="18">
        <v>4.2</v>
      </c>
      <c r="F8" s="18">
        <v>8.6999999999999993</v>
      </c>
      <c r="G8" s="18">
        <v>7.1</v>
      </c>
      <c r="H8" s="18">
        <v>8.4</v>
      </c>
      <c r="I8" s="18">
        <v>6</v>
      </c>
      <c r="J8" s="18">
        <v>8.3000000000000007</v>
      </c>
      <c r="K8" s="18">
        <v>7.3</v>
      </c>
    </row>
    <row r="9" spans="2:28">
      <c r="B9" s="16"/>
      <c r="C9" s="38" t="s">
        <v>17</v>
      </c>
      <c r="D9" s="19"/>
      <c r="E9" s="18">
        <v>6</v>
      </c>
      <c r="F9" s="19"/>
      <c r="G9" s="19"/>
      <c r="H9" s="19"/>
      <c r="I9" s="19"/>
      <c r="J9" s="18">
        <v>9</v>
      </c>
      <c r="K9" s="18">
        <v>8</v>
      </c>
    </row>
    <row r="10" spans="2:28">
      <c r="B10" s="16"/>
      <c r="C10" s="38" t="s">
        <v>18</v>
      </c>
      <c r="D10" s="19"/>
      <c r="E10" s="19"/>
      <c r="F10" s="19"/>
      <c r="G10" s="19"/>
      <c r="H10" s="19"/>
      <c r="I10" s="19"/>
      <c r="J10" s="19"/>
      <c r="K10" s="19"/>
    </row>
    <row r="11" spans="2:28">
      <c r="B11" s="16"/>
      <c r="C11" s="38" t="s">
        <v>19</v>
      </c>
      <c r="D11" s="19"/>
      <c r="E11" s="19"/>
      <c r="F11" s="19"/>
      <c r="G11" s="19"/>
      <c r="H11" s="19"/>
      <c r="I11" s="19"/>
      <c r="J11" s="19"/>
      <c r="K11" s="19"/>
    </row>
    <row r="12" spans="2:28">
      <c r="B12" s="16"/>
      <c r="C12" s="38" t="s">
        <v>20</v>
      </c>
      <c r="D12" s="18">
        <v>8.1999999999999993</v>
      </c>
      <c r="E12" s="19"/>
      <c r="F12" s="19"/>
      <c r="G12" s="18">
        <v>6.4</v>
      </c>
      <c r="H12" s="19"/>
      <c r="I12" s="18">
        <v>7.5</v>
      </c>
      <c r="J12" s="18">
        <v>7.8</v>
      </c>
      <c r="K12" s="18">
        <v>8.4</v>
      </c>
    </row>
    <row r="13" spans="2:28">
      <c r="B13" s="16"/>
      <c r="C13" s="38" t="s">
        <v>21</v>
      </c>
      <c r="D13" s="30">
        <v>8.5</v>
      </c>
      <c r="E13" s="19"/>
      <c r="F13" s="19"/>
      <c r="G13" s="19"/>
      <c r="H13" s="19"/>
      <c r="I13" s="19"/>
      <c r="J13" s="19"/>
      <c r="K13" s="18">
        <v>8.1999999999999993</v>
      </c>
    </row>
    <row r="14" spans="2:28" ht="15.75" customHeight="1">
      <c r="B14" s="23"/>
      <c r="C14" s="24" t="s">
        <v>22</v>
      </c>
      <c r="D14" s="25">
        <f t="shared" ref="D14:K14" si="0">AVERAGE(D6:D13)</f>
        <v>8.3666666666666671</v>
      </c>
      <c r="E14" s="25">
        <f t="shared" si="0"/>
        <v>5.1333333333333337</v>
      </c>
      <c r="F14" s="25">
        <f t="shared" si="0"/>
        <v>8.5</v>
      </c>
      <c r="G14" s="25">
        <f t="shared" si="0"/>
        <v>7.0333333333333341</v>
      </c>
      <c r="H14" s="25">
        <f t="shared" si="0"/>
        <v>8.4</v>
      </c>
      <c r="I14" s="25">
        <f t="shared" si="0"/>
        <v>6.75</v>
      </c>
      <c r="J14" s="25">
        <f t="shared" si="0"/>
        <v>8.3666666666666671</v>
      </c>
      <c r="K14" s="25">
        <f t="shared" si="0"/>
        <v>7.9750000000000005</v>
      </c>
      <c r="M14" s="78">
        <f>AVERAGE(D14:K14)</f>
        <v>7.5656250000000007</v>
      </c>
    </row>
    <row r="15" spans="2:28">
      <c r="B15" s="28"/>
    </row>
    <row r="16" spans="2:28">
      <c r="B16" s="81"/>
      <c r="C16" s="13"/>
      <c r="D16" s="144" t="s">
        <v>89</v>
      </c>
      <c r="E16" s="140"/>
      <c r="N16" s="1"/>
    </row>
    <row r="17" spans="2:11">
      <c r="B17" s="2"/>
      <c r="C17" s="29"/>
      <c r="D17" s="88" t="s">
        <v>125</v>
      </c>
      <c r="E17" s="101" t="s">
        <v>126</v>
      </c>
    </row>
    <row r="18" spans="2:11">
      <c r="B18" s="28"/>
      <c r="D18" s="88" t="s">
        <v>231</v>
      </c>
      <c r="E18" s="101" t="s">
        <v>232</v>
      </c>
    </row>
    <row r="19" spans="2:11">
      <c r="B19" s="28"/>
      <c r="D19" s="88" t="s">
        <v>234</v>
      </c>
      <c r="E19" s="101" t="s">
        <v>235</v>
      </c>
      <c r="I19" s="1"/>
    </row>
    <row r="20" spans="2:11" ht="12.75">
      <c r="B20" s="28"/>
      <c r="D20" s="88" t="s">
        <v>238</v>
      </c>
      <c r="E20" s="101" t="s">
        <v>239</v>
      </c>
    </row>
    <row r="21" spans="2:11" ht="12.75">
      <c r="B21" s="28"/>
      <c r="D21" s="88" t="s">
        <v>242</v>
      </c>
      <c r="E21" s="101" t="s">
        <v>243</v>
      </c>
    </row>
    <row r="22" spans="2:11" ht="12.75">
      <c r="B22" s="28"/>
      <c r="D22" s="88" t="s">
        <v>247</v>
      </c>
      <c r="E22" s="101" t="s">
        <v>248</v>
      </c>
      <c r="I22" s="1"/>
    </row>
    <row r="23" spans="2:11" ht="12.75">
      <c r="B23" s="28"/>
      <c r="D23" s="88" t="s">
        <v>250</v>
      </c>
      <c r="E23" s="101" t="s">
        <v>251</v>
      </c>
    </row>
    <row r="24" spans="2:11" ht="12.75">
      <c r="B24" s="28"/>
    </row>
    <row r="25" spans="2:11" ht="12.75">
      <c r="B25" s="28"/>
      <c r="H25" s="1"/>
    </row>
    <row r="26" spans="2:11" ht="12.75">
      <c r="B26" s="28"/>
    </row>
    <row r="27" spans="2:11" ht="12.75">
      <c r="B27" s="28"/>
    </row>
    <row r="28" spans="2:11" ht="12.75">
      <c r="B28" s="28"/>
    </row>
    <row r="29" spans="2:11" ht="12.75">
      <c r="B29" s="28"/>
    </row>
    <row r="30" spans="2:11" ht="12.75">
      <c r="B30" s="28"/>
    </row>
    <row r="31" spans="2:11" ht="12.75">
      <c r="B31" s="28"/>
    </row>
    <row r="32" spans="2:11" ht="12.75">
      <c r="B32" s="28"/>
      <c r="K32" s="1"/>
    </row>
    <row r="33" spans="2:8" ht="12.75">
      <c r="B33" s="28"/>
      <c r="D33" s="1"/>
    </row>
    <row r="34" spans="2:8" ht="12.75">
      <c r="B34" s="28"/>
      <c r="D34" s="1"/>
    </row>
    <row r="35" spans="2:8" ht="12.75">
      <c r="B35" s="28"/>
    </row>
    <row r="36" spans="2:8" ht="12.75">
      <c r="B36" s="28"/>
    </row>
    <row r="37" spans="2:8" ht="12.75">
      <c r="B37" s="28"/>
    </row>
    <row r="38" spans="2:8" ht="12.75">
      <c r="B38" s="28"/>
    </row>
    <row r="39" spans="2:8" ht="12.75">
      <c r="B39" s="28"/>
    </row>
    <row r="40" spans="2:8" ht="12.75">
      <c r="B40" s="28"/>
    </row>
    <row r="41" spans="2:8" ht="12.75">
      <c r="B41" s="28"/>
    </row>
    <row r="42" spans="2:8" ht="12.75">
      <c r="B42" s="28"/>
    </row>
    <row r="43" spans="2:8" ht="12.75">
      <c r="B43" s="28"/>
    </row>
    <row r="44" spans="2:8" ht="12.75">
      <c r="B44" s="28"/>
    </row>
    <row r="45" spans="2:8" ht="12.75">
      <c r="B45" s="28"/>
    </row>
    <row r="46" spans="2:8" ht="12.75">
      <c r="B46" s="28"/>
    </row>
    <row r="47" spans="2:8" ht="12.75">
      <c r="B47" s="28"/>
    </row>
    <row r="48" spans="2:8" ht="12.75">
      <c r="B48" s="28"/>
      <c r="H48" s="29"/>
    </row>
    <row r="49" spans="2:2" ht="12.75">
      <c r="B49" s="28"/>
    </row>
    <row r="50" spans="2:2" ht="12.75">
      <c r="B50" s="28"/>
    </row>
    <row r="51" spans="2:2" ht="12.75">
      <c r="B51" s="28"/>
    </row>
    <row r="52" spans="2:2" ht="12.75">
      <c r="B52" s="28"/>
    </row>
    <row r="53" spans="2:2" ht="12.75">
      <c r="B53" s="28"/>
    </row>
    <row r="54" spans="2:2" ht="12.75">
      <c r="B54" s="28"/>
    </row>
    <row r="55" spans="2:2" ht="12.75">
      <c r="B55" s="28"/>
    </row>
    <row r="56" spans="2:2" ht="12.75">
      <c r="B56" s="28"/>
    </row>
    <row r="57" spans="2:2" ht="12.75">
      <c r="B57" s="28"/>
    </row>
    <row r="58" spans="2:2" ht="12.75">
      <c r="B58" s="28"/>
    </row>
    <row r="59" spans="2:2" ht="12.75">
      <c r="B59" s="28"/>
    </row>
    <row r="60" spans="2:2" ht="12.75">
      <c r="B60" s="28"/>
    </row>
    <row r="61" spans="2:2" ht="12.75">
      <c r="B61" s="28"/>
    </row>
    <row r="62" spans="2:2" ht="12.75">
      <c r="B62" s="28"/>
    </row>
    <row r="63" spans="2:2" ht="12.75">
      <c r="B63" s="28"/>
    </row>
    <row r="64" spans="2:2" ht="12.75">
      <c r="B64" s="28"/>
    </row>
    <row r="65" spans="2:2" ht="12.75">
      <c r="B65" s="28"/>
    </row>
    <row r="66" spans="2:2" ht="12.75">
      <c r="B66" s="28"/>
    </row>
    <row r="67" spans="2:2" ht="12.75">
      <c r="B67" s="28"/>
    </row>
    <row r="68" spans="2:2" ht="12.75">
      <c r="B68" s="28"/>
    </row>
    <row r="69" spans="2:2" ht="12.75">
      <c r="B69" s="28"/>
    </row>
    <row r="70" spans="2:2" ht="12.75">
      <c r="B70" s="28"/>
    </row>
    <row r="71" spans="2:2" ht="12.75">
      <c r="B71" s="28"/>
    </row>
    <row r="72" spans="2:2" ht="12.75">
      <c r="B72" s="28"/>
    </row>
    <row r="73" spans="2:2" ht="12.75">
      <c r="B73" s="28"/>
    </row>
    <row r="74" spans="2:2" ht="12.75">
      <c r="B74" s="28"/>
    </row>
    <row r="75" spans="2:2" ht="12.75">
      <c r="B75" s="28"/>
    </row>
    <row r="76" spans="2:2" ht="12.75">
      <c r="B76" s="28"/>
    </row>
    <row r="77" spans="2:2" ht="12.75">
      <c r="B77" s="28"/>
    </row>
    <row r="78" spans="2:2" ht="12.75">
      <c r="B78" s="28"/>
    </row>
    <row r="79" spans="2:2" ht="12.75">
      <c r="B79" s="28"/>
    </row>
    <row r="80" spans="2:2" ht="12.75">
      <c r="B80" s="28"/>
    </row>
    <row r="81" spans="2:2" ht="12.75">
      <c r="B81" s="28"/>
    </row>
    <row r="82" spans="2:2" ht="12.75">
      <c r="B82" s="28"/>
    </row>
    <row r="83" spans="2:2" ht="12.75">
      <c r="B83" s="28"/>
    </row>
    <row r="84" spans="2:2" ht="12.75">
      <c r="B84" s="28"/>
    </row>
    <row r="85" spans="2:2" ht="12.75">
      <c r="B85" s="28"/>
    </row>
    <row r="86" spans="2:2" ht="12.75">
      <c r="B86" s="28"/>
    </row>
    <row r="87" spans="2:2" ht="12.75">
      <c r="B87" s="28"/>
    </row>
    <row r="88" spans="2:2" ht="12.75">
      <c r="B88" s="28"/>
    </row>
    <row r="89" spans="2:2" ht="12.75">
      <c r="B89" s="28"/>
    </row>
    <row r="90" spans="2:2" ht="12.75">
      <c r="B90" s="28"/>
    </row>
    <row r="91" spans="2:2" ht="12.75">
      <c r="B91" s="28"/>
    </row>
    <row r="92" spans="2:2" ht="12.75">
      <c r="B92" s="28"/>
    </row>
    <row r="93" spans="2:2" ht="12.75">
      <c r="B93" s="28"/>
    </row>
    <row r="94" spans="2:2" ht="12.75">
      <c r="B94" s="28"/>
    </row>
    <row r="95" spans="2:2" ht="12.75">
      <c r="B95" s="28"/>
    </row>
    <row r="96" spans="2:2" ht="12.75">
      <c r="B96" s="28"/>
    </row>
    <row r="97" spans="2:2" ht="12.75">
      <c r="B97" s="28"/>
    </row>
    <row r="98" spans="2:2" ht="12.75">
      <c r="B98" s="28"/>
    </row>
    <row r="99" spans="2:2" ht="12.75">
      <c r="B99" s="28"/>
    </row>
    <row r="100" spans="2:2" ht="12.75">
      <c r="B100" s="28"/>
    </row>
    <row r="101" spans="2:2" ht="12.75">
      <c r="B101" s="28"/>
    </row>
    <row r="102" spans="2:2" ht="12.75">
      <c r="B102" s="28"/>
    </row>
    <row r="103" spans="2:2" ht="12.75">
      <c r="B103" s="28"/>
    </row>
    <row r="104" spans="2:2" ht="12.75">
      <c r="B104" s="28"/>
    </row>
    <row r="105" spans="2:2" ht="12.75">
      <c r="B105" s="28"/>
    </row>
    <row r="106" spans="2:2" ht="12.75">
      <c r="B106" s="28"/>
    </row>
    <row r="107" spans="2:2" ht="12.75">
      <c r="B107" s="28"/>
    </row>
    <row r="108" spans="2:2" ht="12.75">
      <c r="B108" s="28"/>
    </row>
    <row r="109" spans="2:2" ht="12.75">
      <c r="B109" s="28"/>
    </row>
    <row r="110" spans="2:2" ht="12.75">
      <c r="B110" s="28"/>
    </row>
    <row r="111" spans="2:2" ht="12.75">
      <c r="B111" s="28"/>
    </row>
    <row r="112" spans="2:2" ht="12.75">
      <c r="B112" s="28"/>
    </row>
    <row r="113" spans="2:2" ht="12.75">
      <c r="B113" s="28"/>
    </row>
    <row r="114" spans="2:2" ht="12.75">
      <c r="B114" s="28"/>
    </row>
    <row r="115" spans="2:2" ht="12.75">
      <c r="B115" s="28"/>
    </row>
    <row r="116" spans="2:2" ht="12.75">
      <c r="B116" s="28"/>
    </row>
    <row r="117" spans="2:2" ht="12.75">
      <c r="B117" s="28"/>
    </row>
    <row r="118" spans="2:2" ht="12.75">
      <c r="B118" s="28"/>
    </row>
    <row r="119" spans="2:2" ht="12.75">
      <c r="B119" s="28"/>
    </row>
    <row r="120" spans="2:2" ht="12.75">
      <c r="B120" s="28"/>
    </row>
    <row r="121" spans="2:2" ht="12.75">
      <c r="B121" s="28"/>
    </row>
    <row r="122" spans="2:2" ht="12.75">
      <c r="B122" s="28"/>
    </row>
    <row r="123" spans="2:2" ht="12.75">
      <c r="B123" s="28"/>
    </row>
    <row r="124" spans="2:2" ht="12.75">
      <c r="B124" s="28"/>
    </row>
    <row r="125" spans="2:2" ht="12.75">
      <c r="B125" s="28"/>
    </row>
    <row r="126" spans="2:2" ht="12.75">
      <c r="B126" s="28"/>
    </row>
    <row r="127" spans="2:2" ht="12.75">
      <c r="B127" s="28"/>
    </row>
    <row r="128" spans="2:2" ht="12.75">
      <c r="B128" s="28"/>
    </row>
    <row r="129" spans="2:2" ht="12.75">
      <c r="B129" s="28"/>
    </row>
    <row r="130" spans="2:2" ht="12.75">
      <c r="B130" s="28"/>
    </row>
    <row r="131" spans="2:2" ht="12.75">
      <c r="B131" s="28"/>
    </row>
    <row r="132" spans="2:2" ht="12.75">
      <c r="B132" s="28"/>
    </row>
    <row r="133" spans="2:2" ht="12.75">
      <c r="B133" s="28"/>
    </row>
    <row r="134" spans="2:2" ht="12.75">
      <c r="B134" s="28"/>
    </row>
    <row r="135" spans="2:2" ht="12.75">
      <c r="B135" s="28"/>
    </row>
    <row r="136" spans="2:2" ht="12.75">
      <c r="B136" s="28"/>
    </row>
    <row r="137" spans="2:2" ht="12.75">
      <c r="B137" s="28"/>
    </row>
    <row r="138" spans="2:2" ht="12.75">
      <c r="B138" s="28"/>
    </row>
    <row r="139" spans="2:2" ht="12.75">
      <c r="B139" s="28"/>
    </row>
    <row r="140" spans="2:2" ht="12.75">
      <c r="B140" s="28"/>
    </row>
    <row r="141" spans="2:2" ht="12.75">
      <c r="B141" s="28"/>
    </row>
    <row r="142" spans="2:2" ht="12.75">
      <c r="B142" s="28"/>
    </row>
    <row r="143" spans="2:2" ht="12.75">
      <c r="B143" s="28"/>
    </row>
    <row r="144" spans="2:2" ht="12.75">
      <c r="B144" s="28"/>
    </row>
    <row r="145" spans="2:2" ht="12.75">
      <c r="B145" s="28"/>
    </row>
    <row r="146" spans="2:2" ht="12.75">
      <c r="B146" s="28"/>
    </row>
    <row r="147" spans="2:2" ht="12.75">
      <c r="B147" s="28"/>
    </row>
    <row r="148" spans="2:2" ht="12.75">
      <c r="B148" s="28"/>
    </row>
    <row r="149" spans="2:2" ht="12.75">
      <c r="B149" s="28"/>
    </row>
    <row r="150" spans="2:2" ht="12.75">
      <c r="B150" s="28"/>
    </row>
    <row r="151" spans="2:2" ht="12.75">
      <c r="B151" s="28"/>
    </row>
    <row r="152" spans="2:2" ht="12.75">
      <c r="B152" s="28"/>
    </row>
    <row r="153" spans="2:2" ht="12.75">
      <c r="B153" s="28"/>
    </row>
    <row r="154" spans="2:2" ht="12.75">
      <c r="B154" s="28"/>
    </row>
    <row r="155" spans="2:2" ht="12.75">
      <c r="B155" s="28"/>
    </row>
    <row r="156" spans="2:2" ht="12.75">
      <c r="B156" s="28"/>
    </row>
    <row r="157" spans="2:2" ht="12.75">
      <c r="B157" s="28"/>
    </row>
    <row r="158" spans="2:2" ht="12.75">
      <c r="B158" s="28"/>
    </row>
    <row r="159" spans="2:2" ht="12.75">
      <c r="B159" s="28"/>
    </row>
    <row r="160" spans="2:2" ht="12.75">
      <c r="B160" s="28"/>
    </row>
    <row r="161" spans="2:2" ht="12.75">
      <c r="B161" s="28"/>
    </row>
    <row r="162" spans="2:2" ht="12.75">
      <c r="B162" s="28"/>
    </row>
    <row r="163" spans="2:2" ht="12.75">
      <c r="B163" s="28"/>
    </row>
    <row r="164" spans="2:2" ht="12.75">
      <c r="B164" s="28"/>
    </row>
    <row r="165" spans="2:2" ht="12.75">
      <c r="B165" s="28"/>
    </row>
    <row r="166" spans="2:2" ht="12.75">
      <c r="B166" s="28"/>
    </row>
    <row r="167" spans="2:2" ht="12.75">
      <c r="B167" s="28"/>
    </row>
    <row r="168" spans="2:2" ht="12.75">
      <c r="B168" s="28"/>
    </row>
    <row r="169" spans="2:2" ht="12.75">
      <c r="B169" s="28"/>
    </row>
    <row r="170" spans="2:2" ht="12.75">
      <c r="B170" s="28"/>
    </row>
    <row r="171" spans="2:2" ht="12.75">
      <c r="B171" s="28"/>
    </row>
    <row r="172" spans="2:2" ht="12.75">
      <c r="B172" s="28"/>
    </row>
    <row r="173" spans="2:2" ht="12.75">
      <c r="B173" s="28"/>
    </row>
    <row r="174" spans="2:2" ht="12.75">
      <c r="B174" s="28"/>
    </row>
    <row r="175" spans="2:2" ht="12.75">
      <c r="B175" s="28"/>
    </row>
    <row r="176" spans="2:2" ht="12.75">
      <c r="B176" s="28"/>
    </row>
    <row r="177" spans="2:2" ht="12.75">
      <c r="B177" s="28"/>
    </row>
    <row r="178" spans="2:2" ht="12.75">
      <c r="B178" s="28"/>
    </row>
    <row r="179" spans="2:2" ht="12.75">
      <c r="B179" s="28"/>
    </row>
    <row r="180" spans="2:2" ht="12.75">
      <c r="B180" s="28"/>
    </row>
    <row r="181" spans="2:2" ht="12.75">
      <c r="B181" s="28"/>
    </row>
    <row r="182" spans="2:2" ht="12.75">
      <c r="B182" s="28"/>
    </row>
    <row r="183" spans="2:2" ht="12.75">
      <c r="B183" s="28"/>
    </row>
    <row r="184" spans="2:2" ht="12.75">
      <c r="B184" s="28"/>
    </row>
    <row r="185" spans="2:2" ht="12.75">
      <c r="B185" s="28"/>
    </row>
    <row r="186" spans="2:2" ht="12.75">
      <c r="B186" s="28"/>
    </row>
    <row r="187" spans="2:2" ht="12.75">
      <c r="B187" s="28"/>
    </row>
    <row r="188" spans="2:2" ht="12.75">
      <c r="B188" s="28"/>
    </row>
    <row r="189" spans="2:2" ht="12.75">
      <c r="B189" s="28"/>
    </row>
    <row r="190" spans="2:2" ht="12.75">
      <c r="B190" s="28"/>
    </row>
    <row r="191" spans="2:2" ht="12.75">
      <c r="B191" s="28"/>
    </row>
    <row r="192" spans="2:2" ht="12.75">
      <c r="B192" s="28"/>
    </row>
    <row r="193" spans="2:2" ht="12.75">
      <c r="B193" s="28"/>
    </row>
    <row r="194" spans="2:2" ht="12.75">
      <c r="B194" s="28"/>
    </row>
    <row r="195" spans="2:2" ht="12.75">
      <c r="B195" s="28"/>
    </row>
    <row r="196" spans="2:2" ht="12.75">
      <c r="B196" s="28"/>
    </row>
    <row r="197" spans="2:2" ht="12.75">
      <c r="B197" s="28"/>
    </row>
    <row r="198" spans="2:2" ht="12.75">
      <c r="B198" s="28"/>
    </row>
    <row r="199" spans="2:2" ht="12.75">
      <c r="B199" s="28"/>
    </row>
    <row r="200" spans="2:2" ht="12.75">
      <c r="B200" s="28"/>
    </row>
    <row r="201" spans="2:2" ht="12.75">
      <c r="B201" s="28"/>
    </row>
    <row r="202" spans="2:2" ht="12.75">
      <c r="B202" s="28"/>
    </row>
    <row r="203" spans="2:2" ht="12.75">
      <c r="B203" s="28"/>
    </row>
    <row r="204" spans="2:2" ht="12.75">
      <c r="B204" s="28"/>
    </row>
    <row r="205" spans="2:2" ht="12.75">
      <c r="B205" s="28"/>
    </row>
    <row r="206" spans="2:2" ht="12.75">
      <c r="B206" s="28"/>
    </row>
    <row r="207" spans="2:2" ht="12.75">
      <c r="B207" s="28"/>
    </row>
    <row r="208" spans="2:2" ht="12.75">
      <c r="B208" s="28"/>
    </row>
    <row r="209" spans="2:2" ht="12.75">
      <c r="B209" s="28"/>
    </row>
    <row r="210" spans="2:2" ht="12.75">
      <c r="B210" s="28"/>
    </row>
    <row r="211" spans="2:2" ht="12.75">
      <c r="B211" s="28"/>
    </row>
    <row r="212" spans="2:2" ht="12.75">
      <c r="B212" s="28"/>
    </row>
    <row r="213" spans="2:2" ht="12.75">
      <c r="B213" s="28"/>
    </row>
    <row r="214" spans="2:2" ht="12.75">
      <c r="B214" s="28"/>
    </row>
    <row r="215" spans="2:2" ht="12.75">
      <c r="B215" s="28"/>
    </row>
    <row r="216" spans="2:2" ht="12.75">
      <c r="B216" s="28"/>
    </row>
    <row r="217" spans="2:2" ht="12.75">
      <c r="B217" s="28"/>
    </row>
    <row r="218" spans="2:2" ht="12.75">
      <c r="B218" s="28"/>
    </row>
    <row r="219" spans="2:2" ht="12.75">
      <c r="B219" s="28"/>
    </row>
    <row r="220" spans="2:2" ht="12.75">
      <c r="B220" s="28"/>
    </row>
    <row r="221" spans="2:2" ht="12.75">
      <c r="B221" s="28"/>
    </row>
    <row r="222" spans="2:2" ht="12.75">
      <c r="B222" s="28"/>
    </row>
    <row r="223" spans="2:2" ht="12.75">
      <c r="B223" s="28"/>
    </row>
    <row r="224" spans="2:2" ht="12.75">
      <c r="B224" s="28"/>
    </row>
    <row r="225" spans="2:2" ht="12.75">
      <c r="B225" s="28"/>
    </row>
    <row r="226" spans="2:2" ht="12.75">
      <c r="B226" s="28"/>
    </row>
    <row r="227" spans="2:2" ht="12.75">
      <c r="B227" s="28"/>
    </row>
    <row r="228" spans="2:2" ht="12.75">
      <c r="B228" s="28"/>
    </row>
    <row r="229" spans="2:2" ht="12.75">
      <c r="B229" s="28"/>
    </row>
    <row r="230" spans="2:2" ht="12.75">
      <c r="B230" s="28"/>
    </row>
    <row r="231" spans="2:2" ht="12.75">
      <c r="B231" s="28"/>
    </row>
    <row r="232" spans="2:2" ht="12.75">
      <c r="B232" s="28"/>
    </row>
    <row r="233" spans="2:2" ht="12.75">
      <c r="B233" s="28"/>
    </row>
    <row r="234" spans="2:2" ht="12.75">
      <c r="B234" s="28"/>
    </row>
    <row r="235" spans="2:2" ht="12.75">
      <c r="B235" s="28"/>
    </row>
    <row r="236" spans="2:2" ht="12.75">
      <c r="B236" s="28"/>
    </row>
    <row r="237" spans="2:2" ht="12.75">
      <c r="B237" s="28"/>
    </row>
    <row r="238" spans="2:2" ht="12.75">
      <c r="B238" s="28"/>
    </row>
    <row r="239" spans="2:2" ht="12.75">
      <c r="B239" s="28"/>
    </row>
    <row r="240" spans="2:2" ht="12.75">
      <c r="B240" s="28"/>
    </row>
    <row r="241" spans="2:2" ht="12.75">
      <c r="B241" s="28"/>
    </row>
    <row r="242" spans="2:2" ht="12.75">
      <c r="B242" s="28"/>
    </row>
    <row r="243" spans="2:2" ht="12.75">
      <c r="B243" s="28"/>
    </row>
    <row r="244" spans="2:2" ht="12.75">
      <c r="B244" s="28"/>
    </row>
    <row r="245" spans="2:2" ht="12.75">
      <c r="B245" s="28"/>
    </row>
    <row r="246" spans="2:2" ht="12.75">
      <c r="B246" s="28"/>
    </row>
    <row r="247" spans="2:2" ht="12.75">
      <c r="B247" s="28"/>
    </row>
    <row r="248" spans="2:2" ht="12.75">
      <c r="B248" s="28"/>
    </row>
    <row r="249" spans="2:2" ht="12.75">
      <c r="B249" s="28"/>
    </row>
    <row r="250" spans="2:2" ht="12.75">
      <c r="B250" s="28"/>
    </row>
    <row r="251" spans="2:2" ht="12.75">
      <c r="B251" s="28"/>
    </row>
    <row r="252" spans="2:2" ht="12.75">
      <c r="B252" s="28"/>
    </row>
    <row r="253" spans="2:2" ht="12.75">
      <c r="B253" s="28"/>
    </row>
    <row r="254" spans="2:2" ht="12.75">
      <c r="B254" s="28"/>
    </row>
    <row r="255" spans="2:2" ht="12.75">
      <c r="B255" s="28"/>
    </row>
    <row r="256" spans="2:2" ht="12.75">
      <c r="B256" s="28"/>
    </row>
    <row r="257" spans="2:2" ht="12.75">
      <c r="B257" s="28"/>
    </row>
    <row r="258" spans="2:2" ht="12.75">
      <c r="B258" s="28"/>
    </row>
    <row r="259" spans="2:2" ht="12.75">
      <c r="B259" s="28"/>
    </row>
    <row r="260" spans="2:2" ht="12.75">
      <c r="B260" s="28"/>
    </row>
    <row r="261" spans="2:2" ht="12.75">
      <c r="B261" s="28"/>
    </row>
    <row r="262" spans="2:2" ht="12.75">
      <c r="B262" s="28"/>
    </row>
    <row r="263" spans="2:2" ht="12.75">
      <c r="B263" s="28"/>
    </row>
    <row r="264" spans="2:2" ht="12.75">
      <c r="B264" s="28"/>
    </row>
    <row r="265" spans="2:2" ht="12.75">
      <c r="B265" s="28"/>
    </row>
    <row r="266" spans="2:2" ht="12.75">
      <c r="B266" s="28"/>
    </row>
    <row r="267" spans="2:2" ht="12.75">
      <c r="B267" s="28"/>
    </row>
    <row r="268" spans="2:2" ht="12.75">
      <c r="B268" s="28"/>
    </row>
    <row r="269" spans="2:2" ht="12.75">
      <c r="B269" s="28"/>
    </row>
    <row r="270" spans="2:2" ht="12.75">
      <c r="B270" s="28"/>
    </row>
    <row r="271" spans="2:2" ht="12.75">
      <c r="B271" s="28"/>
    </row>
    <row r="272" spans="2:2" ht="12.75">
      <c r="B272" s="28"/>
    </row>
    <row r="273" spans="2:2" ht="12.75">
      <c r="B273" s="28"/>
    </row>
    <row r="274" spans="2:2" ht="12.75">
      <c r="B274" s="28"/>
    </row>
    <row r="275" spans="2:2" ht="12.75">
      <c r="B275" s="28"/>
    </row>
    <row r="276" spans="2:2" ht="12.75">
      <c r="B276" s="28"/>
    </row>
    <row r="277" spans="2:2" ht="12.75">
      <c r="B277" s="28"/>
    </row>
    <row r="278" spans="2:2" ht="12.75">
      <c r="B278" s="28"/>
    </row>
    <row r="279" spans="2:2" ht="12.75">
      <c r="B279" s="28"/>
    </row>
    <row r="280" spans="2:2" ht="12.75">
      <c r="B280" s="28"/>
    </row>
    <row r="281" spans="2:2" ht="12.75">
      <c r="B281" s="28"/>
    </row>
    <row r="282" spans="2:2" ht="12.75">
      <c r="B282" s="28"/>
    </row>
    <row r="283" spans="2:2" ht="12.75">
      <c r="B283" s="28"/>
    </row>
    <row r="284" spans="2:2" ht="12.75">
      <c r="B284" s="28"/>
    </row>
    <row r="285" spans="2:2" ht="12.75">
      <c r="B285" s="28"/>
    </row>
    <row r="286" spans="2:2" ht="12.75">
      <c r="B286" s="28"/>
    </row>
    <row r="287" spans="2:2" ht="12.75">
      <c r="B287" s="28"/>
    </row>
    <row r="288" spans="2:2" ht="12.75">
      <c r="B288" s="28"/>
    </row>
    <row r="289" spans="2:2" ht="12.75">
      <c r="B289" s="28"/>
    </row>
    <row r="290" spans="2:2" ht="12.75">
      <c r="B290" s="28"/>
    </row>
    <row r="291" spans="2:2" ht="12.75">
      <c r="B291" s="28"/>
    </row>
    <row r="292" spans="2:2" ht="12.75">
      <c r="B292" s="28"/>
    </row>
    <row r="293" spans="2:2" ht="12.75">
      <c r="B293" s="28"/>
    </row>
    <row r="294" spans="2:2" ht="12.75">
      <c r="B294" s="28"/>
    </row>
    <row r="295" spans="2:2" ht="12.75">
      <c r="B295" s="28"/>
    </row>
    <row r="296" spans="2:2" ht="12.75">
      <c r="B296" s="28"/>
    </row>
    <row r="297" spans="2:2" ht="12.75">
      <c r="B297" s="28"/>
    </row>
    <row r="298" spans="2:2" ht="12.75">
      <c r="B298" s="28"/>
    </row>
    <row r="299" spans="2:2" ht="12.75">
      <c r="B299" s="28"/>
    </row>
    <row r="300" spans="2:2" ht="12.75">
      <c r="B300" s="28"/>
    </row>
    <row r="301" spans="2:2" ht="12.75">
      <c r="B301" s="28"/>
    </row>
    <row r="302" spans="2:2" ht="12.75">
      <c r="B302" s="28"/>
    </row>
    <row r="303" spans="2:2" ht="12.75">
      <c r="B303" s="28"/>
    </row>
    <row r="304" spans="2:2" ht="12.75">
      <c r="B304" s="28"/>
    </row>
    <row r="305" spans="2:2" ht="12.75">
      <c r="B305" s="28"/>
    </row>
    <row r="306" spans="2:2" ht="12.75">
      <c r="B306" s="28"/>
    </row>
    <row r="307" spans="2:2" ht="12.75">
      <c r="B307" s="28"/>
    </row>
    <row r="308" spans="2:2" ht="12.75">
      <c r="B308" s="28"/>
    </row>
    <row r="309" spans="2:2" ht="12.75">
      <c r="B309" s="28"/>
    </row>
    <row r="310" spans="2:2" ht="12.75">
      <c r="B310" s="28"/>
    </row>
    <row r="311" spans="2:2" ht="12.75">
      <c r="B311" s="28"/>
    </row>
    <row r="312" spans="2:2" ht="12.75">
      <c r="B312" s="28"/>
    </row>
    <row r="313" spans="2:2" ht="12.75">
      <c r="B313" s="28"/>
    </row>
    <row r="314" spans="2:2" ht="12.75">
      <c r="B314" s="28"/>
    </row>
    <row r="315" spans="2:2" ht="12.75">
      <c r="B315" s="28"/>
    </row>
    <row r="316" spans="2:2" ht="12.75">
      <c r="B316" s="28"/>
    </row>
    <row r="317" spans="2:2" ht="12.75">
      <c r="B317" s="28"/>
    </row>
    <row r="318" spans="2:2" ht="12.75">
      <c r="B318" s="28"/>
    </row>
    <row r="319" spans="2:2" ht="12.75">
      <c r="B319" s="28"/>
    </row>
    <row r="320" spans="2:2" ht="12.75">
      <c r="B320" s="28"/>
    </row>
    <row r="321" spans="2:2" ht="12.75">
      <c r="B321" s="28"/>
    </row>
    <row r="322" spans="2:2" ht="12.75">
      <c r="B322" s="28"/>
    </row>
    <row r="323" spans="2:2" ht="12.75">
      <c r="B323" s="28"/>
    </row>
    <row r="324" spans="2:2" ht="12.75">
      <c r="B324" s="28"/>
    </row>
    <row r="325" spans="2:2" ht="12.75">
      <c r="B325" s="28"/>
    </row>
    <row r="326" spans="2:2" ht="12.75">
      <c r="B326" s="28"/>
    </row>
    <row r="327" spans="2:2" ht="12.75">
      <c r="B327" s="28"/>
    </row>
    <row r="328" spans="2:2" ht="12.75">
      <c r="B328" s="28"/>
    </row>
    <row r="329" spans="2:2" ht="12.75">
      <c r="B329" s="28"/>
    </row>
    <row r="330" spans="2:2" ht="12.75">
      <c r="B330" s="28"/>
    </row>
    <row r="331" spans="2:2" ht="12.75">
      <c r="B331" s="28"/>
    </row>
    <row r="332" spans="2:2" ht="12.75">
      <c r="B332" s="28"/>
    </row>
    <row r="333" spans="2:2" ht="12.75">
      <c r="B333" s="28"/>
    </row>
    <row r="334" spans="2:2" ht="12.75">
      <c r="B334" s="28"/>
    </row>
    <row r="335" spans="2:2" ht="12.75">
      <c r="B335" s="28"/>
    </row>
    <row r="336" spans="2:2" ht="12.75">
      <c r="B336" s="28"/>
    </row>
    <row r="337" spans="2:2" ht="12.75">
      <c r="B337" s="28"/>
    </row>
    <row r="338" spans="2:2" ht="12.75">
      <c r="B338" s="28"/>
    </row>
    <row r="339" spans="2:2" ht="12.75">
      <c r="B339" s="28"/>
    </row>
    <row r="340" spans="2:2" ht="12.75">
      <c r="B340" s="28"/>
    </row>
    <row r="341" spans="2:2" ht="12.75">
      <c r="B341" s="28"/>
    </row>
    <row r="342" spans="2:2" ht="12.75">
      <c r="B342" s="28"/>
    </row>
    <row r="343" spans="2:2" ht="12.75">
      <c r="B343" s="28"/>
    </row>
    <row r="344" spans="2:2" ht="12.75">
      <c r="B344" s="28"/>
    </row>
    <row r="345" spans="2:2" ht="12.75">
      <c r="B345" s="28"/>
    </row>
    <row r="346" spans="2:2" ht="12.75">
      <c r="B346" s="28"/>
    </row>
    <row r="347" spans="2:2" ht="12.75">
      <c r="B347" s="28"/>
    </row>
    <row r="348" spans="2:2" ht="12.75">
      <c r="B348" s="28"/>
    </row>
    <row r="349" spans="2:2" ht="12.75">
      <c r="B349" s="28"/>
    </row>
    <row r="350" spans="2:2" ht="12.75">
      <c r="B350" s="28"/>
    </row>
    <row r="351" spans="2:2" ht="12.75">
      <c r="B351" s="28"/>
    </row>
    <row r="352" spans="2:2" ht="12.75">
      <c r="B352" s="28"/>
    </row>
    <row r="353" spans="2:2" ht="12.75">
      <c r="B353" s="28"/>
    </row>
    <row r="354" spans="2:2" ht="12.75">
      <c r="B354" s="28"/>
    </row>
    <row r="355" spans="2:2" ht="12.75">
      <c r="B355" s="28"/>
    </row>
    <row r="356" spans="2:2" ht="12.75">
      <c r="B356" s="28"/>
    </row>
    <row r="357" spans="2:2" ht="12.75">
      <c r="B357" s="28"/>
    </row>
    <row r="358" spans="2:2" ht="12.75">
      <c r="B358" s="28"/>
    </row>
    <row r="359" spans="2:2" ht="12.75">
      <c r="B359" s="28"/>
    </row>
    <row r="360" spans="2:2" ht="12.75">
      <c r="B360" s="28"/>
    </row>
    <row r="361" spans="2:2" ht="12.75">
      <c r="B361" s="28"/>
    </row>
    <row r="362" spans="2:2" ht="12.75">
      <c r="B362" s="28"/>
    </row>
    <row r="363" spans="2:2" ht="12.75">
      <c r="B363" s="28"/>
    </row>
    <row r="364" spans="2:2" ht="12.75">
      <c r="B364" s="28"/>
    </row>
    <row r="365" spans="2:2" ht="12.75">
      <c r="B365" s="28"/>
    </row>
    <row r="366" spans="2:2" ht="12.75">
      <c r="B366" s="28"/>
    </row>
    <row r="367" spans="2:2" ht="12.75">
      <c r="B367" s="28"/>
    </row>
    <row r="368" spans="2:2" ht="12.75">
      <c r="B368" s="28"/>
    </row>
    <row r="369" spans="2:2" ht="12.75">
      <c r="B369" s="28"/>
    </row>
    <row r="370" spans="2:2" ht="12.75">
      <c r="B370" s="28"/>
    </row>
    <row r="371" spans="2:2" ht="12.75">
      <c r="B371" s="28"/>
    </row>
    <row r="372" spans="2:2" ht="12.75">
      <c r="B372" s="28"/>
    </row>
    <row r="373" spans="2:2" ht="12.75">
      <c r="B373" s="28"/>
    </row>
    <row r="374" spans="2:2" ht="12.75">
      <c r="B374" s="28"/>
    </row>
    <row r="375" spans="2:2" ht="12.75">
      <c r="B375" s="28"/>
    </row>
    <row r="376" spans="2:2" ht="12.75">
      <c r="B376" s="28"/>
    </row>
    <row r="377" spans="2:2" ht="12.75">
      <c r="B377" s="28"/>
    </row>
    <row r="378" spans="2:2" ht="12.75">
      <c r="B378" s="28"/>
    </row>
    <row r="379" spans="2:2" ht="12.75">
      <c r="B379" s="28"/>
    </row>
    <row r="380" spans="2:2" ht="12.75">
      <c r="B380" s="28"/>
    </row>
    <row r="381" spans="2:2" ht="12.75">
      <c r="B381" s="28"/>
    </row>
    <row r="382" spans="2:2" ht="12.75">
      <c r="B382" s="28"/>
    </row>
    <row r="383" spans="2:2" ht="12.75">
      <c r="B383" s="28"/>
    </row>
    <row r="384" spans="2:2" ht="12.75">
      <c r="B384" s="28"/>
    </row>
    <row r="385" spans="2:2" ht="12.75">
      <c r="B385" s="28"/>
    </row>
    <row r="386" spans="2:2" ht="12.75">
      <c r="B386" s="28"/>
    </row>
    <row r="387" spans="2:2" ht="12.75">
      <c r="B387" s="28"/>
    </row>
    <row r="388" spans="2:2" ht="12.75">
      <c r="B388" s="28"/>
    </row>
    <row r="389" spans="2:2" ht="12.75">
      <c r="B389" s="28"/>
    </row>
    <row r="390" spans="2:2" ht="12.75">
      <c r="B390" s="28"/>
    </row>
    <row r="391" spans="2:2" ht="12.75">
      <c r="B391" s="28"/>
    </row>
    <row r="392" spans="2:2" ht="12.75">
      <c r="B392" s="28"/>
    </row>
    <row r="393" spans="2:2" ht="12.75">
      <c r="B393" s="28"/>
    </row>
    <row r="394" spans="2:2" ht="12.75">
      <c r="B394" s="28"/>
    </row>
    <row r="395" spans="2:2" ht="12.75">
      <c r="B395" s="28"/>
    </row>
    <row r="396" spans="2:2" ht="12.75">
      <c r="B396" s="28"/>
    </row>
    <row r="397" spans="2:2" ht="12.75">
      <c r="B397" s="28"/>
    </row>
    <row r="398" spans="2:2" ht="12.75">
      <c r="B398" s="28"/>
    </row>
    <row r="399" spans="2:2" ht="12.75">
      <c r="B399" s="28"/>
    </row>
    <row r="400" spans="2:2" ht="12.75">
      <c r="B400" s="28"/>
    </row>
    <row r="401" spans="2:2" ht="12.75">
      <c r="B401" s="28"/>
    </row>
    <row r="402" spans="2:2" ht="12.75">
      <c r="B402" s="28"/>
    </row>
    <row r="403" spans="2:2" ht="12.75">
      <c r="B403" s="28"/>
    </row>
    <row r="404" spans="2:2" ht="12.75">
      <c r="B404" s="28"/>
    </row>
    <row r="405" spans="2:2" ht="12.75">
      <c r="B405" s="28"/>
    </row>
    <row r="406" spans="2:2" ht="12.75">
      <c r="B406" s="28"/>
    </row>
    <row r="407" spans="2:2" ht="12.75">
      <c r="B407" s="28"/>
    </row>
    <row r="408" spans="2:2" ht="12.75">
      <c r="B408" s="28"/>
    </row>
    <row r="409" spans="2:2" ht="12.75">
      <c r="B409" s="28"/>
    </row>
    <row r="410" spans="2:2" ht="12.75">
      <c r="B410" s="28"/>
    </row>
    <row r="411" spans="2:2" ht="12.75">
      <c r="B411" s="28"/>
    </row>
    <row r="412" spans="2:2" ht="12.75">
      <c r="B412" s="28"/>
    </row>
    <row r="413" spans="2:2" ht="12.75">
      <c r="B413" s="28"/>
    </row>
    <row r="414" spans="2:2" ht="12.75">
      <c r="B414" s="28"/>
    </row>
    <row r="415" spans="2:2" ht="12.75">
      <c r="B415" s="28"/>
    </row>
    <row r="416" spans="2:2" ht="12.75">
      <c r="B416" s="28"/>
    </row>
    <row r="417" spans="2:2" ht="12.75">
      <c r="B417" s="28"/>
    </row>
    <row r="418" spans="2:2" ht="12.75">
      <c r="B418" s="28"/>
    </row>
    <row r="419" spans="2:2" ht="12.75">
      <c r="B419" s="28"/>
    </row>
    <row r="420" spans="2:2" ht="12.75">
      <c r="B420" s="28"/>
    </row>
    <row r="421" spans="2:2" ht="12.75">
      <c r="B421" s="28"/>
    </row>
    <row r="422" spans="2:2" ht="12.75">
      <c r="B422" s="28"/>
    </row>
    <row r="423" spans="2:2" ht="12.75">
      <c r="B423" s="28"/>
    </row>
    <row r="424" spans="2:2" ht="12.75">
      <c r="B424" s="28"/>
    </row>
    <row r="425" spans="2:2" ht="12.75">
      <c r="B425" s="28"/>
    </row>
    <row r="426" spans="2:2" ht="12.75">
      <c r="B426" s="28"/>
    </row>
    <row r="427" spans="2:2" ht="12.75">
      <c r="B427" s="28"/>
    </row>
    <row r="428" spans="2:2" ht="12.75">
      <c r="B428" s="28"/>
    </row>
    <row r="429" spans="2:2" ht="12.75">
      <c r="B429" s="28"/>
    </row>
    <row r="430" spans="2:2" ht="12.75">
      <c r="B430" s="28"/>
    </row>
    <row r="431" spans="2:2" ht="12.75">
      <c r="B431" s="28"/>
    </row>
    <row r="432" spans="2:2" ht="12.75">
      <c r="B432" s="28"/>
    </row>
    <row r="433" spans="2:2" ht="12.75">
      <c r="B433" s="28"/>
    </row>
    <row r="434" spans="2:2" ht="12.75">
      <c r="B434" s="28"/>
    </row>
    <row r="435" spans="2:2" ht="12.75">
      <c r="B435" s="28"/>
    </row>
    <row r="436" spans="2:2" ht="12.75">
      <c r="B436" s="28"/>
    </row>
    <row r="437" spans="2:2" ht="12.75">
      <c r="B437" s="28"/>
    </row>
    <row r="438" spans="2:2" ht="12.75">
      <c r="B438" s="28"/>
    </row>
    <row r="439" spans="2:2" ht="12.75">
      <c r="B439" s="28"/>
    </row>
    <row r="440" spans="2:2" ht="12.75">
      <c r="B440" s="28"/>
    </row>
    <row r="441" spans="2:2" ht="12.75">
      <c r="B441" s="28"/>
    </row>
    <row r="442" spans="2:2" ht="12.75">
      <c r="B442" s="28"/>
    </row>
    <row r="443" spans="2:2" ht="12.75">
      <c r="B443" s="28"/>
    </row>
    <row r="444" spans="2:2" ht="12.75">
      <c r="B444" s="28"/>
    </row>
    <row r="445" spans="2:2" ht="12.75">
      <c r="B445" s="28"/>
    </row>
    <row r="446" spans="2:2" ht="12.75">
      <c r="B446" s="28"/>
    </row>
    <row r="447" spans="2:2" ht="12.75">
      <c r="B447" s="28"/>
    </row>
    <row r="448" spans="2:2" ht="12.75">
      <c r="B448" s="28"/>
    </row>
    <row r="449" spans="2:2" ht="12.75">
      <c r="B449" s="28"/>
    </row>
    <row r="450" spans="2:2" ht="12.75">
      <c r="B450" s="28"/>
    </row>
    <row r="451" spans="2:2" ht="12.75">
      <c r="B451" s="28"/>
    </row>
    <row r="452" spans="2:2" ht="12.75">
      <c r="B452" s="28"/>
    </row>
    <row r="453" spans="2:2" ht="12.75">
      <c r="B453" s="28"/>
    </row>
    <row r="454" spans="2:2" ht="12.75">
      <c r="B454" s="28"/>
    </row>
    <row r="455" spans="2:2" ht="12.75">
      <c r="B455" s="28"/>
    </row>
    <row r="456" spans="2:2" ht="12.75">
      <c r="B456" s="28"/>
    </row>
    <row r="457" spans="2:2" ht="12.75">
      <c r="B457" s="28"/>
    </row>
    <row r="458" spans="2:2" ht="12.75">
      <c r="B458" s="28"/>
    </row>
    <row r="459" spans="2:2" ht="12.75">
      <c r="B459" s="28"/>
    </row>
    <row r="460" spans="2:2" ht="12.75">
      <c r="B460" s="28"/>
    </row>
    <row r="461" spans="2:2" ht="12.75">
      <c r="B461" s="28"/>
    </row>
    <row r="462" spans="2:2" ht="12.75">
      <c r="B462" s="28"/>
    </row>
    <row r="463" spans="2:2" ht="12.75">
      <c r="B463" s="28"/>
    </row>
    <row r="464" spans="2:2" ht="12.75">
      <c r="B464" s="28"/>
    </row>
    <row r="465" spans="2:2" ht="12.75">
      <c r="B465" s="28"/>
    </row>
    <row r="466" spans="2:2" ht="12.75">
      <c r="B466" s="28"/>
    </row>
    <row r="467" spans="2:2" ht="12.75">
      <c r="B467" s="28"/>
    </row>
    <row r="468" spans="2:2" ht="12.75">
      <c r="B468" s="28"/>
    </row>
    <row r="469" spans="2:2" ht="12.75">
      <c r="B469" s="28"/>
    </row>
    <row r="470" spans="2:2" ht="12.75">
      <c r="B470" s="28"/>
    </row>
    <row r="471" spans="2:2" ht="12.75">
      <c r="B471" s="28"/>
    </row>
    <row r="472" spans="2:2" ht="12.75">
      <c r="B472" s="28"/>
    </row>
    <row r="473" spans="2:2" ht="12.75">
      <c r="B473" s="28"/>
    </row>
    <row r="474" spans="2:2" ht="12.75">
      <c r="B474" s="28"/>
    </row>
    <row r="475" spans="2:2" ht="12.75">
      <c r="B475" s="28"/>
    </row>
    <row r="476" spans="2:2" ht="12.75">
      <c r="B476" s="28"/>
    </row>
    <row r="477" spans="2:2" ht="12.75">
      <c r="B477" s="28"/>
    </row>
    <row r="478" spans="2:2" ht="12.75">
      <c r="B478" s="28"/>
    </row>
    <row r="479" spans="2:2" ht="12.75">
      <c r="B479" s="28"/>
    </row>
    <row r="480" spans="2:2" ht="12.75">
      <c r="B480" s="28"/>
    </row>
    <row r="481" spans="2:2" ht="12.75">
      <c r="B481" s="28"/>
    </row>
    <row r="482" spans="2:2" ht="12.75">
      <c r="B482" s="28"/>
    </row>
    <row r="483" spans="2:2" ht="12.75">
      <c r="B483" s="28"/>
    </row>
    <row r="484" spans="2:2" ht="12.75">
      <c r="B484" s="28"/>
    </row>
    <row r="485" spans="2:2" ht="12.75">
      <c r="B485" s="28"/>
    </row>
    <row r="486" spans="2:2" ht="12.75">
      <c r="B486" s="28"/>
    </row>
    <row r="487" spans="2:2" ht="12.75">
      <c r="B487" s="28"/>
    </row>
    <row r="488" spans="2:2" ht="12.75">
      <c r="B488" s="28"/>
    </row>
    <row r="489" spans="2:2" ht="12.75">
      <c r="B489" s="28"/>
    </row>
    <row r="490" spans="2:2" ht="12.75">
      <c r="B490" s="28"/>
    </row>
    <row r="491" spans="2:2" ht="12.75">
      <c r="B491" s="28"/>
    </row>
    <row r="492" spans="2:2" ht="12.75">
      <c r="B492" s="28"/>
    </row>
    <row r="493" spans="2:2" ht="12.75">
      <c r="B493" s="28"/>
    </row>
    <row r="494" spans="2:2" ht="12.75">
      <c r="B494" s="28"/>
    </row>
    <row r="495" spans="2:2" ht="12.75">
      <c r="B495" s="28"/>
    </row>
    <row r="496" spans="2:2" ht="12.75">
      <c r="B496" s="28"/>
    </row>
    <row r="497" spans="2:2" ht="12.75">
      <c r="B497" s="28"/>
    </row>
    <row r="498" spans="2:2" ht="12.75">
      <c r="B498" s="28"/>
    </row>
    <row r="499" spans="2:2" ht="12.75">
      <c r="B499" s="28"/>
    </row>
    <row r="500" spans="2:2" ht="12.75">
      <c r="B500" s="28"/>
    </row>
    <row r="501" spans="2:2" ht="12.75">
      <c r="B501" s="28"/>
    </row>
    <row r="502" spans="2:2" ht="12.75">
      <c r="B502" s="28"/>
    </row>
    <row r="503" spans="2:2" ht="12.75">
      <c r="B503" s="28"/>
    </row>
    <row r="504" spans="2:2" ht="12.75">
      <c r="B504" s="28"/>
    </row>
    <row r="505" spans="2:2" ht="12.75">
      <c r="B505" s="28"/>
    </row>
    <row r="506" spans="2:2" ht="12.75">
      <c r="B506" s="28"/>
    </row>
    <row r="507" spans="2:2" ht="12.75">
      <c r="B507" s="28"/>
    </row>
    <row r="508" spans="2:2" ht="12.75">
      <c r="B508" s="28"/>
    </row>
    <row r="509" spans="2:2" ht="12.75">
      <c r="B509" s="28"/>
    </row>
    <row r="510" spans="2:2" ht="12.75">
      <c r="B510" s="28"/>
    </row>
    <row r="511" spans="2:2" ht="12.75">
      <c r="B511" s="28"/>
    </row>
    <row r="512" spans="2:2" ht="12.75">
      <c r="B512" s="28"/>
    </row>
    <row r="513" spans="2:2" ht="12.75">
      <c r="B513" s="28"/>
    </row>
    <row r="514" spans="2:2" ht="12.75">
      <c r="B514" s="28"/>
    </row>
    <row r="515" spans="2:2" ht="12.75">
      <c r="B515" s="28"/>
    </row>
    <row r="516" spans="2:2" ht="12.75">
      <c r="B516" s="28"/>
    </row>
    <row r="517" spans="2:2" ht="12.75">
      <c r="B517" s="28"/>
    </row>
    <row r="518" spans="2:2" ht="12.75">
      <c r="B518" s="28"/>
    </row>
    <row r="519" spans="2:2" ht="12.75">
      <c r="B519" s="28"/>
    </row>
    <row r="520" spans="2:2" ht="12.75">
      <c r="B520" s="28"/>
    </row>
    <row r="521" spans="2:2" ht="12.75">
      <c r="B521" s="28"/>
    </row>
    <row r="522" spans="2:2" ht="12.75">
      <c r="B522" s="28"/>
    </row>
    <row r="523" spans="2:2" ht="12.75">
      <c r="B523" s="28"/>
    </row>
    <row r="524" spans="2:2" ht="12.75">
      <c r="B524" s="28"/>
    </row>
    <row r="525" spans="2:2" ht="12.75">
      <c r="B525" s="28"/>
    </row>
    <row r="526" spans="2:2" ht="12.75">
      <c r="B526" s="28"/>
    </row>
    <row r="527" spans="2:2" ht="12.75">
      <c r="B527" s="28"/>
    </row>
    <row r="528" spans="2:2" ht="12.75">
      <c r="B528" s="28"/>
    </row>
    <row r="529" spans="2:2" ht="12.75">
      <c r="B529" s="28"/>
    </row>
    <row r="530" spans="2:2" ht="12.75">
      <c r="B530" s="28"/>
    </row>
    <row r="531" spans="2:2" ht="12.75">
      <c r="B531" s="28"/>
    </row>
    <row r="532" spans="2:2" ht="12.75">
      <c r="B532" s="28"/>
    </row>
    <row r="533" spans="2:2" ht="12.75">
      <c r="B533" s="28"/>
    </row>
    <row r="534" spans="2:2" ht="12.75">
      <c r="B534" s="28"/>
    </row>
    <row r="535" spans="2:2" ht="12.75">
      <c r="B535" s="28"/>
    </row>
    <row r="536" spans="2:2" ht="12.75">
      <c r="B536" s="28"/>
    </row>
    <row r="537" spans="2:2" ht="12.75">
      <c r="B537" s="28"/>
    </row>
    <row r="538" spans="2:2" ht="12.75">
      <c r="B538" s="28"/>
    </row>
    <row r="539" spans="2:2" ht="12.75">
      <c r="B539" s="28"/>
    </row>
    <row r="540" spans="2:2" ht="12.75">
      <c r="B540" s="28"/>
    </row>
    <row r="541" spans="2:2" ht="12.75">
      <c r="B541" s="28"/>
    </row>
    <row r="542" spans="2:2" ht="12.75">
      <c r="B542" s="28"/>
    </row>
    <row r="543" spans="2:2" ht="12.75">
      <c r="B543" s="28"/>
    </row>
    <row r="544" spans="2:2" ht="12.75">
      <c r="B544" s="28"/>
    </row>
    <row r="545" spans="2:2" ht="12.75">
      <c r="B545" s="28"/>
    </row>
    <row r="546" spans="2:2" ht="12.75">
      <c r="B546" s="28"/>
    </row>
    <row r="547" spans="2:2" ht="12.75">
      <c r="B547" s="28"/>
    </row>
    <row r="548" spans="2:2" ht="12.75">
      <c r="B548" s="28"/>
    </row>
    <row r="549" spans="2:2" ht="12.75">
      <c r="B549" s="28"/>
    </row>
    <row r="550" spans="2:2" ht="12.75">
      <c r="B550" s="28"/>
    </row>
    <row r="551" spans="2:2" ht="12.75">
      <c r="B551" s="28"/>
    </row>
    <row r="552" spans="2:2" ht="12.75">
      <c r="B552" s="28"/>
    </row>
    <row r="553" spans="2:2" ht="12.75">
      <c r="B553" s="28"/>
    </row>
    <row r="554" spans="2:2" ht="12.75">
      <c r="B554" s="28"/>
    </row>
    <row r="555" spans="2:2" ht="12.75">
      <c r="B555" s="28"/>
    </row>
    <row r="556" spans="2:2" ht="12.75">
      <c r="B556" s="28"/>
    </row>
    <row r="557" spans="2:2" ht="12.75">
      <c r="B557" s="28"/>
    </row>
    <row r="558" spans="2:2" ht="12.75">
      <c r="B558" s="28"/>
    </row>
    <row r="559" spans="2:2" ht="12.75">
      <c r="B559" s="28"/>
    </row>
    <row r="560" spans="2:2" ht="12.75">
      <c r="B560" s="28"/>
    </row>
    <row r="561" spans="2:2" ht="12.75">
      <c r="B561" s="28"/>
    </row>
    <row r="562" spans="2:2" ht="12.75">
      <c r="B562" s="28"/>
    </row>
    <row r="563" spans="2:2" ht="12.75">
      <c r="B563" s="28"/>
    </row>
    <row r="564" spans="2:2" ht="12.75">
      <c r="B564" s="28"/>
    </row>
    <row r="565" spans="2:2" ht="12.75">
      <c r="B565" s="28"/>
    </row>
    <row r="566" spans="2:2" ht="12.75">
      <c r="B566" s="28"/>
    </row>
    <row r="567" spans="2:2" ht="12.75">
      <c r="B567" s="28"/>
    </row>
    <row r="568" spans="2:2" ht="12.75">
      <c r="B568" s="28"/>
    </row>
    <row r="569" spans="2:2" ht="12.75">
      <c r="B569" s="28"/>
    </row>
    <row r="570" spans="2:2" ht="12.75">
      <c r="B570" s="28"/>
    </row>
    <row r="571" spans="2:2" ht="12.75">
      <c r="B571" s="28"/>
    </row>
    <row r="572" spans="2:2" ht="12.75">
      <c r="B572" s="28"/>
    </row>
    <row r="573" spans="2:2" ht="12.75">
      <c r="B573" s="28"/>
    </row>
    <row r="574" spans="2:2" ht="12.75">
      <c r="B574" s="28"/>
    </row>
    <row r="575" spans="2:2" ht="12.75">
      <c r="B575" s="28"/>
    </row>
    <row r="576" spans="2:2" ht="12.75">
      <c r="B576" s="28"/>
    </row>
    <row r="577" spans="2:2" ht="12.75">
      <c r="B577" s="28"/>
    </row>
    <row r="578" spans="2:2" ht="12.75">
      <c r="B578" s="28"/>
    </row>
    <row r="579" spans="2:2" ht="12.75">
      <c r="B579" s="28"/>
    </row>
    <row r="580" spans="2:2" ht="12.75">
      <c r="B580" s="28"/>
    </row>
    <row r="581" spans="2:2" ht="12.75">
      <c r="B581" s="28"/>
    </row>
    <row r="582" spans="2:2" ht="12.75">
      <c r="B582" s="28"/>
    </row>
    <row r="583" spans="2:2" ht="12.75">
      <c r="B583" s="28"/>
    </row>
    <row r="584" spans="2:2" ht="12.75">
      <c r="B584" s="28"/>
    </row>
    <row r="585" spans="2:2" ht="12.75">
      <c r="B585" s="28"/>
    </row>
    <row r="586" spans="2:2" ht="12.75">
      <c r="B586" s="28"/>
    </row>
    <row r="587" spans="2:2" ht="12.75">
      <c r="B587" s="28"/>
    </row>
    <row r="588" spans="2:2" ht="12.75">
      <c r="B588" s="28"/>
    </row>
    <row r="589" spans="2:2" ht="12.75">
      <c r="B589" s="28"/>
    </row>
    <row r="590" spans="2:2" ht="12.75">
      <c r="B590" s="28"/>
    </row>
    <row r="591" spans="2:2" ht="12.75">
      <c r="B591" s="28"/>
    </row>
    <row r="592" spans="2:2" ht="12.75">
      <c r="B592" s="28"/>
    </row>
    <row r="593" spans="2:2" ht="12.75">
      <c r="B593" s="28"/>
    </row>
    <row r="594" spans="2:2" ht="12.75">
      <c r="B594" s="28"/>
    </row>
    <row r="595" spans="2:2" ht="12.75">
      <c r="B595" s="28"/>
    </row>
    <row r="596" spans="2:2" ht="12.75">
      <c r="B596" s="28"/>
    </row>
    <row r="597" spans="2:2" ht="12.75">
      <c r="B597" s="28"/>
    </row>
    <row r="598" spans="2:2" ht="12.75">
      <c r="B598" s="28"/>
    </row>
    <row r="599" spans="2:2" ht="12.75">
      <c r="B599" s="28"/>
    </row>
    <row r="600" spans="2:2" ht="12.75">
      <c r="B600" s="28"/>
    </row>
    <row r="601" spans="2:2" ht="12.75">
      <c r="B601" s="28"/>
    </row>
    <row r="602" spans="2:2" ht="12.75">
      <c r="B602" s="28"/>
    </row>
    <row r="603" spans="2:2" ht="12.75">
      <c r="B603" s="28"/>
    </row>
    <row r="604" spans="2:2" ht="12.75">
      <c r="B604" s="28"/>
    </row>
    <row r="605" spans="2:2" ht="12.75">
      <c r="B605" s="28"/>
    </row>
    <row r="606" spans="2:2" ht="12.75">
      <c r="B606" s="28"/>
    </row>
    <row r="607" spans="2:2" ht="12.75">
      <c r="B607" s="28"/>
    </row>
    <row r="608" spans="2:2" ht="12.75">
      <c r="B608" s="28"/>
    </row>
    <row r="609" spans="2:2" ht="12.75">
      <c r="B609" s="28"/>
    </row>
    <row r="610" spans="2:2" ht="12.75">
      <c r="B610" s="28"/>
    </row>
    <row r="611" spans="2:2" ht="12.75">
      <c r="B611" s="28"/>
    </row>
    <row r="612" spans="2:2" ht="12.75">
      <c r="B612" s="28"/>
    </row>
    <row r="613" spans="2:2" ht="12.75">
      <c r="B613" s="28"/>
    </row>
    <row r="614" spans="2:2" ht="12.75">
      <c r="B614" s="28"/>
    </row>
    <row r="615" spans="2:2" ht="12.75">
      <c r="B615" s="28"/>
    </row>
    <row r="616" spans="2:2" ht="12.75">
      <c r="B616" s="28"/>
    </row>
    <row r="617" spans="2:2" ht="12.75">
      <c r="B617" s="28"/>
    </row>
    <row r="618" spans="2:2" ht="12.75">
      <c r="B618" s="28"/>
    </row>
    <row r="619" spans="2:2" ht="12.75">
      <c r="B619" s="28"/>
    </row>
    <row r="620" spans="2:2" ht="12.75">
      <c r="B620" s="28"/>
    </row>
    <row r="621" spans="2:2" ht="12.75">
      <c r="B621" s="28"/>
    </row>
    <row r="622" spans="2:2" ht="12.75">
      <c r="B622" s="28"/>
    </row>
    <row r="623" spans="2:2" ht="12.75">
      <c r="B623" s="28"/>
    </row>
    <row r="624" spans="2:2" ht="12.75">
      <c r="B624" s="28"/>
    </row>
    <row r="625" spans="2:2" ht="12.75">
      <c r="B625" s="28"/>
    </row>
    <row r="626" spans="2:2" ht="12.75">
      <c r="B626" s="28"/>
    </row>
    <row r="627" spans="2:2" ht="12.75">
      <c r="B627" s="28"/>
    </row>
    <row r="628" spans="2:2" ht="12.75">
      <c r="B628" s="28"/>
    </row>
    <row r="629" spans="2:2" ht="12.75">
      <c r="B629" s="28"/>
    </row>
    <row r="630" spans="2:2" ht="12.75">
      <c r="B630" s="28"/>
    </row>
    <row r="631" spans="2:2" ht="12.75">
      <c r="B631" s="28"/>
    </row>
    <row r="632" spans="2:2" ht="12.75">
      <c r="B632" s="28"/>
    </row>
    <row r="633" spans="2:2" ht="12.75">
      <c r="B633" s="28"/>
    </row>
    <row r="634" spans="2:2" ht="12.75">
      <c r="B634" s="28"/>
    </row>
    <row r="635" spans="2:2" ht="12.75">
      <c r="B635" s="28"/>
    </row>
    <row r="636" spans="2:2" ht="12.75">
      <c r="B636" s="28"/>
    </row>
    <row r="637" spans="2:2" ht="12.75">
      <c r="B637" s="28"/>
    </row>
    <row r="638" spans="2:2" ht="12.75">
      <c r="B638" s="28"/>
    </row>
    <row r="639" spans="2:2" ht="12.75">
      <c r="B639" s="28"/>
    </row>
    <row r="640" spans="2:2" ht="12.75">
      <c r="B640" s="28"/>
    </row>
    <row r="641" spans="2:2" ht="12.75">
      <c r="B641" s="28"/>
    </row>
    <row r="642" spans="2:2" ht="12.75">
      <c r="B642" s="28"/>
    </row>
    <row r="643" spans="2:2" ht="12.75">
      <c r="B643" s="28"/>
    </row>
    <row r="644" spans="2:2" ht="12.75">
      <c r="B644" s="28"/>
    </row>
    <row r="645" spans="2:2" ht="12.75">
      <c r="B645" s="28"/>
    </row>
    <row r="646" spans="2:2" ht="12.75">
      <c r="B646" s="28"/>
    </row>
    <row r="647" spans="2:2" ht="12.75">
      <c r="B647" s="28"/>
    </row>
    <row r="648" spans="2:2" ht="12.75">
      <c r="B648" s="28"/>
    </row>
    <row r="649" spans="2:2" ht="12.75">
      <c r="B649" s="28"/>
    </row>
    <row r="650" spans="2:2" ht="12.75">
      <c r="B650" s="28"/>
    </row>
    <row r="651" spans="2:2" ht="12.75">
      <c r="B651" s="28"/>
    </row>
    <row r="652" spans="2:2" ht="12.75">
      <c r="B652" s="28"/>
    </row>
    <row r="653" spans="2:2" ht="12.75">
      <c r="B653" s="28"/>
    </row>
    <row r="654" spans="2:2" ht="12.75">
      <c r="B654" s="28"/>
    </row>
    <row r="655" spans="2:2" ht="12.75">
      <c r="B655" s="28"/>
    </row>
    <row r="656" spans="2:2" ht="12.75">
      <c r="B656" s="28"/>
    </row>
    <row r="657" spans="2:2" ht="12.75">
      <c r="B657" s="28"/>
    </row>
    <row r="658" spans="2:2" ht="12.75">
      <c r="B658" s="28"/>
    </row>
    <row r="659" spans="2:2" ht="12.75">
      <c r="B659" s="28"/>
    </row>
    <row r="660" spans="2:2" ht="12.75">
      <c r="B660" s="28"/>
    </row>
    <row r="661" spans="2:2" ht="12.75">
      <c r="B661" s="28"/>
    </row>
    <row r="662" spans="2:2" ht="12.75">
      <c r="B662" s="28"/>
    </row>
    <row r="663" spans="2:2" ht="12.75">
      <c r="B663" s="28"/>
    </row>
    <row r="664" spans="2:2" ht="12.75">
      <c r="B664" s="28"/>
    </row>
    <row r="665" spans="2:2" ht="12.75">
      <c r="B665" s="28"/>
    </row>
    <row r="666" spans="2:2" ht="12.75">
      <c r="B666" s="28"/>
    </row>
    <row r="667" spans="2:2" ht="12.75">
      <c r="B667" s="28"/>
    </row>
    <row r="668" spans="2:2" ht="12.75">
      <c r="B668" s="28"/>
    </row>
    <row r="669" spans="2:2" ht="12.75">
      <c r="B669" s="28"/>
    </row>
    <row r="670" spans="2:2" ht="12.75">
      <c r="B670" s="28"/>
    </row>
    <row r="671" spans="2:2" ht="12.75">
      <c r="B671" s="28"/>
    </row>
    <row r="672" spans="2:2" ht="12.75">
      <c r="B672" s="28"/>
    </row>
    <row r="673" spans="2:2" ht="12.75">
      <c r="B673" s="28"/>
    </row>
    <row r="674" spans="2:2" ht="12.75">
      <c r="B674" s="28"/>
    </row>
    <row r="675" spans="2:2" ht="12.75">
      <c r="B675" s="28"/>
    </row>
    <row r="676" spans="2:2" ht="12.75">
      <c r="B676" s="28"/>
    </row>
    <row r="677" spans="2:2" ht="12.75">
      <c r="B677" s="28"/>
    </row>
    <row r="678" spans="2:2" ht="12.75">
      <c r="B678" s="28"/>
    </row>
    <row r="679" spans="2:2" ht="12.75">
      <c r="B679" s="28"/>
    </row>
    <row r="680" spans="2:2" ht="12.75">
      <c r="B680" s="28"/>
    </row>
    <row r="681" spans="2:2" ht="12.75">
      <c r="B681" s="28"/>
    </row>
    <row r="682" spans="2:2" ht="12.75">
      <c r="B682" s="28"/>
    </row>
    <row r="683" spans="2:2" ht="12.75">
      <c r="B683" s="28"/>
    </row>
    <row r="684" spans="2:2" ht="12.75">
      <c r="B684" s="28"/>
    </row>
    <row r="685" spans="2:2" ht="12.75">
      <c r="B685" s="28"/>
    </row>
    <row r="686" spans="2:2" ht="12.75">
      <c r="B686" s="28"/>
    </row>
    <row r="687" spans="2:2" ht="12.75">
      <c r="B687" s="28"/>
    </row>
    <row r="688" spans="2:2" ht="12.75">
      <c r="B688" s="28"/>
    </row>
    <row r="689" spans="2:2" ht="12.75">
      <c r="B689" s="28"/>
    </row>
    <row r="690" spans="2:2" ht="12.75">
      <c r="B690" s="28"/>
    </row>
    <row r="691" spans="2:2" ht="12.75">
      <c r="B691" s="28"/>
    </row>
    <row r="692" spans="2:2" ht="12.75">
      <c r="B692" s="28"/>
    </row>
    <row r="693" spans="2:2" ht="12.75">
      <c r="B693" s="28"/>
    </row>
    <row r="694" spans="2:2" ht="12.75">
      <c r="B694" s="28"/>
    </row>
    <row r="695" spans="2:2" ht="12.75">
      <c r="B695" s="28"/>
    </row>
    <row r="696" spans="2:2" ht="12.75">
      <c r="B696" s="28"/>
    </row>
    <row r="697" spans="2:2" ht="12.75">
      <c r="B697" s="28"/>
    </row>
    <row r="698" spans="2:2" ht="12.75">
      <c r="B698" s="28"/>
    </row>
    <row r="699" spans="2:2" ht="12.75">
      <c r="B699" s="28"/>
    </row>
    <row r="700" spans="2:2" ht="12.75">
      <c r="B700" s="28"/>
    </row>
    <row r="701" spans="2:2" ht="12.75">
      <c r="B701" s="28"/>
    </row>
    <row r="702" spans="2:2" ht="12.75">
      <c r="B702" s="28"/>
    </row>
    <row r="703" spans="2:2" ht="12.75">
      <c r="B703" s="28"/>
    </row>
    <row r="704" spans="2:2" ht="12.75">
      <c r="B704" s="28"/>
    </row>
    <row r="705" spans="2:2" ht="12.75">
      <c r="B705" s="28"/>
    </row>
    <row r="706" spans="2:2" ht="12.75">
      <c r="B706" s="28"/>
    </row>
    <row r="707" spans="2:2" ht="12.75">
      <c r="B707" s="28"/>
    </row>
    <row r="708" spans="2:2" ht="12.75">
      <c r="B708" s="28"/>
    </row>
    <row r="709" spans="2:2" ht="12.75">
      <c r="B709" s="28"/>
    </row>
    <row r="710" spans="2:2" ht="12.75">
      <c r="B710" s="28"/>
    </row>
    <row r="711" spans="2:2" ht="12.75">
      <c r="B711" s="28"/>
    </row>
    <row r="712" spans="2:2" ht="12.75">
      <c r="B712" s="28"/>
    </row>
    <row r="713" spans="2:2" ht="12.75">
      <c r="B713" s="28"/>
    </row>
    <row r="714" spans="2:2" ht="12.75">
      <c r="B714" s="28"/>
    </row>
    <row r="715" spans="2:2" ht="12.75">
      <c r="B715" s="28"/>
    </row>
    <row r="716" spans="2:2" ht="12.75">
      <c r="B716" s="28"/>
    </row>
    <row r="717" spans="2:2" ht="12.75">
      <c r="B717" s="28"/>
    </row>
    <row r="718" spans="2:2" ht="12.75">
      <c r="B718" s="28"/>
    </row>
    <row r="719" spans="2:2" ht="12.75">
      <c r="B719" s="28"/>
    </row>
    <row r="720" spans="2:2" ht="12.75">
      <c r="B720" s="28"/>
    </row>
    <row r="721" spans="2:2" ht="12.75">
      <c r="B721" s="28"/>
    </row>
    <row r="722" spans="2:2" ht="12.75">
      <c r="B722" s="28"/>
    </row>
    <row r="723" spans="2:2" ht="12.75">
      <c r="B723" s="28"/>
    </row>
    <row r="724" spans="2:2" ht="12.75">
      <c r="B724" s="28"/>
    </row>
    <row r="725" spans="2:2" ht="12.75">
      <c r="B725" s="28"/>
    </row>
    <row r="726" spans="2:2" ht="12.75">
      <c r="B726" s="28"/>
    </row>
    <row r="727" spans="2:2" ht="12.75">
      <c r="B727" s="28"/>
    </row>
    <row r="728" spans="2:2" ht="12.75">
      <c r="B728" s="28"/>
    </row>
    <row r="729" spans="2:2" ht="12.75">
      <c r="B729" s="28"/>
    </row>
    <row r="730" spans="2:2" ht="12.75">
      <c r="B730" s="28"/>
    </row>
    <row r="731" spans="2:2" ht="12.75">
      <c r="B731" s="28"/>
    </row>
    <row r="732" spans="2:2" ht="12.75">
      <c r="B732" s="28"/>
    </row>
    <row r="733" spans="2:2" ht="12.75">
      <c r="B733" s="28"/>
    </row>
    <row r="734" spans="2:2" ht="12.75">
      <c r="B734" s="28"/>
    </row>
    <row r="735" spans="2:2" ht="12.75">
      <c r="B735" s="28"/>
    </row>
    <row r="736" spans="2:2" ht="12.75">
      <c r="B736" s="28"/>
    </row>
    <row r="737" spans="2:2" ht="12.75">
      <c r="B737" s="28"/>
    </row>
    <row r="738" spans="2:2" ht="12.75">
      <c r="B738" s="28"/>
    </row>
    <row r="739" spans="2:2" ht="12.75">
      <c r="B739" s="28"/>
    </row>
    <row r="740" spans="2:2" ht="12.75">
      <c r="B740" s="28"/>
    </row>
    <row r="741" spans="2:2" ht="12.75">
      <c r="B741" s="28"/>
    </row>
    <row r="742" spans="2:2" ht="12.75">
      <c r="B742" s="28"/>
    </row>
    <row r="743" spans="2:2" ht="12.75">
      <c r="B743" s="28"/>
    </row>
    <row r="744" spans="2:2" ht="12.75">
      <c r="B744" s="28"/>
    </row>
    <row r="745" spans="2:2" ht="12.75">
      <c r="B745" s="28"/>
    </row>
    <row r="746" spans="2:2" ht="12.75">
      <c r="B746" s="28"/>
    </row>
    <row r="747" spans="2:2" ht="12.75">
      <c r="B747" s="28"/>
    </row>
    <row r="748" spans="2:2" ht="12.75">
      <c r="B748" s="28"/>
    </row>
    <row r="749" spans="2:2" ht="12.75">
      <c r="B749" s="28"/>
    </row>
    <row r="750" spans="2:2" ht="12.75">
      <c r="B750" s="28"/>
    </row>
    <row r="751" spans="2:2" ht="12.75">
      <c r="B751" s="28"/>
    </row>
    <row r="752" spans="2:2" ht="12.75">
      <c r="B752" s="28"/>
    </row>
    <row r="753" spans="2:2" ht="12.75">
      <c r="B753" s="28"/>
    </row>
    <row r="754" spans="2:2" ht="12.75">
      <c r="B754" s="28"/>
    </row>
    <row r="755" spans="2:2" ht="12.75">
      <c r="B755" s="28"/>
    </row>
    <row r="756" spans="2:2" ht="12.75">
      <c r="B756" s="28"/>
    </row>
    <row r="757" spans="2:2" ht="12.75">
      <c r="B757" s="28"/>
    </row>
    <row r="758" spans="2:2" ht="12.75">
      <c r="B758" s="28"/>
    </row>
    <row r="759" spans="2:2" ht="12.75">
      <c r="B759" s="28"/>
    </row>
    <row r="760" spans="2:2" ht="12.75">
      <c r="B760" s="28"/>
    </row>
    <row r="761" spans="2:2" ht="12.75">
      <c r="B761" s="28"/>
    </row>
    <row r="762" spans="2:2" ht="12.75">
      <c r="B762" s="28"/>
    </row>
    <row r="763" spans="2:2" ht="12.75">
      <c r="B763" s="28"/>
    </row>
    <row r="764" spans="2:2" ht="12.75">
      <c r="B764" s="28"/>
    </row>
    <row r="765" spans="2:2" ht="12.75">
      <c r="B765" s="28"/>
    </row>
    <row r="766" spans="2:2" ht="12.75">
      <c r="B766" s="28"/>
    </row>
    <row r="767" spans="2:2" ht="12.75">
      <c r="B767" s="28"/>
    </row>
    <row r="768" spans="2:2" ht="12.75">
      <c r="B768" s="28"/>
    </row>
    <row r="769" spans="2:2" ht="12.75">
      <c r="B769" s="28"/>
    </row>
    <row r="770" spans="2:2" ht="12.75">
      <c r="B770" s="28"/>
    </row>
    <row r="771" spans="2:2" ht="12.75">
      <c r="B771" s="28"/>
    </row>
    <row r="772" spans="2:2" ht="12.75">
      <c r="B772" s="28"/>
    </row>
    <row r="773" spans="2:2" ht="12.75">
      <c r="B773" s="28"/>
    </row>
    <row r="774" spans="2:2" ht="12.75">
      <c r="B774" s="28"/>
    </row>
    <row r="775" spans="2:2" ht="12.75">
      <c r="B775" s="28"/>
    </row>
    <row r="776" spans="2:2" ht="12.75">
      <c r="B776" s="28"/>
    </row>
    <row r="777" spans="2:2" ht="12.75">
      <c r="B777" s="28"/>
    </row>
    <row r="778" spans="2:2" ht="12.75">
      <c r="B778" s="28"/>
    </row>
    <row r="779" spans="2:2" ht="12.75">
      <c r="B779" s="28"/>
    </row>
    <row r="780" spans="2:2" ht="12.75">
      <c r="B780" s="28"/>
    </row>
    <row r="781" spans="2:2" ht="12.75">
      <c r="B781" s="28"/>
    </row>
    <row r="782" spans="2:2" ht="12.75">
      <c r="B782" s="28"/>
    </row>
    <row r="783" spans="2:2" ht="12.75">
      <c r="B783" s="28"/>
    </row>
    <row r="784" spans="2:2" ht="12.75">
      <c r="B784" s="28"/>
    </row>
    <row r="785" spans="2:2" ht="12.75">
      <c r="B785" s="28"/>
    </row>
    <row r="786" spans="2:2" ht="12.75">
      <c r="B786" s="28"/>
    </row>
    <row r="787" spans="2:2" ht="12.75">
      <c r="B787" s="28"/>
    </row>
    <row r="788" spans="2:2" ht="12.75">
      <c r="B788" s="28"/>
    </row>
    <row r="789" spans="2:2" ht="12.75">
      <c r="B789" s="28"/>
    </row>
    <row r="790" spans="2:2" ht="12.75">
      <c r="B790" s="28"/>
    </row>
    <row r="791" spans="2:2" ht="12.75">
      <c r="B791" s="28"/>
    </row>
    <row r="792" spans="2:2" ht="12.75">
      <c r="B792" s="28"/>
    </row>
    <row r="793" spans="2:2" ht="12.75">
      <c r="B793" s="28"/>
    </row>
    <row r="794" spans="2:2" ht="12.75">
      <c r="B794" s="28"/>
    </row>
    <row r="795" spans="2:2" ht="12.75">
      <c r="B795" s="28"/>
    </row>
    <row r="796" spans="2:2" ht="12.75">
      <c r="B796" s="28"/>
    </row>
    <row r="797" spans="2:2" ht="12.75">
      <c r="B797" s="28"/>
    </row>
    <row r="798" spans="2:2" ht="12.75">
      <c r="B798" s="28"/>
    </row>
    <row r="799" spans="2:2" ht="12.75">
      <c r="B799" s="28"/>
    </row>
    <row r="800" spans="2:2" ht="12.75">
      <c r="B800" s="28"/>
    </row>
    <row r="801" spans="2:2" ht="12.75">
      <c r="B801" s="28"/>
    </row>
    <row r="802" spans="2:2" ht="12.75">
      <c r="B802" s="28"/>
    </row>
    <row r="803" spans="2:2" ht="12.75">
      <c r="B803" s="28"/>
    </row>
    <row r="804" spans="2:2" ht="12.75">
      <c r="B804" s="28"/>
    </row>
    <row r="805" spans="2:2" ht="12.75">
      <c r="B805" s="28"/>
    </row>
    <row r="806" spans="2:2" ht="12.75">
      <c r="B806" s="28"/>
    </row>
    <row r="807" spans="2:2" ht="12.75">
      <c r="B807" s="28"/>
    </row>
    <row r="808" spans="2:2" ht="12.75">
      <c r="B808" s="28"/>
    </row>
    <row r="809" spans="2:2" ht="12.75">
      <c r="B809" s="28"/>
    </row>
    <row r="810" spans="2:2" ht="12.75">
      <c r="B810" s="28"/>
    </row>
    <row r="811" spans="2:2" ht="12.75">
      <c r="B811" s="28"/>
    </row>
    <row r="812" spans="2:2" ht="12.75">
      <c r="B812" s="28"/>
    </row>
    <row r="813" spans="2:2" ht="12.75">
      <c r="B813" s="28"/>
    </row>
    <row r="814" spans="2:2" ht="12.75">
      <c r="B814" s="28"/>
    </row>
    <row r="815" spans="2:2" ht="12.75">
      <c r="B815" s="28"/>
    </row>
    <row r="816" spans="2:2" ht="12.75">
      <c r="B816" s="28"/>
    </row>
    <row r="817" spans="2:2" ht="12.75">
      <c r="B817" s="28"/>
    </row>
    <row r="818" spans="2:2" ht="12.75">
      <c r="B818" s="28"/>
    </row>
    <row r="819" spans="2:2" ht="12.75">
      <c r="B819" s="28"/>
    </row>
    <row r="820" spans="2:2" ht="12.75">
      <c r="B820" s="28"/>
    </row>
    <row r="821" spans="2:2" ht="12.75">
      <c r="B821" s="28"/>
    </row>
    <row r="822" spans="2:2" ht="12.75">
      <c r="B822" s="28"/>
    </row>
    <row r="823" spans="2:2" ht="12.75">
      <c r="B823" s="28"/>
    </row>
    <row r="824" spans="2:2" ht="12.75">
      <c r="B824" s="28"/>
    </row>
    <row r="825" spans="2:2" ht="12.75">
      <c r="B825" s="28"/>
    </row>
    <row r="826" spans="2:2" ht="12.75">
      <c r="B826" s="28"/>
    </row>
    <row r="827" spans="2:2" ht="12.75">
      <c r="B827" s="28"/>
    </row>
    <row r="828" spans="2:2" ht="12.75">
      <c r="B828" s="28"/>
    </row>
    <row r="829" spans="2:2" ht="12.75">
      <c r="B829" s="28"/>
    </row>
    <row r="830" spans="2:2" ht="12.75">
      <c r="B830" s="28"/>
    </row>
    <row r="831" spans="2:2" ht="12.75">
      <c r="B831" s="28"/>
    </row>
    <row r="832" spans="2:2" ht="12.75">
      <c r="B832" s="28"/>
    </row>
    <row r="833" spans="2:2" ht="12.75">
      <c r="B833" s="28"/>
    </row>
    <row r="834" spans="2:2" ht="12.75">
      <c r="B834" s="28"/>
    </row>
    <row r="835" spans="2:2" ht="12.75">
      <c r="B835" s="28"/>
    </row>
    <row r="836" spans="2:2" ht="12.75">
      <c r="B836" s="28"/>
    </row>
    <row r="837" spans="2:2" ht="12.75">
      <c r="B837" s="28"/>
    </row>
    <row r="838" spans="2:2" ht="12.75">
      <c r="B838" s="28"/>
    </row>
    <row r="839" spans="2:2" ht="12.75">
      <c r="B839" s="28"/>
    </row>
    <row r="840" spans="2:2" ht="12.75">
      <c r="B840" s="28"/>
    </row>
    <row r="841" spans="2:2" ht="12.75">
      <c r="B841" s="28"/>
    </row>
    <row r="842" spans="2:2" ht="12.75">
      <c r="B842" s="28"/>
    </row>
    <row r="843" spans="2:2" ht="12.75">
      <c r="B843" s="28"/>
    </row>
    <row r="844" spans="2:2" ht="12.75">
      <c r="B844" s="28"/>
    </row>
    <row r="845" spans="2:2" ht="12.75">
      <c r="B845" s="28"/>
    </row>
    <row r="846" spans="2:2" ht="12.75">
      <c r="B846" s="28"/>
    </row>
    <row r="847" spans="2:2" ht="12.75">
      <c r="B847" s="28"/>
    </row>
    <row r="848" spans="2:2" ht="12.75">
      <c r="B848" s="28"/>
    </row>
    <row r="849" spans="2:2" ht="12.75">
      <c r="B849" s="28"/>
    </row>
    <row r="850" spans="2:2" ht="12.75">
      <c r="B850" s="28"/>
    </row>
    <row r="851" spans="2:2" ht="12.75">
      <c r="B851" s="28"/>
    </row>
    <row r="852" spans="2:2" ht="12.75">
      <c r="B852" s="28"/>
    </row>
    <row r="853" spans="2:2" ht="12.75">
      <c r="B853" s="28"/>
    </row>
    <row r="854" spans="2:2" ht="12.75">
      <c r="B854" s="28"/>
    </row>
    <row r="855" spans="2:2" ht="12.75">
      <c r="B855" s="28"/>
    </row>
    <row r="856" spans="2:2" ht="12.75">
      <c r="B856" s="28"/>
    </row>
    <row r="857" spans="2:2" ht="12.75">
      <c r="B857" s="28"/>
    </row>
    <row r="858" spans="2:2" ht="12.75">
      <c r="B858" s="28"/>
    </row>
    <row r="859" spans="2:2" ht="12.75">
      <c r="B859" s="28"/>
    </row>
    <row r="860" spans="2:2" ht="12.75">
      <c r="B860" s="28"/>
    </row>
    <row r="861" spans="2:2" ht="12.75">
      <c r="B861" s="28"/>
    </row>
    <row r="862" spans="2:2" ht="12.75">
      <c r="B862" s="28"/>
    </row>
    <row r="863" spans="2:2" ht="12.75">
      <c r="B863" s="28"/>
    </row>
    <row r="864" spans="2:2" ht="12.75">
      <c r="B864" s="28"/>
    </row>
    <row r="865" spans="2:2" ht="12.75">
      <c r="B865" s="28"/>
    </row>
    <row r="866" spans="2:2" ht="12.75">
      <c r="B866" s="28"/>
    </row>
    <row r="867" spans="2:2" ht="12.75">
      <c r="B867" s="28"/>
    </row>
    <row r="868" spans="2:2" ht="12.75">
      <c r="B868" s="28"/>
    </row>
    <row r="869" spans="2:2" ht="12.75">
      <c r="B869" s="28"/>
    </row>
    <row r="870" spans="2:2" ht="12.75">
      <c r="B870" s="28"/>
    </row>
    <row r="871" spans="2:2" ht="12.75">
      <c r="B871" s="28"/>
    </row>
    <row r="872" spans="2:2" ht="12.75">
      <c r="B872" s="28"/>
    </row>
    <row r="873" spans="2:2" ht="12.75">
      <c r="B873" s="28"/>
    </row>
    <row r="874" spans="2:2" ht="12.75">
      <c r="B874" s="28"/>
    </row>
    <row r="875" spans="2:2" ht="12.75">
      <c r="B875" s="28"/>
    </row>
    <row r="876" spans="2:2" ht="12.75">
      <c r="B876" s="28"/>
    </row>
    <row r="877" spans="2:2" ht="12.75">
      <c r="B877" s="28"/>
    </row>
    <row r="878" spans="2:2" ht="12.75">
      <c r="B878" s="28"/>
    </row>
    <row r="879" spans="2:2" ht="12.75">
      <c r="B879" s="28"/>
    </row>
    <row r="880" spans="2:2" ht="12.75">
      <c r="B880" s="28"/>
    </row>
    <row r="881" spans="2:2" ht="12.75">
      <c r="B881" s="28"/>
    </row>
    <row r="882" spans="2:2" ht="12.75">
      <c r="B882" s="28"/>
    </row>
    <row r="883" spans="2:2" ht="12.75">
      <c r="B883" s="28"/>
    </row>
    <row r="884" spans="2:2" ht="12.75">
      <c r="B884" s="28"/>
    </row>
    <row r="885" spans="2:2" ht="12.75">
      <c r="B885" s="28"/>
    </row>
    <row r="886" spans="2:2" ht="12.75">
      <c r="B886" s="28"/>
    </row>
    <row r="887" spans="2:2" ht="12.75">
      <c r="B887" s="28"/>
    </row>
    <row r="888" spans="2:2" ht="12.75">
      <c r="B888" s="28"/>
    </row>
    <row r="889" spans="2:2" ht="12.75">
      <c r="B889" s="28"/>
    </row>
    <row r="890" spans="2:2" ht="12.75">
      <c r="B890" s="28"/>
    </row>
    <row r="891" spans="2:2" ht="12.75">
      <c r="B891" s="28"/>
    </row>
    <row r="892" spans="2:2" ht="12.75">
      <c r="B892" s="28"/>
    </row>
    <row r="893" spans="2:2" ht="12.75">
      <c r="B893" s="28"/>
    </row>
    <row r="894" spans="2:2" ht="12.75">
      <c r="B894" s="28"/>
    </row>
    <row r="895" spans="2:2" ht="12.75">
      <c r="B895" s="28"/>
    </row>
    <row r="896" spans="2:2" ht="12.75">
      <c r="B896" s="28"/>
    </row>
    <row r="897" spans="2:2" ht="12.75">
      <c r="B897" s="28"/>
    </row>
    <row r="898" spans="2:2" ht="12.75">
      <c r="B898" s="28"/>
    </row>
    <row r="899" spans="2:2" ht="12.75">
      <c r="B899" s="28"/>
    </row>
    <row r="900" spans="2:2" ht="12.75">
      <c r="B900" s="28"/>
    </row>
    <row r="901" spans="2:2" ht="12.75">
      <c r="B901" s="28"/>
    </row>
    <row r="902" spans="2:2" ht="12.75">
      <c r="B902" s="28"/>
    </row>
    <row r="903" spans="2:2" ht="12.75">
      <c r="B903" s="28"/>
    </row>
    <row r="904" spans="2:2" ht="12.75">
      <c r="B904" s="28"/>
    </row>
    <row r="905" spans="2:2" ht="12.75">
      <c r="B905" s="28"/>
    </row>
    <row r="906" spans="2:2" ht="12.75">
      <c r="B906" s="28"/>
    </row>
    <row r="907" spans="2:2" ht="12.75">
      <c r="B907" s="28"/>
    </row>
    <row r="908" spans="2:2" ht="12.75">
      <c r="B908" s="28"/>
    </row>
    <row r="909" spans="2:2" ht="12.75">
      <c r="B909" s="28"/>
    </row>
    <row r="910" spans="2:2" ht="12.75">
      <c r="B910" s="28"/>
    </row>
    <row r="911" spans="2:2" ht="12.75">
      <c r="B911" s="28"/>
    </row>
    <row r="912" spans="2:2" ht="12.75">
      <c r="B912" s="28"/>
    </row>
    <row r="913" spans="2:2" ht="12.75">
      <c r="B913" s="28"/>
    </row>
    <row r="914" spans="2:2" ht="12.75">
      <c r="B914" s="28"/>
    </row>
    <row r="915" spans="2:2" ht="12.75">
      <c r="B915" s="28"/>
    </row>
    <row r="916" spans="2:2" ht="12.75">
      <c r="B916" s="28"/>
    </row>
    <row r="917" spans="2:2" ht="12.75">
      <c r="B917" s="28"/>
    </row>
    <row r="918" spans="2:2" ht="12.75">
      <c r="B918" s="28"/>
    </row>
    <row r="919" spans="2:2" ht="12.75">
      <c r="B919" s="28"/>
    </row>
    <row r="920" spans="2:2" ht="12.75">
      <c r="B920" s="28"/>
    </row>
    <row r="921" spans="2:2" ht="12.75">
      <c r="B921" s="28"/>
    </row>
    <row r="922" spans="2:2" ht="12.75">
      <c r="B922" s="28"/>
    </row>
    <row r="923" spans="2:2" ht="12.75">
      <c r="B923" s="28"/>
    </row>
    <row r="924" spans="2:2" ht="12.75">
      <c r="B924" s="28"/>
    </row>
    <row r="925" spans="2:2" ht="12.75">
      <c r="B925" s="28"/>
    </row>
    <row r="926" spans="2:2" ht="12.75">
      <c r="B926" s="28"/>
    </row>
    <row r="927" spans="2:2" ht="12.75">
      <c r="B927" s="28"/>
    </row>
    <row r="928" spans="2:2" ht="12.75">
      <c r="B928" s="28"/>
    </row>
    <row r="929" spans="2:2" ht="12.75">
      <c r="B929" s="28"/>
    </row>
    <row r="930" spans="2:2" ht="12.75">
      <c r="B930" s="28"/>
    </row>
    <row r="931" spans="2:2" ht="12.75">
      <c r="B931" s="28"/>
    </row>
    <row r="932" spans="2:2" ht="12.75">
      <c r="B932" s="28"/>
    </row>
    <row r="933" spans="2:2" ht="12.75">
      <c r="B933" s="28"/>
    </row>
    <row r="934" spans="2:2" ht="12.75">
      <c r="B934" s="28"/>
    </row>
    <row r="935" spans="2:2" ht="12.75">
      <c r="B935" s="28"/>
    </row>
    <row r="936" spans="2:2" ht="12.75">
      <c r="B936" s="28"/>
    </row>
    <row r="937" spans="2:2" ht="12.75">
      <c r="B937" s="28"/>
    </row>
    <row r="938" spans="2:2" ht="12.75">
      <c r="B938" s="28"/>
    </row>
    <row r="939" spans="2:2" ht="12.75">
      <c r="B939" s="28"/>
    </row>
    <row r="940" spans="2:2" ht="12.75">
      <c r="B940" s="28"/>
    </row>
    <row r="941" spans="2:2" ht="12.75">
      <c r="B941" s="28"/>
    </row>
    <row r="942" spans="2:2" ht="12.75">
      <c r="B942" s="28"/>
    </row>
    <row r="943" spans="2:2" ht="12.75">
      <c r="B943" s="28"/>
    </row>
    <row r="944" spans="2:2" ht="12.75">
      <c r="B944" s="28"/>
    </row>
    <row r="945" spans="2:2" ht="12.75">
      <c r="B945" s="28"/>
    </row>
    <row r="946" spans="2:2" ht="12.75">
      <c r="B946" s="28"/>
    </row>
    <row r="947" spans="2:2" ht="12.75">
      <c r="B947" s="28"/>
    </row>
    <row r="948" spans="2:2" ht="12.75">
      <c r="B948" s="28"/>
    </row>
    <row r="949" spans="2:2" ht="12.75">
      <c r="B949" s="28"/>
    </row>
    <row r="950" spans="2:2" ht="12.75">
      <c r="B950" s="28"/>
    </row>
    <row r="951" spans="2:2" ht="12.75">
      <c r="B951" s="28"/>
    </row>
    <row r="952" spans="2:2" ht="12.75">
      <c r="B952" s="28"/>
    </row>
    <row r="953" spans="2:2" ht="12.75">
      <c r="B953" s="28"/>
    </row>
    <row r="954" spans="2:2" ht="12.75">
      <c r="B954" s="28"/>
    </row>
    <row r="955" spans="2:2" ht="12.75">
      <c r="B955" s="28"/>
    </row>
    <row r="956" spans="2:2" ht="12.75">
      <c r="B956" s="28"/>
    </row>
    <row r="957" spans="2:2" ht="12.75">
      <c r="B957" s="28"/>
    </row>
    <row r="958" spans="2:2" ht="12.75">
      <c r="B958" s="28"/>
    </row>
    <row r="959" spans="2:2" ht="12.75">
      <c r="B959" s="28"/>
    </row>
    <row r="960" spans="2:2" ht="12.75">
      <c r="B960" s="28"/>
    </row>
    <row r="961" spans="2:2" ht="12.75">
      <c r="B961" s="28"/>
    </row>
    <row r="962" spans="2:2" ht="12.75">
      <c r="B962" s="28"/>
    </row>
    <row r="963" spans="2:2" ht="12.75">
      <c r="B963" s="28"/>
    </row>
    <row r="964" spans="2:2" ht="12.75">
      <c r="B964" s="28"/>
    </row>
    <row r="965" spans="2:2" ht="12.75">
      <c r="B965" s="28"/>
    </row>
    <row r="966" spans="2:2" ht="12.75">
      <c r="B966" s="28"/>
    </row>
    <row r="967" spans="2:2" ht="12.75">
      <c r="B967" s="28"/>
    </row>
    <row r="968" spans="2:2" ht="12.75">
      <c r="B968" s="28"/>
    </row>
    <row r="969" spans="2:2" ht="12.75">
      <c r="B969" s="28"/>
    </row>
    <row r="970" spans="2:2" ht="12.75">
      <c r="B970" s="28"/>
    </row>
    <row r="971" spans="2:2" ht="12.75">
      <c r="B971" s="28"/>
    </row>
    <row r="972" spans="2:2" ht="12.75">
      <c r="B972" s="28"/>
    </row>
    <row r="973" spans="2:2" ht="12.75">
      <c r="B973" s="28"/>
    </row>
    <row r="974" spans="2:2" ht="12.75">
      <c r="B974" s="28"/>
    </row>
    <row r="975" spans="2:2" ht="12.75">
      <c r="B975" s="28"/>
    </row>
    <row r="976" spans="2:2" ht="12.75">
      <c r="B976" s="28"/>
    </row>
    <row r="977" spans="2:2" ht="12.75">
      <c r="B977" s="28"/>
    </row>
    <row r="978" spans="2:2" ht="12.75">
      <c r="B978" s="28"/>
    </row>
    <row r="979" spans="2:2" ht="12.75">
      <c r="B979" s="28"/>
    </row>
    <row r="980" spans="2:2" ht="12.75">
      <c r="B980" s="28"/>
    </row>
    <row r="981" spans="2:2" ht="12.75">
      <c r="B981" s="28"/>
    </row>
    <row r="982" spans="2:2" ht="12.75">
      <c r="B982" s="28"/>
    </row>
    <row r="983" spans="2:2" ht="12.75">
      <c r="B983" s="28"/>
    </row>
    <row r="984" spans="2:2" ht="12.75">
      <c r="B984" s="28"/>
    </row>
    <row r="985" spans="2:2" ht="12.75">
      <c r="B985" s="28"/>
    </row>
    <row r="986" spans="2:2" ht="12.75">
      <c r="B986" s="28"/>
    </row>
    <row r="987" spans="2:2" ht="12.75">
      <c r="B987" s="28"/>
    </row>
    <row r="988" spans="2:2" ht="12.75">
      <c r="B988" s="28"/>
    </row>
    <row r="989" spans="2:2" ht="12.75">
      <c r="B989" s="28"/>
    </row>
    <row r="990" spans="2:2" ht="12.75">
      <c r="B990" s="28"/>
    </row>
    <row r="991" spans="2:2" ht="12.75">
      <c r="B991" s="28"/>
    </row>
    <row r="992" spans="2:2" ht="12.75">
      <c r="B992" s="28"/>
    </row>
    <row r="993" spans="2:2" ht="12.75">
      <c r="B993" s="28"/>
    </row>
    <row r="994" spans="2:2" ht="12.75">
      <c r="B994" s="28"/>
    </row>
    <row r="995" spans="2:2" ht="12.75">
      <c r="B995" s="28"/>
    </row>
    <row r="996" spans="2:2" ht="12.75">
      <c r="B996" s="28"/>
    </row>
    <row r="997" spans="2:2" ht="12.75">
      <c r="B997" s="28"/>
    </row>
    <row r="998" spans="2:2" ht="12.75">
      <c r="B998" s="28"/>
    </row>
    <row r="999" spans="2:2" ht="12.75">
      <c r="B999" s="28"/>
    </row>
    <row r="1000" spans="2:2" ht="12.75">
      <c r="B1000" s="28"/>
    </row>
    <row r="1001" spans="2:2" ht="12.75">
      <c r="B1001" s="28"/>
    </row>
    <row r="1002" spans="2:2" ht="12.75">
      <c r="B1002" s="28"/>
    </row>
    <row r="1003" spans="2:2" ht="12.75">
      <c r="B1003" s="28"/>
    </row>
  </sheetData>
  <mergeCells count="2">
    <mergeCell ref="C2:K2"/>
    <mergeCell ref="D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(2.0) Round 6</vt:lpstr>
      <vt:lpstr>(2.0) Round 5</vt:lpstr>
      <vt:lpstr>(2.0) Round 4</vt:lpstr>
      <vt:lpstr>(2.0) Round 3</vt:lpstr>
      <vt:lpstr>(2.0) Round 2</vt:lpstr>
      <vt:lpstr>(2.0) Round 1</vt:lpstr>
      <vt:lpstr>Analytics</vt:lpstr>
      <vt:lpstr>Film Master List</vt:lpstr>
      <vt:lpstr>Round 20</vt:lpstr>
      <vt:lpstr>Round 19</vt:lpstr>
      <vt:lpstr>Round 18</vt:lpstr>
      <vt:lpstr>Round 17</vt:lpstr>
      <vt:lpstr>Round 16</vt:lpstr>
      <vt:lpstr>Round 15</vt:lpstr>
      <vt:lpstr>Round 14</vt:lpstr>
      <vt:lpstr>Round 13</vt:lpstr>
      <vt:lpstr>Round 12</vt:lpstr>
      <vt:lpstr>Round 11</vt:lpstr>
      <vt:lpstr>Round 10</vt:lpstr>
      <vt:lpstr>Round 9</vt:lpstr>
      <vt:lpstr>Round 8</vt:lpstr>
      <vt:lpstr>Round 7</vt:lpstr>
      <vt:lpstr>Round 6</vt:lpstr>
      <vt:lpstr>Round 5</vt:lpstr>
      <vt:lpstr>Round 4</vt:lpstr>
      <vt:lpstr>Round 3</vt:lpstr>
      <vt:lpstr>Round 2</vt:lpstr>
      <vt:lpstr>Round 1</vt:lpstr>
      <vt:lpstr>Top 500 Unseen</vt:lpstr>
      <vt:lpstr>Jeffs Stats</vt:lpstr>
      <vt:lpstr>Danny’s Stats</vt:lpstr>
      <vt:lpstr>Jons Stats</vt:lpstr>
      <vt:lpstr>Pats Stats</vt:lpstr>
      <vt:lpstr>Reviews</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Burgher, Michael</cp:lastModifiedBy>
  <dcterms:modified xsi:type="dcterms:W3CDTF">2025-10-14T21:56:07Z</dcterms:modified>
</cp:coreProperties>
</file>