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https://d.docs.live.net/506ee979fa5db9dc/Remesas 2025/Silverlink/Armadas/"/>
    </mc:Choice>
  </mc:AlternateContent>
  <xr:revisionPtr revIDLastSave="1" documentId="13_ncr:1_{5903B35E-12E5-4792-8AD2-B19B5362F98D}" xr6:coauthVersionLast="47" xr6:coauthVersionMax="47" xr10:uidLastSave="{507F5276-E8C7-4E53-8642-A6B05EA588FC}"/>
  <bookViews>
    <workbookView xWindow="-1596" yWindow="612" windowWidth="16524" windowHeight="11508" xr2:uid="{963BB7D5-C2EC-4CCE-8E46-FF76BA1B5C9F}"/>
  </bookViews>
  <sheets>
    <sheet name="Registro" sheetId="1" r:id="rId1"/>
    <sheet name="Otras hojas" sheetId="2" r:id="rId2"/>
    <sheet name="Resumen" sheetId="3" r:id="rId3"/>
    <sheet name="Mayores exportadores" sheetId="4" r:id="rId4"/>
  </sheets>
  <definedNames>
    <definedName name="_xlnm._FilterDatabase" localSheetId="0" hidden="1">Registro!$A$1:$Q$1045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3" l="1"/>
  <c r="D5" i="3"/>
  <c r="D6" i="3"/>
  <c r="D7" i="3"/>
  <c r="D9" i="3"/>
  <c r="E5" i="3" l="1"/>
  <c r="L33" i="1"/>
  <c r="L158" i="1"/>
  <c r="L162" i="1"/>
  <c r="L163" i="1"/>
  <c r="L257" i="1"/>
  <c r="L293" i="1"/>
  <c r="L271" i="1"/>
  <c r="L540" i="1"/>
  <c r="L524" i="1"/>
  <c r="L528" i="1"/>
  <c r="L977" i="1"/>
  <c r="L976" i="1" s="1"/>
  <c r="L421" i="1"/>
  <c r="L422" i="1"/>
  <c r="L423" i="1"/>
  <c r="L593" i="1"/>
  <c r="L538" i="1"/>
  <c r="L537" i="1" s="1"/>
  <c r="L653" i="1"/>
  <c r="L654" i="1"/>
  <c r="L599" i="1"/>
  <c r="L601" i="1"/>
  <c r="M68" i="1"/>
  <c r="L70" i="1"/>
  <c r="L64" i="1"/>
  <c r="L571" i="1"/>
  <c r="L712" i="1"/>
  <c r="L567" i="1"/>
  <c r="L597" i="1"/>
  <c r="L595" i="1" s="1"/>
  <c r="L993" i="1"/>
  <c r="L679" i="1"/>
  <c r="L643" i="1"/>
  <c r="L645" i="1" s="1"/>
  <c r="L460" i="1"/>
  <c r="L459" i="1"/>
  <c r="L1007" i="1"/>
  <c r="L1001" i="1"/>
  <c r="L996" i="1"/>
  <c r="L991" i="1"/>
  <c r="L987" i="1"/>
  <c r="L982" i="1"/>
  <c r="L968" i="1"/>
  <c r="L971" i="1"/>
  <c r="L969" i="1"/>
  <c r="L961" i="1"/>
  <c r="L956" i="1"/>
  <c r="L955" i="1"/>
  <c r="L952" i="1"/>
  <c r="L945" i="1"/>
  <c r="L947" i="1"/>
  <c r="L946" i="1"/>
  <c r="L941" i="1"/>
  <c r="L942" i="1"/>
  <c r="L936" i="1"/>
  <c r="L939" i="1"/>
  <c r="L934" i="1"/>
  <c r="L928" i="1"/>
  <c r="L929" i="1"/>
  <c r="L924" i="1"/>
  <c r="L923" i="1"/>
  <c r="L917" i="1"/>
  <c r="L905" i="1"/>
  <c r="L906" i="1"/>
  <c r="L903" i="1"/>
  <c r="L898" i="1"/>
  <c r="L899" i="1"/>
  <c r="L894" i="1"/>
  <c r="L881" i="1"/>
  <c r="L882" i="1"/>
  <c r="L880" i="1"/>
  <c r="L876" i="1"/>
  <c r="L865" i="1"/>
  <c r="L863" i="1"/>
  <c r="L861" i="1"/>
  <c r="L857" i="1"/>
  <c r="L858" i="1"/>
  <c r="L856" i="1"/>
  <c r="L853" i="1"/>
  <c r="L855" i="1"/>
  <c r="L849" i="1"/>
  <c r="L851" i="1"/>
  <c r="L845" i="1"/>
  <c r="L842" i="1"/>
  <c r="L840" i="1"/>
  <c r="L839" i="1"/>
  <c r="L832" i="1"/>
  <c r="L809" i="1"/>
  <c r="L833" i="1"/>
  <c r="L830" i="1"/>
  <c r="L825" i="1"/>
  <c r="L826" i="1" s="1"/>
  <c r="L823" i="1"/>
  <c r="L822" i="1"/>
  <c r="L816" i="1"/>
  <c r="L815" i="1"/>
  <c r="L806" i="1"/>
  <c r="L805" i="1" s="1"/>
  <c r="L804" i="1"/>
  <c r="L795" i="1"/>
  <c r="L799" i="1"/>
  <c r="L792" i="1"/>
  <c r="L784" i="1"/>
  <c r="L786" i="1"/>
  <c r="L787" i="1"/>
  <c r="L779" i="1"/>
  <c r="L782" i="1"/>
  <c r="L780" i="1"/>
  <c r="L773" i="1"/>
  <c r="L765" i="1"/>
  <c r="L766" i="1"/>
  <c r="L768" i="1"/>
  <c r="L764" i="1"/>
  <c r="L760" i="1"/>
  <c r="L759" i="1"/>
  <c r="L758" i="1"/>
  <c r="L755" i="1"/>
  <c r="L752" i="1"/>
  <c r="L749" i="1"/>
  <c r="L751" i="1" s="1"/>
  <c r="L748" i="1"/>
  <c r="L746" i="1"/>
  <c r="L736" i="1"/>
  <c r="L733" i="1"/>
  <c r="L735" i="1"/>
  <c r="L734" i="1"/>
  <c r="L728" i="1"/>
  <c r="L725" i="1"/>
  <c r="L723" i="1"/>
  <c r="L720" i="1"/>
  <c r="L716" i="1"/>
  <c r="L715" i="1"/>
  <c r="L713" i="1"/>
  <c r="L710" i="1"/>
  <c r="L707" i="1"/>
  <c r="L709" i="1"/>
  <c r="L666" i="1"/>
  <c r="L634" i="1"/>
  <c r="L636" i="1"/>
  <c r="L639" i="1"/>
  <c r="L705" i="1"/>
  <c r="L702" i="1"/>
  <c r="L699" i="1"/>
  <c r="L695" i="1"/>
  <c r="L681" i="1"/>
  <c r="L682" i="1"/>
  <c r="L676" i="1"/>
  <c r="L669" i="1"/>
  <c r="L657" i="1"/>
  <c r="L655" i="1"/>
  <c r="L652" i="1"/>
  <c r="L649" i="1"/>
  <c r="L530" i="1"/>
  <c r="L369" i="1"/>
  <c r="L191" i="1"/>
  <c r="L189" i="1" s="1"/>
  <c r="L641" i="1"/>
  <c r="L638" i="1"/>
  <c r="L635" i="1"/>
  <c r="L629" i="1"/>
  <c r="L630" i="1"/>
  <c r="L628" i="1"/>
  <c r="L625" i="1"/>
  <c r="L620" i="1"/>
  <c r="L619" i="1" s="1"/>
  <c r="L615" i="1"/>
  <c r="L613" i="1"/>
  <c r="L608" i="1"/>
  <c r="L607" i="1" s="1"/>
  <c r="L604" i="1"/>
  <c r="L606" i="1"/>
  <c r="L602" i="1"/>
  <c r="L598" i="1"/>
  <c r="L589" i="1"/>
  <c r="L592" i="1"/>
  <c r="L591" i="1"/>
  <c r="L585" i="1"/>
  <c r="L586" i="1"/>
  <c r="L582" i="1"/>
  <c r="L583" i="1"/>
  <c r="L580" i="1"/>
  <c r="L577" i="1"/>
  <c r="L573" i="1"/>
  <c r="L576" i="1"/>
  <c r="L575" i="1"/>
  <c r="L569" i="1"/>
  <c r="L568" i="1"/>
  <c r="L565" i="1"/>
  <c r="L564" i="1"/>
  <c r="L552" i="1"/>
  <c r="L551" i="1"/>
  <c r="L548" i="1"/>
  <c r="L542" i="1"/>
  <c r="L546" i="1"/>
  <c r="L543" i="1"/>
  <c r="L541" i="1"/>
  <c r="L539" i="1"/>
  <c r="L532" i="1"/>
  <c r="L533" i="1"/>
  <c r="L534" i="1"/>
  <c r="L493" i="1"/>
  <c r="L525" i="1"/>
  <c r="L521" i="1"/>
  <c r="L523" i="1" s="1"/>
  <c r="L519" i="1"/>
  <c r="L562" i="1"/>
  <c r="L561" i="1" s="1"/>
  <c r="L557" i="1"/>
  <c r="L514" i="1"/>
  <c r="L516" i="1"/>
  <c r="L515" i="1"/>
  <c r="L512" i="1"/>
  <c r="L511" i="1"/>
  <c r="L509" i="1"/>
  <c r="L508" i="1"/>
  <c r="L506" i="1"/>
  <c r="L504" i="1" s="1"/>
  <c r="L498" i="1"/>
  <c r="L499" i="1"/>
  <c r="L495" i="1"/>
  <c r="L489" i="1"/>
  <c r="L485" i="1"/>
  <c r="L484" i="1"/>
  <c r="L481" i="1"/>
  <c r="L475" i="1"/>
  <c r="L474" i="1"/>
  <c r="L473" i="1" s="1"/>
  <c r="L471" i="1"/>
  <c r="L470" i="1" s="1"/>
  <c r="L465" i="1"/>
  <c r="L464" i="1" s="1"/>
  <c r="L463" i="1"/>
  <c r="L461" i="1"/>
  <c r="L457" i="1"/>
  <c r="L452" i="1"/>
  <c r="L450" i="1"/>
  <c r="L448" i="1"/>
  <c r="L446" i="1"/>
  <c r="L443" i="1"/>
  <c r="L441" i="1"/>
  <c r="L438" i="1"/>
  <c r="L439" i="1"/>
  <c r="L435" i="1"/>
  <c r="L432" i="1"/>
  <c r="L429" i="1"/>
  <c r="L424" i="1"/>
  <c r="L426" i="1" s="1"/>
  <c r="L420" i="1"/>
  <c r="L418" i="1"/>
  <c r="L416" i="1" s="1"/>
  <c r="L415" i="1"/>
  <c r="L411" i="1"/>
  <c r="L413" i="1" s="1"/>
  <c r="L407" i="1"/>
  <c r="L406" i="1"/>
  <c r="L404" i="1"/>
  <c r="L403" i="1"/>
  <c r="L399" i="1"/>
  <c r="L386" i="1"/>
  <c r="L396" i="1"/>
  <c r="L397" i="1"/>
  <c r="L398" i="1"/>
  <c r="L394" i="1"/>
  <c r="L392" i="1"/>
  <c r="L393" i="1"/>
  <c r="L480" i="1"/>
  <c r="L479" i="1" s="1"/>
  <c r="L384" i="1"/>
  <c r="L381" i="1"/>
  <c r="L375" i="1"/>
  <c r="L373" i="1" s="1"/>
  <c r="L367" i="1"/>
  <c r="L364" i="1"/>
  <c r="L358" i="1"/>
  <c r="L357" i="1" s="1"/>
  <c r="L355" i="1"/>
  <c r="L353" i="1"/>
  <c r="L352" i="1"/>
  <c r="L351" i="1" s="1"/>
  <c r="L344" i="1"/>
  <c r="L350" i="1"/>
  <c r="L349" i="1" s="1"/>
  <c r="L348" i="1"/>
  <c r="L347" i="1"/>
  <c r="L343" i="1"/>
  <c r="L342" i="1"/>
  <c r="L331" i="1"/>
  <c r="L338" i="1"/>
  <c r="L336" i="1"/>
  <c r="L335" i="1"/>
  <c r="L327" i="1"/>
  <c r="L326" i="1" s="1"/>
  <c r="L321" i="1"/>
  <c r="L318" i="1"/>
  <c r="L317" i="1"/>
  <c r="L312" i="1"/>
  <c r="L311" i="1" s="1"/>
  <c r="L299" i="1"/>
  <c r="L302" i="1"/>
  <c r="L300" i="1"/>
  <c r="L297" i="1"/>
  <c r="L294" i="1"/>
  <c r="L298" i="1"/>
  <c r="L296" i="1"/>
  <c r="L295" i="1"/>
  <c r="L289" i="1"/>
  <c r="L292" i="1"/>
  <c r="L291" i="1"/>
  <c r="L290" i="1"/>
  <c r="L283" i="1"/>
  <c r="L287" i="1"/>
  <c r="L285" i="1"/>
  <c r="L276" i="1"/>
  <c r="L282" i="1"/>
  <c r="L280" i="1"/>
  <c r="L279" i="1"/>
  <c r="L277" i="1"/>
  <c r="L275" i="1"/>
  <c r="L272" i="1"/>
  <c r="L273" i="1" s="1"/>
  <c r="L269" i="1"/>
  <c r="L267" i="1"/>
  <c r="L268" i="1"/>
  <c r="L256" i="1"/>
  <c r="L254" i="1"/>
  <c r="L243" i="1"/>
  <c r="L244" i="1" s="1"/>
  <c r="L262" i="1"/>
  <c r="L309" i="1"/>
  <c r="L307" i="1"/>
  <c r="L306" i="1"/>
  <c r="L304" i="1"/>
  <c r="L253" i="1"/>
  <c r="L252" i="1"/>
  <c r="L251" i="1"/>
  <c r="L250" i="1"/>
  <c r="L249" i="1"/>
  <c r="L248" i="1"/>
  <c r="L246" i="1"/>
  <c r="L239" i="1"/>
  <c r="L242" i="1"/>
  <c r="L240" i="1"/>
  <c r="L235" i="1"/>
  <c r="L236" i="1"/>
  <c r="L234" i="1"/>
  <c r="L232" i="1" s="1"/>
  <c r="L231" i="1"/>
  <c r="L229" i="1"/>
  <c r="L227" i="1"/>
  <c r="L226" i="1"/>
  <c r="L224" i="1"/>
  <c r="L223" i="1" s="1"/>
  <c r="L264" i="1"/>
  <c r="L265" i="1"/>
  <c r="L316" i="1"/>
  <c r="L315" i="1"/>
  <c r="L222" i="1"/>
  <c r="L221" i="1"/>
  <c r="L214" i="1"/>
  <c r="L213" i="1"/>
  <c r="L208" i="1"/>
  <c r="L209" i="1"/>
  <c r="L207" i="1"/>
  <c r="L205" i="1" s="1"/>
  <c r="L203" i="1"/>
  <c r="L198" i="1"/>
  <c r="L193" i="1"/>
  <c r="L197" i="1"/>
  <c r="L196" i="1"/>
  <c r="L194" i="1"/>
  <c r="L187" i="1"/>
  <c r="L188" i="1"/>
  <c r="L184" i="1"/>
  <c r="L185" i="1"/>
  <c r="L180" i="1"/>
  <c r="L182" i="1"/>
  <c r="L178" i="1"/>
  <c r="L172" i="1"/>
  <c r="L171" i="1" s="1"/>
  <c r="L169" i="1"/>
  <c r="L168" i="1"/>
  <c r="L156" i="1"/>
  <c r="L153" i="1"/>
  <c r="L166" i="1"/>
  <c r="L164" i="1"/>
  <c r="L160" i="1"/>
  <c r="L159" i="1" s="1"/>
  <c r="L157" i="1"/>
  <c r="L155" i="1"/>
  <c r="L154" i="1"/>
  <c r="L150" i="1"/>
  <c r="L152" i="1"/>
  <c r="L151" i="1"/>
  <c r="L149" i="1"/>
  <c r="L148" i="1"/>
  <c r="L146" i="1"/>
  <c r="L145" i="1"/>
  <c r="L174" i="1"/>
  <c r="L131" i="1"/>
  <c r="L130" i="1"/>
  <c r="L125" i="1"/>
  <c r="L127" i="1"/>
  <c r="L121" i="1"/>
  <c r="L122" i="1"/>
  <c r="L116" i="1"/>
  <c r="L118" i="1"/>
  <c r="L117" i="1"/>
  <c r="L115" i="1"/>
  <c r="L114" i="1"/>
  <c r="L111" i="1"/>
  <c r="L112" i="1"/>
  <c r="L113" i="1"/>
  <c r="L110" i="1"/>
  <c r="L109" i="1" s="1"/>
  <c r="L105" i="1"/>
  <c r="L103" i="1"/>
  <c r="L95" i="1"/>
  <c r="L97" i="1"/>
  <c r="L18" i="1"/>
  <c r="L40" i="1"/>
  <c r="L47" i="1"/>
  <c r="L50" i="1"/>
  <c r="L137" i="1"/>
  <c r="L139" i="1" s="1"/>
  <c r="D8" i="3" s="1"/>
  <c r="E6" i="3" s="1"/>
  <c r="L133" i="1"/>
  <c r="L143" i="1"/>
  <c r="L142" i="1"/>
  <c r="L140" i="1"/>
  <c r="L141" i="1" s="1"/>
  <c r="L93" i="1"/>
  <c r="L94" i="1" s="1"/>
  <c r="L90" i="1"/>
  <c r="L91" i="1" s="1"/>
  <c r="L87" i="1"/>
  <c r="L85" i="1"/>
  <c r="L84" i="1" s="1"/>
  <c r="L83" i="1"/>
  <c r="L82" i="1"/>
  <c r="L80" i="1"/>
  <c r="L78" i="1"/>
  <c r="L79" i="1"/>
  <c r="L76" i="1"/>
  <c r="L75" i="1"/>
  <c r="L63" i="1"/>
  <c r="L49" i="1"/>
  <c r="L43" i="1"/>
  <c r="L38" i="1"/>
  <c r="L30" i="1"/>
  <c r="L28" i="1" s="1"/>
  <c r="L25" i="1"/>
  <c r="L21" i="1"/>
  <c r="L20" i="1" s="1"/>
  <c r="L19" i="1"/>
  <c r="L13" i="1"/>
  <c r="L135" i="1"/>
  <c r="L134" i="1"/>
  <c r="L462" i="1" l="1"/>
  <c r="D2" i="3" s="1"/>
  <c r="L68" i="1"/>
  <c r="L862" i="1"/>
  <c r="L970" i="1"/>
  <c r="L747" i="1"/>
  <c r="L129" i="1"/>
  <c r="L341" i="1"/>
  <c r="L402" i="1"/>
  <c r="L550" i="1"/>
  <c r="L308" i="1"/>
  <c r="L144" i="1"/>
  <c r="L496" i="1"/>
  <c r="L507" i="1"/>
  <c r="L305" i="1"/>
  <c r="L102" i="1"/>
  <c r="L74" i="1"/>
  <c r="L81" i="1"/>
  <c r="L228" i="1"/>
  <c r="L334" i="1"/>
  <c r="L225" i="1"/>
  <c r="L263" i="1"/>
  <c r="L255" i="1"/>
  <c r="L132" i="1"/>
  <c r="D4" i="3" l="1"/>
  <c r="B245" i="4" a="1"/>
  <c r="B245" i="4" s="1"/>
  <c r="C245" i="4" s="1"/>
  <c r="B338" i="4" a="1"/>
  <c r="B338" i="4" s="1"/>
  <c r="C338" i="4" s="1"/>
  <c r="B310" i="4" a="1"/>
  <c r="B310" i="4" s="1"/>
  <c r="C310" i="4" s="1"/>
  <c r="B337" i="4" a="1"/>
  <c r="B337" i="4" s="1"/>
  <c r="C337" i="4" s="1"/>
  <c r="B316" i="4" a="1"/>
  <c r="B316" i="4" s="1"/>
  <c r="C316" i="4" s="1"/>
  <c r="B309" i="4" a="1"/>
  <c r="B309" i="4" s="1"/>
  <c r="C309" i="4" s="1"/>
  <c r="B3" i="4" a="1"/>
  <c r="B3" i="4" s="1"/>
  <c r="C3" i="4" s="1"/>
  <c r="D3" i="3"/>
  <c r="B302" i="4" a="1"/>
  <c r="B302" i="4" s="1"/>
  <c r="C302" i="4" s="1"/>
  <c r="B324" i="4" a="1"/>
  <c r="B324" i="4" s="1"/>
  <c r="C324" i="4" s="1"/>
  <c r="B295" i="4" a="1"/>
  <c r="B295" i="4" s="1"/>
  <c r="C295" i="4" s="1"/>
  <c r="B230" i="4" a="1"/>
  <c r="B230" i="4" s="1"/>
  <c r="C230" i="4" s="1"/>
  <c r="B142" i="4" a="1"/>
  <c r="B142" i="4" s="1"/>
  <c r="C142" i="4" s="1"/>
  <c r="B80" i="4" a="1"/>
  <c r="B80" i="4" s="1"/>
  <c r="C80" i="4" s="1"/>
  <c r="B16" i="4" a="1"/>
  <c r="B16" i="4" s="1"/>
  <c r="C16" i="4" s="1"/>
  <c r="B252" i="4" a="1"/>
  <c r="B252" i="4" s="1"/>
  <c r="C252" i="4" s="1"/>
  <c r="B189" i="4" a="1"/>
  <c r="B189" i="4" s="1"/>
  <c r="C189" i="4" s="1"/>
  <c r="B133" i="4" a="1"/>
  <c r="B133" i="4" s="1"/>
  <c r="C133" i="4" s="1"/>
  <c r="B79" i="4" a="1"/>
  <c r="B79" i="4" s="1"/>
  <c r="C79" i="4" s="1"/>
  <c r="B8" i="4" a="1"/>
  <c r="B8" i="4" s="1"/>
  <c r="C8" i="4" s="1"/>
  <c r="B272" i="4" a="1"/>
  <c r="B272" i="4" s="1"/>
  <c r="C272" i="4" s="1"/>
  <c r="B208" i="4" a="1"/>
  <c r="B208" i="4" s="1"/>
  <c r="C208" i="4" s="1"/>
  <c r="B155" i="4" a="1"/>
  <c r="B155" i="4" s="1"/>
  <c r="C155" i="4" s="1"/>
  <c r="B98" i="4" a="1"/>
  <c r="B98" i="4" s="1"/>
  <c r="C98" i="4" s="1"/>
  <c r="B30" i="4" a="1"/>
  <c r="B30" i="4" s="1"/>
  <c r="C30" i="4" s="1"/>
  <c r="B300" i="4" a="1"/>
  <c r="B300" i="4" s="1"/>
  <c r="C300" i="4" s="1"/>
  <c r="B271" i="4" a="1"/>
  <c r="B271" i="4" s="1"/>
  <c r="C271" i="4" s="1"/>
  <c r="B201" i="4" a="1"/>
  <c r="B201" i="4" s="1"/>
  <c r="C201" i="4" s="1"/>
  <c r="B110" i="4" a="1"/>
  <c r="B110" i="4" s="1"/>
  <c r="C110" i="4" s="1"/>
  <c r="B49" i="4" a="1"/>
  <c r="B49" i="4" s="1"/>
  <c r="C49" i="4" s="1"/>
  <c r="B299" i="4" a="1"/>
  <c r="B299" i="4" s="1"/>
  <c r="C299" i="4" s="1"/>
  <c r="B242" i="4" a="1"/>
  <c r="B242" i="4" s="1"/>
  <c r="C242" i="4" s="1"/>
  <c r="B187" i="4" a="1"/>
  <c r="B187" i="4" s="1"/>
  <c r="C187" i="4" s="1"/>
  <c r="B130" i="4" a="1"/>
  <c r="B130" i="4" s="1"/>
  <c r="C130" i="4" s="1"/>
  <c r="B62" i="4" a="1"/>
  <c r="B62" i="4" s="1"/>
  <c r="C62" i="4" s="1"/>
  <c r="B6" i="4" a="1"/>
  <c r="B6" i="4" s="1"/>
  <c r="C6" i="4" s="1"/>
  <c r="B277" i="4" a="1"/>
  <c r="B277" i="4" s="1"/>
  <c r="C277" i="4" s="1"/>
  <c r="B220" i="4" a="1"/>
  <c r="B220" i="4" s="1"/>
  <c r="C220" i="4" s="1"/>
  <c r="B145" i="4" a="1"/>
  <c r="B145" i="4" s="1"/>
  <c r="C145" i="4" s="1"/>
  <c r="B83" i="4" a="1"/>
  <c r="B83" i="4" s="1"/>
  <c r="C83" i="4" s="1"/>
  <c r="B27" i="4" a="1"/>
  <c r="B27" i="4" s="1"/>
  <c r="C27" i="4" s="1"/>
  <c r="B304" i="4" a="1"/>
  <c r="B304" i="4" s="1"/>
  <c r="C304" i="4" s="1"/>
  <c r="B240" i="4" a="1"/>
  <c r="B240" i="4" s="1"/>
  <c r="C240" i="4" s="1"/>
  <c r="B178" i="4" a="1"/>
  <c r="B178" i="4" s="1"/>
  <c r="C178" i="4" s="1"/>
  <c r="B115" i="4" a="1"/>
  <c r="B115" i="4" s="1"/>
  <c r="C115" i="4" s="1"/>
  <c r="B40" i="4" a="1"/>
  <c r="B40" i="4" s="1"/>
  <c r="C40" i="4" s="1"/>
  <c r="B303" i="4" a="1"/>
  <c r="B303" i="4" s="1"/>
  <c r="C303" i="4" s="1"/>
  <c r="B239" i="4" a="1"/>
  <c r="B239" i="4" s="1"/>
  <c r="C239" i="4" s="1"/>
  <c r="B184" i="4" a="1"/>
  <c r="B184" i="4" s="1"/>
  <c r="C184" i="4" s="1"/>
  <c r="B127" i="4" a="1"/>
  <c r="B127" i="4" s="1"/>
  <c r="C127" i="4" s="1"/>
  <c r="B59" i="4" a="1"/>
  <c r="B59" i="4" s="1"/>
  <c r="C59" i="4" s="1"/>
  <c r="B288" i="4" a="1"/>
  <c r="B288" i="4" s="1"/>
  <c r="C288" i="4" s="1"/>
  <c r="B224" i="4" a="1"/>
  <c r="B224" i="4" s="1"/>
  <c r="C224" i="4" s="1"/>
  <c r="B134" i="4" a="1"/>
  <c r="B134" i="4" s="1"/>
  <c r="C134" i="4" s="1"/>
  <c r="B73" i="4" a="1"/>
  <c r="B73" i="4" s="1"/>
  <c r="C73" i="4" s="1"/>
  <c r="B9" i="4" a="1"/>
  <c r="B9" i="4" s="1"/>
  <c r="C9" i="4" s="1"/>
  <c r="B244" i="4" a="1"/>
  <c r="B244" i="4" s="1"/>
  <c r="C244" i="4" s="1"/>
  <c r="B182" i="4" a="1"/>
  <c r="B182" i="4" s="1"/>
  <c r="C182" i="4" s="1"/>
  <c r="B126" i="4" a="1"/>
  <c r="B126" i="4" s="1"/>
  <c r="C126" i="4" s="1"/>
  <c r="B72" i="4" a="1"/>
  <c r="B72" i="4" s="1"/>
  <c r="C72" i="4" s="1"/>
  <c r="B329" i="4" a="1"/>
  <c r="B329" i="4" s="1"/>
  <c r="C329" i="4" s="1"/>
  <c r="B265" i="4" a="1"/>
  <c r="B265" i="4" s="1"/>
  <c r="C265" i="4" s="1"/>
  <c r="B202" i="4" a="1"/>
  <c r="B202" i="4" s="1"/>
  <c r="C202" i="4" s="1"/>
  <c r="B148" i="4" a="1"/>
  <c r="B148" i="4" s="1"/>
  <c r="C148" i="4" s="1"/>
  <c r="B78" i="4" a="1"/>
  <c r="B78" i="4" s="1"/>
  <c r="C78" i="4" s="1"/>
  <c r="B22" i="4" a="1"/>
  <c r="B22" i="4" s="1"/>
  <c r="C22" i="4" s="1"/>
  <c r="B286" i="4" a="1"/>
  <c r="B286" i="4" s="1"/>
  <c r="C286" i="4" s="1"/>
  <c r="B264" i="4" a="1"/>
  <c r="B264" i="4" s="1"/>
  <c r="C264" i="4" s="1"/>
  <c r="B194" i="4" a="1"/>
  <c r="B194" i="4" s="1"/>
  <c r="C194" i="4" s="1"/>
  <c r="B103" i="4" a="1"/>
  <c r="B103" i="4" s="1"/>
  <c r="C103" i="4" s="1"/>
  <c r="B43" i="4" a="1"/>
  <c r="B43" i="4" s="1"/>
  <c r="C43" i="4" s="1"/>
  <c r="B292" i="4" a="1"/>
  <c r="B292" i="4" s="1"/>
  <c r="C292" i="4" s="1"/>
  <c r="B234" i="4" a="1"/>
  <c r="B234" i="4" s="1"/>
  <c r="C234" i="4" s="1"/>
  <c r="B180" i="4" a="1"/>
  <c r="B180" i="4" s="1"/>
  <c r="C180" i="4" s="1"/>
  <c r="B124" i="4" a="1"/>
  <c r="B124" i="4" s="1"/>
  <c r="C124" i="4" s="1"/>
  <c r="B54" i="4" a="1"/>
  <c r="B54" i="4" s="1"/>
  <c r="C54" i="4" s="1"/>
  <c r="B319" i="4" a="1"/>
  <c r="B319" i="4" s="1"/>
  <c r="C319" i="4" s="1"/>
  <c r="B269" i="4" a="1"/>
  <c r="B269" i="4" s="1"/>
  <c r="C269" i="4" s="1"/>
  <c r="B212" i="4" a="1"/>
  <c r="B212" i="4" s="1"/>
  <c r="C212" i="4" s="1"/>
  <c r="B137" i="4" a="1"/>
  <c r="B137" i="4" s="1"/>
  <c r="C137" i="4" s="1"/>
  <c r="B75" i="4" a="1"/>
  <c r="B75" i="4" s="1"/>
  <c r="C75" i="4" s="1"/>
  <c r="B19" i="4" a="1"/>
  <c r="B19" i="4" s="1"/>
  <c r="C19" i="4" s="1"/>
  <c r="B297" i="4" a="1"/>
  <c r="B297" i="4" s="1"/>
  <c r="C297" i="4" s="1"/>
  <c r="B232" i="4" a="1"/>
  <c r="B232" i="4" s="1"/>
  <c r="C232" i="4" s="1"/>
  <c r="B165" i="4" a="1"/>
  <c r="B165" i="4" s="1"/>
  <c r="C165" i="4" s="1"/>
  <c r="B108" i="4" a="1"/>
  <c r="B108" i="4" s="1"/>
  <c r="C108" i="4" s="1"/>
  <c r="B33" i="4" a="1"/>
  <c r="B33" i="4" s="1"/>
  <c r="C33" i="4" s="1"/>
  <c r="B296" i="4" a="1"/>
  <c r="B296" i="4" s="1"/>
  <c r="C296" i="4" s="1"/>
  <c r="B231" i="4" a="1"/>
  <c r="B231" i="4" s="1"/>
  <c r="C231" i="4" s="1"/>
  <c r="B177" i="4" a="1"/>
  <c r="B177" i="4" s="1"/>
  <c r="C177" i="4" s="1"/>
  <c r="B121" i="4" a="1"/>
  <c r="B121" i="4" s="1"/>
  <c r="C121" i="4" s="1"/>
  <c r="B52" i="4" a="1"/>
  <c r="B52" i="4" s="1"/>
  <c r="C52" i="4" s="1"/>
  <c r="B120" i="4" a="1"/>
  <c r="B120" i="4" s="1"/>
  <c r="C120" i="4" s="1"/>
  <c r="B65" i="4" a="1"/>
  <c r="B65" i="4" s="1"/>
  <c r="C65" i="4" s="1"/>
  <c r="B336" i="4" a="1"/>
  <c r="B336" i="4" s="1"/>
  <c r="C336" i="4" s="1"/>
  <c r="B237" i="4" a="1"/>
  <c r="B237" i="4" s="1"/>
  <c r="C237" i="4" s="1"/>
  <c r="B175" i="4" a="1"/>
  <c r="B175" i="4" s="1"/>
  <c r="C175" i="4" s="1"/>
  <c r="B119" i="4" a="1"/>
  <c r="B119" i="4" s="1"/>
  <c r="C119" i="4" s="1"/>
  <c r="B64" i="4" a="1"/>
  <c r="B64" i="4" s="1"/>
  <c r="C64" i="4" s="1"/>
  <c r="B294" i="4" a="1"/>
  <c r="B294" i="4" s="1"/>
  <c r="C294" i="4" s="1"/>
  <c r="B258" i="4" a="1"/>
  <c r="B258" i="4" s="1"/>
  <c r="C258" i="4" s="1"/>
  <c r="B195" i="4" a="1"/>
  <c r="B195" i="4" s="1"/>
  <c r="C195" i="4" s="1"/>
  <c r="B140" i="4" a="1"/>
  <c r="B140" i="4" s="1"/>
  <c r="C140" i="4" s="1"/>
  <c r="B71" i="4" a="1"/>
  <c r="B71" i="4" s="1"/>
  <c r="C71" i="4" s="1"/>
  <c r="B14" i="4" a="1"/>
  <c r="B14" i="4" s="1"/>
  <c r="C14" i="4" s="1"/>
  <c r="B334" i="4" a="1"/>
  <c r="B334" i="4" s="1"/>
  <c r="C334" i="4" s="1"/>
  <c r="B257" i="4" a="1"/>
  <c r="B257" i="4" s="1"/>
  <c r="C257" i="4" s="1"/>
  <c r="B167" i="4" a="1"/>
  <c r="B167" i="4" s="1"/>
  <c r="C167" i="4" s="1"/>
  <c r="B97" i="4" a="1"/>
  <c r="B97" i="4" s="1"/>
  <c r="C97" i="4" s="1"/>
  <c r="B36" i="4" a="1"/>
  <c r="B36" i="4" s="1"/>
  <c r="C36" i="4" s="1"/>
  <c r="B285" i="4" a="1"/>
  <c r="B285" i="4" s="1"/>
  <c r="C285" i="4" s="1"/>
  <c r="B228" i="4" a="1"/>
  <c r="B228" i="4" s="1"/>
  <c r="C228" i="4" s="1"/>
  <c r="B173" i="4" a="1"/>
  <c r="B173" i="4" s="1"/>
  <c r="C173" i="4" s="1"/>
  <c r="B117" i="4" a="1"/>
  <c r="B117" i="4" s="1"/>
  <c r="C117" i="4" s="1"/>
  <c r="B48" i="4" a="1"/>
  <c r="B48" i="4" s="1"/>
  <c r="C48" i="4" s="1"/>
  <c r="B325" i="4" a="1"/>
  <c r="B325" i="4" s="1"/>
  <c r="C325" i="4" s="1"/>
  <c r="B262" i="4" a="1"/>
  <c r="B262" i="4" s="1"/>
  <c r="C262" i="4" s="1"/>
  <c r="B199" i="4" a="1"/>
  <c r="B199" i="4" s="1"/>
  <c r="C199" i="4" s="1"/>
  <c r="B129" i="4" a="1"/>
  <c r="B129" i="4" s="1"/>
  <c r="C129" i="4" s="1"/>
  <c r="B68" i="4" a="1"/>
  <c r="B68" i="4" s="1"/>
  <c r="C68" i="4" s="1"/>
  <c r="B11" i="4" a="1"/>
  <c r="B11" i="4" s="1"/>
  <c r="C11" i="4" s="1"/>
  <c r="B290" i="4" a="1"/>
  <c r="B290" i="4" s="1"/>
  <c r="C290" i="4" s="1"/>
  <c r="B226" i="4" a="1"/>
  <c r="B226" i="4" s="1"/>
  <c r="C226" i="4" s="1"/>
  <c r="B158" i="4" a="1"/>
  <c r="B158" i="4" s="1"/>
  <c r="C158" i="4" s="1"/>
  <c r="B95" i="4" a="1"/>
  <c r="B95" i="4" s="1"/>
  <c r="C95" i="4" s="1"/>
  <c r="B26" i="4" a="1"/>
  <c r="B26" i="4" s="1"/>
  <c r="C26" i="4" s="1"/>
  <c r="B289" i="4" a="1"/>
  <c r="B289" i="4" s="1"/>
  <c r="C289" i="4" s="1"/>
  <c r="B225" i="4" a="1"/>
  <c r="B225" i="4" s="1"/>
  <c r="C225" i="4" s="1"/>
  <c r="B171" i="4" a="1"/>
  <c r="B171" i="4" s="1"/>
  <c r="C171" i="4" s="1"/>
  <c r="B114" i="4" a="1"/>
  <c r="B114" i="4" s="1"/>
  <c r="C114" i="4" s="1"/>
  <c r="B46" i="4" a="1"/>
  <c r="B46" i="4" s="1"/>
  <c r="C46" i="4" s="1"/>
  <c r="B282" i="4" a="1"/>
  <c r="B282" i="4" s="1"/>
  <c r="C282" i="4" s="1"/>
  <c r="B330" i="4" a="1"/>
  <c r="B330" i="4" s="1"/>
  <c r="C330" i="4" s="1"/>
  <c r="B210" i="4" a="1"/>
  <c r="B210" i="4" s="1"/>
  <c r="C210" i="4" s="1"/>
  <c r="B58" i="4" a="1"/>
  <c r="B58" i="4" s="1"/>
  <c r="C58" i="4" s="1"/>
  <c r="B301" i="4" a="1"/>
  <c r="B301" i="4" s="1"/>
  <c r="C301" i="4" s="1"/>
  <c r="B223" i="4" a="1"/>
  <c r="B223" i="4" s="1"/>
  <c r="C223" i="4" s="1"/>
  <c r="B169" i="4" a="1"/>
  <c r="B169" i="4" s="1"/>
  <c r="C169" i="4" s="1"/>
  <c r="B112" i="4" a="1"/>
  <c r="B112" i="4" s="1"/>
  <c r="C112" i="4" s="1"/>
  <c r="B57" i="4" a="1"/>
  <c r="B57" i="4" s="1"/>
  <c r="C57" i="4" s="1"/>
  <c r="B335" i="4" a="1"/>
  <c r="B335" i="4" s="1"/>
  <c r="C335" i="4" s="1"/>
  <c r="B251" i="4" a="1"/>
  <c r="B251" i="4" s="1"/>
  <c r="C251" i="4" s="1"/>
  <c r="B188" i="4" a="1"/>
  <c r="B188" i="4" s="1"/>
  <c r="C188" i="4" s="1"/>
  <c r="B132" i="4" a="1"/>
  <c r="B132" i="4" s="1"/>
  <c r="C132" i="4" s="1"/>
  <c r="B63" i="4" a="1"/>
  <c r="B63" i="4" s="1"/>
  <c r="C63" i="4" s="1"/>
  <c r="B7" i="4" a="1"/>
  <c r="B7" i="4" s="1"/>
  <c r="C7" i="4" s="1"/>
  <c r="B327" i="4" a="1"/>
  <c r="B327" i="4" s="1"/>
  <c r="C327" i="4" s="1"/>
  <c r="B250" i="4" a="1"/>
  <c r="B250" i="4" s="1"/>
  <c r="C250" i="4" s="1"/>
  <c r="B160" i="4" a="1"/>
  <c r="B160" i="4" s="1"/>
  <c r="C160" i="4" s="1"/>
  <c r="B92" i="4" a="1"/>
  <c r="B92" i="4" s="1"/>
  <c r="C92" i="4" s="1"/>
  <c r="B29" i="4" a="1"/>
  <c r="B29" i="4" s="1"/>
  <c r="C29" i="4" s="1"/>
  <c r="B278" i="4" a="1"/>
  <c r="B278" i="4" s="1"/>
  <c r="C278" i="4" s="1"/>
  <c r="B221" i="4" a="1"/>
  <c r="B221" i="4" s="1"/>
  <c r="C221" i="4" s="1"/>
  <c r="B166" i="4" a="1"/>
  <c r="B166" i="4" s="1"/>
  <c r="C166" i="4" s="1"/>
  <c r="B109" i="4" a="1"/>
  <c r="B109" i="4" s="1"/>
  <c r="C109" i="4" s="1"/>
  <c r="B42" i="4" a="1"/>
  <c r="B42" i="4" s="1"/>
  <c r="C42" i="4" s="1"/>
  <c r="B318" i="4" a="1"/>
  <c r="B318" i="4" s="1"/>
  <c r="C318" i="4" s="1"/>
  <c r="B255" i="4" a="1"/>
  <c r="B255" i="4" s="1"/>
  <c r="C255" i="4" s="1"/>
  <c r="B192" i="4" a="1"/>
  <c r="B192" i="4" s="1"/>
  <c r="C192" i="4" s="1"/>
  <c r="B123" i="4" a="1"/>
  <c r="B123" i="4" s="1"/>
  <c r="C123" i="4" s="1"/>
  <c r="B61" i="4" a="1"/>
  <c r="B61" i="4" s="1"/>
  <c r="C61" i="4" s="1"/>
  <c r="B5" i="4" a="1"/>
  <c r="B5" i="4" s="1"/>
  <c r="C5" i="4" s="1"/>
  <c r="B284" i="4" a="1"/>
  <c r="B284" i="4" s="1"/>
  <c r="C284" i="4" s="1"/>
  <c r="B219" i="4" a="1"/>
  <c r="B219" i="4" s="1"/>
  <c r="C219" i="4" s="1"/>
  <c r="B151" i="4" a="1"/>
  <c r="B151" i="4" s="1"/>
  <c r="C151" i="4" s="1"/>
  <c r="B89" i="4" a="1"/>
  <c r="B89" i="4" s="1"/>
  <c r="C89" i="4" s="1"/>
  <c r="B18" i="4" a="1"/>
  <c r="B18" i="4" s="1"/>
  <c r="C18" i="4" s="1"/>
  <c r="B283" i="4" a="1"/>
  <c r="B283" i="4" s="1"/>
  <c r="C283" i="4" s="1"/>
  <c r="B218" i="4" a="1"/>
  <c r="B218" i="4" s="1"/>
  <c r="C218" i="4" s="1"/>
  <c r="B164" i="4" a="1"/>
  <c r="B164" i="4" s="1"/>
  <c r="C164" i="4" s="1"/>
  <c r="B107" i="4" a="1"/>
  <c r="B107" i="4" s="1"/>
  <c r="C107" i="4" s="1"/>
  <c r="B39" i="4" a="1"/>
  <c r="B39" i="4" s="1"/>
  <c r="C39" i="4" s="1"/>
  <c r="B217" i="4" a="1"/>
  <c r="B217" i="4" s="1"/>
  <c r="C217" i="4" s="1"/>
  <c r="B274" i="4" a="1"/>
  <c r="B274" i="4" s="1"/>
  <c r="C274" i="4" s="1"/>
  <c r="B113" i="4" a="1"/>
  <c r="B113" i="4" s="1"/>
  <c r="C113" i="4" s="1"/>
  <c r="B323" i="4" a="1"/>
  <c r="B323" i="4" s="1"/>
  <c r="C323" i="4" s="1"/>
  <c r="B267" i="4" a="1"/>
  <c r="B267" i="4" s="1"/>
  <c r="C267" i="4" s="1"/>
  <c r="B183" i="4" a="1"/>
  <c r="B183" i="4" s="1"/>
  <c r="C183" i="4" s="1"/>
  <c r="B106" i="4" a="1"/>
  <c r="B106" i="4" s="1"/>
  <c r="C106" i="4" s="1"/>
  <c r="B51" i="4" a="1"/>
  <c r="B51" i="4" s="1"/>
  <c r="C51" i="4" s="1"/>
  <c r="B281" i="4" a="1"/>
  <c r="B281" i="4" s="1"/>
  <c r="C281" i="4" s="1"/>
  <c r="B216" i="4" a="1"/>
  <c r="B216" i="4" s="1"/>
  <c r="C216" i="4" s="1"/>
  <c r="B162" i="4" a="1"/>
  <c r="B162" i="4" s="1"/>
  <c r="C162" i="4" s="1"/>
  <c r="B105" i="4" a="1"/>
  <c r="B105" i="4" s="1"/>
  <c r="C105" i="4" s="1"/>
  <c r="B38" i="4" a="1"/>
  <c r="B38" i="4" s="1"/>
  <c r="C38" i="4" s="1"/>
  <c r="B321" i="4" a="1"/>
  <c r="B321" i="4" s="1"/>
  <c r="C321" i="4" s="1"/>
  <c r="B236" i="4" a="1"/>
  <c r="B236" i="4" s="1"/>
  <c r="C236" i="4" s="1"/>
  <c r="B181" i="4" a="1"/>
  <c r="B181" i="4" s="1"/>
  <c r="C181" i="4" s="1"/>
  <c r="B125" i="4" a="1"/>
  <c r="B125" i="4" s="1"/>
  <c r="C125" i="4" s="1"/>
  <c r="B56" i="4" a="1"/>
  <c r="B56" i="4" s="1"/>
  <c r="C56" i="4" s="1"/>
  <c r="B322" i="4" a="1"/>
  <c r="B322" i="4" s="1"/>
  <c r="C322" i="4" s="1"/>
  <c r="B320" i="4" a="1"/>
  <c r="B320" i="4" s="1"/>
  <c r="C320" i="4" s="1"/>
  <c r="B243" i="4" a="1"/>
  <c r="B243" i="4" s="1"/>
  <c r="C243" i="4" s="1"/>
  <c r="B154" i="4" a="1"/>
  <c r="B154" i="4" s="1"/>
  <c r="C154" i="4" s="1"/>
  <c r="B85" i="4" a="1"/>
  <c r="B85" i="4" s="1"/>
  <c r="C85" i="4" s="1"/>
  <c r="B21" i="4" a="1"/>
  <c r="B21" i="4" s="1"/>
  <c r="C21" i="4" s="1"/>
  <c r="B270" i="4" a="1"/>
  <c r="B270" i="4" s="1"/>
  <c r="C270" i="4" s="1"/>
  <c r="B213" i="4" a="1"/>
  <c r="B213" i="4" s="1"/>
  <c r="C213" i="4" s="1"/>
  <c r="B159" i="4" a="1"/>
  <c r="B159" i="4" s="1"/>
  <c r="C159" i="4" s="1"/>
  <c r="B91" i="4" a="1"/>
  <c r="B91" i="4" s="1"/>
  <c r="C91" i="4" s="1"/>
  <c r="B35" i="4" a="1"/>
  <c r="B35" i="4" s="1"/>
  <c r="C35" i="4" s="1"/>
  <c r="B312" i="4" a="1"/>
  <c r="B312" i="4" s="1"/>
  <c r="C312" i="4" s="1"/>
  <c r="B248" i="4" a="1"/>
  <c r="B248" i="4" s="1"/>
  <c r="C248" i="4" s="1"/>
  <c r="B186" i="4" a="1"/>
  <c r="B186" i="4" s="1"/>
  <c r="C186" i="4" s="1"/>
  <c r="B116" i="4" a="1"/>
  <c r="B116" i="4" s="1"/>
  <c r="C116" i="4" s="1"/>
  <c r="B53" i="4" a="1"/>
  <c r="B53" i="4" s="1"/>
  <c r="C53" i="4" s="1"/>
  <c r="B333" i="4" a="1"/>
  <c r="B333" i="4" s="1"/>
  <c r="C333" i="4" s="1"/>
  <c r="B276" i="4" a="1"/>
  <c r="B276" i="4" s="1"/>
  <c r="C276" i="4" s="1"/>
  <c r="B205" i="4" a="1"/>
  <c r="B205" i="4" s="1"/>
  <c r="C205" i="4" s="1"/>
  <c r="B144" i="4" a="1"/>
  <c r="B144" i="4" s="1"/>
  <c r="C144" i="4" s="1"/>
  <c r="B82" i="4" a="1"/>
  <c r="B82" i="4" s="1"/>
  <c r="C82" i="4" s="1"/>
  <c r="B4" i="4" a="1"/>
  <c r="B4" i="4" s="1"/>
  <c r="C4" i="4" s="1"/>
  <c r="B275" i="4" a="1"/>
  <c r="B275" i="4" s="1"/>
  <c r="C275" i="4" s="1"/>
  <c r="B211" i="4" a="1"/>
  <c r="B211" i="4" s="1"/>
  <c r="C211" i="4" s="1"/>
  <c r="B157" i="4" a="1"/>
  <c r="B157" i="4" s="1"/>
  <c r="C157" i="4" s="1"/>
  <c r="B101" i="4" a="1"/>
  <c r="B101" i="4" s="1"/>
  <c r="C101" i="4" s="1"/>
  <c r="B25" i="4" a="1"/>
  <c r="B25" i="4" s="1"/>
  <c r="C25" i="4" s="1"/>
  <c r="B260" i="4" a="1"/>
  <c r="B260" i="4" s="1"/>
  <c r="C260" i="4" s="1"/>
  <c r="B176" i="4" a="1"/>
  <c r="B176" i="4" s="1"/>
  <c r="C176" i="4" s="1"/>
  <c r="B100" i="4" a="1"/>
  <c r="B100" i="4" s="1"/>
  <c r="C100" i="4" s="1"/>
  <c r="B45" i="4" a="1"/>
  <c r="B45" i="4" s="1"/>
  <c r="C45" i="4" s="1"/>
  <c r="B273" i="4" a="1"/>
  <c r="B273" i="4" s="1"/>
  <c r="C273" i="4" s="1"/>
  <c r="B209" i="4" a="1"/>
  <c r="B209" i="4" s="1"/>
  <c r="C209" i="4" s="1"/>
  <c r="B156" i="4" a="1"/>
  <c r="B156" i="4" s="1"/>
  <c r="C156" i="4" s="1"/>
  <c r="B99" i="4" a="1"/>
  <c r="B99" i="4" s="1"/>
  <c r="C99" i="4" s="1"/>
  <c r="B31" i="4" a="1"/>
  <c r="B31" i="4" s="1"/>
  <c r="C31" i="4" s="1"/>
  <c r="B308" i="4" a="1"/>
  <c r="B308" i="4" s="1"/>
  <c r="C308" i="4" s="1"/>
  <c r="B229" i="4" a="1"/>
  <c r="B229" i="4" s="1"/>
  <c r="C229" i="4" s="1"/>
  <c r="B174" i="4" a="1"/>
  <c r="B174" i="4" s="1"/>
  <c r="C174" i="4" s="1"/>
  <c r="B118" i="4" a="1"/>
  <c r="B118" i="4" s="1"/>
  <c r="C118" i="4" s="1"/>
  <c r="B50" i="4" a="1"/>
  <c r="B50" i="4" s="1"/>
  <c r="C50" i="4" s="1"/>
  <c r="B287" i="4" a="1"/>
  <c r="B287" i="4" s="1"/>
  <c r="C287" i="4" s="1"/>
  <c r="B314" i="4" a="1"/>
  <c r="B314" i="4" s="1"/>
  <c r="C314" i="4" s="1"/>
  <c r="B235" i="4" a="1"/>
  <c r="B235" i="4" s="1"/>
  <c r="C235" i="4" s="1"/>
  <c r="B147" i="4" a="1"/>
  <c r="B147" i="4" s="1"/>
  <c r="C147" i="4" s="1"/>
  <c r="B77" i="4" a="1"/>
  <c r="B77" i="4" s="1"/>
  <c r="C77" i="4" s="1"/>
  <c r="B13" i="4" a="1"/>
  <c r="B13" i="4" s="1"/>
  <c r="C13" i="4" s="1"/>
  <c r="B263" i="4" a="1"/>
  <c r="B263" i="4" s="1"/>
  <c r="C263" i="4" s="1"/>
  <c r="B206" i="4" a="1"/>
  <c r="B206" i="4" s="1"/>
  <c r="C206" i="4" s="1"/>
  <c r="B153" i="4" a="1"/>
  <c r="B153" i="4" s="1"/>
  <c r="C153" i="4" s="1"/>
  <c r="B84" i="4" a="1"/>
  <c r="B84" i="4" s="1"/>
  <c r="C84" i="4" s="1"/>
  <c r="B28" i="4" a="1"/>
  <c r="B28" i="4" s="1"/>
  <c r="C28" i="4" s="1"/>
  <c r="B305" i="4" a="1"/>
  <c r="B305" i="4" s="1"/>
  <c r="C305" i="4" s="1"/>
  <c r="B241" i="4" a="1"/>
  <c r="B241" i="4" s="1"/>
  <c r="C241" i="4" s="1"/>
  <c r="B179" i="4" a="1"/>
  <c r="B179" i="4" s="1"/>
  <c r="C179" i="4" s="1"/>
  <c r="B102" i="4" a="1"/>
  <c r="B102" i="4" s="1"/>
  <c r="C102" i="4" s="1"/>
  <c r="B47" i="4" a="1"/>
  <c r="B47" i="4" s="1"/>
  <c r="C47" i="4" s="1"/>
  <c r="B2" i="4" a="1"/>
  <c r="B2" i="4" s="1"/>
  <c r="C2" i="4" s="1"/>
  <c r="B268" i="4" a="1"/>
  <c r="B268" i="4" s="1"/>
  <c r="C268" i="4" s="1"/>
  <c r="B198" i="4" a="1"/>
  <c r="B198" i="4" s="1"/>
  <c r="C198" i="4" s="1"/>
  <c r="B136" i="4" a="1"/>
  <c r="B136" i="4" s="1"/>
  <c r="C136" i="4" s="1"/>
  <c r="B74" i="4" a="1"/>
  <c r="B74" i="4" s="1"/>
  <c r="C74" i="4" s="1"/>
  <c r="B326" i="4" a="1"/>
  <c r="B326" i="4" s="1"/>
  <c r="C326" i="4" s="1"/>
  <c r="B261" i="4" a="1"/>
  <c r="B261" i="4" s="1"/>
  <c r="C261" i="4" s="1"/>
  <c r="B204" i="4" a="1"/>
  <c r="B204" i="4" s="1"/>
  <c r="C204" i="4" s="1"/>
  <c r="B150" i="4" a="1"/>
  <c r="B150" i="4" s="1"/>
  <c r="C150" i="4" s="1"/>
  <c r="B88" i="4" a="1"/>
  <c r="B88" i="4" s="1"/>
  <c r="C88" i="4" s="1"/>
  <c r="B17" i="4" a="1"/>
  <c r="B17" i="4" s="1"/>
  <c r="C17" i="4" s="1"/>
  <c r="B170" i="4" a="1"/>
  <c r="B170" i="4" s="1"/>
  <c r="C170" i="4" s="1"/>
  <c r="B94" i="4" a="1"/>
  <c r="B94" i="4" s="1"/>
  <c r="C94" i="4" s="1"/>
  <c r="B32" i="4" a="1"/>
  <c r="B32" i="4" s="1"/>
  <c r="C32" i="4" s="1"/>
  <c r="B266" i="4" a="1"/>
  <c r="B266" i="4" s="1"/>
  <c r="C266" i="4" s="1"/>
  <c r="B203" i="4" a="1"/>
  <c r="B203" i="4" s="1"/>
  <c r="C203" i="4" s="1"/>
  <c r="B149" i="4" a="1"/>
  <c r="B149" i="4" s="1"/>
  <c r="C149" i="4" s="1"/>
  <c r="B93" i="4" a="1"/>
  <c r="B93" i="4" s="1"/>
  <c r="C93" i="4" s="1"/>
  <c r="B23" i="4" a="1"/>
  <c r="B23" i="4" s="1"/>
  <c r="C23" i="4" s="1"/>
  <c r="B293" i="4" a="1"/>
  <c r="B293" i="4" s="1"/>
  <c r="C293" i="4" s="1"/>
  <c r="B222" i="4" a="1"/>
  <c r="B222" i="4" s="1"/>
  <c r="C222" i="4" s="1"/>
  <c r="B168" i="4" a="1"/>
  <c r="B168" i="4" s="1"/>
  <c r="C168" i="4" s="1"/>
  <c r="B111" i="4" a="1"/>
  <c r="B111" i="4" s="1"/>
  <c r="C111" i="4" s="1"/>
  <c r="B44" i="4" a="1"/>
  <c r="B44" i="4" s="1"/>
  <c r="C44" i="4" s="1"/>
  <c r="B328" i="4" a="1"/>
  <c r="B328" i="4" s="1"/>
  <c r="C328" i="4" s="1"/>
  <c r="B307" i="4" a="1"/>
  <c r="B307" i="4" s="1"/>
  <c r="C307" i="4" s="1"/>
  <c r="B214" i="4" a="1"/>
  <c r="B214" i="4" s="1"/>
  <c r="C214" i="4" s="1"/>
  <c r="B139" i="4" a="1"/>
  <c r="B139" i="4" s="1"/>
  <c r="C139" i="4" s="1"/>
  <c r="B70" i="4" a="1"/>
  <c r="B70" i="4" s="1"/>
  <c r="C70" i="4" s="1"/>
  <c r="B313" i="4" a="1"/>
  <c r="B313" i="4" s="1"/>
  <c r="C313" i="4" s="1"/>
  <c r="B256" i="4" a="1"/>
  <c r="B256" i="4" s="1"/>
  <c r="C256" i="4" s="1"/>
  <c r="B200" i="4" a="1"/>
  <c r="B200" i="4" s="1"/>
  <c r="C200" i="4" s="1"/>
  <c r="B146" i="4" a="1"/>
  <c r="B146" i="4" s="1"/>
  <c r="C146" i="4" s="1"/>
  <c r="B76" i="4" a="1"/>
  <c r="B76" i="4" s="1"/>
  <c r="C76" i="4" s="1"/>
  <c r="B20" i="4" a="1"/>
  <c r="B20" i="4" s="1"/>
  <c r="C20" i="4" s="1"/>
  <c r="B298" i="4" a="1"/>
  <c r="B298" i="4" s="1"/>
  <c r="C298" i="4" s="1"/>
  <c r="B233" i="4" a="1"/>
  <c r="B233" i="4" s="1"/>
  <c r="C233" i="4" s="1"/>
  <c r="B172" i="4" a="1"/>
  <c r="B172" i="4" s="1"/>
  <c r="C172" i="4" s="1"/>
  <c r="B96" i="4" a="1"/>
  <c r="B96" i="4" s="1"/>
  <c r="C96" i="4" s="1"/>
  <c r="B41" i="4" a="1"/>
  <c r="B41" i="4" s="1"/>
  <c r="C41" i="4" s="1"/>
  <c r="B332" i="4" a="1"/>
  <c r="B332" i="4" s="1"/>
  <c r="C332" i="4" s="1"/>
  <c r="B254" i="4" a="1"/>
  <c r="B254" i="4" s="1"/>
  <c r="C254" i="4" s="1"/>
  <c r="B191" i="4" a="1"/>
  <c r="B191" i="4" s="1"/>
  <c r="C191" i="4" s="1"/>
  <c r="B128" i="4" a="1"/>
  <c r="B128" i="4" s="1"/>
  <c r="C128" i="4" s="1"/>
  <c r="B67" i="4" a="1"/>
  <c r="B67" i="4" s="1"/>
  <c r="C67" i="4" s="1"/>
  <c r="B331" i="4" a="1"/>
  <c r="B331" i="4" s="1"/>
  <c r="C331" i="4" s="1"/>
  <c r="B253" i="4" a="1"/>
  <c r="B253" i="4" s="1"/>
  <c r="C253" i="4" s="1"/>
  <c r="B197" i="4" a="1"/>
  <c r="B197" i="4" s="1"/>
  <c r="C197" i="4" s="1"/>
  <c r="B143" i="4" a="1"/>
  <c r="B143" i="4" s="1"/>
  <c r="C143" i="4" s="1"/>
  <c r="B81" i="4" a="1"/>
  <c r="B81" i="4" s="1"/>
  <c r="C81" i="4" s="1"/>
  <c r="B10" i="4" a="1"/>
  <c r="B10" i="4" s="1"/>
  <c r="C10" i="4" s="1"/>
  <c r="B238" i="4" a="1"/>
  <c r="B238" i="4" s="1"/>
  <c r="C238" i="4" s="1"/>
  <c r="B163" i="4" a="1"/>
  <c r="B163" i="4" s="1"/>
  <c r="C163" i="4" s="1"/>
  <c r="B87" i="4" a="1"/>
  <c r="B87" i="4" s="1"/>
  <c r="C87" i="4" s="1"/>
  <c r="B24" i="4" a="1"/>
  <c r="B24" i="4" s="1"/>
  <c r="C24" i="4" s="1"/>
  <c r="B259" i="4" a="1"/>
  <c r="B259" i="4" s="1"/>
  <c r="C259" i="4" s="1"/>
  <c r="B196" i="4" a="1"/>
  <c r="B196" i="4" s="1"/>
  <c r="C196" i="4" s="1"/>
  <c r="B141" i="4" a="1"/>
  <c r="B141" i="4" s="1"/>
  <c r="C141" i="4" s="1"/>
  <c r="B86" i="4" a="1"/>
  <c r="B86" i="4" s="1"/>
  <c r="C86" i="4" s="1"/>
  <c r="B15" i="4" a="1"/>
  <c r="B15" i="4" s="1"/>
  <c r="C15" i="4" s="1"/>
  <c r="B280" i="4" a="1"/>
  <c r="B280" i="4" s="1"/>
  <c r="C280" i="4" s="1"/>
  <c r="B215" i="4" a="1"/>
  <c r="B215" i="4" s="1"/>
  <c r="C215" i="4" s="1"/>
  <c r="B161" i="4" a="1"/>
  <c r="B161" i="4" s="1"/>
  <c r="C161" i="4" s="1"/>
  <c r="B104" i="4" a="1"/>
  <c r="B104" i="4" s="1"/>
  <c r="C104" i="4" s="1"/>
  <c r="B37" i="4" a="1"/>
  <c r="B37" i="4" s="1"/>
  <c r="C37" i="4" s="1"/>
  <c r="B315" i="4" a="1"/>
  <c r="B315" i="4" s="1"/>
  <c r="C315" i="4" s="1"/>
  <c r="B279" i="4" a="1"/>
  <c r="B279" i="4" s="1"/>
  <c r="C279" i="4" s="1"/>
  <c r="B207" i="4" a="1"/>
  <c r="B207" i="4" s="1"/>
  <c r="C207" i="4" s="1"/>
  <c r="B131" i="4" a="1"/>
  <c r="B131" i="4" s="1"/>
  <c r="C131" i="4" s="1"/>
  <c r="B55" i="4" a="1"/>
  <c r="B55" i="4" s="1"/>
  <c r="C55" i="4" s="1"/>
  <c r="B306" i="4" a="1"/>
  <c r="B306" i="4" s="1"/>
  <c r="C306" i="4" s="1"/>
  <c r="B249" i="4" a="1"/>
  <c r="B249" i="4" s="1"/>
  <c r="C249" i="4" s="1"/>
  <c r="B193" i="4" a="1"/>
  <c r="B193" i="4" s="1"/>
  <c r="C193" i="4" s="1"/>
  <c r="B138" i="4" a="1"/>
  <c r="B138" i="4" s="1"/>
  <c r="C138" i="4" s="1"/>
  <c r="B69" i="4" a="1"/>
  <c r="B69" i="4" s="1"/>
  <c r="C69" i="4" s="1"/>
  <c r="B12" i="4" a="1"/>
  <c r="B12" i="4" s="1"/>
  <c r="C12" i="4" s="1"/>
  <c r="B291" i="4" a="1"/>
  <c r="B291" i="4" s="1"/>
  <c r="C291" i="4" s="1"/>
  <c r="B227" i="4" a="1"/>
  <c r="B227" i="4" s="1"/>
  <c r="C227" i="4" s="1"/>
  <c r="B152" i="4" a="1"/>
  <c r="B152" i="4" s="1"/>
  <c r="C152" i="4" s="1"/>
  <c r="B90" i="4" a="1"/>
  <c r="B90" i="4" s="1"/>
  <c r="C90" i="4" s="1"/>
  <c r="B34" i="4" a="1"/>
  <c r="B34" i="4" s="1"/>
  <c r="C34" i="4" s="1"/>
  <c r="B311" i="4" a="1"/>
  <c r="B311" i="4" s="1"/>
  <c r="C311" i="4" s="1"/>
  <c r="B247" i="4" a="1"/>
  <c r="B247" i="4" s="1"/>
  <c r="C247" i="4" s="1"/>
  <c r="B185" i="4" a="1"/>
  <c r="B185" i="4" s="1"/>
  <c r="C185" i="4" s="1"/>
  <c r="B122" i="4" a="1"/>
  <c r="B122" i="4" s="1"/>
  <c r="C122" i="4" s="1"/>
  <c r="B60" i="4" a="1"/>
  <c r="B60" i="4" s="1"/>
  <c r="C60" i="4" s="1"/>
  <c r="B317" i="4" a="1"/>
  <c r="B317" i="4" s="1"/>
  <c r="C317" i="4" s="1"/>
  <c r="B246" i="4" a="1"/>
  <c r="B246" i="4" s="1"/>
  <c r="C246" i="4" s="1"/>
  <c r="B190" i="4" a="1"/>
  <c r="B190" i="4" s="1"/>
  <c r="C190" i="4" s="1"/>
  <c r="B135" i="4" a="1"/>
  <c r="B135" i="4" s="1"/>
  <c r="C135" i="4" s="1"/>
  <c r="B66" i="4" a="1"/>
  <c r="B66" i="4" s="1"/>
  <c r="C66" i="4" s="1"/>
  <c r="E2" i="3" l="1"/>
  <c r="F2" i="3" s="1"/>
  <c r="D122" i="4"/>
  <c r="D138" i="4"/>
  <c r="D315" i="4"/>
  <c r="D141" i="4"/>
  <c r="D81" i="4"/>
  <c r="D254" i="4"/>
  <c r="D76" i="4"/>
  <c r="D307" i="4"/>
  <c r="D93" i="4"/>
  <c r="D88" i="4"/>
  <c r="D268" i="4"/>
  <c r="D84" i="4"/>
  <c r="D314" i="4"/>
  <c r="D99" i="4"/>
  <c r="D25" i="4"/>
  <c r="D205" i="4"/>
  <c r="D35" i="4"/>
  <c r="D243" i="4"/>
  <c r="D38" i="4"/>
  <c r="D267" i="4"/>
  <c r="D218" i="4"/>
  <c r="D61" i="4"/>
  <c r="D221" i="4"/>
  <c r="D63" i="4"/>
  <c r="D223" i="4"/>
  <c r="D171" i="4"/>
  <c r="D11" i="4"/>
  <c r="D173" i="4"/>
  <c r="D14" i="4"/>
  <c r="D175" i="4"/>
  <c r="D231" i="4"/>
  <c r="D75" i="4"/>
  <c r="D234" i="4"/>
  <c r="D78" i="4"/>
  <c r="D244" i="4"/>
  <c r="D184" i="4"/>
  <c r="D27" i="4"/>
  <c r="D187" i="4"/>
  <c r="D30" i="4"/>
  <c r="D189" i="4"/>
  <c r="D302" i="4"/>
  <c r="D190" i="4"/>
  <c r="D34" i="4"/>
  <c r="D193" i="4"/>
  <c r="D37" i="4"/>
  <c r="D196" i="4"/>
  <c r="D143" i="4"/>
  <c r="D332" i="4"/>
  <c r="D146" i="4"/>
  <c r="D328" i="4"/>
  <c r="D149" i="4"/>
  <c r="D150" i="4"/>
  <c r="D2" i="4"/>
  <c r="D153" i="4"/>
  <c r="D287" i="4"/>
  <c r="D156" i="4"/>
  <c r="D101" i="4"/>
  <c r="D276" i="4"/>
  <c r="D91" i="4"/>
  <c r="D320" i="4"/>
  <c r="D105" i="4"/>
  <c r="D323" i="4"/>
  <c r="D283" i="4"/>
  <c r="D123" i="4"/>
  <c r="D278" i="4"/>
  <c r="D132" i="4"/>
  <c r="D301" i="4"/>
  <c r="D225" i="4"/>
  <c r="D68" i="4"/>
  <c r="D228" i="4"/>
  <c r="D71" i="4"/>
  <c r="D237" i="4"/>
  <c r="D296" i="4"/>
  <c r="D137" i="4"/>
  <c r="D292" i="4"/>
  <c r="D148" i="4"/>
  <c r="D9" i="4"/>
  <c r="D239" i="4"/>
  <c r="D83" i="4"/>
  <c r="D242" i="4"/>
  <c r="D98" i="4"/>
  <c r="D252" i="4"/>
  <c r="D245" i="4"/>
  <c r="D246" i="4"/>
  <c r="D249" i="4"/>
  <c r="D104" i="4"/>
  <c r="D259" i="4"/>
  <c r="D197" i="4"/>
  <c r="D41" i="4"/>
  <c r="D200" i="4"/>
  <c r="D44" i="4"/>
  <c r="D203" i="4"/>
  <c r="D204" i="4"/>
  <c r="D47" i="4"/>
  <c r="D206" i="4"/>
  <c r="D50" i="4"/>
  <c r="D209" i="4"/>
  <c r="D157" i="4"/>
  <c r="D333" i="4"/>
  <c r="D159" i="4"/>
  <c r="D322" i="4"/>
  <c r="D162" i="4"/>
  <c r="D113" i="4"/>
  <c r="D18" i="4"/>
  <c r="D192" i="4"/>
  <c r="D29" i="4"/>
  <c r="D188" i="4"/>
  <c r="D58" i="4"/>
  <c r="D289" i="4"/>
  <c r="D129" i="4"/>
  <c r="D285" i="4"/>
  <c r="D140" i="4"/>
  <c r="D336" i="4"/>
  <c r="D33" i="4"/>
  <c r="D212" i="4"/>
  <c r="D43" i="4"/>
  <c r="D202" i="4"/>
  <c r="D73" i="4"/>
  <c r="D303" i="4"/>
  <c r="D145" i="4"/>
  <c r="D299" i="4"/>
  <c r="D155" i="4"/>
  <c r="D16" i="4"/>
  <c r="D309" i="4"/>
  <c r="D311" i="4"/>
  <c r="D90" i="4"/>
  <c r="D317" i="4"/>
  <c r="D152" i="4"/>
  <c r="D306" i="4"/>
  <c r="D161" i="4"/>
  <c r="D24" i="4"/>
  <c r="D253" i="4"/>
  <c r="D96" i="4"/>
  <c r="D256" i="4"/>
  <c r="D111" i="4"/>
  <c r="D266" i="4"/>
  <c r="D261" i="4"/>
  <c r="D102" i="4"/>
  <c r="D263" i="4"/>
  <c r="D118" i="4"/>
  <c r="D273" i="4"/>
  <c r="D211" i="4"/>
  <c r="D53" i="4"/>
  <c r="D213" i="4"/>
  <c r="D56" i="4"/>
  <c r="D216" i="4"/>
  <c r="D274" i="4"/>
  <c r="D89" i="4"/>
  <c r="D255" i="4"/>
  <c r="D92" i="4"/>
  <c r="D251" i="4"/>
  <c r="D210" i="4"/>
  <c r="D26" i="4"/>
  <c r="D199" i="4"/>
  <c r="D36" i="4"/>
  <c r="D195" i="4"/>
  <c r="D65" i="4"/>
  <c r="D108" i="4"/>
  <c r="D269" i="4"/>
  <c r="D103" i="4"/>
  <c r="D265" i="4"/>
  <c r="D134" i="4"/>
  <c r="D40" i="4"/>
  <c r="D220" i="4"/>
  <c r="D49" i="4"/>
  <c r="D208" i="4"/>
  <c r="D80" i="4"/>
  <c r="D316" i="4"/>
  <c r="D135" i="4"/>
  <c r="D60" i="4"/>
  <c r="D227" i="4"/>
  <c r="D55" i="4"/>
  <c r="D215" i="4"/>
  <c r="D87" i="4"/>
  <c r="D331" i="4"/>
  <c r="D172" i="4"/>
  <c r="D313" i="4"/>
  <c r="D168" i="4"/>
  <c r="D32" i="4"/>
  <c r="D326" i="4"/>
  <c r="D179" i="4"/>
  <c r="D13" i="4"/>
  <c r="D174" i="4"/>
  <c r="D45" i="4"/>
  <c r="D275" i="4"/>
  <c r="D116" i="4"/>
  <c r="D270" i="4"/>
  <c r="D125" i="4"/>
  <c r="D281" i="4"/>
  <c r="D217" i="4"/>
  <c r="D151" i="4"/>
  <c r="D318" i="4"/>
  <c r="D160" i="4"/>
  <c r="D335" i="4"/>
  <c r="D330" i="4"/>
  <c r="D95" i="4"/>
  <c r="D262" i="4"/>
  <c r="D97" i="4"/>
  <c r="D258" i="4"/>
  <c r="D120" i="4"/>
  <c r="D165" i="4"/>
  <c r="D319" i="4"/>
  <c r="D194" i="4"/>
  <c r="D329" i="4"/>
  <c r="D224" i="4"/>
  <c r="D115" i="4"/>
  <c r="D277" i="4"/>
  <c r="D110" i="4"/>
  <c r="D272" i="4"/>
  <c r="D142" i="4"/>
  <c r="D337" i="4"/>
  <c r="D291" i="4"/>
  <c r="D131" i="4"/>
  <c r="D280" i="4"/>
  <c r="D163" i="4"/>
  <c r="D67" i="4"/>
  <c r="D233" i="4"/>
  <c r="D70" i="4"/>
  <c r="D222" i="4"/>
  <c r="D94" i="4"/>
  <c r="D74" i="4"/>
  <c r="D241" i="4"/>
  <c r="D77" i="4"/>
  <c r="D229" i="4"/>
  <c r="D100" i="4"/>
  <c r="D4" i="4"/>
  <c r="D186" i="4"/>
  <c r="D21" i="4"/>
  <c r="D181" i="4"/>
  <c r="D51" i="4"/>
  <c r="D39" i="4"/>
  <c r="D219" i="4"/>
  <c r="D42" i="4"/>
  <c r="D250" i="4"/>
  <c r="D57" i="4"/>
  <c r="D282" i="4"/>
  <c r="D158" i="4"/>
  <c r="D325" i="4"/>
  <c r="D167" i="4"/>
  <c r="D294" i="4"/>
  <c r="D52" i="4"/>
  <c r="D232" i="4"/>
  <c r="D54" i="4"/>
  <c r="D264" i="4"/>
  <c r="D72" i="4"/>
  <c r="D288" i="4"/>
  <c r="D178" i="4"/>
  <c r="D6" i="4"/>
  <c r="D201" i="4"/>
  <c r="D8" i="4"/>
  <c r="D230" i="4"/>
  <c r="D310" i="4"/>
  <c r="D12" i="4"/>
  <c r="D207" i="4"/>
  <c r="D15" i="4"/>
  <c r="D238" i="4"/>
  <c r="D128" i="4"/>
  <c r="D298" i="4"/>
  <c r="D139" i="4"/>
  <c r="D293" i="4"/>
  <c r="D170" i="4"/>
  <c r="D136" i="4"/>
  <c r="D305" i="4"/>
  <c r="D147" i="4"/>
  <c r="D308" i="4"/>
  <c r="D176" i="4"/>
  <c r="D82" i="4"/>
  <c r="D248" i="4"/>
  <c r="D85" i="4"/>
  <c r="D236" i="4"/>
  <c r="D106" i="4"/>
  <c r="D107" i="4"/>
  <c r="D284" i="4"/>
  <c r="D109" i="4"/>
  <c r="D327" i="4"/>
  <c r="D112" i="4"/>
  <c r="D46" i="4"/>
  <c r="D226" i="4"/>
  <c r="D48" i="4"/>
  <c r="D257" i="4"/>
  <c r="D64" i="4"/>
  <c r="D121" i="4"/>
  <c r="D297" i="4"/>
  <c r="D124" i="4"/>
  <c r="D286" i="4"/>
  <c r="D126" i="4"/>
  <c r="D59" i="4"/>
  <c r="D240" i="4"/>
  <c r="D62" i="4"/>
  <c r="D271" i="4"/>
  <c r="D79" i="4"/>
  <c r="D295" i="4"/>
  <c r="D338" i="4"/>
  <c r="D185" i="4"/>
  <c r="D66" i="4"/>
  <c r="D247" i="4"/>
  <c r="D69" i="4"/>
  <c r="D279" i="4"/>
  <c r="D86" i="4"/>
  <c r="D10" i="4"/>
  <c r="D191" i="4"/>
  <c r="D20" i="4"/>
  <c r="D214" i="4"/>
  <c r="D23" i="4"/>
  <c r="D17" i="4"/>
  <c r="D198" i="4"/>
  <c r="D28" i="4"/>
  <c r="D235" i="4"/>
  <c r="D31" i="4"/>
  <c r="D260" i="4"/>
  <c r="D144" i="4"/>
  <c r="D312" i="4"/>
  <c r="D154" i="4"/>
  <c r="D321" i="4"/>
  <c r="D183" i="4"/>
  <c r="D164" i="4"/>
  <c r="D5" i="4"/>
  <c r="D166" i="4"/>
  <c r="D7" i="4"/>
  <c r="D169" i="4"/>
  <c r="D114" i="4"/>
  <c r="D290" i="4"/>
  <c r="D117" i="4"/>
  <c r="D334" i="4"/>
  <c r="D119" i="4"/>
  <c r="D177" i="4"/>
  <c r="D19" i="4"/>
  <c r="D180" i="4"/>
  <c r="D22" i="4"/>
  <c r="D182" i="4"/>
  <c r="D127" i="4"/>
  <c r="D304" i="4"/>
  <c r="D130" i="4"/>
  <c r="D300" i="4"/>
  <c r="D133" i="4"/>
  <c r="D324" i="4"/>
  <c r="D3" i="4"/>
  <c r="H2" i="4" l="1"/>
  <c r="H3" i="4"/>
  <c r="H7" i="4"/>
  <c r="H11" i="4"/>
  <c r="H15" i="4"/>
  <c r="H19" i="4"/>
  <c r="H23" i="4"/>
  <c r="H27" i="4"/>
  <c r="H31" i="4"/>
  <c r="H35" i="4"/>
  <c r="H39" i="4"/>
  <c r="H43" i="4"/>
  <c r="H47" i="4"/>
  <c r="H51" i="4"/>
  <c r="H55" i="4"/>
  <c r="H59" i="4"/>
  <c r="H63" i="4"/>
  <c r="H67" i="4"/>
  <c r="H71" i="4"/>
  <c r="H75" i="4"/>
  <c r="H79" i="4"/>
  <c r="H83" i="4"/>
  <c r="H87" i="4"/>
  <c r="H91" i="4"/>
  <c r="H95" i="4"/>
  <c r="H99" i="4"/>
  <c r="H103" i="4"/>
  <c r="H107" i="4"/>
  <c r="H111" i="4"/>
  <c r="H115" i="4"/>
  <c r="H119" i="4"/>
  <c r="H123" i="4"/>
  <c r="H127" i="4"/>
  <c r="H131" i="4"/>
  <c r="H135" i="4"/>
  <c r="H139" i="4"/>
  <c r="H143" i="4"/>
  <c r="H147" i="4"/>
  <c r="H151" i="4"/>
  <c r="H155" i="4"/>
  <c r="H159" i="4"/>
  <c r="H163" i="4"/>
  <c r="H167" i="4"/>
  <c r="H171" i="4"/>
  <c r="H175" i="4"/>
  <c r="H179" i="4"/>
  <c r="H183" i="4"/>
  <c r="H187" i="4"/>
  <c r="H191" i="4"/>
  <c r="H195" i="4"/>
  <c r="H199" i="4"/>
  <c r="H203" i="4"/>
  <c r="H207" i="4"/>
  <c r="H211" i="4"/>
  <c r="H215" i="4"/>
  <c r="H219" i="4"/>
  <c r="H223" i="4"/>
  <c r="H227" i="4"/>
  <c r="H231" i="4"/>
  <c r="H235" i="4"/>
  <c r="H239" i="4"/>
  <c r="H243" i="4"/>
  <c r="H247" i="4"/>
  <c r="H251" i="4"/>
  <c r="H255" i="4"/>
  <c r="H259" i="4"/>
  <c r="H263" i="4"/>
  <c r="H267" i="4"/>
  <c r="H271" i="4"/>
  <c r="H275" i="4"/>
  <c r="H279" i="4"/>
  <c r="H283" i="4"/>
  <c r="H287" i="4"/>
  <c r="H291" i="4"/>
  <c r="H295" i="4"/>
  <c r="H299" i="4"/>
  <c r="H303" i="4"/>
  <c r="H307" i="4"/>
  <c r="H311" i="4"/>
  <c r="H315" i="4"/>
  <c r="H319" i="4"/>
  <c r="H323" i="4"/>
  <c r="H327" i="4"/>
  <c r="H331" i="4"/>
  <c r="H335" i="4"/>
  <c r="I3" i="4"/>
  <c r="I7" i="4"/>
  <c r="I11" i="4"/>
  <c r="I15" i="4"/>
  <c r="I19" i="4"/>
  <c r="I23" i="4"/>
  <c r="I27" i="4"/>
  <c r="I31" i="4"/>
  <c r="I35" i="4"/>
  <c r="I39" i="4"/>
  <c r="I43" i="4"/>
  <c r="I47" i="4"/>
  <c r="I51" i="4"/>
  <c r="I55" i="4"/>
  <c r="I59" i="4"/>
  <c r="I63" i="4"/>
  <c r="I67" i="4"/>
  <c r="I71" i="4"/>
  <c r="I75" i="4"/>
  <c r="I79" i="4"/>
  <c r="I83" i="4"/>
  <c r="I87" i="4"/>
  <c r="I91" i="4"/>
  <c r="I95" i="4"/>
  <c r="I99" i="4"/>
  <c r="I103" i="4"/>
  <c r="I107" i="4"/>
  <c r="I111" i="4"/>
  <c r="I115" i="4"/>
  <c r="I119" i="4"/>
  <c r="I123" i="4"/>
  <c r="I127" i="4"/>
  <c r="I131" i="4"/>
  <c r="I135" i="4"/>
  <c r="I139" i="4"/>
  <c r="I143" i="4"/>
  <c r="H4" i="4"/>
  <c r="H8" i="4"/>
  <c r="H12" i="4"/>
  <c r="H16" i="4"/>
  <c r="H20" i="4"/>
  <c r="H24" i="4"/>
  <c r="H28" i="4"/>
  <c r="H32" i="4"/>
  <c r="H36" i="4"/>
  <c r="H40" i="4"/>
  <c r="H44" i="4"/>
  <c r="H48" i="4"/>
  <c r="H52" i="4"/>
  <c r="H56" i="4"/>
  <c r="H60" i="4"/>
  <c r="H64" i="4"/>
  <c r="H68" i="4"/>
  <c r="H72" i="4"/>
  <c r="H76" i="4"/>
  <c r="H80" i="4"/>
  <c r="H84" i="4"/>
  <c r="H88" i="4"/>
  <c r="H92" i="4"/>
  <c r="H96" i="4"/>
  <c r="H100" i="4"/>
  <c r="H104" i="4"/>
  <c r="H108" i="4"/>
  <c r="H112" i="4"/>
  <c r="H116" i="4"/>
  <c r="H120" i="4"/>
  <c r="H124" i="4"/>
  <c r="H128" i="4"/>
  <c r="H132" i="4"/>
  <c r="H136" i="4"/>
  <c r="H140" i="4"/>
  <c r="H144" i="4"/>
  <c r="H148" i="4"/>
  <c r="H152" i="4"/>
  <c r="H156" i="4"/>
  <c r="H160" i="4"/>
  <c r="H164" i="4"/>
  <c r="H168" i="4"/>
  <c r="H172" i="4"/>
  <c r="H176" i="4"/>
  <c r="H180" i="4"/>
  <c r="H184" i="4"/>
  <c r="H188" i="4"/>
  <c r="H192" i="4"/>
  <c r="H196" i="4"/>
  <c r="H200" i="4"/>
  <c r="H204" i="4"/>
  <c r="H208" i="4"/>
  <c r="H212" i="4"/>
  <c r="H216" i="4"/>
  <c r="H220" i="4"/>
  <c r="H224" i="4"/>
  <c r="H228" i="4"/>
  <c r="H232" i="4"/>
  <c r="H236" i="4"/>
  <c r="H240" i="4"/>
  <c r="H244" i="4"/>
  <c r="H248" i="4"/>
  <c r="H252" i="4"/>
  <c r="H256" i="4"/>
  <c r="H260" i="4"/>
  <c r="H264" i="4"/>
  <c r="H268" i="4"/>
  <c r="H272" i="4"/>
  <c r="H276" i="4"/>
  <c r="H280" i="4"/>
  <c r="H284" i="4"/>
  <c r="H288" i="4"/>
  <c r="H292" i="4"/>
  <c r="H296" i="4"/>
  <c r="H300" i="4"/>
  <c r="H304" i="4"/>
  <c r="H308" i="4"/>
  <c r="H312" i="4"/>
  <c r="H316" i="4"/>
  <c r="H320" i="4"/>
  <c r="H324" i="4"/>
  <c r="H328" i="4"/>
  <c r="H332" i="4"/>
  <c r="H336" i="4"/>
  <c r="I4" i="4"/>
  <c r="I8" i="4"/>
  <c r="I12" i="4"/>
  <c r="I16" i="4"/>
  <c r="I20" i="4"/>
  <c r="I24" i="4"/>
  <c r="I28" i="4"/>
  <c r="I32" i="4"/>
  <c r="I36" i="4"/>
  <c r="I40" i="4"/>
  <c r="I44" i="4"/>
  <c r="I48" i="4"/>
  <c r="I52" i="4"/>
  <c r="I56" i="4"/>
  <c r="I60" i="4"/>
  <c r="I64" i="4"/>
  <c r="I68" i="4"/>
  <c r="I72" i="4"/>
  <c r="I76" i="4"/>
  <c r="I80" i="4"/>
  <c r="I84" i="4"/>
  <c r="I88" i="4"/>
  <c r="I92" i="4"/>
  <c r="I96" i="4"/>
  <c r="I100" i="4"/>
  <c r="I104" i="4"/>
  <c r="I108" i="4"/>
  <c r="I112" i="4"/>
  <c r="I116" i="4"/>
  <c r="I120" i="4"/>
  <c r="I124" i="4"/>
  <c r="I128" i="4"/>
  <c r="I132" i="4"/>
  <c r="I136" i="4"/>
  <c r="I140" i="4"/>
  <c r="I144" i="4"/>
  <c r="I148" i="4"/>
  <c r="I152" i="4"/>
  <c r="I156" i="4"/>
  <c r="I160" i="4"/>
  <c r="I164" i="4"/>
  <c r="I168" i="4"/>
  <c r="I172" i="4"/>
  <c r="I176" i="4"/>
  <c r="I180" i="4"/>
  <c r="I184" i="4"/>
  <c r="I188" i="4"/>
  <c r="I192" i="4"/>
  <c r="I196" i="4"/>
  <c r="I200" i="4"/>
  <c r="I204" i="4"/>
  <c r="I208" i="4"/>
  <c r="I212" i="4"/>
  <c r="I216" i="4"/>
  <c r="I220" i="4"/>
  <c r="I224" i="4"/>
  <c r="I228" i="4"/>
  <c r="I232" i="4"/>
  <c r="I236" i="4"/>
  <c r="I240" i="4"/>
  <c r="I244" i="4"/>
  <c r="I248" i="4"/>
  <c r="I252" i="4"/>
  <c r="I256" i="4"/>
  <c r="I260" i="4"/>
  <c r="I264" i="4"/>
  <c r="I268" i="4"/>
  <c r="I272" i="4"/>
  <c r="I276" i="4"/>
  <c r="I280" i="4"/>
  <c r="I284" i="4"/>
  <c r="I288" i="4"/>
  <c r="I292" i="4"/>
  <c r="I296" i="4"/>
  <c r="I300" i="4"/>
  <c r="I304" i="4"/>
  <c r="I308" i="4"/>
  <c r="I312" i="4"/>
  <c r="I316" i="4"/>
  <c r="I320" i="4"/>
  <c r="I324" i="4"/>
  <c r="I328" i="4"/>
  <c r="I332" i="4"/>
  <c r="I336" i="4"/>
  <c r="H5" i="4"/>
  <c r="H9" i="4"/>
  <c r="H13" i="4"/>
  <c r="H17" i="4"/>
  <c r="H21" i="4"/>
  <c r="H25" i="4"/>
  <c r="H29" i="4"/>
  <c r="H33" i="4"/>
  <c r="H37" i="4"/>
  <c r="H41" i="4"/>
  <c r="H45" i="4"/>
  <c r="H49" i="4"/>
  <c r="H53" i="4"/>
  <c r="H57" i="4"/>
  <c r="H61" i="4"/>
  <c r="H65" i="4"/>
  <c r="H69" i="4"/>
  <c r="H73" i="4"/>
  <c r="H77" i="4"/>
  <c r="H81" i="4"/>
  <c r="H85" i="4"/>
  <c r="H89" i="4"/>
  <c r="H93" i="4"/>
  <c r="H97" i="4"/>
  <c r="H101" i="4"/>
  <c r="H105" i="4"/>
  <c r="H109" i="4"/>
  <c r="H113" i="4"/>
  <c r="H117" i="4"/>
  <c r="H121" i="4"/>
  <c r="H125" i="4"/>
  <c r="H129" i="4"/>
  <c r="H133" i="4"/>
  <c r="H137" i="4"/>
  <c r="H141" i="4"/>
  <c r="H145" i="4"/>
  <c r="H149" i="4"/>
  <c r="H153" i="4"/>
  <c r="H157" i="4"/>
  <c r="H161" i="4"/>
  <c r="H165" i="4"/>
  <c r="H169" i="4"/>
  <c r="H173" i="4"/>
  <c r="H177" i="4"/>
  <c r="H181" i="4"/>
  <c r="H185" i="4"/>
  <c r="H189" i="4"/>
  <c r="H193" i="4"/>
  <c r="H197" i="4"/>
  <c r="H201" i="4"/>
  <c r="H205" i="4"/>
  <c r="H209" i="4"/>
  <c r="H213" i="4"/>
  <c r="H217" i="4"/>
  <c r="H221" i="4"/>
  <c r="H225" i="4"/>
  <c r="H229" i="4"/>
  <c r="H233" i="4"/>
  <c r="H237" i="4"/>
  <c r="H241" i="4"/>
  <c r="H245" i="4"/>
  <c r="H249" i="4"/>
  <c r="H253" i="4"/>
  <c r="H257" i="4"/>
  <c r="H261" i="4"/>
  <c r="H265" i="4"/>
  <c r="H269" i="4"/>
  <c r="H273" i="4"/>
  <c r="H277" i="4"/>
  <c r="H281" i="4"/>
  <c r="H285" i="4"/>
  <c r="H289" i="4"/>
  <c r="H293" i="4"/>
  <c r="H297" i="4"/>
  <c r="H301" i="4"/>
  <c r="H305" i="4"/>
  <c r="H309" i="4"/>
  <c r="H313" i="4"/>
  <c r="H317" i="4"/>
  <c r="H321" i="4"/>
  <c r="H325" i="4"/>
  <c r="H329" i="4"/>
  <c r="H333" i="4"/>
  <c r="H337" i="4"/>
  <c r="I5" i="4"/>
  <c r="I9" i="4"/>
  <c r="I13" i="4"/>
  <c r="I17" i="4"/>
  <c r="I21" i="4"/>
  <c r="I25" i="4"/>
  <c r="I29" i="4"/>
  <c r="I33" i="4"/>
  <c r="I37" i="4"/>
  <c r="I41" i="4"/>
  <c r="I45" i="4"/>
  <c r="I49" i="4"/>
  <c r="I53" i="4"/>
  <c r="I57" i="4"/>
  <c r="I61" i="4"/>
  <c r="I65" i="4"/>
  <c r="I69" i="4"/>
  <c r="I73" i="4"/>
  <c r="I77" i="4"/>
  <c r="I81" i="4"/>
  <c r="I85" i="4"/>
  <c r="I89" i="4"/>
  <c r="I93" i="4"/>
  <c r="I97" i="4"/>
  <c r="I101" i="4"/>
  <c r="I105" i="4"/>
  <c r="I109" i="4"/>
  <c r="I113" i="4"/>
  <c r="I117" i="4"/>
  <c r="I121" i="4"/>
  <c r="I125" i="4"/>
  <c r="I129" i="4"/>
  <c r="I133" i="4"/>
  <c r="I137" i="4"/>
  <c r="I141" i="4"/>
  <c r="I145" i="4"/>
  <c r="I149" i="4"/>
  <c r="I153" i="4"/>
  <c r="I157" i="4"/>
  <c r="I161" i="4"/>
  <c r="I165" i="4"/>
  <c r="I169" i="4"/>
  <c r="I173" i="4"/>
  <c r="I177" i="4"/>
  <c r="I181" i="4"/>
  <c r="I185" i="4"/>
  <c r="I189" i="4"/>
  <c r="I193" i="4"/>
  <c r="I197" i="4"/>
  <c r="I201" i="4"/>
  <c r="I205" i="4"/>
  <c r="I209" i="4"/>
  <c r="I213" i="4"/>
  <c r="I217" i="4"/>
  <c r="I221" i="4"/>
  <c r="I225" i="4"/>
  <c r="I229" i="4"/>
  <c r="I233" i="4"/>
  <c r="I237" i="4"/>
  <c r="I241" i="4"/>
  <c r="I245" i="4"/>
  <c r="I249" i="4"/>
  <c r="I253" i="4"/>
  <c r="I257" i="4"/>
  <c r="I261" i="4"/>
  <c r="I265" i="4"/>
  <c r="I269" i="4"/>
  <c r="I273" i="4"/>
  <c r="I277" i="4"/>
  <c r="I281" i="4"/>
  <c r="I285" i="4"/>
  <c r="I289" i="4"/>
  <c r="I293" i="4"/>
  <c r="I297" i="4"/>
  <c r="I301" i="4"/>
  <c r="I305" i="4"/>
  <c r="I309" i="4"/>
  <c r="I313" i="4"/>
  <c r="I317" i="4"/>
  <c r="I321" i="4"/>
  <c r="I6" i="4"/>
  <c r="I10" i="4"/>
  <c r="I14" i="4"/>
  <c r="I18" i="4"/>
  <c r="I22" i="4"/>
  <c r="I26" i="4"/>
  <c r="I30" i="4"/>
  <c r="I34" i="4"/>
  <c r="I38" i="4"/>
  <c r="I42" i="4"/>
  <c r="I46" i="4"/>
  <c r="I50" i="4"/>
  <c r="I54" i="4"/>
  <c r="I58" i="4"/>
  <c r="I62" i="4"/>
  <c r="I66" i="4"/>
  <c r="I70" i="4"/>
  <c r="I74" i="4"/>
  <c r="I78" i="4"/>
  <c r="I82" i="4"/>
  <c r="I86" i="4"/>
  <c r="I90" i="4"/>
  <c r="I94" i="4"/>
  <c r="I98" i="4"/>
  <c r="I102" i="4"/>
  <c r="I106" i="4"/>
  <c r="I110" i="4"/>
  <c r="I114" i="4"/>
  <c r="I118" i="4"/>
  <c r="I122" i="4"/>
  <c r="I126" i="4"/>
  <c r="I130" i="4"/>
  <c r="I134" i="4"/>
  <c r="I138" i="4"/>
  <c r="I142" i="4"/>
  <c r="I146" i="4"/>
  <c r="I150" i="4"/>
  <c r="I154" i="4"/>
  <c r="I158" i="4"/>
  <c r="I162" i="4"/>
  <c r="I166" i="4"/>
  <c r="I170" i="4"/>
  <c r="I174" i="4"/>
  <c r="I178" i="4"/>
  <c r="I182" i="4"/>
  <c r="I186" i="4"/>
  <c r="I190" i="4"/>
  <c r="I194" i="4"/>
  <c r="I198" i="4"/>
  <c r="I202" i="4"/>
  <c r="I206" i="4"/>
  <c r="I210" i="4"/>
  <c r="I214" i="4"/>
  <c r="I218" i="4"/>
  <c r="I222" i="4"/>
  <c r="I226" i="4"/>
  <c r="I230" i="4"/>
  <c r="I234" i="4"/>
  <c r="I238" i="4"/>
  <c r="I242" i="4"/>
  <c r="I246" i="4"/>
  <c r="I250" i="4"/>
  <c r="I254" i="4"/>
  <c r="I258" i="4"/>
  <c r="I262" i="4"/>
  <c r="I266" i="4"/>
  <c r="I270" i="4"/>
  <c r="I274" i="4"/>
  <c r="I278" i="4"/>
  <c r="I282" i="4"/>
  <c r="I286" i="4"/>
  <c r="I290" i="4"/>
  <c r="I294" i="4"/>
  <c r="I298" i="4"/>
  <c r="I302" i="4"/>
  <c r="I306" i="4"/>
  <c r="I310" i="4"/>
  <c r="I314" i="4"/>
  <c r="I318" i="4"/>
  <c r="I322" i="4"/>
  <c r="I326" i="4"/>
  <c r="I330" i="4"/>
  <c r="H6" i="4"/>
  <c r="H38" i="4"/>
  <c r="H70" i="4"/>
  <c r="H102" i="4"/>
  <c r="H134" i="4"/>
  <c r="I155" i="4"/>
  <c r="I171" i="4"/>
  <c r="I187" i="4"/>
  <c r="I203" i="4"/>
  <c r="I219" i="4"/>
  <c r="I235" i="4"/>
  <c r="I251" i="4"/>
  <c r="I267" i="4"/>
  <c r="I283" i="4"/>
  <c r="I299" i="4"/>
  <c r="I315" i="4"/>
  <c r="I329" i="4"/>
  <c r="H338" i="4"/>
  <c r="I151" i="4"/>
  <c r="I279" i="4"/>
  <c r="H10" i="4"/>
  <c r="H42" i="4"/>
  <c r="H74" i="4"/>
  <c r="H106" i="4"/>
  <c r="H138" i="4"/>
  <c r="H158" i="4"/>
  <c r="H174" i="4"/>
  <c r="H190" i="4"/>
  <c r="H206" i="4"/>
  <c r="H222" i="4"/>
  <c r="H238" i="4"/>
  <c r="H254" i="4"/>
  <c r="H270" i="4"/>
  <c r="H286" i="4"/>
  <c r="H302" i="4"/>
  <c r="H318" i="4"/>
  <c r="H330" i="4"/>
  <c r="I338" i="4"/>
  <c r="H94" i="4"/>
  <c r="I231" i="4"/>
  <c r="I335" i="4"/>
  <c r="H14" i="4"/>
  <c r="H46" i="4"/>
  <c r="H78" i="4"/>
  <c r="H110" i="4"/>
  <c r="H142" i="4"/>
  <c r="I159" i="4"/>
  <c r="I175" i="4"/>
  <c r="I191" i="4"/>
  <c r="I207" i="4"/>
  <c r="I223" i="4"/>
  <c r="I239" i="4"/>
  <c r="I255" i="4"/>
  <c r="I271" i="4"/>
  <c r="I287" i="4"/>
  <c r="I303" i="4"/>
  <c r="I319" i="4"/>
  <c r="I331" i="4"/>
  <c r="I167" i="4"/>
  <c r="I295" i="4"/>
  <c r="H18" i="4"/>
  <c r="H50" i="4"/>
  <c r="H82" i="4"/>
  <c r="H114" i="4"/>
  <c r="H146" i="4"/>
  <c r="H162" i="4"/>
  <c r="H178" i="4"/>
  <c r="H194" i="4"/>
  <c r="H210" i="4"/>
  <c r="H226" i="4"/>
  <c r="H242" i="4"/>
  <c r="H258" i="4"/>
  <c r="H274" i="4"/>
  <c r="H290" i="4"/>
  <c r="H306" i="4"/>
  <c r="H322" i="4"/>
  <c r="I333" i="4"/>
  <c r="H126" i="4"/>
  <c r="I311" i="4"/>
  <c r="H22" i="4"/>
  <c r="H54" i="4"/>
  <c r="H86" i="4"/>
  <c r="H118" i="4"/>
  <c r="I147" i="4"/>
  <c r="I163" i="4"/>
  <c r="I179" i="4"/>
  <c r="I195" i="4"/>
  <c r="I211" i="4"/>
  <c r="I227" i="4"/>
  <c r="I243" i="4"/>
  <c r="I259" i="4"/>
  <c r="I275" i="4"/>
  <c r="I291" i="4"/>
  <c r="I307" i="4"/>
  <c r="I323" i="4"/>
  <c r="H334" i="4"/>
  <c r="H62" i="4"/>
  <c r="I263" i="4"/>
  <c r="H26" i="4"/>
  <c r="H58" i="4"/>
  <c r="H90" i="4"/>
  <c r="H122" i="4"/>
  <c r="H150" i="4"/>
  <c r="H166" i="4"/>
  <c r="H182" i="4"/>
  <c r="H198" i="4"/>
  <c r="H214" i="4"/>
  <c r="H230" i="4"/>
  <c r="H246" i="4"/>
  <c r="H262" i="4"/>
  <c r="H278" i="4"/>
  <c r="H294" i="4"/>
  <c r="H310" i="4"/>
  <c r="I325" i="4"/>
  <c r="I334" i="4"/>
  <c r="H30" i="4"/>
  <c r="I199" i="4"/>
  <c r="I215" i="4"/>
  <c r="I247" i="4"/>
  <c r="H326" i="4"/>
  <c r="H34" i="4"/>
  <c r="H66" i="4"/>
  <c r="H98" i="4"/>
  <c r="H130" i="4"/>
  <c r="H154" i="4"/>
  <c r="H170" i="4"/>
  <c r="H186" i="4"/>
  <c r="H202" i="4"/>
  <c r="H218" i="4"/>
  <c r="H234" i="4"/>
  <c r="H250" i="4"/>
  <c r="H266" i="4"/>
  <c r="H282" i="4"/>
  <c r="H298" i="4"/>
  <c r="H314" i="4"/>
  <c r="I327" i="4"/>
  <c r="I337" i="4"/>
  <c r="I183" i="4"/>
  <c r="I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<sst xmlns="http://schemas.openxmlformats.org/spreadsheetml/2006/main" count="4610" uniqueCount="1672">
  <si>
    <t>Folio</t>
  </si>
  <si>
    <t>Cargo</t>
  </si>
  <si>
    <t>Fecha</t>
  </si>
  <si>
    <t>Producto</t>
  </si>
  <si>
    <t>Cantidad</t>
  </si>
  <si>
    <t xml:space="preserve">Valor </t>
  </si>
  <si>
    <t>Total</t>
  </si>
  <si>
    <t xml:space="preserve">7 por ciento </t>
  </si>
  <si>
    <t>reales</t>
  </si>
  <si>
    <t>comentarios</t>
  </si>
  <si>
    <t>63r</t>
  </si>
  <si>
    <t>12-09-1660</t>
  </si>
  <si>
    <t>19 sacas de lana de vicuña</t>
  </si>
  <si>
    <t>10 sacas de lana de vicuña y 60 marcos de plata labrada</t>
  </si>
  <si>
    <t>13-09-1660</t>
  </si>
  <si>
    <t>En reales</t>
  </si>
  <si>
    <t>15-09-1660</t>
  </si>
  <si>
    <t xml:space="preserve">14 sacas de lana de vicuña </t>
  </si>
  <si>
    <t>2 cajones de achiote con 150 libras</t>
  </si>
  <si>
    <t>22 sacas de lana de vicuña</t>
  </si>
  <si>
    <t>63v</t>
  </si>
  <si>
    <t>capitán</t>
  </si>
  <si>
    <t>18-10-1660</t>
  </si>
  <si>
    <t>63 sacas de lana de vicuña</t>
  </si>
  <si>
    <t xml:space="preserve">60 cajones de tinta </t>
  </si>
  <si>
    <t>28-10-1660</t>
  </si>
  <si>
    <t xml:space="preserve">Cajones de achiote </t>
  </si>
  <si>
    <t>Plata labrada</t>
  </si>
  <si>
    <t>29-10-1660</t>
  </si>
  <si>
    <t>Padre dominico</t>
  </si>
  <si>
    <t>30-10-1600</t>
  </si>
  <si>
    <t>66 barras con 10, 882 marcos</t>
  </si>
  <si>
    <t>20 cajones de reales/2500 pesos cada uno</t>
  </si>
  <si>
    <t>30-10-1660</t>
  </si>
  <si>
    <t>17 cajones de reales, los 16 de a 2, 700 y 1 con 2500</t>
  </si>
  <si>
    <t xml:space="preserve">34 marcos de plata labrada </t>
  </si>
  <si>
    <t>2 cajones en reales con 5000 pesos moneda resellada tasados a 6 reales</t>
  </si>
  <si>
    <t xml:space="preserve">2 cajones de reales con </t>
  </si>
  <si>
    <t>40 marcos de plata labrada</t>
  </si>
  <si>
    <t xml:space="preserve">El impuesto a 7% debería ser 232 pesos y 4 reales </t>
  </si>
  <si>
    <t>64r</t>
  </si>
  <si>
    <t>3 cajones de reales</t>
  </si>
  <si>
    <t>4 cajones de reales/2500</t>
  </si>
  <si>
    <t>7 cajones/2500, y otro cajón de reales</t>
  </si>
  <si>
    <t xml:space="preserve">545 pesos en reales </t>
  </si>
  <si>
    <t>80 marcos de plata labrada</t>
  </si>
  <si>
    <t>4 cajones de reales con</t>
  </si>
  <si>
    <t xml:space="preserve">Un baul con 1650 pesos </t>
  </si>
  <si>
    <t>4 sacas de lana de vicuña</t>
  </si>
  <si>
    <t xml:space="preserve">3 cajones de reales/2500 </t>
  </si>
  <si>
    <t>400 pesos sueltos</t>
  </si>
  <si>
    <t xml:space="preserve">6 cajones de reales/2500 </t>
  </si>
  <si>
    <t xml:space="preserve">1000 pesos en dos petacadas y 400 pesos en su cama </t>
  </si>
  <si>
    <t xml:space="preserve">2 cajones de reales/2500 pesos </t>
  </si>
  <si>
    <t xml:space="preserve">6 barras con 796 marcos </t>
  </si>
  <si>
    <t xml:space="preserve">350 pesos en reales </t>
  </si>
  <si>
    <t>31-10-1660</t>
  </si>
  <si>
    <t xml:space="preserve">8 cajones de reales/ 2500 pesos </t>
  </si>
  <si>
    <t>5 barras con 668 marcos</t>
  </si>
  <si>
    <t>64v</t>
  </si>
  <si>
    <t>De cuenta del teniente Gaspar de Astudillo</t>
  </si>
  <si>
    <t>3 cajones  de reales/2500</t>
  </si>
  <si>
    <t>5 cajones de reales/2500</t>
  </si>
  <si>
    <t xml:space="preserve">8 barras con 1171 marcos </t>
  </si>
  <si>
    <t>Ayudante</t>
  </si>
  <si>
    <t xml:space="preserve">2 cajones de reales/2000 pesos </t>
  </si>
  <si>
    <t>600 pesos sueltos</t>
  </si>
  <si>
    <t>1 cajón con 2500 pesos en reales</t>
  </si>
  <si>
    <t>1-11-1660</t>
  </si>
  <si>
    <t>12 cajones de reales/2000 pesos</t>
  </si>
  <si>
    <t>500 pesos sueltos</t>
  </si>
  <si>
    <t>34 fardos de lana de vicuña a 150 pesos</t>
  </si>
  <si>
    <t>7 fardos de lana de vicuña a 150 pesos</t>
  </si>
  <si>
    <t>2-11-1660</t>
  </si>
  <si>
    <t xml:space="preserve">4 barras, las 3 de toda ley con 392 marcos, y la otro con 171 marcos </t>
  </si>
  <si>
    <t>En plata labrada</t>
  </si>
  <si>
    <t>65r</t>
  </si>
  <si>
    <t>4 cajones/2500 pesos</t>
  </si>
  <si>
    <t>100 pesos sueltos</t>
  </si>
  <si>
    <t>6-11-1660</t>
  </si>
  <si>
    <t xml:space="preserve">15 barras con 2552 marcos </t>
  </si>
  <si>
    <t>7 cajones con 17500 pesos en reales</t>
  </si>
  <si>
    <t xml:space="preserve">6 barretas con 48 marcos </t>
  </si>
  <si>
    <t>Alguacil mayor</t>
  </si>
  <si>
    <t>De cuenta de la Inquisición</t>
  </si>
  <si>
    <t>En pesos</t>
  </si>
  <si>
    <t>72 barras con 12214 marcos que a 8 pesos montaron</t>
  </si>
  <si>
    <t>4 cajones de reales/2500 pesos</t>
  </si>
  <si>
    <t xml:space="preserve">57 barras con 9365 marcos </t>
  </si>
  <si>
    <t xml:space="preserve">1 cajón de plata labrada con 375 marcos </t>
  </si>
  <si>
    <t>7-11-1660</t>
  </si>
  <si>
    <t>5 cajones/2700 pesos</t>
  </si>
  <si>
    <t>60 barras con 9343 marcos</t>
  </si>
  <si>
    <t xml:space="preserve">16 cajones de 2500 pesos </t>
  </si>
  <si>
    <t xml:space="preserve">1 cajón de plata labrada con 480 marcos </t>
  </si>
  <si>
    <t>8-11-1660</t>
  </si>
  <si>
    <t>10-11-1660</t>
  </si>
  <si>
    <t xml:space="preserve">75 barras de plata con 12228 marcos </t>
  </si>
  <si>
    <t>14 cajones de reales/2500 pesos</t>
  </si>
  <si>
    <t>1 cajón de plata labrada con 380 marcos</t>
  </si>
  <si>
    <t>14-11-1660</t>
  </si>
  <si>
    <t>42 barras de ley con 6405 marcos a 8 pesos</t>
  </si>
  <si>
    <t>14 cajones de reales con 37600</t>
  </si>
  <si>
    <t>17-11-1660</t>
  </si>
  <si>
    <t>70 barras con 11349 marcos</t>
  </si>
  <si>
    <t xml:space="preserve">5 cajones de reales con 3400 pesos </t>
  </si>
  <si>
    <t>55 barras con 8661 marcos</t>
  </si>
  <si>
    <t xml:space="preserve">14 barras de ley con 1968 marcos </t>
  </si>
  <si>
    <t>200 marcos de plata labrada</t>
  </si>
  <si>
    <t xml:space="preserve">11 barras con 1810 marcos </t>
  </si>
  <si>
    <t>8 marcos de plata suelta</t>
  </si>
  <si>
    <t xml:space="preserve">8 barras con 1222 marcos </t>
  </si>
  <si>
    <t>1 cajon de reales con 2500 pesos</t>
  </si>
  <si>
    <t>30 marcos de plata labrada</t>
  </si>
  <si>
    <t xml:space="preserve">2 cajones de reales / 2500 </t>
  </si>
  <si>
    <t xml:space="preserve">1000 pesos en los bahules </t>
  </si>
  <si>
    <t>5 cajones de reales / 2500</t>
  </si>
  <si>
    <t>18-11-1660</t>
  </si>
  <si>
    <t>79 barras con 12892 marcos</t>
  </si>
  <si>
    <t>65 barras con 9917 marcos</t>
  </si>
  <si>
    <t>17 cajones de reales / 2500</t>
  </si>
  <si>
    <t>1028 marcos de plata labrada</t>
  </si>
  <si>
    <t>66r</t>
  </si>
  <si>
    <t>24-11-1660</t>
  </si>
  <si>
    <t xml:space="preserve">300 pesos en reales </t>
  </si>
  <si>
    <t xml:space="preserve">41 barras con 6560 marcos </t>
  </si>
  <si>
    <t>18 cajones de reales / 2500</t>
  </si>
  <si>
    <t xml:space="preserve">51 barras de toda ley con 8221 marcos </t>
  </si>
  <si>
    <t>24 cajones de reales / 2500</t>
  </si>
  <si>
    <t xml:space="preserve">36 barras con 6069 marcos </t>
  </si>
  <si>
    <t>4 cajones de reales / 3400</t>
  </si>
  <si>
    <t>25-11-1660</t>
  </si>
  <si>
    <t>56 barras con 8823 marcos</t>
  </si>
  <si>
    <t xml:space="preserve">8 cajones de plata con 2400 marcos </t>
  </si>
  <si>
    <t xml:space="preserve">12 cajones de reales/2700 </t>
  </si>
  <si>
    <t xml:space="preserve">2 barras con 290 marcos </t>
  </si>
  <si>
    <t xml:space="preserve">1300 pesos sueltos </t>
  </si>
  <si>
    <t xml:space="preserve">7 cajones de reales </t>
  </si>
  <si>
    <t xml:space="preserve">19 barras con 2835 marcos </t>
  </si>
  <si>
    <t xml:space="preserve">1 cajones de reales con 2700 pesos </t>
  </si>
  <si>
    <t>Y otro cajón con 190 marcos de plata labrada</t>
  </si>
  <si>
    <t xml:space="preserve">1000 pesos en reales </t>
  </si>
  <si>
    <t xml:space="preserve">13 cajones de reales / 2700  </t>
  </si>
  <si>
    <t xml:space="preserve">4 cajones de plata labrada con 900 marcos </t>
  </si>
  <si>
    <t xml:space="preserve">63 barras de ley con 9641 marcos </t>
  </si>
  <si>
    <t xml:space="preserve">8 cajones de reales </t>
  </si>
  <si>
    <t>8 cajones de reales / 2500 pesos</t>
  </si>
  <si>
    <t>3 cajones de plata labrada con 830 marcos</t>
  </si>
  <si>
    <t>26-11-1660</t>
  </si>
  <si>
    <t>22 cajones de reales / 2500</t>
  </si>
  <si>
    <t xml:space="preserve">6 cajones de reales/15800 pesos </t>
  </si>
  <si>
    <t>1 fardo de lana de vicuña</t>
  </si>
  <si>
    <t>28-11-1660</t>
  </si>
  <si>
    <t xml:space="preserve">59 barras con 10715 marcos </t>
  </si>
  <si>
    <t xml:space="preserve">14 cajones de plata labrada </t>
  </si>
  <si>
    <t>54 barras con 8416 marcos</t>
  </si>
  <si>
    <t>29-11-1660</t>
  </si>
  <si>
    <t>46 barras de ley con 7054 marcos</t>
  </si>
  <si>
    <t>8 cajones de plata labrada con 2400 marcos</t>
  </si>
  <si>
    <t>12 cajones de reales con 31500 pesos</t>
  </si>
  <si>
    <t xml:space="preserve">24 barras con 4178 marcos </t>
  </si>
  <si>
    <t>2 cajones de plata labrada con 760 marcos</t>
  </si>
  <si>
    <t>7 barras de ley con 1077 marcos</t>
  </si>
  <si>
    <t>10 cajones de reales / 2800</t>
  </si>
  <si>
    <t>67v</t>
  </si>
  <si>
    <t>66v</t>
  </si>
  <si>
    <t>67r</t>
  </si>
  <si>
    <t>31 barras de ley con 4812 marcos</t>
  </si>
  <si>
    <t>6 cajones de reales / 2800</t>
  </si>
  <si>
    <t>30-11-1660</t>
  </si>
  <si>
    <t>24 barras con 3886 marcos</t>
  </si>
  <si>
    <t>5 cajones / 2500</t>
  </si>
  <si>
    <t>02-12-1660</t>
  </si>
  <si>
    <t>60 barras con 9673 marcos</t>
  </si>
  <si>
    <t>6 cajones de plata labrada con 292 marcos</t>
  </si>
  <si>
    <t>8 cajones de reales con 20300</t>
  </si>
  <si>
    <t xml:space="preserve">11 barras de ley con 1658 marcos </t>
  </si>
  <si>
    <t>410 marcos de plata labrada</t>
  </si>
  <si>
    <t>200 pesos en reales</t>
  </si>
  <si>
    <t>4 cajones / 2500</t>
  </si>
  <si>
    <t xml:space="preserve">10 barras de ley con 1672 marcos </t>
  </si>
  <si>
    <t>22 barras con 3507 marcos</t>
  </si>
  <si>
    <t>8 cajones de reales/2500 pesos</t>
  </si>
  <si>
    <t>alferéz</t>
  </si>
  <si>
    <t>480 marcos de plata labrada</t>
  </si>
  <si>
    <t>10 barras de ley con 1687 marcos</t>
  </si>
  <si>
    <t>1 cajon / 2500 pesos</t>
  </si>
  <si>
    <t xml:space="preserve">3 cajones de reales / 2500 </t>
  </si>
  <si>
    <t>90 marcos de plata labrada</t>
  </si>
  <si>
    <t>04-12-1660</t>
  </si>
  <si>
    <t>25 barras con 3689 marcos</t>
  </si>
  <si>
    <t xml:space="preserve">1567 marcos de plata labrada en 6 cajones </t>
  </si>
  <si>
    <t>200 pesos</t>
  </si>
  <si>
    <t>20 barras con 3464 marcos</t>
  </si>
  <si>
    <t>7 cajones de reales / 2500</t>
  </si>
  <si>
    <t>40 barras con 6400 marcos</t>
  </si>
  <si>
    <t>14 barras con 2363 marcos</t>
  </si>
  <si>
    <t>5 cajones de reales con 12750</t>
  </si>
  <si>
    <t>55 barras con 8927</t>
  </si>
  <si>
    <t>26 cajones con 39600 pesos en reales</t>
  </si>
  <si>
    <t xml:space="preserve">3078 marcos de plata </t>
  </si>
  <si>
    <t>2 fardos de lana de vicuña</t>
  </si>
  <si>
    <t>40 barras de ley con 5952 marcos</t>
  </si>
  <si>
    <t>20 cajones de reales con 53600 pesos</t>
  </si>
  <si>
    <t xml:space="preserve">2 cajones de plata labrada con 576 marcos </t>
  </si>
  <si>
    <t>2 petacas con 521 marcos de plata</t>
  </si>
  <si>
    <t>Plata Labrada</t>
  </si>
  <si>
    <t xml:space="preserve">6 barras con 873 marcos </t>
  </si>
  <si>
    <t xml:space="preserve">3 cajones / 2500 </t>
  </si>
  <si>
    <t>Y en 2 petacas 1500 pesos</t>
  </si>
  <si>
    <t>1 cajon de reales / 2500</t>
  </si>
  <si>
    <t xml:space="preserve">2 baúles con 95 marcos de plata labrada </t>
  </si>
  <si>
    <t>900 pesos en reales</t>
  </si>
  <si>
    <t>05-12-1660</t>
  </si>
  <si>
    <t>Plata amonedada</t>
  </si>
  <si>
    <t>6 cajones de plata labrada con 1780 marcos</t>
  </si>
  <si>
    <t>68r</t>
  </si>
  <si>
    <t>06-12-1660</t>
  </si>
  <si>
    <t>49 barras con 7562 marcos</t>
  </si>
  <si>
    <t>12 cajones de reales con 32400 pesos</t>
  </si>
  <si>
    <t>1 cajon de plata labrada con 296 marcos</t>
  </si>
  <si>
    <t>07-12-1660</t>
  </si>
  <si>
    <t>12 sacas de lana de vicuña</t>
  </si>
  <si>
    <t>08-12-1660</t>
  </si>
  <si>
    <t>70 barras con 12311 marcos</t>
  </si>
  <si>
    <t xml:space="preserve">49 sacas de lana de vicuña </t>
  </si>
  <si>
    <t>5 fardos de lana de vicuña</t>
  </si>
  <si>
    <t>13 sacas de lana de vicuña</t>
  </si>
  <si>
    <t>36 sacas de lana de vicuña</t>
  </si>
  <si>
    <t>09-12-1660</t>
  </si>
  <si>
    <t>36 barras con 5928 marcos</t>
  </si>
  <si>
    <t>Teniente</t>
  </si>
  <si>
    <t xml:space="preserve">39 barras de ley con 5767 marcos </t>
  </si>
  <si>
    <t>68v</t>
  </si>
  <si>
    <t>09-12-1600</t>
  </si>
  <si>
    <t xml:space="preserve">37 barras de ley con 5926 marcos </t>
  </si>
  <si>
    <t xml:space="preserve">8 cajones de reales / 2500 </t>
  </si>
  <si>
    <t>8 cajones de plata labrada con 2410 marcos</t>
  </si>
  <si>
    <t xml:space="preserve">28 barras con 4221 marcos </t>
  </si>
  <si>
    <t>2 cajones de plata con 550 marcos</t>
  </si>
  <si>
    <t>600 pesos en reales</t>
  </si>
  <si>
    <t>2 cajones de reales / 2700</t>
  </si>
  <si>
    <t>10-12-1660</t>
  </si>
  <si>
    <t>18 barras con 12756 marcos</t>
  </si>
  <si>
    <t>2 cajones de reales / 2800</t>
  </si>
  <si>
    <t>2 cajones de plata labrada con 608 marcos</t>
  </si>
  <si>
    <t>13-12-1660</t>
  </si>
  <si>
    <t xml:space="preserve">17 barras con 2843 marcos </t>
  </si>
  <si>
    <t>42 cajones de plata labrada con 12066 marcos</t>
  </si>
  <si>
    <t xml:space="preserve">4000 pesos en reales </t>
  </si>
  <si>
    <t>licenciado</t>
  </si>
  <si>
    <t>12 barras con 1963 marcos</t>
  </si>
  <si>
    <t>19 barras de ley con 2743 marcos</t>
  </si>
  <si>
    <t>10 cajones con 23580 pesos en reales</t>
  </si>
  <si>
    <t>243 marcos de plata labrada</t>
  </si>
  <si>
    <t xml:space="preserve">30 barras de ley con 4593 marcos </t>
  </si>
  <si>
    <t>Padre jesuita</t>
  </si>
  <si>
    <t>Tomas Ignacio</t>
  </si>
  <si>
    <t xml:space="preserve">5 barras con 745 marcos </t>
  </si>
  <si>
    <t>4 cajones de reales/2550 pesos</t>
  </si>
  <si>
    <t>180 marcos de plata labrada</t>
  </si>
  <si>
    <t>69r</t>
  </si>
  <si>
    <t>42 barras de ley con 6371 marcos</t>
  </si>
  <si>
    <t>3 cajones de plata labrada con 996 marcos</t>
  </si>
  <si>
    <t>11 cajones de reales / 2500</t>
  </si>
  <si>
    <t>14-12-1660</t>
  </si>
  <si>
    <t>19 barras de ley con 12435 marcos</t>
  </si>
  <si>
    <t>25 cajones de plata labrada con 6942 marcos</t>
  </si>
  <si>
    <t>Capitán</t>
  </si>
  <si>
    <t>Licenciado</t>
  </si>
  <si>
    <t xml:space="preserve">Capitán </t>
  </si>
  <si>
    <t>Alferéz</t>
  </si>
  <si>
    <t xml:space="preserve">Capitan </t>
  </si>
  <si>
    <t>Capitan</t>
  </si>
  <si>
    <t>15-12-1660</t>
  </si>
  <si>
    <t>9 cajones de plata con 2622 marcos</t>
  </si>
  <si>
    <t>800 pesos en reales</t>
  </si>
  <si>
    <t>6 cajones de reales / 2700</t>
  </si>
  <si>
    <t>2 petacas con 458 marcos de plata labrada</t>
  </si>
  <si>
    <t>Un baul con 231 marcos de plata labrada</t>
  </si>
  <si>
    <t>16-12-1660</t>
  </si>
  <si>
    <t xml:space="preserve">16 barras de ley con 2336 marcos </t>
  </si>
  <si>
    <t xml:space="preserve">4 barretones de ley con 321 marcos </t>
  </si>
  <si>
    <t>27 cajones de reales / 2500</t>
  </si>
  <si>
    <t>460 marcos de plata labrada</t>
  </si>
  <si>
    <t xml:space="preserve">56 barras con 9201 marcos </t>
  </si>
  <si>
    <t xml:space="preserve">Alferez </t>
  </si>
  <si>
    <t>6 cajones de plata con 1776 marcos</t>
  </si>
  <si>
    <t xml:space="preserve">2 cajones de reales </t>
  </si>
  <si>
    <t>4 barras con 700 marcos</t>
  </si>
  <si>
    <t>69v</t>
  </si>
  <si>
    <t>400 pesos en reales</t>
  </si>
  <si>
    <t>27 barras de ley con 4024 marcos</t>
  </si>
  <si>
    <t>5 barras moclonas con 749 marcos</t>
  </si>
  <si>
    <t>4 barras moclonas con 624 marcos</t>
  </si>
  <si>
    <t xml:space="preserve">8 barras moclonas con 1230 marcos </t>
  </si>
  <si>
    <t>10 barras moclonas con 1502 marcos</t>
  </si>
  <si>
    <t>6 barras moclonas con 914 marcos</t>
  </si>
  <si>
    <t>10 barras moclonas con 1790 marcos</t>
  </si>
  <si>
    <t>5 moclonas con 755 marcos</t>
  </si>
  <si>
    <t>8 moclonas con 1176 marcos</t>
  </si>
  <si>
    <t>2 barras moclonas con 305 marcos</t>
  </si>
  <si>
    <t>4 barras moclonas con 638 marcos</t>
  </si>
  <si>
    <t xml:space="preserve">10 barras moclonas con 1634 marcos </t>
  </si>
  <si>
    <t>4 barras moclonas con 603 marcos y una barra de ley con 157 marcos</t>
  </si>
  <si>
    <t>1 barra moclona con 195 marcos a 7 por ciento</t>
  </si>
  <si>
    <t>24 barras de ley con 3783 marcos y una barra moclona con 151 marcos</t>
  </si>
  <si>
    <t>1 barra moclona con 174 marcos</t>
  </si>
  <si>
    <t>1 barra moclona con 185 marcos</t>
  </si>
  <si>
    <t>1 barra moclona con 162 marcos</t>
  </si>
  <si>
    <t>1 barra moclona con 154 marcos</t>
  </si>
  <si>
    <t>1 bara moclona con 177 marcos</t>
  </si>
  <si>
    <t>8 barras moclonas con 1219 marcos y 32 barras 4 barretones de ley con 5578 marcos</t>
  </si>
  <si>
    <t>6 barras moclonas con 1070 marcos</t>
  </si>
  <si>
    <t>14 barras moclonas con 2396 marcos</t>
  </si>
  <si>
    <t>13 cajones de plata con 3422 marcos</t>
  </si>
  <si>
    <t xml:space="preserve">450 pesos en reales </t>
  </si>
  <si>
    <t>2 cajones con 657 marcos</t>
  </si>
  <si>
    <t>3 cajones de reales / 2550</t>
  </si>
  <si>
    <t>1 cajon de plata labrada con 200 marcos</t>
  </si>
  <si>
    <t>1 petaca con 230 marcos de plata</t>
  </si>
  <si>
    <t>2 barras con 274 marcos</t>
  </si>
  <si>
    <t>1 cajón / 2500 pesos</t>
  </si>
  <si>
    <t>1 cajón con 205 marcos</t>
  </si>
  <si>
    <t>otro cajón con una barra 135 marcos</t>
  </si>
  <si>
    <t>1416 pesos en reales</t>
  </si>
  <si>
    <t>28 barras y 12 barretones de ley con 4702 marcos y una barra y un barreton con 207 marcos</t>
  </si>
  <si>
    <t>8 cajones de reales / 2500</t>
  </si>
  <si>
    <t>3 cajones de plata labrada con 1060 marcos</t>
  </si>
  <si>
    <t>42 barras de ley con 6474 marcos</t>
  </si>
  <si>
    <t>18 cajones de reales / 2700</t>
  </si>
  <si>
    <t>6 cajones de plata labrada con 1800 marcos</t>
  </si>
  <si>
    <t>2 cajones de plata con 698 marcos</t>
  </si>
  <si>
    <t>18-12-1660</t>
  </si>
  <si>
    <t>19-12-1660</t>
  </si>
  <si>
    <t>60 barras con 9517 marcos</t>
  </si>
  <si>
    <t>Maestro de campo</t>
  </si>
  <si>
    <t>20-12-1660</t>
  </si>
  <si>
    <t xml:space="preserve">23 barras de ley con 3945 marcos y 6 barras moclonas con 1274 marcos y 19 cajones de plata con 5747 marcos </t>
  </si>
  <si>
    <t>1 cajon de plata labrada con 306 marcos</t>
  </si>
  <si>
    <t>70r</t>
  </si>
  <si>
    <t>21-12-1660</t>
  </si>
  <si>
    <t xml:space="preserve">80 barras con 12422 marcos </t>
  </si>
  <si>
    <t xml:space="preserve">10 cajones de reales/2500 pesos  </t>
  </si>
  <si>
    <t>22-12-1660</t>
  </si>
  <si>
    <t xml:space="preserve">13 cajones de reales/2500 </t>
  </si>
  <si>
    <t>454 pesos de buena moneda y 2046 pesos de reales moclonas</t>
  </si>
  <si>
    <t>1 barra con 196 marcos</t>
  </si>
  <si>
    <t xml:space="preserve">17 barras de ley con 2809 marcos </t>
  </si>
  <si>
    <t xml:space="preserve">4 barras moclonas con 653 marcos </t>
  </si>
  <si>
    <t xml:space="preserve">2 cajones de plata con 603 marcos </t>
  </si>
  <si>
    <t>9 cajones de reales con 24700 pesos</t>
  </si>
  <si>
    <t xml:space="preserve">37 barras de ley con 320 marcos </t>
  </si>
  <si>
    <t>11 cajones de plata con 3144 marcos</t>
  </si>
  <si>
    <t>3 petacas con 684 marcos de plata</t>
  </si>
  <si>
    <t xml:space="preserve">2 barras con 392 marcos </t>
  </si>
  <si>
    <t>2 barras con 337 marcos</t>
  </si>
  <si>
    <t>120 marcos de plata labrada</t>
  </si>
  <si>
    <t>3 cajones de reales/2500 pesos</t>
  </si>
  <si>
    <t>900 pesos sueltos en la cama</t>
  </si>
  <si>
    <t>300 marcos de plata labrada</t>
  </si>
  <si>
    <t xml:space="preserve">1 cajón de reales con 2500 </t>
  </si>
  <si>
    <t>500 pesos en las petaquillas</t>
  </si>
  <si>
    <t xml:space="preserve">250 pesos en reales en sus petaquillas </t>
  </si>
  <si>
    <t>70v</t>
  </si>
  <si>
    <t>23-12-1660</t>
  </si>
  <si>
    <t>20 cajones de reales con 62400</t>
  </si>
  <si>
    <t>24-12-1660</t>
  </si>
  <si>
    <t>6 cajones de reales/3000 pesos en moneda resellada, y entre ellos 1000 pesos de buena moneda y los resellados consideradoss a 6 reales y medio</t>
  </si>
  <si>
    <t xml:space="preserve">2 cajones de plata labrada con 703 marcos </t>
  </si>
  <si>
    <t xml:space="preserve">2 cajones de plata labrada con 704 marcos </t>
  </si>
  <si>
    <t>1 cajón de plata labrada con 362 marcos</t>
  </si>
  <si>
    <t>30 barras de ley con 5273 marcos y 6 barras moclonas con 1103 marcos</t>
  </si>
  <si>
    <t>12 cajones de reales con 36800 pesos</t>
  </si>
  <si>
    <t>25-12-1660</t>
  </si>
  <si>
    <t>65 barras de ley con 10197 marcos y 3 barras moclonas con 452 marcos</t>
  </si>
  <si>
    <t xml:space="preserve">10 cajones de plata labrada con 1456 marcos </t>
  </si>
  <si>
    <t>14621 pesos en reales</t>
  </si>
  <si>
    <t xml:space="preserve">6 cajones de plata con 1770 marcos </t>
  </si>
  <si>
    <t>27-12-1660</t>
  </si>
  <si>
    <t xml:space="preserve">31 barras de plata con 5250 marcos </t>
  </si>
  <si>
    <t>71r</t>
  </si>
  <si>
    <t>7 barras con 1281 marcos y 4 cajones de plata con 1703 marcos</t>
  </si>
  <si>
    <t xml:space="preserve">27 barras de ley con 3933 marcos y 1 barra moclona con 151 marcos </t>
  </si>
  <si>
    <t>15 cajones de plata con 4500 marcos</t>
  </si>
  <si>
    <t xml:space="preserve">2 cajones de plata labrada con 411 marcos </t>
  </si>
  <si>
    <t xml:space="preserve">23 barras con 3867 marcos </t>
  </si>
  <si>
    <t>2 cajones de reales/3000 pesos</t>
  </si>
  <si>
    <t>02-01-1661</t>
  </si>
  <si>
    <t xml:space="preserve">11 cajones de reales/3000 pesos </t>
  </si>
  <si>
    <t>5 cajones/3200 pesos</t>
  </si>
  <si>
    <t xml:space="preserve">4 cajones de plata labrada con 1240 marcos </t>
  </si>
  <si>
    <t>03-01-1661</t>
  </si>
  <si>
    <t xml:space="preserve">19 barras de ley con 2941 marcos y 3 barras moclonas con 458 marcos </t>
  </si>
  <si>
    <t xml:space="preserve">5 cajones de reales/2500 pesos </t>
  </si>
  <si>
    <t>17 barras de ley con 2755 marcos y 2 barras moclonas con 317 marcos</t>
  </si>
  <si>
    <t>8 cajones de reales/3000 pesos</t>
  </si>
  <si>
    <t xml:space="preserve">20 barras con 3022 marcos </t>
  </si>
  <si>
    <t>9 barras de ley con 1274 marcos y 7 barras moclonas con 1203 marcos</t>
  </si>
  <si>
    <t>04-01-1661</t>
  </si>
  <si>
    <t>21 barras de ley con 3462 marcos y una moclona con 179 marcos</t>
  </si>
  <si>
    <t>20 cajones de reales/2500 pesos</t>
  </si>
  <si>
    <t>6 cajones/3000 pesos</t>
  </si>
  <si>
    <t>71v</t>
  </si>
  <si>
    <t>05-01-1661</t>
  </si>
  <si>
    <t>2 petacas con 4350 pesos</t>
  </si>
  <si>
    <t>Franciscano</t>
  </si>
  <si>
    <t>07-01-1661</t>
  </si>
  <si>
    <t xml:space="preserve">50 barras de ley con 8890 marcos </t>
  </si>
  <si>
    <t>08-01-1661</t>
  </si>
  <si>
    <t xml:space="preserve">28 barras con 4893 marcos </t>
  </si>
  <si>
    <t>148 marcos de plata labrada</t>
  </si>
  <si>
    <t>2450 pesos en reales en una petaca y su cama</t>
  </si>
  <si>
    <t xml:space="preserve">En una petaca 1370 pesos en reales </t>
  </si>
  <si>
    <t>11-01-1661</t>
  </si>
  <si>
    <t>16 sacas de lana de vicuña</t>
  </si>
  <si>
    <t>12-01-1661</t>
  </si>
  <si>
    <t>23 fardos de lana de vicuña</t>
  </si>
  <si>
    <t>14-01-1661</t>
  </si>
  <si>
    <t>100 pesos en su petaquillas</t>
  </si>
  <si>
    <t>52 barras de ley con 7705 marcos y 26 cajones de plata con 7927 marcos</t>
  </si>
  <si>
    <t>15-01-1661</t>
  </si>
  <si>
    <t>88 marcos de plata labrada</t>
  </si>
  <si>
    <t xml:space="preserve">40 barras con 6785 pesos </t>
  </si>
  <si>
    <t>8 cajones de reales con 20500 pesos</t>
  </si>
  <si>
    <t>otro cajón con 2 barretones quintados con 160 marcos</t>
  </si>
  <si>
    <t xml:space="preserve">1215 pesos en reales </t>
  </si>
  <si>
    <t>72r</t>
  </si>
  <si>
    <t xml:space="preserve">36 barras con 5517 marcos </t>
  </si>
  <si>
    <t xml:space="preserve">10 marcos de plata </t>
  </si>
  <si>
    <t>16-01-1661</t>
  </si>
  <si>
    <t>23-01-1661</t>
  </si>
  <si>
    <t xml:space="preserve">4 barras de ley con 74 marcos </t>
  </si>
  <si>
    <t>500 pesos en reales</t>
  </si>
  <si>
    <t>24-01-1661</t>
  </si>
  <si>
    <t xml:space="preserve">8 cajones de plata con 2536 marcos </t>
  </si>
  <si>
    <t>1 barra y 1 barretón moclón con 184 marcos y 145 marcos de buena plata</t>
  </si>
  <si>
    <t>1600 pesos en reales</t>
  </si>
  <si>
    <t>4 barras de ley con 651 marcos y 62 marcos de plata labrada</t>
  </si>
  <si>
    <t>7 barras de ley con 825 marcos y 1 barra moclñona con 185 marcos</t>
  </si>
  <si>
    <t>25-01-1661</t>
  </si>
  <si>
    <t>184 marcos de plata</t>
  </si>
  <si>
    <t>1200 pesos en reales</t>
  </si>
  <si>
    <t>72v</t>
  </si>
  <si>
    <t>Gobernador</t>
  </si>
  <si>
    <t xml:space="preserve">14 barras con 2329 marcos </t>
  </si>
  <si>
    <t>2 cajones de plata labrada con 225 marcos</t>
  </si>
  <si>
    <t>8 barras con 1346 marcos y 2 petacas con 706 marcos</t>
  </si>
  <si>
    <t>Maestre de campo</t>
  </si>
  <si>
    <t xml:space="preserve">8 barras con 1108 marcos </t>
  </si>
  <si>
    <t>15 cajones de reales con 38400 pesos</t>
  </si>
  <si>
    <t>5 petacas y 1 cajón con 1418 marcos</t>
  </si>
  <si>
    <t xml:space="preserve">1 barra con 144 marcos </t>
  </si>
  <si>
    <t xml:space="preserve">800 pesos en reales </t>
  </si>
  <si>
    <t xml:space="preserve">2 barras con 24 marcos </t>
  </si>
  <si>
    <t>49 barras de ley con 7590 marcos y 6 barras moclonas con 956 marcos</t>
  </si>
  <si>
    <t xml:space="preserve">11 cajones de reales/2540 </t>
  </si>
  <si>
    <t xml:space="preserve">1 cajón de plata labrada con 260 marcos </t>
  </si>
  <si>
    <t>1300 pesos en reales</t>
  </si>
  <si>
    <t>50 marcos de plata</t>
  </si>
  <si>
    <t>16 barras con 7553 marcos</t>
  </si>
  <si>
    <t>2 cajones de reales/2500</t>
  </si>
  <si>
    <t>En su cama y petacas 700 pesos en reales</t>
  </si>
  <si>
    <t>73r</t>
  </si>
  <si>
    <t>En 2 baúles 352 marcos de plata labrada</t>
  </si>
  <si>
    <t xml:space="preserve">2 cajones con 546 marcos de plata </t>
  </si>
  <si>
    <t>500 pesos resellados</t>
  </si>
  <si>
    <t xml:space="preserve">8 barras con 1073 marcos </t>
  </si>
  <si>
    <t>8239 pesos en reales</t>
  </si>
  <si>
    <t>1229 marcos de plata labrada</t>
  </si>
  <si>
    <t xml:space="preserve">3 barras con 500 marcos </t>
  </si>
  <si>
    <t>8700 pesos en reales</t>
  </si>
  <si>
    <t>92 marcos de plata labrada</t>
  </si>
  <si>
    <t xml:space="preserve">3 cajones de reales/3000 </t>
  </si>
  <si>
    <t xml:space="preserve">1 barra con 128 marcos </t>
  </si>
  <si>
    <t xml:space="preserve">1500 pesos en moclones </t>
  </si>
  <si>
    <t xml:space="preserve">50 marcos de plata </t>
  </si>
  <si>
    <t xml:space="preserve">2 barras y 1 barretón con 306 marcos </t>
  </si>
  <si>
    <t>2852 pesos en reales</t>
  </si>
  <si>
    <t>20 marcos de plata labrada</t>
  </si>
  <si>
    <t xml:space="preserve">1250 en reales </t>
  </si>
  <si>
    <t>73v</t>
  </si>
  <si>
    <t>692 marcos de plata labrada</t>
  </si>
  <si>
    <t>3600 pesos en las camas</t>
  </si>
  <si>
    <t xml:space="preserve">3 cajones/2500 pesos </t>
  </si>
  <si>
    <t>26-01-1661</t>
  </si>
  <si>
    <t>32 barras con 5090 marcos</t>
  </si>
  <si>
    <t>1 barra y otras piezas de plata con 451 marcos</t>
  </si>
  <si>
    <t>27-01-1661</t>
  </si>
  <si>
    <t xml:space="preserve">29 barras con 4969 marcos </t>
  </si>
  <si>
    <t xml:space="preserve">1000 pesos en la cama </t>
  </si>
  <si>
    <t>2 petacas con 400 marcos de plata labrada</t>
  </si>
  <si>
    <t>1 cajón de reales con 2350 pesos</t>
  </si>
  <si>
    <t xml:space="preserve">200 pesos sueltos </t>
  </si>
  <si>
    <t>12 marcos de plata labrada</t>
  </si>
  <si>
    <t>3 cajones de reales con 7900 pesos</t>
  </si>
  <si>
    <t>170 marcos de plata labrada</t>
  </si>
  <si>
    <t>800 pesos en reales en una petaca</t>
  </si>
  <si>
    <t>10 barras y barretones con 1112 marcos</t>
  </si>
  <si>
    <t>74r</t>
  </si>
  <si>
    <t>2 cajones de plata labrada con 715 marcos</t>
  </si>
  <si>
    <t xml:space="preserve">8 barras con 1251 marcos </t>
  </si>
  <si>
    <t>11 cajones de reales/3000 pesos</t>
  </si>
  <si>
    <t xml:space="preserve">2 baules, 2 petacas y 2 cajones con 6200 pesos en reales </t>
  </si>
  <si>
    <t>500 marcos de plata labrada</t>
  </si>
  <si>
    <t>28-01-1661</t>
  </si>
  <si>
    <t>9 cajones de reales / 2525</t>
  </si>
  <si>
    <t>6 cajones de plata con 1860 marcos y 66 marcos de moclones</t>
  </si>
  <si>
    <t>1 petaca y 1 baul con 493 marcos de plata</t>
  </si>
  <si>
    <t xml:space="preserve">20 barras de ley con 3032 marcos y 12 barras moclonas con 1892 marcos  </t>
  </si>
  <si>
    <t>12 cajones de reales / 2550</t>
  </si>
  <si>
    <t>Y de los dichos 600 pesos en reales en las camas</t>
  </si>
  <si>
    <t xml:space="preserve">100 marcos de plata labrada </t>
  </si>
  <si>
    <t>4 cajones de reales con 10900 pesos</t>
  </si>
  <si>
    <t xml:space="preserve">9 barras de ley con 1404 marcos y 3 barras moclonas con 461 marcos  </t>
  </si>
  <si>
    <t>8 cajones de reales / 2600 pesos</t>
  </si>
  <si>
    <t>74v</t>
  </si>
  <si>
    <t xml:space="preserve">8 barras de ley con 1228 marcos y 2 barras moclonas con 335 marcos </t>
  </si>
  <si>
    <t xml:space="preserve">126 marcos de plata labrada </t>
  </si>
  <si>
    <t xml:space="preserve">6 barras con 758 marcos </t>
  </si>
  <si>
    <t xml:space="preserve">14 cajones de reales con 36250 pesos </t>
  </si>
  <si>
    <t xml:space="preserve">2 cajones / 2700 pesos de resellados </t>
  </si>
  <si>
    <t>29-01-1661</t>
  </si>
  <si>
    <t>4 cajones de reales / 2500</t>
  </si>
  <si>
    <t xml:space="preserve">36 cajones de reales </t>
  </si>
  <si>
    <t xml:space="preserve">10 barras con 1702 marcos </t>
  </si>
  <si>
    <t>10 cajones de reales /2500</t>
  </si>
  <si>
    <t>2 baules con 4000 pesos</t>
  </si>
  <si>
    <t>1 petaca con 130 marcos de plata labrada</t>
  </si>
  <si>
    <t>17 barras de ley con 2806 marcos y 6 barras moclonas con 1086 marcos</t>
  </si>
  <si>
    <t>30-01-1661</t>
  </si>
  <si>
    <t xml:space="preserve">7 barras con 1143 marcos </t>
  </si>
  <si>
    <t>60 marcos de plata</t>
  </si>
  <si>
    <t>280 pesos en reales</t>
  </si>
  <si>
    <t>75r</t>
  </si>
  <si>
    <t>01-02-1661</t>
  </si>
  <si>
    <t>1 barra y 9 barretones de ley con 695 marcos y 1 barra moclona con 151 marcos</t>
  </si>
  <si>
    <t>9 cajones de reales con 23000 pesos</t>
  </si>
  <si>
    <t>39 barras de ley con 6162 marcos y 1 barra moclona con 156 marcos</t>
  </si>
  <si>
    <t>10 fardos de lana de vicuña</t>
  </si>
  <si>
    <t>04-02-1661</t>
  </si>
  <si>
    <t>35 barras de ley con 4639 marcos y 1 moclona con 153 marcos</t>
  </si>
  <si>
    <t xml:space="preserve">7 cajones de reales con 18700 pesos </t>
  </si>
  <si>
    <t>07-02-1661</t>
  </si>
  <si>
    <t xml:space="preserve">5 barras con 848 marcos </t>
  </si>
  <si>
    <t>3 barras de ley con 500 marcos y 2 barras moclonas con 365 marcos</t>
  </si>
  <si>
    <t>2 barras de ley con 337 marcos y 1 barra moclona con 196 marcos</t>
  </si>
  <si>
    <t xml:space="preserve">25 cajones de reales con 13100 pesos </t>
  </si>
  <si>
    <t xml:space="preserve">2 baules con 275 marcos </t>
  </si>
  <si>
    <t>08-02-1661</t>
  </si>
  <si>
    <t xml:space="preserve">28 barras con 4300 marcos </t>
  </si>
  <si>
    <t>6 cajones / 2500 pesos</t>
  </si>
  <si>
    <t>1 cajon de plata con 350 marcos</t>
  </si>
  <si>
    <t xml:space="preserve">3 sacas de lana de vicuña </t>
  </si>
  <si>
    <t>30 marcos de plata suelta</t>
  </si>
  <si>
    <t>75v</t>
  </si>
  <si>
    <t xml:space="preserve">20 barras de ley con 3513 marcos y 2 cajones con 460 marcos de plata </t>
  </si>
  <si>
    <t xml:space="preserve">9 barras con 1418 marcos </t>
  </si>
  <si>
    <t>13 cajones de reales / 2500 pesos</t>
  </si>
  <si>
    <t xml:space="preserve">2 cajones de plata con 563 marcos </t>
  </si>
  <si>
    <t xml:space="preserve">446 pesos en reales </t>
  </si>
  <si>
    <t xml:space="preserve">8 barras con 1288 marcos </t>
  </si>
  <si>
    <t>15 cajones de reales / 3000 pesos</t>
  </si>
  <si>
    <t xml:space="preserve">10 cajones de 2500 pesos </t>
  </si>
  <si>
    <t>36 barras de ley con 6017</t>
  </si>
  <si>
    <t>8 barras de ley con 1074 marcos y 1 barra moclona con 153 marcos</t>
  </si>
  <si>
    <t>16 cajones de reales / 2500</t>
  </si>
  <si>
    <t>1 cajon con 2600 pesos</t>
  </si>
  <si>
    <t>3 cajones / 2500 pesos</t>
  </si>
  <si>
    <t xml:space="preserve">132 marcos de plata labrada </t>
  </si>
  <si>
    <t>11-02-1661</t>
  </si>
  <si>
    <t xml:space="preserve">12 barras de ley con 1845 marcos y 2 barras moclonas con 296 marcos </t>
  </si>
  <si>
    <t>9 barras y 2 barretones de ley con 1576 marcos y 13 marcos de plata labrada</t>
  </si>
  <si>
    <t xml:space="preserve">3 barras con 411 marcos </t>
  </si>
  <si>
    <t>12 cajones de reales / 2500</t>
  </si>
  <si>
    <t>123 marcos de plata labrada</t>
  </si>
  <si>
    <t>76r</t>
  </si>
  <si>
    <t xml:space="preserve">8 barras con 1259 marcos </t>
  </si>
  <si>
    <t>En pesos resellados que valen 379 pesos</t>
  </si>
  <si>
    <t>800 pesos de buena moneda</t>
  </si>
  <si>
    <t>42 marcos de plata labrada</t>
  </si>
  <si>
    <t>12-02-1661</t>
  </si>
  <si>
    <t xml:space="preserve">18 barras de ley con 2565 marcos y 1 barra moclona con 159 marcos </t>
  </si>
  <si>
    <t>1 cajon de plata labrada con 250 pesos</t>
  </si>
  <si>
    <t>14-02-1661</t>
  </si>
  <si>
    <t>40 barras de ley con 6388 marcos y 12 barras moclonas con 2032 marcos</t>
  </si>
  <si>
    <t>1 cajon de plata labrada con 330 marcos</t>
  </si>
  <si>
    <t xml:space="preserve">2 cajones con 100 marcos de plata de menudencias para iglesias </t>
  </si>
  <si>
    <t xml:space="preserve">500 marcos de plata </t>
  </si>
  <si>
    <t xml:space="preserve">12 barras con 1666 marcos </t>
  </si>
  <si>
    <t xml:space="preserve">2 baules con 1000 pesos en reales </t>
  </si>
  <si>
    <t>15-02-1661</t>
  </si>
  <si>
    <t>14 barras de ley con 1870 marcos y 1 barra moclona con 157 marcos</t>
  </si>
  <si>
    <t>76v</t>
  </si>
  <si>
    <t xml:space="preserve">En sus petacas 10374 pesos en reales </t>
  </si>
  <si>
    <t>17-02-1661</t>
  </si>
  <si>
    <t xml:space="preserve">18 barras con 2662 marcos y 538 marcos de plata </t>
  </si>
  <si>
    <t xml:space="preserve">1 petaca con 253 marcos de plata </t>
  </si>
  <si>
    <t xml:space="preserve">2 baules con 86 marcos de plata labrada </t>
  </si>
  <si>
    <t>50 barras de ley con 7835 marcos y 3 barras moclonas con 494 marcos</t>
  </si>
  <si>
    <t>6 cajones de reales con 16000 pesos</t>
  </si>
  <si>
    <t>1 cajón con 80 marcos de plata</t>
  </si>
  <si>
    <t>Otro cajon con 300 marcos</t>
  </si>
  <si>
    <t>18-02-1661</t>
  </si>
  <si>
    <t>26 cajones con 2254 marcos de plata</t>
  </si>
  <si>
    <t>49450 pesos en reales</t>
  </si>
  <si>
    <t xml:space="preserve">10 cajones de reales los 9 de a 2500 y 1 de 2600 </t>
  </si>
  <si>
    <t>16 barras con 2335 marcos y 4 cajones de barretas</t>
  </si>
  <si>
    <t>2500 pesos en reales</t>
  </si>
  <si>
    <t>19-02-1661</t>
  </si>
  <si>
    <t xml:space="preserve">6 barras con 778 marcos </t>
  </si>
  <si>
    <t>6 cajones de reales / 2500</t>
  </si>
  <si>
    <t>2 sacas de lana de vicuña</t>
  </si>
  <si>
    <t xml:space="preserve">23 barras con 3699 marcos </t>
  </si>
  <si>
    <t xml:space="preserve">2 cajones de plata labrada con 750 marcos </t>
  </si>
  <si>
    <t>77r</t>
  </si>
  <si>
    <t xml:space="preserve">19 barras con 3195 marcos </t>
  </si>
  <si>
    <t>En una petaca 800 pesos en reales</t>
  </si>
  <si>
    <t>20-02-1661</t>
  </si>
  <si>
    <t xml:space="preserve">2935 pesos en reales </t>
  </si>
  <si>
    <t>1 cajon de plata labrada con 338 marcos</t>
  </si>
  <si>
    <t>21-02-1661</t>
  </si>
  <si>
    <t xml:space="preserve">12 barras con 1881 marcos </t>
  </si>
  <si>
    <t>1500 pesos en reales</t>
  </si>
  <si>
    <t>850 pesos en reales</t>
  </si>
  <si>
    <t xml:space="preserve">11 barras con 1865 marcos </t>
  </si>
  <si>
    <t xml:space="preserve">1 cajon con 2500 pesos </t>
  </si>
  <si>
    <t xml:space="preserve">125 marcos de plata labrada </t>
  </si>
  <si>
    <t xml:space="preserve">18 barras con 2837 marcos </t>
  </si>
  <si>
    <t>1 cajon y 1 petaca con 349 marcos de plata</t>
  </si>
  <si>
    <t>En un baul 120 marcos de plata labrada</t>
  </si>
  <si>
    <t xml:space="preserve">86 barras y 1 barreton con 14249 marcos </t>
  </si>
  <si>
    <t>26-02-1661</t>
  </si>
  <si>
    <t xml:space="preserve">26 barras con 4850 marcos </t>
  </si>
  <si>
    <t>1800 pesos en reales</t>
  </si>
  <si>
    <t>16 marcos de plata labrada</t>
  </si>
  <si>
    <t xml:space="preserve">4 cajones de reales </t>
  </si>
  <si>
    <t>22-02-1661</t>
  </si>
  <si>
    <t xml:space="preserve">14 barras y 3 barrertones de ley con 2089 marcos y 1 barreton moclon con 75 marcos </t>
  </si>
  <si>
    <t xml:space="preserve">6 cajones de reales </t>
  </si>
  <si>
    <t xml:space="preserve">6 cajones de plata con 1460 marcos </t>
  </si>
  <si>
    <t xml:space="preserve">2603 pesos en reales </t>
  </si>
  <si>
    <t>3 cajones con 8400 pesos en reales</t>
  </si>
  <si>
    <t>3 cajoncillos con 300 marcos de plata labrada</t>
  </si>
  <si>
    <t>77v</t>
  </si>
  <si>
    <t>78r</t>
  </si>
  <si>
    <t>27-02-1661</t>
  </si>
  <si>
    <t xml:space="preserve">43 barras con 6585 marcos </t>
  </si>
  <si>
    <t>24 cajones de reales con 64000 pesos</t>
  </si>
  <si>
    <t>28-02-1661</t>
  </si>
  <si>
    <t xml:space="preserve">1100 pesos en reales </t>
  </si>
  <si>
    <t>21 marcos de plata labrada</t>
  </si>
  <si>
    <t>02-03-1661</t>
  </si>
  <si>
    <t xml:space="preserve">6 barras con 956 marcos </t>
  </si>
  <si>
    <t>7 cajones de reales / 2600</t>
  </si>
  <si>
    <t>8 cajones de reales /2500</t>
  </si>
  <si>
    <t>4 cajones de reales / 2600</t>
  </si>
  <si>
    <t>6 cajones de reales / 2500 pesos</t>
  </si>
  <si>
    <t xml:space="preserve">2 barras con 260 marcos </t>
  </si>
  <si>
    <t xml:space="preserve">2 petacas con 199 marcos de plata </t>
  </si>
  <si>
    <t xml:space="preserve">1521 pesos en reales </t>
  </si>
  <si>
    <t>1 cajon con 280 marcos de plata labrada</t>
  </si>
  <si>
    <t>03-03-1661</t>
  </si>
  <si>
    <t xml:space="preserve">19 marcos de plata </t>
  </si>
  <si>
    <t xml:space="preserve">100 pesos en reales </t>
  </si>
  <si>
    <t>04-03-1661</t>
  </si>
  <si>
    <t xml:space="preserve">350 marcos de plata labrada y 1 barra con 158 marcos </t>
  </si>
  <si>
    <t>78v</t>
  </si>
  <si>
    <t xml:space="preserve">1 petaca y 1 cajon con 300 marcos de plata </t>
  </si>
  <si>
    <t>5 cajones / 2500 pesos</t>
  </si>
  <si>
    <t>2 barras con 309 marcos y 325 pesos de plata labrada</t>
  </si>
  <si>
    <t xml:space="preserve">1384 pesos en reales sueltos </t>
  </si>
  <si>
    <t>2 baules y 2 petacas y en ellos 2640 pesos en reales</t>
  </si>
  <si>
    <t>1965 pesos en moneda corriente</t>
  </si>
  <si>
    <t xml:space="preserve">3 barras con 463 marcos </t>
  </si>
  <si>
    <t>58 marcos de plata labrada</t>
  </si>
  <si>
    <t xml:space="preserve">2600 pesos en reales </t>
  </si>
  <si>
    <t xml:space="preserve">2 cajones de reales de a 2500 y 1300 pesos </t>
  </si>
  <si>
    <t>Sargento</t>
  </si>
  <si>
    <t>79r</t>
  </si>
  <si>
    <t>3350 pesos en reales</t>
  </si>
  <si>
    <t>4350 pesos en reales</t>
  </si>
  <si>
    <t xml:space="preserve">4700 pesos en reales corrientes </t>
  </si>
  <si>
    <t xml:space="preserve">300 pesos moclones </t>
  </si>
  <si>
    <t>119 marcos de plata labrada</t>
  </si>
  <si>
    <t>La suma orginal es 535 se le rebajaron 100 pesos  para su gasto</t>
  </si>
  <si>
    <t>05-03-1661</t>
  </si>
  <si>
    <t>2 baules con 130 marcos de plata labrada</t>
  </si>
  <si>
    <t>2 barras con 368 marcos y 47 marcos de plata labrada</t>
  </si>
  <si>
    <t xml:space="preserve">18 barras con 3031 marcos </t>
  </si>
  <si>
    <t>6 cajones de reales con 15108 pesos</t>
  </si>
  <si>
    <t>10 marcos de plata labrada</t>
  </si>
  <si>
    <t>58 marcos de plata labrada y 1 barreton</t>
  </si>
  <si>
    <t>79v</t>
  </si>
  <si>
    <t xml:space="preserve">2900 pesos en reales </t>
  </si>
  <si>
    <t>06-03-1661</t>
  </si>
  <si>
    <t>6 cajones de reales con 11300 pesos y 3800 pesos en moneda resellada</t>
  </si>
  <si>
    <t xml:space="preserve">3350 pesos en los baules </t>
  </si>
  <si>
    <t>9 cajones de reales / 2500</t>
  </si>
  <si>
    <t>3000 pesos en reales</t>
  </si>
  <si>
    <t>50 marcos de plata labrada</t>
  </si>
  <si>
    <t xml:space="preserve">En 2 petacas 2600 pesos </t>
  </si>
  <si>
    <t>2900 pesos en sus petacas</t>
  </si>
  <si>
    <t xml:space="preserve">7000 pesos reales </t>
  </si>
  <si>
    <t xml:space="preserve">1 barra con 168 marcos y 57 marcos de plata </t>
  </si>
  <si>
    <t>80r</t>
  </si>
  <si>
    <t>07-03-1661</t>
  </si>
  <si>
    <t xml:space="preserve">16 barras 2500 marcos de plata </t>
  </si>
  <si>
    <t>4602 pesos en diferentes generos de plata</t>
  </si>
  <si>
    <t>2 cajones de reales / 2500 pesos y 4 petacas con 5600 pesos</t>
  </si>
  <si>
    <t xml:space="preserve">8 barras con 1261 marcos </t>
  </si>
  <si>
    <t>4 cajones con 12000 pesos en reales</t>
  </si>
  <si>
    <t>1863 pesos en las petacas</t>
  </si>
  <si>
    <t>4 cajones de reales / 2500 y 10300 pesos en las petacas</t>
  </si>
  <si>
    <t xml:space="preserve">5 cajones / 2500 pesos </t>
  </si>
  <si>
    <t xml:space="preserve">Otro cajon con 2000 pesos moclones </t>
  </si>
  <si>
    <t>500 pesos corrientes y 1 petaca con 2000 pesos</t>
  </si>
  <si>
    <t>3 baules con 150 marcos de plata labrada</t>
  </si>
  <si>
    <t>225 marcos de plata labrada</t>
  </si>
  <si>
    <t>80v</t>
  </si>
  <si>
    <t xml:space="preserve">4 barras con 550 marcos </t>
  </si>
  <si>
    <t xml:space="preserve">53 marcos de plata </t>
  </si>
  <si>
    <t>1 barra con 183 marcos</t>
  </si>
  <si>
    <t>194 marcos de plata labrada</t>
  </si>
  <si>
    <t xml:space="preserve">33 barras con 5362 marcos </t>
  </si>
  <si>
    <t xml:space="preserve">5 cajones de reales y plata con 13000 pesos </t>
  </si>
  <si>
    <t>6 cajones / 3000 pesos</t>
  </si>
  <si>
    <t xml:space="preserve">2 cajones con 286 marcos de plata </t>
  </si>
  <si>
    <t>2100 pesos en reales</t>
  </si>
  <si>
    <t>2 cajones con 3000 pesos en reales</t>
  </si>
  <si>
    <t xml:space="preserve">7982 pesos en reales </t>
  </si>
  <si>
    <t>28 marcos de plata labrada</t>
  </si>
  <si>
    <t>81r</t>
  </si>
  <si>
    <t xml:space="preserve">Y en otra petaca 258 marcos de plata labrada </t>
  </si>
  <si>
    <t>Contador</t>
  </si>
  <si>
    <t>De cuenta de Francisco Sabogal</t>
  </si>
  <si>
    <t>1000 pesos</t>
  </si>
  <si>
    <t>08-03-1661</t>
  </si>
  <si>
    <t xml:space="preserve">1 barra con 154 marcos </t>
  </si>
  <si>
    <t>700 pesos en reales</t>
  </si>
  <si>
    <t>200 marcos de plata</t>
  </si>
  <si>
    <t>88 barras con 11811 marcos</t>
  </si>
  <si>
    <t>24 cajones de reales / 3000</t>
  </si>
  <si>
    <t>18 cajones de plata labrada</t>
  </si>
  <si>
    <t>En nombre de la condesa Salvatierra</t>
  </si>
  <si>
    <t>2 cajas con 120 marcos de plata labrada</t>
  </si>
  <si>
    <t>950 pesos en reales</t>
  </si>
  <si>
    <t>2 baules de ropa y 550 pesos en reales</t>
  </si>
  <si>
    <t>09-03-1661</t>
  </si>
  <si>
    <t xml:space="preserve">112 marcos de plata </t>
  </si>
  <si>
    <t>500 pesos reales</t>
  </si>
  <si>
    <t xml:space="preserve">1000 pesos </t>
  </si>
  <si>
    <t>10 cajones / 2600 pesos</t>
  </si>
  <si>
    <t xml:space="preserve">2 cajones de reales / 2600 </t>
  </si>
  <si>
    <t>1 petaca con 1600 pesos</t>
  </si>
  <si>
    <t>28 marcos de plata</t>
  </si>
  <si>
    <t xml:space="preserve">258 pesos en resellados de 2 moclones </t>
  </si>
  <si>
    <t>Otra petaca con 60 marcos de plata labrada</t>
  </si>
  <si>
    <t xml:space="preserve">4 barras con 600 marcos </t>
  </si>
  <si>
    <t xml:space="preserve">1 baul con 2104 pesos resellados </t>
  </si>
  <si>
    <t>1 baul con 34 marcos de plata labrada</t>
  </si>
  <si>
    <t>10-03-1661</t>
  </si>
  <si>
    <t xml:space="preserve">1400 pesos </t>
  </si>
  <si>
    <t>12-03-1661</t>
  </si>
  <si>
    <t xml:space="preserve">2 barras con 269 marcos </t>
  </si>
  <si>
    <t xml:space="preserve">4 cajones con 2500 pesos </t>
  </si>
  <si>
    <t>2 cajones de reales / 2650</t>
  </si>
  <si>
    <t>2 baules con 400 marcos de plata labrada</t>
  </si>
  <si>
    <t>5600 pesos en reales</t>
  </si>
  <si>
    <t xml:space="preserve">En otro cajon 2400 pesos </t>
  </si>
  <si>
    <t>2900 pesos en reales</t>
  </si>
  <si>
    <t>82r</t>
  </si>
  <si>
    <t>81v</t>
  </si>
  <si>
    <t>2 cajones de 2500 pesos y con 1450 pesos</t>
  </si>
  <si>
    <t xml:space="preserve">1 barra moclona 154 marcos </t>
  </si>
  <si>
    <t>1 petaca con 600 pesos</t>
  </si>
  <si>
    <t xml:space="preserve">Contador </t>
  </si>
  <si>
    <t xml:space="preserve">4300 pesos en reales </t>
  </si>
  <si>
    <t>6000 pesos en reales</t>
  </si>
  <si>
    <t xml:space="preserve">20 barras de plata con 2660 marcos </t>
  </si>
  <si>
    <t xml:space="preserve">70 barras con 10435 marcos </t>
  </si>
  <si>
    <t>26 cajones de reales con 74600</t>
  </si>
  <si>
    <t>De cuenta de la condesa Salvatierra</t>
  </si>
  <si>
    <t>15-03-1661</t>
  </si>
  <si>
    <t>2 cajones de reales / 2500</t>
  </si>
  <si>
    <t xml:space="preserve">80 libras de lana de vicuña </t>
  </si>
  <si>
    <t xml:space="preserve">8 barras de plata con 1361 marcos </t>
  </si>
  <si>
    <t>8 marcos de plata labrada</t>
  </si>
  <si>
    <t>82v</t>
  </si>
  <si>
    <t xml:space="preserve">750 pesos en reales </t>
  </si>
  <si>
    <t xml:space="preserve">8 barras con 1137 marcos </t>
  </si>
  <si>
    <t>2 cajones / 2500</t>
  </si>
  <si>
    <t xml:space="preserve">5 barras y 1 barreton de ley con 681 marcos </t>
  </si>
  <si>
    <t xml:space="preserve">1 barra moclona con 168 marcos </t>
  </si>
  <si>
    <t>16-03-1661</t>
  </si>
  <si>
    <t>10 cajas de reales / 2500</t>
  </si>
  <si>
    <t xml:space="preserve">1500 pesos en petacas </t>
  </si>
  <si>
    <t xml:space="preserve">8035 pesos en reales </t>
  </si>
  <si>
    <t xml:space="preserve">2800 pesos en reales </t>
  </si>
  <si>
    <t>17-03-1661</t>
  </si>
  <si>
    <t xml:space="preserve">3 barras con 462 marcos </t>
  </si>
  <si>
    <t xml:space="preserve">4280 pesos en reales </t>
  </si>
  <si>
    <t xml:space="preserve">2 cajones con 5000 pesos </t>
  </si>
  <si>
    <t xml:space="preserve">44 marcos de plata labrada </t>
  </si>
  <si>
    <t xml:space="preserve">10 barras con 1619 marcos </t>
  </si>
  <si>
    <t xml:space="preserve">5 cajones de reales / 3000 </t>
  </si>
  <si>
    <t>2000 pesos en baules</t>
  </si>
  <si>
    <t>83r</t>
  </si>
  <si>
    <t>3 cajones de reales / 2500 pesos</t>
  </si>
  <si>
    <t xml:space="preserve">19 barras de plata con 2741 marcos </t>
  </si>
  <si>
    <t xml:space="preserve">12 cajones de reales / 2500m pesos </t>
  </si>
  <si>
    <t>19-03-1661</t>
  </si>
  <si>
    <t xml:space="preserve">4 barras moclonas con 623 marcos y 2 barras de ley con 256 marcos </t>
  </si>
  <si>
    <t xml:space="preserve">4 cajones de plata con 1324 marcos </t>
  </si>
  <si>
    <t>3 cajones / 2500</t>
  </si>
  <si>
    <t>700 pesos en una petaquilla</t>
  </si>
  <si>
    <t>Alferez</t>
  </si>
  <si>
    <t>450 marcos de plata labrada</t>
  </si>
  <si>
    <t xml:space="preserve">2 barras moclonas con 313 marcos </t>
  </si>
  <si>
    <t>1 cajon con 2600 pesos en reales</t>
  </si>
  <si>
    <t>83v</t>
  </si>
  <si>
    <t>300 pesos</t>
  </si>
  <si>
    <t>21-03-1661</t>
  </si>
  <si>
    <t>3500 pesos en reales</t>
  </si>
  <si>
    <t>190 marcos de plata labrada</t>
  </si>
  <si>
    <t xml:space="preserve">8 barras con 1347 marcos </t>
  </si>
  <si>
    <t>4 cajones / 2500 pesos</t>
  </si>
  <si>
    <t xml:space="preserve">3 barras con 461 marcos </t>
  </si>
  <si>
    <t xml:space="preserve">7 barras con 1129 marcos </t>
  </si>
  <si>
    <t>3750 pesos en reales</t>
  </si>
  <si>
    <t>22-03-1661</t>
  </si>
  <si>
    <t xml:space="preserve">2 barras con 377 marcos </t>
  </si>
  <si>
    <t xml:space="preserve">3 cajones con 6300 pesos </t>
  </si>
  <si>
    <t>84r</t>
  </si>
  <si>
    <t>24-03-1661</t>
  </si>
  <si>
    <t xml:space="preserve">1 barra con 151 marcos </t>
  </si>
  <si>
    <t xml:space="preserve">1 petaca con 2500 pesos </t>
  </si>
  <si>
    <t>26-03-1661</t>
  </si>
  <si>
    <t xml:space="preserve">3 cajones de reales con 6650 pesos </t>
  </si>
  <si>
    <t>28-03-1661</t>
  </si>
  <si>
    <t>3 cajones / 2000</t>
  </si>
  <si>
    <t xml:space="preserve">1 barra con 170 marcos </t>
  </si>
  <si>
    <t>334 marcos de plata labrada</t>
  </si>
  <si>
    <t>1 barra con 137 marcos</t>
  </si>
  <si>
    <t xml:space="preserve">804 pesos en reales </t>
  </si>
  <si>
    <t>29-03-1661</t>
  </si>
  <si>
    <t xml:space="preserve">159 marcos de plata </t>
  </si>
  <si>
    <t>5 cajones de reales con 12000</t>
  </si>
  <si>
    <t xml:space="preserve">4400 pesos </t>
  </si>
  <si>
    <t>84v</t>
  </si>
  <si>
    <t xml:space="preserve">4 barras de plata con 550 marcos </t>
  </si>
  <si>
    <t>01-04-1661</t>
  </si>
  <si>
    <t xml:space="preserve">20 barras de plata con 3298 marcos </t>
  </si>
  <si>
    <t>5 cajones / 500</t>
  </si>
  <si>
    <t xml:space="preserve">1100 pesos en las petacas </t>
  </si>
  <si>
    <t xml:space="preserve">12 marcos de plata </t>
  </si>
  <si>
    <t>560 pesos en moclones</t>
  </si>
  <si>
    <t>02-04-1661</t>
  </si>
  <si>
    <t xml:space="preserve">1 barra con 178 marcos </t>
  </si>
  <si>
    <t xml:space="preserve">1 cajon con 1058 marcos </t>
  </si>
  <si>
    <t xml:space="preserve">2500 pesos </t>
  </si>
  <si>
    <t xml:space="preserve">32 barras con 5252 marcos </t>
  </si>
  <si>
    <t>1 cajoncito con una chocolatera</t>
  </si>
  <si>
    <t>03-04-1661</t>
  </si>
  <si>
    <t xml:space="preserve">8 barras de plata con 1185 marcos </t>
  </si>
  <si>
    <t xml:space="preserve">9 cajones de reales con 22500 </t>
  </si>
  <si>
    <t>85r</t>
  </si>
  <si>
    <t>3 cajones de reales / 2500</t>
  </si>
  <si>
    <t>1 petaca con 1618 pesos</t>
  </si>
  <si>
    <t xml:space="preserve">2 petacas con 2700 pesos </t>
  </si>
  <si>
    <t>683 pesos moclones resellados</t>
  </si>
  <si>
    <t>196 marcos de plata labrada</t>
  </si>
  <si>
    <t>1 cajon y una petaca con 4001 pesos</t>
  </si>
  <si>
    <t>2 cajones con 4659 pesos en reales</t>
  </si>
  <si>
    <t>27 marcos plata de labrada</t>
  </si>
  <si>
    <t xml:space="preserve">2 barras con 293 marcos </t>
  </si>
  <si>
    <t>60 marcos de plata labrada</t>
  </si>
  <si>
    <t>85v</t>
  </si>
  <si>
    <t xml:space="preserve">En una petaca 500 pesos </t>
  </si>
  <si>
    <t xml:space="preserve">500 pesos en una petaca </t>
  </si>
  <si>
    <t>04-04-1661</t>
  </si>
  <si>
    <t xml:space="preserve">3 cajones de reales con 8500 pesos </t>
  </si>
  <si>
    <t>1 cajon y 2 petacas con 725 marcos de plata labrada</t>
  </si>
  <si>
    <t>4 cajones de reales de 2500 pesos</t>
  </si>
  <si>
    <t>Por cuenta de Juan López Serrano</t>
  </si>
  <si>
    <t>2 cajones con 4064</t>
  </si>
  <si>
    <t>6 cajones/2500 pesos</t>
  </si>
  <si>
    <t>1 petaca con 400 pesos</t>
  </si>
  <si>
    <t>2 cajones de reales/5000 pesos</t>
  </si>
  <si>
    <t>86r</t>
  </si>
  <si>
    <t xml:space="preserve">12 barras de plata con 2834 marcos y una barreta con 32 marcos </t>
  </si>
  <si>
    <t>10 barras moclonas con 1654 marcos</t>
  </si>
  <si>
    <t>500 pesos de pago</t>
  </si>
  <si>
    <t xml:space="preserve">En pesos  </t>
  </si>
  <si>
    <t xml:space="preserve">1 barra moclona con 121 marcos </t>
  </si>
  <si>
    <t>3400 pesos en reales</t>
  </si>
  <si>
    <t>05-04-1661</t>
  </si>
  <si>
    <t>15 barras de plata con 2589 marcos</t>
  </si>
  <si>
    <t>3 cajones con 870 marcos de plata</t>
  </si>
  <si>
    <t>1 cajón con 2500 pesos sueltos</t>
  </si>
  <si>
    <t>400 pesos</t>
  </si>
  <si>
    <t>86v</t>
  </si>
  <si>
    <t>06-04-1661</t>
  </si>
  <si>
    <t xml:space="preserve">40 zurrones de cacao </t>
  </si>
  <si>
    <t>700 pesos en sus petaquillas</t>
  </si>
  <si>
    <t>franciscano</t>
  </si>
  <si>
    <t>07-04-1661</t>
  </si>
  <si>
    <t>511 marcos de plata</t>
  </si>
  <si>
    <t>2 cajones de reales</t>
  </si>
  <si>
    <t>3 barras de plata con 451 marcos</t>
  </si>
  <si>
    <t>7 tercio de plata con 3281 marcos</t>
  </si>
  <si>
    <t>4 cajones de reales/3000 pesos</t>
  </si>
  <si>
    <t xml:space="preserve">2900 pesos en sus baúles </t>
  </si>
  <si>
    <t>4 cajones con 10200 pesos</t>
  </si>
  <si>
    <t>En 2 petacas 2000 pesos</t>
  </si>
  <si>
    <t>4 cajones con 1072 marcos de plata</t>
  </si>
  <si>
    <t>En las petaquillas 400 pesos en reales de cuenta de Juan de Soto</t>
  </si>
  <si>
    <t>2 cajones de reales y plata labrada</t>
  </si>
  <si>
    <t>87r</t>
  </si>
  <si>
    <t>8-03-1661</t>
  </si>
  <si>
    <t>De cuenta de Francisco Fernández Barrona</t>
  </si>
  <si>
    <t xml:space="preserve">2 cajones de plata con 609 marcos </t>
  </si>
  <si>
    <t xml:space="preserve">1 barra con 164 marcos </t>
  </si>
  <si>
    <t>30 zurrones de cacaco</t>
  </si>
  <si>
    <t>08-04-1661</t>
  </si>
  <si>
    <t>430 pesos en reales</t>
  </si>
  <si>
    <t>100 pesos</t>
  </si>
  <si>
    <t>1650 pesos en reales</t>
  </si>
  <si>
    <t xml:space="preserve">70 marcos de plata </t>
  </si>
  <si>
    <t>5000 pesos en reales</t>
  </si>
  <si>
    <t>11 cajones de plata con 2959 marcos</t>
  </si>
  <si>
    <t xml:space="preserve">21 cajones de reales con 62500 pesos </t>
  </si>
  <si>
    <t>17 barras con 2435 marcos</t>
  </si>
  <si>
    <t>20-03-1661</t>
  </si>
  <si>
    <t>33 sacas de lana de vicuña</t>
  </si>
  <si>
    <t>87v</t>
  </si>
  <si>
    <t>17 cajones de plata con 4168 marcos</t>
  </si>
  <si>
    <t xml:space="preserve">7 barras con 1156 marcos </t>
  </si>
  <si>
    <t>147 cargas de cacao</t>
  </si>
  <si>
    <t>09-04-1661</t>
  </si>
  <si>
    <t>1 cajón y una petaca con 300 marcos de plata labrada</t>
  </si>
  <si>
    <t xml:space="preserve">20 barras con 2727 marcos </t>
  </si>
  <si>
    <t>6 cajones de reales/2500 pesos</t>
  </si>
  <si>
    <t>9 cajones de reales/2500 pesos</t>
  </si>
  <si>
    <t>70 marcos de plata labrada</t>
  </si>
  <si>
    <t>10-04-1661</t>
  </si>
  <si>
    <t>1 cajón con 2500 pesos</t>
  </si>
  <si>
    <t xml:space="preserve">45 cargas de cacao </t>
  </si>
  <si>
    <t>Visitador de la Real Audiencia de Panamá</t>
  </si>
  <si>
    <t>De cuenta de la Caja de bienes de difuntos</t>
  </si>
  <si>
    <t>58 barras con 7680 marcos de plata</t>
  </si>
  <si>
    <t>19 cajones de reales/2000 pesos</t>
  </si>
  <si>
    <t>700 pesos sueltos</t>
  </si>
  <si>
    <t>88r</t>
  </si>
  <si>
    <t>11-04-1661</t>
  </si>
  <si>
    <t>1 cajón de reales</t>
  </si>
  <si>
    <t xml:space="preserve">4 barras con 640 marcos </t>
  </si>
  <si>
    <t>14-04-1661</t>
  </si>
  <si>
    <t>6 cajones de reales/2500</t>
  </si>
  <si>
    <t>2 cajones de plata labrada con 150 marcos</t>
  </si>
  <si>
    <t>4 cajones de reales</t>
  </si>
  <si>
    <t>2 barras con 232 marcos</t>
  </si>
  <si>
    <t>15-04-1661</t>
  </si>
  <si>
    <t>De cuenta de Juan Martín de Ahumada</t>
  </si>
  <si>
    <t xml:space="preserve">capitán </t>
  </si>
  <si>
    <t>14 cajones de reales/3200</t>
  </si>
  <si>
    <t>1 cajón de plata labrada con 300 marcos</t>
  </si>
  <si>
    <t>5 barras con 849 marcos</t>
  </si>
  <si>
    <t>8 barras con 1216 marcos</t>
  </si>
  <si>
    <t>3 cajones de reales con 7500 pesos</t>
  </si>
  <si>
    <t>88v</t>
  </si>
  <si>
    <t>16-04-1661</t>
  </si>
  <si>
    <t>18-04-1661</t>
  </si>
  <si>
    <t>2 cajones de reales con 4070</t>
  </si>
  <si>
    <t>14 cajones y 1 petaca de plata labrada con 3946 marcos</t>
  </si>
  <si>
    <t>9 cajones de reales con 19200</t>
  </si>
  <si>
    <t xml:space="preserve">4 barras con 528 marcos </t>
  </si>
  <si>
    <t>2 cajones con 4000 pesos</t>
  </si>
  <si>
    <t>20-04-1661</t>
  </si>
  <si>
    <t>700 pesos</t>
  </si>
  <si>
    <t>48 cargas de cacao</t>
  </si>
  <si>
    <t>4 cajones con 11000 pesos</t>
  </si>
  <si>
    <t>89r</t>
  </si>
  <si>
    <t>a entregar a su hermano Joseph de Yrrazaval</t>
  </si>
  <si>
    <t>9 barras con 1464 marcos</t>
  </si>
  <si>
    <t>23-04-1661</t>
  </si>
  <si>
    <t>en cuenta de Juan Lòpez Serrano</t>
  </si>
  <si>
    <t>2 cajones/3320</t>
  </si>
  <si>
    <t>72 cargas de cacao</t>
  </si>
  <si>
    <t xml:space="preserve">2 cajones de reales/2800 pesos </t>
  </si>
  <si>
    <t>a cuenrta de Cosme Blanco</t>
  </si>
  <si>
    <t xml:space="preserve">2 barras con 312 marcos </t>
  </si>
  <si>
    <t>1 cajòn de reales con 3300 pesos</t>
  </si>
  <si>
    <t>24-04-1661</t>
  </si>
  <si>
    <t xml:space="preserve">24 cargas de cacao </t>
  </si>
  <si>
    <t>5 cajones de reales de 12500</t>
  </si>
  <si>
    <t xml:space="preserve">1 barra y 4 barretones con 456 marcos </t>
  </si>
  <si>
    <t>monto que le remitiò Victoriano de Luice</t>
  </si>
  <si>
    <t xml:space="preserve">3 barras con 446 marcos </t>
  </si>
  <si>
    <t>26-04-1661</t>
  </si>
  <si>
    <t xml:space="preserve">1 cajón de reales </t>
  </si>
  <si>
    <t>27-04-1661</t>
  </si>
  <si>
    <t>550 pesos</t>
  </si>
  <si>
    <t>pesos que le remitiò su mujer</t>
  </si>
  <si>
    <t>89v</t>
  </si>
  <si>
    <t>de cuenta de Jacinto de Arango</t>
  </si>
  <si>
    <t>1 cajón con 25000 pesos</t>
  </si>
  <si>
    <t>28-04-1661</t>
  </si>
  <si>
    <t>1 cajón con 3485 pesos</t>
  </si>
  <si>
    <t>de cuenta de Jorge Martínez de Zea</t>
  </si>
  <si>
    <t>01-05-1661</t>
  </si>
  <si>
    <t xml:space="preserve">3 barras con 502 marcos </t>
  </si>
  <si>
    <t>8-12-1660 hasta 28-04-1661</t>
  </si>
  <si>
    <t>15 partidas de 1099 cargas 1/2 de cacao</t>
  </si>
  <si>
    <t>1 barra y 2 barretones con 287 marcos</t>
  </si>
  <si>
    <t>04-05-1661</t>
  </si>
  <si>
    <t>1400 pesos en reales</t>
  </si>
  <si>
    <t>05-05-1661</t>
  </si>
  <si>
    <t>1 cajón con 1800 pesos en reales</t>
  </si>
  <si>
    <t>06-05-1661</t>
  </si>
  <si>
    <t>51 cargas de cacao</t>
  </si>
  <si>
    <t>07-05-1661</t>
  </si>
  <si>
    <t>En 4 cajones de reales</t>
  </si>
  <si>
    <t>90r</t>
  </si>
  <si>
    <t>Tesorero</t>
  </si>
  <si>
    <t xml:space="preserve">4 barras con 514 marcos </t>
  </si>
  <si>
    <t>de cuenta del gobernador Gonzalo de Herrera</t>
  </si>
  <si>
    <t xml:space="preserve">8 cajones de tinta </t>
  </si>
  <si>
    <t>de cuenta de Diego Casuelin de Guevara</t>
  </si>
  <si>
    <t>de cuenta de Pedro de Palacios</t>
  </si>
  <si>
    <t>110 zurrones de cacao</t>
  </si>
  <si>
    <t>Resumen de las partidas mayores de cada plana del monto mayor de la plata y demás géneros que pasaron a Portobelo de que pagaron en Panamá a 7 por ciento (en pesos de 8 reales)</t>
  </si>
  <si>
    <t>127392 y 4r</t>
  </si>
  <si>
    <t>13442 y 4 r</t>
  </si>
  <si>
    <t>Total: 3, 608, 845</t>
  </si>
  <si>
    <t>216022 y 6r</t>
  </si>
  <si>
    <t>328436 y 4r</t>
  </si>
  <si>
    <t>380997 y 4r</t>
  </si>
  <si>
    <t>353775 y 4r</t>
  </si>
  <si>
    <t>261358 y 1r</t>
  </si>
  <si>
    <t>252198 y 6r</t>
  </si>
  <si>
    <t>Total: 1, 093, 815 y 4r</t>
  </si>
  <si>
    <t>105239 y 4r</t>
  </si>
  <si>
    <t>Total: 3, 786, 304 y 7r</t>
  </si>
  <si>
    <t>456213 y 6r</t>
  </si>
  <si>
    <t>428826 y 7r</t>
  </si>
  <si>
    <t>102889 y 2r</t>
  </si>
  <si>
    <t>Total: 1, 363, 265</t>
  </si>
  <si>
    <t>60900 y 2r</t>
  </si>
  <si>
    <t>65852 y 6r</t>
  </si>
  <si>
    <t>Total: 365, 716</t>
  </si>
  <si>
    <t>Sumas mayores de este resumen</t>
  </si>
  <si>
    <t>3, 608, 845</t>
  </si>
  <si>
    <t>Total: 2, 669, 577 y 1r</t>
  </si>
  <si>
    <t>1, 363, 265</t>
  </si>
  <si>
    <t>365, 716</t>
  </si>
  <si>
    <t>Total: 12, 887, 523 y 4r</t>
  </si>
  <si>
    <t>3, 786, 304 y 7r</t>
  </si>
  <si>
    <t>2, 669, 577 y 1r</t>
  </si>
  <si>
    <t>1, 093, 815 y 4r</t>
  </si>
  <si>
    <t>91r</t>
  </si>
  <si>
    <t>1000 castellanos de oro a 20 reales el castellano</t>
  </si>
  <si>
    <t>1800 castellanos de oro</t>
  </si>
  <si>
    <t>811 castellanos de oro</t>
  </si>
  <si>
    <t>1225 castellanos de oro</t>
  </si>
  <si>
    <t>3383 castllanos de oro</t>
  </si>
  <si>
    <t>15500 castellanos de oro</t>
  </si>
  <si>
    <t>406 castellanos de oro</t>
  </si>
  <si>
    <t>500 castellanos de oro</t>
  </si>
  <si>
    <t>5176 castellanos de oro</t>
  </si>
  <si>
    <t>4731 castellanos de oro</t>
  </si>
  <si>
    <t>773 castellanos de oro</t>
  </si>
  <si>
    <t>2400 castellanos de oro</t>
  </si>
  <si>
    <t>1458 castellanos de oro</t>
  </si>
  <si>
    <t>9193 castellanos de oro</t>
  </si>
  <si>
    <t>1600 castellanos de oro</t>
  </si>
  <si>
    <t>1436 castellanos de oro</t>
  </si>
  <si>
    <t>2420 castellanos de oro</t>
  </si>
  <si>
    <t>2342 castellanos de oro</t>
  </si>
  <si>
    <t>420 castellanos de oro</t>
  </si>
  <si>
    <t>1680 castellanos de oro</t>
  </si>
  <si>
    <t>alferèz</t>
  </si>
  <si>
    <t>650 castellanos de oro</t>
  </si>
  <si>
    <t>Cuenta de las costas causadas en razòn de la contribución de los 350, 000 ducados que el comercio dio a Su Majestad, negociaciones, gastos y ayudas de costas para el buen cobro de los dichos 350, 000 que son los siguientes</t>
  </si>
  <si>
    <t>91v</t>
  </si>
  <si>
    <t>Primeramente, 2061 pesos que se atribuyeron en Panamà los 1078 pesos 6r en la defensa de la cèdula y los 400 pesos por la saca de los papales de los barrieros que fueron a España y los 583 pesos 1 r restantes de 311 cajones con presientos y tachuelas en que se condujo la plata del comercio para la paga de los 350, 000 ducados</t>
  </si>
  <si>
    <t>Por lienzo que se gastaron en talegas y de hilo de acarreto</t>
  </si>
  <si>
    <t>131 y 4r</t>
  </si>
  <si>
    <t>50 pesos que dieron al que presento los cajones</t>
  </si>
  <si>
    <t>400 pesos que se perdieron en 1 cajòn que hurtaron de la bodega donde estaba la plata del comercio que lo restante a 2000 pesos que tenìa parecio en el cajòn fuera de la bodega a viento y en los negros que lo hurtaron</t>
  </si>
  <si>
    <t>211 pesos que van a decir en 842 pesos y 3 reales moclones que se han cobrado por de a ocho y se rebajan en ellos a 2 reales en cada peso que montan los dichos 211 pesos de a 8</t>
  </si>
  <si>
    <t>92r</t>
  </si>
  <si>
    <t>2000 pesos que se le dieron a ayuda de costa al sargento mayor Juan de la Puente que estuvo por cabo de la infanteria en el Boqueròn 6 meses antes que se ajustaran los 350, 000 ducados y después hasta el despacho de la armada que cayó enfermó</t>
  </si>
  <si>
    <t>150 que dieron a Joseph de Riofrio uno de los soldados que asistieron en el Boquerón y quedó por cabo a los últimos dìas de la condiciòn en lugar del sargento mayor Juan de la Puente por haber caído enfermo</t>
  </si>
  <si>
    <t>Item a 5 soldados del sitio a 25 cada uno de ayuda de costa</t>
  </si>
  <si>
    <t>Item de ayuda de costa al cabo de la infanterìa que asistió en el  Cascajal</t>
  </si>
  <si>
    <t>Item a 6 infantes que le asistieron a 50 pesos a cada uno de ayuda de costa</t>
  </si>
  <si>
    <t>Item 500 pesos que le dieron de ayuda de costa al ayudante Francisco de Saias que asistiò en Portobelo desde 4 de octubre con el comercio hasta que se fueron los galeones y fue desde Panamá para el mismo ministerio</t>
  </si>
  <si>
    <t>Item 200 pesos que se dieron en Portobelo de ayudante Pedro de Becerra por haber asistido después que entraron galeones a los negocios del comercio por haber caído malo en aquella ocasiòn el dicho ayudante Francisco de Sayas</t>
  </si>
  <si>
    <t>Item que se le dieron a don Gerónimo de Vega en Portobelo 550 pesos por los negocios y escritos que hicieron en defensa del comercio</t>
  </si>
  <si>
    <t>Item 500 pesos quie se dieron de ayuda de costa al capitán Gaspar Alvarez secreto del señor presidente por los despachos de papeles que se ofrecieron por su mano en Panamá y Portobelo</t>
  </si>
  <si>
    <t>Item 500 pesos que se dieron de ayuda de costa a don Juan de Céspedes por haber asistido en el sitio de Cruces por el buen cobro de lo que por allí paso</t>
  </si>
  <si>
    <t>Item 500 pesos que asimismo y por la misma razón se le dieron a Juan Antonio de Pedrosa compañero del dicho don Juan de Céspedes</t>
  </si>
  <si>
    <t>Item 150 pesos que se dieron en Portobelo al secretario Juan Ramírez por todos los autos que se hicieron en aquella ciudad que fueron a España y otro tanto que se trajo a Lima</t>
  </si>
  <si>
    <t>Item 2000 que le dieron de ayuda de costa al capitàn Cosme Blanco que estuvo por cabo de la gente del comercio en el Boquerón y que gasto en una enfermedad grande que tuvo causada por el mal temperamento de dicho sitio</t>
  </si>
  <si>
    <t>Item 500 pesos que se dieron asimismo de ayuda de costa a don Fernando Pareja que asistio em el Boquerón por el comercio</t>
  </si>
  <si>
    <t>92v</t>
  </si>
  <si>
    <t>93r</t>
  </si>
  <si>
    <t>Item 200 pesos que se le dieron al oficial mayor de la contaduría por los despachos que por su mano se ofrecieron en Portobelo para el entrego de los 350, 000</t>
  </si>
  <si>
    <t>Item 120 pesos que se dieron a Alonso de Salvatierra por lo que costo de flete de mulas para ir a Portobelo en lugar de Joseph Calvo</t>
  </si>
  <si>
    <t>Item 1000 pesos que se le dieron a la persona que asistió a escribir en los libros en Panamá de lo que corrió a cargo del capitán Martín de Ituraín</t>
  </si>
  <si>
    <t>Item 1000 pesos que se dieron a la persona que asistió a escribir en los libros en Portobelo que corrio a cargo del capitán Francisco de Quiros</t>
  </si>
  <si>
    <t xml:space="preserve">Item 4947 pesos y 4 reales que se pagaron a los arrieros que pasaron a Portobelo las cargas de la plata del comercio </t>
  </si>
  <si>
    <t>Item 300 pesos que pagaron a 3 negros sus jornales por 200 dias en Portobelo para pesar los cajones y otros ministerios</t>
  </si>
  <si>
    <t>Item 800 pesos que se le dieron al capitán Pedro Baños que asistió por compañero del capitán Francisco de Quiros en Portobelo nombrado por el comerciod e ayuda de costa y gasto que hizo en una enfermedad grande en Portobelo</t>
  </si>
  <si>
    <t>Item 350 pesos qye se le dieron a Francisco Basurto Bellonilo que fue por guarda al Boquerón por otros tantos que había gastado en una enfermedad que le dio en el dicho sitio y se fue a curar a Panamá</t>
  </si>
  <si>
    <t>93v</t>
  </si>
  <si>
    <t>Item 12 pesos que se dieron a un mozo que estuvo ayudando en el Boquerón a los que asistieron allí por el comercio y se fue acusar a Portobelo</t>
  </si>
  <si>
    <t>Item 150 pesos que dieron al alferéz Juan de Ysasi escribano de Panamá por las diligencias que se ofrecieron haer en su oficio tocantes al comercio</t>
  </si>
  <si>
    <t>Item 140 pesos que se dieron al señor obispo por lo que monto el 4 por ciento de 3500 pesos que remitieron las monjas para comprar negrios para la obra que fueron entre la plata del capitán Manuel Noble y se le volvieron de acuerdo de todos los comisarios por carta que escribió Su Señoría</t>
  </si>
  <si>
    <t>Item 3848 pesos y 5 reales que gastaron as guardas del comercio que asistieron en el Boquerón de bastimentos que se le remitió a aquel sitio</t>
  </si>
  <si>
    <t>Item 1083 pesos que gastaron en bastimentos las guardas del comercio que asistieron en el sitio de Cruces</t>
  </si>
  <si>
    <t>Item 4084 pesos que gastaron en bastimentos el comisario y sus camaradas en Portobelo</t>
  </si>
  <si>
    <t>Item 350 pesos que se le pagaron al factor Francisco Gonzales por el alquiler de la casa en que hubieron el comercio y sus camaradas hasta que llegó la armada y bodega en que se metió la plata el comercio</t>
  </si>
  <si>
    <t>Item 100 pesos de carretos de meter la plata en la bódega y subirla después a la casa que sirvió de contaduría</t>
  </si>
  <si>
    <t>Item 500 pesos que costo el cuarto que sirviò de contaduría para el despacho volver el 3 por ciento y entregar los 350, 000 ducados a los mercaderes de plata</t>
  </si>
  <si>
    <t>Item 35 pesos que se volvieron a Esteban de Olaez por el 7 por ciento de 500 pesos que vinieron menos en 2 cajones de la razón que se habia tomado en Panamá</t>
  </si>
  <si>
    <t>Item 84 pesos que se le volvieron al capitán Juan Zorrilla por el 4 por ciento de 262 marcos de plata que vinieron menos de lo que había pagado en sus cajones</t>
  </si>
  <si>
    <t>Item 112 pesos que se volvieron a Francisco Fernández Baraona de 1600 pesos que vinieron con su plata que tocan a Nuestra Señora del Prado de Lima y para los ornamentos y fue de acuerdo de los comisarios y muchos del comercio</t>
  </si>
  <si>
    <t>Item 36 pesos que se volvieron a Antonio Gomez Morera de 900 pesos que tocaron a Nuestra Señora del Populo de Sevilla con el mismo acuerdo que la partida de arriba</t>
  </si>
  <si>
    <t>Item 168 pesos que se le volvieron al capitán Thomas Bazan del 7 por ciento de 2177 y por haber hecho la paga en Portobelo</t>
  </si>
  <si>
    <t>Item 8 pesos que se le volvieron a Diego de Cotes por el 4 por ciento de 25 marcos que vinieron de yerro en una barra que había pagado</t>
  </si>
  <si>
    <t>94r</t>
  </si>
  <si>
    <t>94v</t>
  </si>
  <si>
    <t>Item 32 pesos que se le volvuieron a Pedro Alonso Prieto por 100 marcos de plata que vinieron menos en 1 cajón que habia pagado a 7 por ciento</t>
  </si>
  <si>
    <t>Item 7 pesos que se le volvieron a Juan Santos de Guesala por haber pagado el derecho de una barra moclona por toda ley</t>
  </si>
  <si>
    <t>Item 13 pesos que se le volvieron a Francisco Basurto Vellosillo por el yerro en una barra en 46 marcos</t>
  </si>
  <si>
    <t>Item 60 pesos que se le volvieron a Joseph de Esquivel por el 4 por ciento de 10 sacas de lana de vicuña que se le pudrieron en Cruces de que había pagado a 7 por ciento</t>
  </si>
  <si>
    <t>Item que se le volvieron al dicho 21 pesos 4 reales de yerro que hubo en dos barras que tuvieron menos 90 marcos de lo que habia pagado</t>
  </si>
  <si>
    <t>Item 695 pesos 6 reales que se le pagó al padre Alonso Prieto que lo monto el 7 por ciento del derecho que había de pagar de su plata en Panamá y por haberla pagado en Portobelo se le pagó la dicha cantidad</t>
  </si>
  <si>
    <t>Item 1000 pesos que se le dieron al capitán Juan de Beingolea para las negociaciones en Madrid tocantes al comercio en que entran los pleitos de los arrieros de que llevó testimonios e informaciones que se hicieron en Panamá y Portobelo</t>
  </si>
  <si>
    <t xml:space="preserve">Item 2000 pesos que se gastaron en gastos seretos para la buena administraciòn y cobro para el dicho de los 350, 000 ducados para guardia de algunos pasajes donde se podía extraviar </t>
  </si>
  <si>
    <t>95r</t>
  </si>
  <si>
    <t>Item 4000 pesos que se le dieron al capitán Martín de Ituraín por la ocupación que tuvo en Panamá en 7 meses en la cobranza demás de 900, 000 pesos que cobró del 7 por ciento dejando de aducir a sus negocios y los menoscabos y faltas que tuvo en que halló de menoscabo más cantidad que los dichos 4000</t>
  </si>
  <si>
    <t>Item 4000 pesos al capitán Francisco de Quiros por la ocupaciòn que tuvo en Portobelo en el dicho tiempo en el recibo de toda la plata que se pasó ajustándolo todo y volver el 3 por ciento = y paga de los 350, 000 ducados a los mercaderes de plata y acudir a los pleitos que se ofrecieron con los arrieros y menoscabos y faltas que tuvo en el entierro de toda la dicha cantidad que asistiò a todo sin que fuese dueño de su persona para acudir a cosa suya por cuya causa tuvo de menoscabos en su hacienda más de 30000 pesos por lo que fuera valerse de otras personas para comprar en la feria de Portobelo</t>
  </si>
  <si>
    <t>La plata y mercaderìas que paso a Portobelo como parece de las partidas de atràs que están escritas en 14 pliegos suman y montan 12, 887, 523 pesos y 4 reales de a ocho el peso de que a de haber el comercio del 7 por ciento que pagaron en Panamà 902, 126 y 4 reales</t>
  </si>
  <si>
    <t>Item por 58, 905 castellanos y 5 tomines de oro que asimismo pasaron y montan a 20 reales 147, 264 pesos de a ocho reales de los cuales pagaron en Panamá a 2 por ciento que montan 2, 945 pesos y 2 reales como parece del pliego</t>
  </si>
  <si>
    <t>Plata: 902, 126</t>
  </si>
  <si>
    <t>oro: 2, 945</t>
  </si>
  <si>
    <t>Total: 905, 071</t>
  </si>
  <si>
    <t>Lo que se cobró de obras y manifestaciones:</t>
  </si>
  <si>
    <t>42, 286 pesos y 5r</t>
  </si>
  <si>
    <t>De Don Juan den Uriarte 20 pesos por unos marcos de plata</t>
  </si>
  <si>
    <t>Del capitan Morera 4 pesos de 100 pesos que manifestó</t>
  </si>
  <si>
    <t>Del capitán Francisco Tenorio 20 pesos 6 reales de unos marcos de plata</t>
  </si>
  <si>
    <t>20 y 6r</t>
  </si>
  <si>
    <t>De Nicolàs de Yramain 12 pesos y 6 reales de 40 marcos de plata</t>
  </si>
  <si>
    <t>12 y 6r</t>
  </si>
  <si>
    <t>Florencio de Reina 5 pesos de 70 pesos que manifestó</t>
  </si>
  <si>
    <t>Fernando R. de Ujia 49 pesos de 1126 pesos que manifestò</t>
  </si>
  <si>
    <t>Jorge Martínez de Sea 55 pesos 4 reales de 1390 pesos</t>
  </si>
  <si>
    <t>55 y 4r</t>
  </si>
  <si>
    <t>Domingo de Zamora de 500 pesos que manifestó</t>
  </si>
  <si>
    <t>Alonso de Huerta por la manifestación de 40 quintales de (…)</t>
  </si>
  <si>
    <t>Oro y plata: 905, 071</t>
  </si>
  <si>
    <t>Obras y manifestaciones: 227</t>
  </si>
  <si>
    <t>Total: 905, 298</t>
  </si>
  <si>
    <t>El comercio debe 350, 000 ducados de a 11 reales que se dieron a Su majestd que montan en pesos de a ocho reales 481, 250 pesos</t>
  </si>
  <si>
    <t>Item, por el 3 por ciento que se les volviò de los dichos 12, 887, 523 pesos y 4 reales que montó 386, 625 pesos y 4 reales</t>
  </si>
  <si>
    <t>Item debe por el medio por ciento que se les volvio de 147, 264 pesos que montò el oro 736 pesos y 6 reales</t>
  </si>
  <si>
    <t>Item 42, 286 pesos y 5 reales que se gastaron en gastos ayudar de costas y partidas que se volvieron al comercio como parece atràs desde fopjas 30 a 32</t>
  </si>
  <si>
    <t>481, 250</t>
  </si>
  <si>
    <t>386, 625 y 4r</t>
  </si>
  <si>
    <t>736 y 6r</t>
  </si>
  <si>
    <t>42, 286 y 5r</t>
  </si>
  <si>
    <t>Total:</t>
  </si>
  <si>
    <t>910, 898 y 7r</t>
  </si>
  <si>
    <t>Debe el comercio</t>
  </si>
  <si>
    <t>Ha de haber</t>
  </si>
  <si>
    <t>905, 298 y 6r</t>
  </si>
  <si>
    <t>5, 600 y 1r</t>
  </si>
  <si>
    <t>Y estas cuentas que damos en virtud de lo mandado por los señores prior y consules al pedimentode algunos de los interesados que sean de sustancias con todos los demás presentes y ausentes en la forma que esta pedido en los autos de estas cuentas cautelando y causionando al canje que resulta de ellas que son 5, 600 pesos y 1 real son ciertas y verdaderas en todo y en parte y así lo juramos en debida forma a Dios y a la cruz salvo en todo y lo firmos en 24 días del mes de octubre de 1662 años. Firmas: Martín de Ituraín y Francisco de Quiroz</t>
  </si>
  <si>
    <t>24 barras von 3736 marcos</t>
  </si>
  <si>
    <t>oro amonedado</t>
  </si>
  <si>
    <t>Cacao</t>
  </si>
  <si>
    <t>Plata en barras</t>
  </si>
  <si>
    <t>Un baúl con 1400 pesos</t>
  </si>
  <si>
    <t>N. Orden</t>
  </si>
  <si>
    <t>Achiote</t>
  </si>
  <si>
    <t>6 barras con 1062 marcos a 8 pesos</t>
  </si>
  <si>
    <t>1084 pesos en reales</t>
  </si>
  <si>
    <t>1 barra con 174 marcos</t>
  </si>
  <si>
    <t>2961 pesos en reales</t>
  </si>
  <si>
    <t>20 cajones de plata labrada con 5910</t>
  </si>
  <si>
    <t>1 cajón de plata labrada ¿?</t>
  </si>
  <si>
    <t>Mateo Gutiérrez Coronel</t>
  </si>
  <si>
    <t>Joseph de Escobar</t>
  </si>
  <si>
    <t>52 barras de plata</t>
  </si>
  <si>
    <t>2 cajones de plata labrada*</t>
  </si>
  <si>
    <t>en la cama 392 marcos</t>
  </si>
  <si>
    <t>en un baúl 92 marcos</t>
  </si>
  <si>
    <t>4 petacas 1150 marcos de dicha plata</t>
  </si>
  <si>
    <t>2 cajones con 630 marcos de plata</t>
  </si>
  <si>
    <t>3 barras moclonas con 542 marcos</t>
  </si>
  <si>
    <t>23 barras de ley con 3884 marcos</t>
  </si>
  <si>
    <t>Iñigo de Medina</t>
  </si>
  <si>
    <t>Francisco de Barrionuevo</t>
  </si>
  <si>
    <t xml:space="preserve">19 cajones de reales con 28045 pesos </t>
  </si>
  <si>
    <t xml:space="preserve">6 cajones con 1792marcos de plata </t>
  </si>
  <si>
    <t>2772 marcos de plata</t>
  </si>
  <si>
    <t>121 marcos de plata</t>
  </si>
  <si>
    <t>2150 pesos</t>
  </si>
  <si>
    <t>4 cajones de plata con 1144 marcos</t>
  </si>
  <si>
    <t>5 cajones de reales con 14000 pesos</t>
  </si>
  <si>
    <t>538 marcos de plata labrada</t>
  </si>
  <si>
    <r>
      <t xml:space="preserve">6 fardos </t>
    </r>
    <r>
      <rPr>
        <sz val="11"/>
        <color rgb="FFFF0000"/>
        <rFont val="Calibri"/>
        <family val="2"/>
        <scheme val="minor"/>
      </rPr>
      <t>¿sacas?</t>
    </r>
    <r>
      <rPr>
        <sz val="11"/>
        <color theme="1"/>
        <rFont val="Calibri"/>
        <family val="2"/>
        <scheme val="minor"/>
      </rPr>
      <t xml:space="preserve"> de lana de vicuña</t>
    </r>
  </si>
  <si>
    <t>4 barras con 639 marcos</t>
  </si>
  <si>
    <t>1 cajón de reales/ 2500 pesos</t>
  </si>
  <si>
    <t>16 barras con 2118 marcos</t>
  </si>
  <si>
    <t xml:space="preserve"> 35 cajones de plata con 10243 marcos</t>
  </si>
  <si>
    <t>6 barras con 978 marcos</t>
  </si>
  <si>
    <t xml:space="preserve"> 165 marcos de plata labrada</t>
  </si>
  <si>
    <t>20 barras y barretones con 2067 marcos</t>
  </si>
  <si>
    <t>204 marcos de plata labrada</t>
  </si>
  <si>
    <t>Prochuños</t>
  </si>
  <si>
    <t>282 prochuños a 6 1/2 reales cada uno</t>
  </si>
  <si>
    <t>2 cajones con 4016 pesos moclones y 983 pesos 4 reales</t>
  </si>
  <si>
    <t>4 arrobas de lana de vicuña</t>
  </si>
  <si>
    <t>2048 pesos resellados</t>
  </si>
  <si>
    <t>1 barra moclona con 145 marcos</t>
  </si>
  <si>
    <t>3 cajones de reales con 6606 pesos 2 reales</t>
  </si>
  <si>
    <t>173 marcos de plata labrada</t>
  </si>
  <si>
    <t>Esteban de Figueroa</t>
  </si>
  <si>
    <t>8 barras con 1149 marcos</t>
  </si>
  <si>
    <t>182 pesos en reales moclones</t>
  </si>
  <si>
    <t>1000 pesos en moneda corriente</t>
  </si>
  <si>
    <t>4 barras con 729 marcos</t>
  </si>
  <si>
    <t xml:space="preserve">4 barras con 666 marcos </t>
  </si>
  <si>
    <t xml:space="preserve">3 barras con 414 marcos </t>
  </si>
  <si>
    <t>110 marcos de plata labrada y 200 en moclones (6r)</t>
  </si>
  <si>
    <t>4 arrobas (¿?) de lana de vicuña</t>
  </si>
  <si>
    <t>3 cajones de plata labrada y una petaca</t>
  </si>
  <si>
    <t xml:space="preserve">1 cajón de reales con 2500 y 400 pesos </t>
  </si>
  <si>
    <t>1 cajòn con 1087 pesos corrientes y 982 pesos moclones</t>
  </si>
  <si>
    <t>Oficiales reales</t>
  </si>
  <si>
    <t>Consignaciones de S.M.</t>
  </si>
  <si>
    <t>Tinta añil</t>
  </si>
  <si>
    <t>4 barretones con 315 marcos</t>
  </si>
  <si>
    <t>129 marcos de plata labrad</t>
  </si>
  <si>
    <t>Nogales, Antonio de</t>
  </si>
  <si>
    <t>Alcedo, Santiago de</t>
  </si>
  <si>
    <t>Quesala, Juan Santos de</t>
  </si>
  <si>
    <t>4 camaradas</t>
  </si>
  <si>
    <t>Antonio de Velasco</t>
  </si>
  <si>
    <t>Diego Meoño</t>
  </si>
  <si>
    <t>Ampuero, Martín de</t>
  </si>
  <si>
    <t>Lozada, Julián de</t>
  </si>
  <si>
    <t>Ladrón de Guevara, Diego</t>
  </si>
  <si>
    <t>Urriola, Francisco de</t>
  </si>
  <si>
    <t>Nunovero, Gabriel de</t>
  </si>
  <si>
    <t>Sánchez de Urisar, Tomás</t>
  </si>
  <si>
    <t>Oyague, Francisco de</t>
  </si>
  <si>
    <t>Casal, Mateo del</t>
  </si>
  <si>
    <t>Vidaurre, Juan de</t>
  </si>
  <si>
    <t>Torres, Juan Simón de</t>
  </si>
  <si>
    <t>García Prieto, Juan</t>
  </si>
  <si>
    <t>Lobatón, Gerónimo de</t>
  </si>
  <si>
    <t>Sumalave, Santiago de</t>
  </si>
  <si>
    <t>Vega, Juan de</t>
  </si>
  <si>
    <t>Andueza, Miguel de</t>
  </si>
  <si>
    <t>Palacios, Leonardo de</t>
  </si>
  <si>
    <t>Muñatones, Alonso</t>
  </si>
  <si>
    <t>Camaradas</t>
  </si>
  <si>
    <t>Velasco, Agustín de</t>
  </si>
  <si>
    <t>Quezada, Diego de</t>
  </si>
  <si>
    <t>Zamora, Domingo de</t>
  </si>
  <si>
    <t>Jiménez, Juan</t>
  </si>
  <si>
    <t>Sepúlveda, Juan de</t>
  </si>
  <si>
    <t>Oliva, Pedro Andrés de</t>
  </si>
  <si>
    <t>Puente, Pedro de la</t>
  </si>
  <si>
    <t>Ruiz Nieto, Juan</t>
  </si>
  <si>
    <t>Navarro, Francisco</t>
  </si>
  <si>
    <t>Herrera, Juan Bautista de</t>
  </si>
  <si>
    <t>Aguilar, Gerónimo de</t>
  </si>
  <si>
    <t>Peña, Miguel de la</t>
  </si>
  <si>
    <t>Reina, Florencio de</t>
  </si>
  <si>
    <t>Ratia, Juan Fernando</t>
  </si>
  <si>
    <t>García Baquero, Francisco</t>
  </si>
  <si>
    <t>Soto, Manuel de</t>
  </si>
  <si>
    <t>Fernández Durán, Diego</t>
  </si>
  <si>
    <t>Mancila, Manuel de</t>
  </si>
  <si>
    <t>Nieto, Matías</t>
  </si>
  <si>
    <t>San Cristóbal, Simón de</t>
  </si>
  <si>
    <t>sus camaradas</t>
  </si>
  <si>
    <t>Ruiz Lozano, Francisco</t>
  </si>
  <si>
    <t>Diego Felipe</t>
  </si>
  <si>
    <t>Zamora, Juan de</t>
  </si>
  <si>
    <t>Aguilar, Juan de</t>
  </si>
  <si>
    <t>San Pelayo, Felipe de</t>
  </si>
  <si>
    <t>Llano, Domingo de</t>
  </si>
  <si>
    <t xml:space="preserve">Fray </t>
  </si>
  <si>
    <t>Francisco Delgado</t>
  </si>
  <si>
    <t>Durán, Santiago de</t>
  </si>
  <si>
    <t>García de Bracamonte</t>
  </si>
  <si>
    <t>Ferrer de Ayala, Juan</t>
  </si>
  <si>
    <t>Garibaldo, Jacinto de</t>
  </si>
  <si>
    <t>Buite, Roberto</t>
  </si>
  <si>
    <t>Llanos, Sebastián de</t>
  </si>
  <si>
    <t>Salcedo, Diego de</t>
  </si>
  <si>
    <t>Goytia, Martín de</t>
  </si>
  <si>
    <t>Vergara, Juan de</t>
  </si>
  <si>
    <t>Montero, Alonso</t>
  </si>
  <si>
    <t>Pérez de Zamora, Benito</t>
  </si>
  <si>
    <t>Vásquez, Pedro</t>
  </si>
  <si>
    <t>Guerra, Pedro</t>
  </si>
  <si>
    <t>García Dávila, Juan</t>
  </si>
  <si>
    <t>Barberena, Felipe de</t>
  </si>
  <si>
    <t>Ramírez, Domingo</t>
  </si>
  <si>
    <t>Urra, Ignacio de</t>
  </si>
  <si>
    <t>Diego de Zuñiga</t>
  </si>
  <si>
    <t>Arribeza, Miguel de</t>
  </si>
  <si>
    <t>Segundo</t>
  </si>
  <si>
    <t>Tercer</t>
  </si>
  <si>
    <t>Cuarto</t>
  </si>
  <si>
    <t>Quinto</t>
  </si>
  <si>
    <t>Consignatario</t>
  </si>
  <si>
    <t>Blanco de Vargas, Alonso</t>
  </si>
  <si>
    <t>Aguilar, Alonso de</t>
  </si>
  <si>
    <t>Huerta, Alonso de</t>
  </si>
  <si>
    <t>Ríos y Rivera, Alonso de los</t>
  </si>
  <si>
    <t>Ríos y Rivera, Joseph de los</t>
  </si>
  <si>
    <t>Porras, Alonso de</t>
  </si>
  <si>
    <t>Salvatierra, Alonso de</t>
  </si>
  <si>
    <t>Gonzáles de la Fuente, Alonso</t>
  </si>
  <si>
    <t>Hernández Tolesano, Alonso</t>
  </si>
  <si>
    <t>Jiménez Vela de Lara, Alonso</t>
  </si>
  <si>
    <t>Rodríguez, Alonso</t>
  </si>
  <si>
    <t>Sánchez, Alonso</t>
  </si>
  <si>
    <t>Coronel, Carlos</t>
  </si>
  <si>
    <t>Rodríguez, Andrés</t>
  </si>
  <si>
    <t>Arias, Antonio</t>
  </si>
  <si>
    <t>Zerrato, Alonso</t>
  </si>
  <si>
    <t>López de Lozada, Amaro</t>
  </si>
  <si>
    <t>Araguz, Andrés de</t>
  </si>
  <si>
    <t>Madariaga, Andrés de</t>
  </si>
  <si>
    <t>Santa Cruz, Andrés de</t>
  </si>
  <si>
    <t>Rodríguez Barbosa, Andrés</t>
  </si>
  <si>
    <t>Alderete, Antonio de</t>
  </si>
  <si>
    <t>Carcelén de Guevara, Antonio</t>
  </si>
  <si>
    <t>Heredia Lescano, Antonio de</t>
  </si>
  <si>
    <t>Lizárraga, Antonio de</t>
  </si>
  <si>
    <t>Ojeda, Antonio de</t>
  </si>
  <si>
    <t>Peralta, Antonio de</t>
  </si>
  <si>
    <t>Fuentes, Antonio</t>
  </si>
  <si>
    <t>Gómez Morera, Antonio</t>
  </si>
  <si>
    <t>Gómez Portaces, Antonio</t>
  </si>
  <si>
    <t>López de la Peña, Antonio</t>
  </si>
  <si>
    <t>Luján, Antonio</t>
  </si>
  <si>
    <t>Marquina, Antonio</t>
  </si>
  <si>
    <t>Martínez del Portillo, Antonio</t>
  </si>
  <si>
    <t>Morillo, Antonio</t>
  </si>
  <si>
    <t>Núñez, Antonio</t>
  </si>
  <si>
    <t>Ramírez, Antonio</t>
  </si>
  <si>
    <t>Román, Antonio</t>
  </si>
  <si>
    <t>Ruíz Pacheco, Ascencio</t>
  </si>
  <si>
    <t>Montalván, Baltazar de</t>
  </si>
  <si>
    <t>Minos, Bartolomé</t>
  </si>
  <si>
    <t>Montero de Avilés, Beatriz</t>
  </si>
  <si>
    <t>Rivera, Benito de</t>
  </si>
  <si>
    <t>Sánchez, Tomás de</t>
  </si>
  <si>
    <t>Rodríguez, Benito</t>
  </si>
  <si>
    <t>Vera, Bernardo de</t>
  </si>
  <si>
    <t>Durán, Bernardo</t>
  </si>
  <si>
    <t>Aguilera, Cristóbal de</t>
  </si>
  <si>
    <t>Aquijo, Cristóbal de</t>
  </si>
  <si>
    <t>Escamilla, Cristóbal de</t>
  </si>
  <si>
    <t>López, Cristóbal</t>
  </si>
  <si>
    <t>Tamayo, Cristóbal</t>
  </si>
  <si>
    <t>Blanco, Diego</t>
  </si>
  <si>
    <t>Calderón Moscoso, Diego</t>
  </si>
  <si>
    <t>Carcelén de Guevara, Diego</t>
  </si>
  <si>
    <t>Arana, Diego de</t>
  </si>
  <si>
    <t>Bedia, Diego de</t>
  </si>
  <si>
    <t>Carbajal, Diego de</t>
  </si>
  <si>
    <t>Escobar, Diego de</t>
  </si>
  <si>
    <t>Grados, Diego de</t>
  </si>
  <si>
    <t>Salazar, Diego de</t>
  </si>
  <si>
    <t>Santiago Concha, Diego de</t>
  </si>
  <si>
    <t>Soto, Diego de</t>
  </si>
  <si>
    <t>Vera, Diego de</t>
  </si>
  <si>
    <t>Cantos, Pedro de</t>
  </si>
  <si>
    <t>Fernández Carbonero, Diego</t>
  </si>
  <si>
    <t>López, Diego</t>
  </si>
  <si>
    <t>Rodríguez, Diego</t>
  </si>
  <si>
    <t>Ángel, Diego Román del</t>
  </si>
  <si>
    <t>Sánchez Albornoz, Diego</t>
  </si>
  <si>
    <t>Arrasola, Domingo de</t>
  </si>
  <si>
    <t>Cruz, Domingo de la</t>
  </si>
  <si>
    <t>Iglesia, Domingo de la</t>
  </si>
  <si>
    <t>López, Domingo</t>
  </si>
  <si>
    <t>Parroqui, Domingo</t>
  </si>
  <si>
    <t>Escarsola, Luis César de</t>
  </si>
  <si>
    <t>Oláez, Esteban de</t>
  </si>
  <si>
    <t>Vidanibia, Juan Bautista de</t>
  </si>
  <si>
    <t>Villapol, Esteban de</t>
  </si>
  <si>
    <t>Agua, Felipe Allen del</t>
  </si>
  <si>
    <t>Hoyo, Felipe del</t>
  </si>
  <si>
    <t>Huerta, Felipe de</t>
  </si>
  <si>
    <t>Sánchez de Velasco, Alonso</t>
  </si>
  <si>
    <t>Enríquez, Cristóbal</t>
  </si>
  <si>
    <t>San Pelayo, Felip de</t>
  </si>
  <si>
    <t>Verberena, Felip de</t>
  </si>
  <si>
    <t>Luján, Felipe</t>
  </si>
  <si>
    <t>Leponte, Félix</t>
  </si>
  <si>
    <t>Espina, Fernando de</t>
  </si>
  <si>
    <t>Herrera Arroyo, Fernando de</t>
  </si>
  <si>
    <t>Gómez Galán, Fernando</t>
  </si>
  <si>
    <t>Moreno Lobocilla, Fernando</t>
  </si>
  <si>
    <t>Pérez de Ujia, Fernando</t>
  </si>
  <si>
    <t>Luzuriaga, Florián de</t>
  </si>
  <si>
    <t>Álvarez, Francisco</t>
  </si>
  <si>
    <t>Benitez, Francisco</t>
  </si>
  <si>
    <t>Cerrao, Francisco</t>
  </si>
  <si>
    <t>Chirinos, Francisco</t>
  </si>
  <si>
    <t>Márquez, Juan</t>
  </si>
  <si>
    <t>Acosta, Francisco de</t>
  </si>
  <si>
    <t>Aguiar, Francisco de</t>
  </si>
  <si>
    <t>Astudillo, Francisco de</t>
  </si>
  <si>
    <t>Azarbe, Francisco de</t>
  </si>
  <si>
    <t>Bustamante, Francisco de</t>
  </si>
  <si>
    <t>Casas, Francisco de</t>
  </si>
  <si>
    <t>Ruiz Velásquez, Juan</t>
  </si>
  <si>
    <t>Contreras, Francisco de</t>
  </si>
  <si>
    <t>Fonseca, Francisco de</t>
  </si>
  <si>
    <t>Ibargoyen, Francisco de</t>
  </si>
  <si>
    <t>Uriondo, Martín de</t>
  </si>
  <si>
    <t>Peña, Francisco de la</t>
  </si>
  <si>
    <t>Larrota, Francisco de la</t>
  </si>
  <si>
    <t>León, Francisco de</t>
  </si>
  <si>
    <t>León Garavito, Francisco de</t>
  </si>
  <si>
    <t>Loayza, Francisco de</t>
  </si>
  <si>
    <t>Quiroz, Francisco de</t>
  </si>
  <si>
    <t>Reina, Francisco de</t>
  </si>
  <si>
    <t>Rosa, Francisco de</t>
  </si>
  <si>
    <t>San Joseph, Francisco de</t>
  </si>
  <si>
    <t>Yllana Balmaceda, Francisco de</t>
  </si>
  <si>
    <t>Fernández Barahona, Francisco</t>
  </si>
  <si>
    <t>Fernández Dávila, Francisco</t>
  </si>
  <si>
    <t>García de Flores, Francisco</t>
  </si>
  <si>
    <t>García del Hoyo, Francisco</t>
  </si>
  <si>
    <t>Gonzáles Carrasco, Francisco</t>
  </si>
  <si>
    <t>Gonzáles Galeano, Francisco</t>
  </si>
  <si>
    <t>Hernández, Francisco</t>
  </si>
  <si>
    <t>Hurtado Salvatierra, Francisco</t>
  </si>
  <si>
    <t>López de Arbulú, Francisco</t>
  </si>
  <si>
    <t>López Franco, Francisco</t>
  </si>
  <si>
    <t>Martínez Roldán, Francisco</t>
  </si>
  <si>
    <t>Muñóz, Francisco</t>
  </si>
  <si>
    <t>Pérez de Aragón, Francisco</t>
  </si>
  <si>
    <t>Nieto, Juan Luis</t>
  </si>
  <si>
    <t>Ramos de Aguiar, Francisco</t>
  </si>
  <si>
    <t>Saenz Tenorio, Francisco</t>
  </si>
  <si>
    <t>Salgado, Francisco</t>
  </si>
  <si>
    <t>Tena de los Ríos, Francisco</t>
  </si>
  <si>
    <t>Jiménez, Francisco</t>
  </si>
  <si>
    <t>Cruz, Alonso de la</t>
  </si>
  <si>
    <t>Acuña, Gabriel</t>
  </si>
  <si>
    <t>López de León, Gabriel</t>
  </si>
  <si>
    <t>Bracamonte Dávila, García de</t>
  </si>
  <si>
    <t>Medrano, García de</t>
  </si>
  <si>
    <t>Alfonso, Gaspar</t>
  </si>
  <si>
    <t>Álvarez, Gaspar</t>
  </si>
  <si>
    <t>Astudillo, Gaspar de</t>
  </si>
  <si>
    <t>Cetina y Elario, Gaspar de</t>
  </si>
  <si>
    <t>Reyes, Gaspar de los</t>
  </si>
  <si>
    <t>Cabrera, Gerónimo de</t>
  </si>
  <si>
    <t>Guzmán Valderrama, Gerónimo de</t>
  </si>
  <si>
    <t>Reyes, Gerónimo de</t>
  </si>
  <si>
    <t>Saavedra, Gerónimo de</t>
  </si>
  <si>
    <t>Urrutia, Gerónimo de</t>
  </si>
  <si>
    <t>Gómez, Antonio</t>
  </si>
  <si>
    <t>Cano Pulgarín, Gonzalo</t>
  </si>
  <si>
    <t>Sequera, Gonzalo</t>
  </si>
  <si>
    <t>Salvatierra, Gregorio de</t>
  </si>
  <si>
    <t>Castro, Ignacio de</t>
  </si>
  <si>
    <t>Zamudio, Inés de</t>
  </si>
  <si>
    <t>Villareal, Isidro de</t>
  </si>
  <si>
    <t>Ramírez, Isidro</t>
  </si>
  <si>
    <t>Aranguren, Jacinto de</t>
  </si>
  <si>
    <t>Aranti, Jacinto de</t>
  </si>
  <si>
    <t>Prado, Jorge Antonio de</t>
  </si>
  <si>
    <t>Martínez de Sea, Jorge</t>
  </si>
  <si>
    <t>Gutiérrez, Jospeh Antonio</t>
  </si>
  <si>
    <t>Blanco de Vargas, Joseph</t>
  </si>
  <si>
    <t>Castro y Medina, Joseph de</t>
  </si>
  <si>
    <t>Esquivel, Joseph de</t>
  </si>
  <si>
    <t>Irrazábal, Joseph de</t>
  </si>
  <si>
    <t>Isasi, Joseph de</t>
  </si>
  <si>
    <t>Espinoza, Juan de</t>
  </si>
  <si>
    <t>Leisa, Joseph de</t>
  </si>
  <si>
    <t>Levanto, Joseph de</t>
  </si>
  <si>
    <t>Reyes, Joseph de los</t>
  </si>
  <si>
    <t>Mujica, Joseph de</t>
  </si>
  <si>
    <t>Portillo, Joseph de</t>
  </si>
  <si>
    <t>Torrecillas, Joseph de</t>
  </si>
  <si>
    <t>Vardesi, Joseph de</t>
  </si>
  <si>
    <t>Gómez de Escobar, Joseph</t>
  </si>
  <si>
    <t>Marín, Joseph</t>
  </si>
  <si>
    <t>Paz, Joseph Martín de la</t>
  </si>
  <si>
    <t>Ochoa de Urquizú, Joseph</t>
  </si>
  <si>
    <t>Pinedo, Joseph</t>
  </si>
  <si>
    <t>Rengifo, Joseph</t>
  </si>
  <si>
    <t>Álvarez de Balcazar, Juan</t>
  </si>
  <si>
    <t>Avello de Valdés, Juan Antonio</t>
  </si>
  <si>
    <t>Romero, Juan Antonio</t>
  </si>
  <si>
    <t>Terrones, Juan Bautista</t>
  </si>
  <si>
    <t>Aguilar Parrilla, Juan de</t>
  </si>
  <si>
    <t>Aldaz, Juan de</t>
  </si>
  <si>
    <t>Arce, Juan de</t>
  </si>
  <si>
    <t>Beingolea, Juan de</t>
  </si>
  <si>
    <t>Besa, Juan de</t>
  </si>
  <si>
    <t>Castro, Juan de</t>
  </si>
  <si>
    <t>Cavera Pizarro, Juan de</t>
  </si>
  <si>
    <t>Céspedes, Juan de</t>
  </si>
  <si>
    <t>Chavarría, Juan de</t>
  </si>
  <si>
    <t>Galarreta, Juan de</t>
  </si>
  <si>
    <t>Isea, Juan de</t>
  </si>
  <si>
    <t>Peña, Juan de la</t>
  </si>
  <si>
    <t>Torre, Juan de la</t>
  </si>
  <si>
    <t>Landa, Juan de</t>
  </si>
  <si>
    <t>León, Juan de</t>
  </si>
  <si>
    <t>Lescano, Juan de</t>
  </si>
  <si>
    <t>Meza, Juan de</t>
  </si>
  <si>
    <t>Miraval, Juan de</t>
  </si>
  <si>
    <t>Morales, Juan de</t>
  </si>
  <si>
    <t>Peñalosa, Juan de</t>
  </si>
  <si>
    <t>Uriarte, Juan de</t>
  </si>
  <si>
    <t>Irrazábal, Juan de</t>
  </si>
  <si>
    <t>Iturbe, Juan de</t>
  </si>
  <si>
    <t>Castillo Ascárate, Juan del</t>
  </si>
  <si>
    <t>Díaz de Durana, Juan</t>
  </si>
  <si>
    <t>Fernández Morena, Juan</t>
  </si>
  <si>
    <t>Fernández de los Ríos, Juan</t>
  </si>
  <si>
    <t>García de la Fuente, Juan</t>
  </si>
  <si>
    <t>Gonzáles, Juan</t>
  </si>
  <si>
    <t>Gonzáles Deza, Juan</t>
  </si>
  <si>
    <t>Palacios, Joseph Juan de</t>
  </si>
  <si>
    <t>Ahumada, Juan Martín de</t>
  </si>
  <si>
    <t>Muñóz Cordero, Juan</t>
  </si>
  <si>
    <t>Núñez, Juan</t>
  </si>
  <si>
    <t>Ordoñez de Pineda, Juan</t>
  </si>
  <si>
    <t>Prieto, Juan</t>
  </si>
  <si>
    <t>Ramos de Azu, Juan</t>
  </si>
  <si>
    <t>Rodríguez, Juan</t>
  </si>
  <si>
    <t>Aguirre, Francisco de</t>
  </si>
  <si>
    <t>Rodríguez Rubio, Juan</t>
  </si>
  <si>
    <t>Ruiz de la Llana Alvarado, Juan</t>
  </si>
  <si>
    <t>Ruiz de Velásquez, Juan</t>
  </si>
  <si>
    <t>Sánchez, Juan</t>
  </si>
  <si>
    <t>Tenorio, Juan</t>
  </si>
  <si>
    <t>Palomino, Juan</t>
  </si>
  <si>
    <t>Gonzáles, Alonso</t>
  </si>
  <si>
    <t>Zorrilla, Juan</t>
  </si>
  <si>
    <t>Zorrilla de la Gandara, Juan</t>
  </si>
  <si>
    <t>Geldres, Laureano</t>
  </si>
  <si>
    <t>Pérez Castellanos, Alonso</t>
  </si>
  <si>
    <t>Vergara, Lucas de</t>
  </si>
  <si>
    <t>Zamudio, Lucas de</t>
  </si>
  <si>
    <t>Lucen, Pablo de</t>
  </si>
  <si>
    <t>Abrego, Luis de</t>
  </si>
  <si>
    <t>Coello de Fonseca, Manuel</t>
  </si>
  <si>
    <t>Villasana, Manuel de</t>
  </si>
  <si>
    <t>Fernández, Manuel</t>
  </si>
  <si>
    <t>Gonzáles, Manuel</t>
  </si>
  <si>
    <t>Noble Canelas, Manuel</t>
  </si>
  <si>
    <t>Gallardo, Marcos</t>
  </si>
  <si>
    <t>Gutiérrez, Marcos</t>
  </si>
  <si>
    <t>Patiño, Marcos Félix</t>
  </si>
  <si>
    <t>Fernández de Córdova, Marcos</t>
  </si>
  <si>
    <t>Meléndez, María</t>
  </si>
  <si>
    <t>Valdés, Marques de</t>
  </si>
  <si>
    <t>Saga, Martín de la</t>
  </si>
  <si>
    <t>Jiménez Guillen, Martín</t>
  </si>
  <si>
    <t>Gavina, Mateo de</t>
  </si>
  <si>
    <t>Hidalgo, Matías de</t>
  </si>
  <si>
    <t>Rojas, Matías</t>
  </si>
  <si>
    <t>Iramain, Nicolás de</t>
  </si>
  <si>
    <t>Infantas, Nicolás de las</t>
  </si>
  <si>
    <t>Burgos y Espinoza, Onofre de</t>
  </si>
  <si>
    <t>Vargas, Onofre</t>
  </si>
  <si>
    <t>Paul, Antonio</t>
  </si>
  <si>
    <t>Sancho, Pantaleón</t>
  </si>
  <si>
    <t>Benito, Paulo</t>
  </si>
  <si>
    <t>Prieto, Pedro Alonso</t>
  </si>
  <si>
    <t>Chinique, Pedro</t>
  </si>
  <si>
    <t>Angulo, Pedro de</t>
  </si>
  <si>
    <t>Bolumburu, Pedro de</t>
  </si>
  <si>
    <t>Córdova y Jaramillo, Pedro de</t>
  </si>
  <si>
    <t>Espinosa, Pedro de</t>
  </si>
  <si>
    <t>Irabien, Pedor de</t>
  </si>
  <si>
    <t>Oreitia, Pedro de</t>
  </si>
  <si>
    <t>Palacios, Pedro de</t>
  </si>
  <si>
    <t>Porras, Pedro</t>
  </si>
  <si>
    <t>Sotomayor, Pedro de</t>
  </si>
  <si>
    <t>Fernández, Pedro</t>
  </si>
  <si>
    <t>Fernández Salamanca, Pedro</t>
  </si>
  <si>
    <t>Vera, Pedro Florencio de</t>
  </si>
  <si>
    <t>García Baquero, Pedro</t>
  </si>
  <si>
    <t>Gómez Vásquez, Pedro</t>
  </si>
  <si>
    <t>Chacón, Pedro Hidalgo</t>
  </si>
  <si>
    <t>Martín, Pedro</t>
  </si>
  <si>
    <t>Martínez, Pedro</t>
  </si>
  <si>
    <t>Pacheco, Pedro</t>
  </si>
  <si>
    <t>Correa, Álvaro</t>
  </si>
  <si>
    <t>Pardo Arguello, Pedro</t>
  </si>
  <si>
    <t>Rangel, Pedro</t>
  </si>
  <si>
    <t>Martínez, Prudencio</t>
  </si>
  <si>
    <t>Sabogal, Francisco</t>
  </si>
  <si>
    <t>Serrano, Francisco</t>
  </si>
  <si>
    <t>Calderón, Rodrigo</t>
  </si>
  <si>
    <t>Orellana, Rodrigo de</t>
  </si>
  <si>
    <t>Céspedes, Roque de</t>
  </si>
  <si>
    <t>Ornachea, Roque de</t>
  </si>
  <si>
    <t>Peláez, Salvador</t>
  </si>
  <si>
    <t>Velásquez, Salvador</t>
  </si>
  <si>
    <t>Núñez Salazar, Santiago</t>
  </si>
  <si>
    <t>Chavarria, Sebastián de</t>
  </si>
  <si>
    <t>Garnica, Sebastián de</t>
  </si>
  <si>
    <t>Muñóz Guerrero, Sebastián</t>
  </si>
  <si>
    <t>Cuaresma, Simón "el ciego"</t>
  </si>
  <si>
    <t>Bazán, Tomás</t>
  </si>
  <si>
    <t>Costa, Tomás de</t>
  </si>
  <si>
    <t>Pinto, Tomás</t>
  </si>
  <si>
    <t>Chacón, Tomás</t>
  </si>
  <si>
    <t>Rubin, Tomás</t>
  </si>
  <si>
    <t>Vega, Toribio de la</t>
  </si>
  <si>
    <t>Mendoza, Toribio de</t>
  </si>
  <si>
    <t>Zelaya, Domingo de</t>
  </si>
  <si>
    <t>Díaz de Contreras, Velasco</t>
  </si>
  <si>
    <t>Buize, Victoriano de</t>
  </si>
  <si>
    <t>Beitia, Diego de</t>
  </si>
  <si>
    <t>Cortés, Diego de</t>
  </si>
  <si>
    <t>Rojo, Francisco Cristóbal</t>
  </si>
  <si>
    <t>Se agregaron 100 pesos*</t>
  </si>
  <si>
    <t>13 marcos de plata labrada</t>
  </si>
  <si>
    <t>1 cajon con 2335pesos en reales</t>
  </si>
  <si>
    <t>1 petaca de plata labrada con 948 marcos y 50 marcos</t>
  </si>
  <si>
    <t>Plata</t>
  </si>
  <si>
    <t>Oro amonedado</t>
  </si>
  <si>
    <t>Lana de vicuña</t>
  </si>
  <si>
    <t>Otros</t>
  </si>
  <si>
    <t>Oro</t>
  </si>
  <si>
    <t>Eximido</t>
  </si>
  <si>
    <t>Tesoro Real</t>
  </si>
  <si>
    <t>Nombre</t>
  </si>
  <si>
    <t>SUMA</t>
  </si>
  <si>
    <t>Desempate</t>
  </si>
  <si>
    <t>Posición</t>
  </si>
  <si>
    <t>Fila</t>
  </si>
  <si>
    <t>Mayores exportadores</t>
  </si>
  <si>
    <t>Suma</t>
  </si>
  <si>
    <t>TCJU1/150/50</t>
  </si>
  <si>
    <t>Resumen de productos exportados (en pesos de a ocho)</t>
  </si>
  <si>
    <t>Zuñiga, Francisco de</t>
  </si>
  <si>
    <t>Zumarraga, Pedro de</t>
  </si>
  <si>
    <t>alderete, Antonio de</t>
  </si>
  <si>
    <t>Basurto Vellosillo, Francisco</t>
  </si>
  <si>
    <t>Copero de Praga, Joseph</t>
  </si>
  <si>
    <t>Iturrain, Martín de</t>
  </si>
  <si>
    <t>Iturrain, Vicente de</t>
  </si>
  <si>
    <t>Lizarriturri, Joseph</t>
  </si>
  <si>
    <t>Molino y Saldivar, Juan 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</si>
</sst>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0"/>
      <name val="Calibri"/>
      <family val="2"/>
      <scheme val="minor"/>
    </font>
    <font>
      <sz val="10"/>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1"/>
        <bgColor theme="1"/>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theme="1"/>
      </right>
      <top style="medium">
        <color indexed="64"/>
      </top>
      <bottom style="medium">
        <color auto="1"/>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diagonal/>
    </border>
  </borders>
  <cellStyleXfs count="1">
    <xf numFmtId="0" fontId="0" fillId="0" borderId="0"/>
  </cellStyleXfs>
  <cellXfs count="4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14" fontId="0" fillId="0" borderId="0" xfId="0" applyNumberFormat="1" applyAlignment="1">
      <alignment horizontal="center" vertical="center"/>
    </xf>
    <xf numFmtId="0" fontId="1" fillId="0" borderId="0" xfId="0" applyFont="1" applyAlignment="1">
      <alignment horizontal="center" vertical="center" wrapText="1"/>
    </xf>
    <xf numFmtId="0" fontId="1"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3" borderId="0" xfId="0" applyFont="1" applyFill="1" applyAlignment="1">
      <alignment vertical="center"/>
    </xf>
    <xf numFmtId="0" fontId="2" fillId="0" borderId="0" xfId="0" applyFont="1" applyAlignment="1">
      <alignment horizontal="right" vertical="center"/>
    </xf>
    <xf numFmtId="0" fontId="2" fillId="3" borderId="0" xfId="0" applyFont="1" applyFill="1" applyAlignment="1">
      <alignment horizontal="center" vertical="center"/>
    </xf>
    <xf numFmtId="0" fontId="0" fillId="0" borderId="0" xfId="0" applyAlignment="1">
      <alignment vertical="center" wrapText="1"/>
    </xf>
    <xf numFmtId="0" fontId="0" fillId="0" borderId="0" xfId="0" applyAlignment="1">
      <alignment wrapText="1"/>
    </xf>
    <xf numFmtId="0" fontId="3" fillId="4" borderId="1" xfId="0" applyFont="1" applyFill="1" applyBorder="1" applyAlignment="1">
      <alignment horizontal="center" vertical="center" wrapText="1"/>
    </xf>
    <xf numFmtId="0" fontId="3" fillId="4" borderId="1" xfId="0" applyFont="1" applyFill="1" applyBorder="1"/>
    <xf numFmtId="0" fontId="3" fillId="4" borderId="2" xfId="0" applyFont="1" applyFill="1" applyBorder="1"/>
    <xf numFmtId="0" fontId="3" fillId="4" borderId="3" xfId="0" applyFont="1" applyFill="1" applyBorder="1"/>
    <xf numFmtId="0" fontId="0" fillId="0" borderId="4" xfId="0" applyBorder="1"/>
    <xf numFmtId="0" fontId="0" fillId="0" borderId="5" xfId="0" applyBorder="1"/>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39AF-5679-4107-B3DC-08BC82C33198}">
  <sheetPr filterMode="1"/>
  <dimension ref="A1:Q1231"/>
  <sheetViews>
    <sheetView tabSelected="1" topLeftCell="G1" workbookViewId="0">
      <selection activeCell="K1041" sqref="K1041"/>
    </sheetView>
  </sheetViews>
  <sheetFormatPr baseColWidth="10" defaultRowHeight="14.4" x14ac:dyDescent="0.3"/>
  <cols>
    <col min="1" max="1" width="6.44140625" customWidth="1"/>
    <col min="2" max="2" width="9.44140625" style="4" customWidth="1"/>
    <col min="3" max="3" width="18.33203125" style="4" customWidth="1"/>
    <col min="4" max="4" width="31.6640625" style="4" customWidth="1"/>
    <col min="5" max="5" width="18.88671875" style="4" customWidth="1"/>
    <col min="6" max="6" width="18.6640625" style="4" customWidth="1"/>
    <col min="7" max="7" width="16.33203125" style="4" customWidth="1"/>
    <col min="8" max="8" width="15" style="4" customWidth="1"/>
    <col min="9" max="9" width="20.109375" style="4" customWidth="1"/>
    <col min="10" max="10" width="21.44140625" style="4" customWidth="1"/>
    <col min="11" max="11" width="54" style="4" customWidth="1"/>
    <col min="12" max="12" width="16.44140625" style="7" customWidth="1"/>
    <col min="13" max="13" width="16.6640625" style="7" customWidth="1"/>
    <col min="14" max="14" width="18" style="7" customWidth="1"/>
    <col min="15" max="16" width="13.6640625" style="7" customWidth="1"/>
    <col min="17" max="17" width="55.5546875" customWidth="1"/>
  </cols>
  <sheetData>
    <row r="1" spans="1:17" x14ac:dyDescent="0.3">
      <c r="A1" s="10" t="s">
        <v>1187</v>
      </c>
      <c r="B1" s="6" t="s">
        <v>0</v>
      </c>
      <c r="C1" s="6" t="s">
        <v>1</v>
      </c>
      <c r="D1" s="6" t="s">
        <v>1325</v>
      </c>
      <c r="E1" s="6" t="s">
        <v>1321</v>
      </c>
      <c r="F1" s="6" t="s">
        <v>1322</v>
      </c>
      <c r="G1" s="6" t="s">
        <v>1323</v>
      </c>
      <c r="H1" s="6" t="s">
        <v>1324</v>
      </c>
      <c r="I1" s="6" t="s">
        <v>2</v>
      </c>
      <c r="J1" s="6" t="s">
        <v>3</v>
      </c>
      <c r="K1" s="6" t="s">
        <v>4</v>
      </c>
      <c r="L1" s="6" t="s">
        <v>5</v>
      </c>
      <c r="M1" s="6" t="s">
        <v>6</v>
      </c>
      <c r="N1" s="6" t="s">
        <v>7</v>
      </c>
      <c r="O1" s="6" t="s">
        <v>8</v>
      </c>
      <c r="P1" s="6" t="s">
        <v>1652</v>
      </c>
      <c r="Q1" s="1" t="s">
        <v>9</v>
      </c>
    </row>
    <row r="2" spans="1:17" hidden="1" x14ac:dyDescent="0.3">
      <c r="A2">
        <v>1</v>
      </c>
      <c r="B2" s="4" t="s">
        <v>10</v>
      </c>
      <c r="D2" s="4" t="s">
        <v>1387</v>
      </c>
      <c r="I2" s="4" t="s">
        <v>11</v>
      </c>
      <c r="J2" s="4" t="s">
        <v>1649</v>
      </c>
      <c r="K2" s="4" t="s">
        <v>12</v>
      </c>
      <c r="L2" s="4">
        <v>2850</v>
      </c>
      <c r="M2" s="4">
        <v>2850</v>
      </c>
      <c r="N2" s="4">
        <v>199</v>
      </c>
      <c r="O2" s="4">
        <v>4</v>
      </c>
      <c r="P2" s="4"/>
      <c r="Q2" s="2"/>
    </row>
    <row r="3" spans="1:17" hidden="1" x14ac:dyDescent="0.3">
      <c r="A3">
        <v>2</v>
      </c>
      <c r="D3" s="4" t="s">
        <v>1516</v>
      </c>
      <c r="I3" s="4" t="s">
        <v>11</v>
      </c>
      <c r="J3" s="4" t="s">
        <v>1649</v>
      </c>
      <c r="K3" s="4" t="s">
        <v>13</v>
      </c>
      <c r="L3" s="4">
        <v>2080</v>
      </c>
      <c r="M3" s="4">
        <v>2080</v>
      </c>
      <c r="N3" s="4">
        <v>145</v>
      </c>
      <c r="O3" s="4">
        <v>4</v>
      </c>
      <c r="P3" s="4"/>
      <c r="Q3" s="2"/>
    </row>
    <row r="4" spans="1:17" hidden="1" x14ac:dyDescent="0.3">
      <c r="A4">
        <v>3</v>
      </c>
      <c r="D4" s="4" t="s">
        <v>1567</v>
      </c>
      <c r="I4" s="4" t="s">
        <v>14</v>
      </c>
      <c r="J4" s="4" t="s">
        <v>214</v>
      </c>
      <c r="K4" s="4" t="s">
        <v>15</v>
      </c>
      <c r="L4" s="4">
        <v>3000</v>
      </c>
      <c r="M4" s="4">
        <v>3000</v>
      </c>
      <c r="N4" s="4">
        <v>210</v>
      </c>
      <c r="O4" s="4"/>
      <c r="P4" s="4"/>
      <c r="Q4" s="2"/>
    </row>
    <row r="5" spans="1:17" hidden="1" x14ac:dyDescent="0.3">
      <c r="A5">
        <v>4</v>
      </c>
      <c r="D5" s="4" t="s">
        <v>1393</v>
      </c>
      <c r="I5" s="4" t="s">
        <v>16</v>
      </c>
      <c r="J5" s="4" t="s">
        <v>1649</v>
      </c>
      <c r="K5" s="4" t="s">
        <v>17</v>
      </c>
      <c r="L5" s="4">
        <v>2100</v>
      </c>
      <c r="M5" s="7">
        <v>2212</v>
      </c>
      <c r="N5" s="17">
        <v>154</v>
      </c>
      <c r="O5" s="7">
        <v>7</v>
      </c>
      <c r="Q5" s="2"/>
    </row>
    <row r="6" spans="1:17" hidden="1" x14ac:dyDescent="0.3">
      <c r="A6">
        <v>5</v>
      </c>
      <c r="D6" s="4" t="s">
        <v>1393</v>
      </c>
      <c r="J6" s="4" t="s">
        <v>1188</v>
      </c>
      <c r="K6" s="4" t="s">
        <v>18</v>
      </c>
      <c r="L6" s="4">
        <v>112</v>
      </c>
      <c r="N6" s="17"/>
      <c r="Q6" s="2"/>
    </row>
    <row r="7" spans="1:17" hidden="1" x14ac:dyDescent="0.3">
      <c r="A7">
        <v>6</v>
      </c>
      <c r="D7" s="4" t="s">
        <v>1605</v>
      </c>
      <c r="I7" s="4" t="s">
        <v>16</v>
      </c>
      <c r="J7" s="4" t="s">
        <v>1649</v>
      </c>
      <c r="K7" s="4" t="s">
        <v>19</v>
      </c>
      <c r="L7" s="4">
        <v>3300</v>
      </c>
      <c r="M7" s="4">
        <v>3300</v>
      </c>
      <c r="N7" s="4">
        <v>231</v>
      </c>
      <c r="O7" s="4"/>
      <c r="P7" s="4"/>
      <c r="Q7" s="2"/>
    </row>
    <row r="8" spans="1:17" hidden="1" x14ac:dyDescent="0.3">
      <c r="A8">
        <v>7</v>
      </c>
      <c r="B8" s="4" t="s">
        <v>20</v>
      </c>
      <c r="C8" s="4" t="s">
        <v>268</v>
      </c>
      <c r="D8" s="4" t="s">
        <v>1668</v>
      </c>
      <c r="I8" s="4" t="s">
        <v>22</v>
      </c>
      <c r="J8" s="4" t="s">
        <v>1649</v>
      </c>
      <c r="K8" s="4" t="s">
        <v>23</v>
      </c>
      <c r="L8" s="4">
        <v>9450</v>
      </c>
      <c r="M8" s="4">
        <v>9450</v>
      </c>
      <c r="N8" s="4">
        <v>661</v>
      </c>
      <c r="O8" s="4">
        <v>4</v>
      </c>
      <c r="P8" s="4"/>
      <c r="Q8" s="2"/>
    </row>
    <row r="9" spans="1:17" hidden="1" x14ac:dyDescent="0.3">
      <c r="A9">
        <v>8</v>
      </c>
      <c r="C9" s="4" t="s">
        <v>268</v>
      </c>
      <c r="D9" s="4" t="s">
        <v>1668</v>
      </c>
      <c r="I9" s="4" t="s">
        <v>22</v>
      </c>
      <c r="J9" s="4" t="s">
        <v>1246</v>
      </c>
      <c r="K9" s="4" t="s">
        <v>24</v>
      </c>
      <c r="L9" s="4">
        <v>6000</v>
      </c>
      <c r="M9" s="4">
        <v>6000</v>
      </c>
      <c r="N9" s="4">
        <v>420</v>
      </c>
      <c r="O9" s="4"/>
      <c r="P9" s="4"/>
      <c r="Q9" s="2"/>
    </row>
    <row r="10" spans="1:17" hidden="1" x14ac:dyDescent="0.3">
      <c r="A10">
        <v>9</v>
      </c>
      <c r="D10" s="4" t="s">
        <v>1610</v>
      </c>
      <c r="I10" s="4" t="s">
        <v>25</v>
      </c>
      <c r="J10" s="4" t="s">
        <v>214</v>
      </c>
      <c r="K10" s="4" t="s">
        <v>15</v>
      </c>
      <c r="L10" s="4">
        <v>750</v>
      </c>
      <c r="M10" s="4">
        <v>750</v>
      </c>
      <c r="N10" s="4">
        <v>52</v>
      </c>
      <c r="O10" s="4">
        <v>4</v>
      </c>
      <c r="P10" s="4"/>
      <c r="Q10" s="2"/>
    </row>
    <row r="11" spans="1:17" hidden="1" x14ac:dyDescent="0.3">
      <c r="A11">
        <v>10</v>
      </c>
      <c r="D11" s="4" t="s">
        <v>1358</v>
      </c>
      <c r="I11" s="4" t="s">
        <v>25</v>
      </c>
      <c r="J11" s="4" t="s">
        <v>214</v>
      </c>
      <c r="K11" s="4" t="s">
        <v>15</v>
      </c>
      <c r="L11" s="4">
        <v>1200</v>
      </c>
      <c r="M11" s="7">
        <v>1444</v>
      </c>
      <c r="N11" s="7">
        <v>101</v>
      </c>
      <c r="Q11" s="2"/>
    </row>
    <row r="12" spans="1:17" hidden="1" x14ac:dyDescent="0.3">
      <c r="A12">
        <v>11</v>
      </c>
      <c r="D12" s="4" t="s">
        <v>1358</v>
      </c>
      <c r="J12" s="4" t="s">
        <v>1188</v>
      </c>
      <c r="K12" s="4" t="s">
        <v>26</v>
      </c>
      <c r="L12" s="4">
        <v>244</v>
      </c>
      <c r="Q12" s="2"/>
    </row>
    <row r="13" spans="1:17" hidden="1" x14ac:dyDescent="0.3">
      <c r="A13">
        <v>12</v>
      </c>
      <c r="D13" s="4" t="s">
        <v>1327</v>
      </c>
      <c r="I13" s="4" t="s">
        <v>25</v>
      </c>
      <c r="J13" s="4" t="s">
        <v>214</v>
      </c>
      <c r="K13" s="4" t="s">
        <v>15</v>
      </c>
      <c r="L13" s="11">
        <f>400</f>
        <v>400</v>
      </c>
      <c r="M13" s="7">
        <v>768</v>
      </c>
      <c r="N13" s="7">
        <v>53</v>
      </c>
      <c r="O13" s="7">
        <v>6</v>
      </c>
      <c r="Q13" s="2"/>
    </row>
    <row r="14" spans="1:17" hidden="1" x14ac:dyDescent="0.3">
      <c r="A14">
        <v>13</v>
      </c>
      <c r="D14" s="4" t="s">
        <v>1327</v>
      </c>
      <c r="J14" s="4" t="s">
        <v>206</v>
      </c>
      <c r="K14" s="4" t="s">
        <v>27</v>
      </c>
      <c r="L14" s="11">
        <v>368</v>
      </c>
      <c r="Q14" s="2"/>
    </row>
    <row r="15" spans="1:17" hidden="1" x14ac:dyDescent="0.3">
      <c r="A15">
        <v>14</v>
      </c>
      <c r="D15" s="4" t="s">
        <v>1437</v>
      </c>
      <c r="I15" s="4" t="s">
        <v>28</v>
      </c>
      <c r="J15" s="4" t="s">
        <v>214</v>
      </c>
      <c r="K15" s="4" t="s">
        <v>15</v>
      </c>
      <c r="L15" s="4">
        <v>450</v>
      </c>
      <c r="M15" s="4">
        <v>450</v>
      </c>
      <c r="N15" s="4">
        <v>31</v>
      </c>
      <c r="O15" s="4">
        <v>4</v>
      </c>
      <c r="P15" s="4"/>
      <c r="Q15" s="2"/>
    </row>
    <row r="16" spans="1:17" hidden="1" x14ac:dyDescent="0.3">
      <c r="A16">
        <v>15</v>
      </c>
      <c r="C16" s="4" t="s">
        <v>268</v>
      </c>
      <c r="D16" s="4" t="s">
        <v>1548</v>
      </c>
      <c r="I16" s="4" t="s">
        <v>28</v>
      </c>
      <c r="J16" s="4" t="s">
        <v>214</v>
      </c>
      <c r="K16" s="4" t="s">
        <v>15</v>
      </c>
      <c r="L16" s="4">
        <v>700</v>
      </c>
      <c r="M16" s="4">
        <v>700</v>
      </c>
      <c r="N16" s="4">
        <v>49</v>
      </c>
      <c r="O16" s="4"/>
      <c r="P16" s="4"/>
      <c r="Q16" s="2"/>
    </row>
    <row r="17" spans="1:17" hidden="1" x14ac:dyDescent="0.3">
      <c r="A17">
        <v>16</v>
      </c>
      <c r="C17" s="4" t="s">
        <v>29</v>
      </c>
      <c r="D17" s="4" t="s">
        <v>1642</v>
      </c>
      <c r="I17" s="4" t="s">
        <v>28</v>
      </c>
      <c r="J17" s="4" t="s">
        <v>214</v>
      </c>
      <c r="K17" s="4" t="s">
        <v>15</v>
      </c>
      <c r="L17" s="4">
        <v>200</v>
      </c>
      <c r="M17" s="4">
        <v>200</v>
      </c>
      <c r="N17" s="4">
        <v>14</v>
      </c>
      <c r="O17" s="4"/>
      <c r="P17" s="4"/>
      <c r="Q17" s="2"/>
    </row>
    <row r="18" spans="1:17" hidden="1" x14ac:dyDescent="0.3">
      <c r="A18">
        <v>17</v>
      </c>
      <c r="C18" s="4" t="s">
        <v>268</v>
      </c>
      <c r="D18" s="4" t="s">
        <v>1668</v>
      </c>
      <c r="I18" s="4" t="s">
        <v>33</v>
      </c>
      <c r="J18" s="4" t="s">
        <v>1185</v>
      </c>
      <c r="K18" s="4" t="s">
        <v>31</v>
      </c>
      <c r="L18" s="11">
        <f>10882*8+4</f>
        <v>87060</v>
      </c>
      <c r="M18" s="7">
        <v>137060</v>
      </c>
      <c r="N18" s="7">
        <v>9594</v>
      </c>
      <c r="Q18" s="2"/>
    </row>
    <row r="19" spans="1:17" hidden="1" x14ac:dyDescent="0.3">
      <c r="A19">
        <v>18</v>
      </c>
      <c r="D19" s="4" t="s">
        <v>1668</v>
      </c>
      <c r="J19" s="4" t="s">
        <v>214</v>
      </c>
      <c r="K19" s="4" t="s">
        <v>32</v>
      </c>
      <c r="L19" s="11">
        <f>20*2500</f>
        <v>50000</v>
      </c>
      <c r="Q19" s="2"/>
    </row>
    <row r="20" spans="1:17" hidden="1" x14ac:dyDescent="0.3">
      <c r="A20">
        <v>19</v>
      </c>
      <c r="C20" s="4" t="s">
        <v>268</v>
      </c>
      <c r="D20" s="4" t="s">
        <v>1630</v>
      </c>
      <c r="I20" s="4" t="s">
        <v>33</v>
      </c>
      <c r="J20" s="4" t="s">
        <v>214</v>
      </c>
      <c r="K20" s="5" t="s">
        <v>34</v>
      </c>
      <c r="L20" s="11">
        <f>M20-L21</f>
        <v>46033</v>
      </c>
      <c r="M20" s="7">
        <v>46305</v>
      </c>
      <c r="N20" s="7">
        <v>3241</v>
      </c>
      <c r="Q20" s="2"/>
    </row>
    <row r="21" spans="1:17" hidden="1" x14ac:dyDescent="0.3">
      <c r="A21">
        <v>20</v>
      </c>
      <c r="D21" s="4" t="s">
        <v>1630</v>
      </c>
      <c r="J21" s="4" t="s">
        <v>206</v>
      </c>
      <c r="K21" s="4" t="s">
        <v>35</v>
      </c>
      <c r="L21" s="11">
        <f>34*8</f>
        <v>272</v>
      </c>
      <c r="Q21" s="2"/>
    </row>
    <row r="22" spans="1:17" ht="28.8" hidden="1" x14ac:dyDescent="0.3">
      <c r="A22">
        <v>21</v>
      </c>
      <c r="C22" s="4" t="s">
        <v>268</v>
      </c>
      <c r="D22" s="4" t="s">
        <v>1630</v>
      </c>
      <c r="I22" s="4" t="s">
        <v>33</v>
      </c>
      <c r="J22" s="4" t="s">
        <v>214</v>
      </c>
      <c r="K22" s="5" t="s">
        <v>36</v>
      </c>
      <c r="L22" s="4">
        <v>3750</v>
      </c>
      <c r="M22" s="4">
        <v>3750</v>
      </c>
      <c r="N22" s="4">
        <v>262</v>
      </c>
      <c r="O22" s="4">
        <v>4</v>
      </c>
      <c r="P22" s="4"/>
      <c r="Q22" s="2"/>
    </row>
    <row r="23" spans="1:17" hidden="1" x14ac:dyDescent="0.3">
      <c r="A23">
        <v>22</v>
      </c>
      <c r="D23" s="4" t="s">
        <v>1625</v>
      </c>
      <c r="I23" s="4" t="s">
        <v>33</v>
      </c>
      <c r="J23" s="4" t="s">
        <v>214</v>
      </c>
      <c r="K23" s="4" t="s">
        <v>37</v>
      </c>
      <c r="L23" s="4">
        <v>5000</v>
      </c>
      <c r="M23" s="4">
        <v>5000</v>
      </c>
      <c r="N23" s="4">
        <v>350</v>
      </c>
      <c r="O23" s="4"/>
      <c r="P23" s="4"/>
      <c r="Q23" s="2"/>
    </row>
    <row r="24" spans="1:17" hidden="1" x14ac:dyDescent="0.3">
      <c r="A24">
        <v>23</v>
      </c>
      <c r="D24" s="4" t="s">
        <v>1521</v>
      </c>
      <c r="I24" s="4" t="s">
        <v>33</v>
      </c>
      <c r="J24" s="4" t="s">
        <v>214</v>
      </c>
      <c r="K24" s="4" t="s">
        <v>15</v>
      </c>
      <c r="L24" s="11">
        <v>3000</v>
      </c>
      <c r="M24" s="7">
        <v>3320</v>
      </c>
      <c r="N24" s="7">
        <v>332</v>
      </c>
      <c r="Q24" s="18" t="s">
        <v>39</v>
      </c>
    </row>
    <row r="25" spans="1:17" hidden="1" x14ac:dyDescent="0.3">
      <c r="A25">
        <v>24</v>
      </c>
      <c r="D25" s="4" t="s">
        <v>1521</v>
      </c>
      <c r="J25" s="4" t="s">
        <v>206</v>
      </c>
      <c r="K25" s="4" t="s">
        <v>38</v>
      </c>
      <c r="L25" s="11">
        <f>40*8</f>
        <v>320</v>
      </c>
      <c r="Q25" s="18"/>
    </row>
    <row r="26" spans="1:17" hidden="1" x14ac:dyDescent="0.3">
      <c r="A26">
        <v>25</v>
      </c>
      <c r="B26" s="4" t="s">
        <v>40</v>
      </c>
      <c r="D26" s="4" t="s">
        <v>1555</v>
      </c>
      <c r="I26" s="4" t="s">
        <v>33</v>
      </c>
      <c r="J26" s="4" t="s">
        <v>214</v>
      </c>
      <c r="K26" s="4" t="s">
        <v>41</v>
      </c>
      <c r="L26" s="4">
        <v>7500</v>
      </c>
      <c r="M26" s="4">
        <v>7500</v>
      </c>
      <c r="N26" s="4">
        <v>525</v>
      </c>
      <c r="O26" s="4"/>
      <c r="P26" s="4"/>
      <c r="Q26" s="2"/>
    </row>
    <row r="27" spans="1:17" hidden="1" x14ac:dyDescent="0.3">
      <c r="A27">
        <v>26</v>
      </c>
      <c r="D27" s="4" t="s">
        <v>1474</v>
      </c>
      <c r="I27" s="4" t="s">
        <v>33</v>
      </c>
      <c r="J27" s="4" t="s">
        <v>214</v>
      </c>
      <c r="K27" s="4" t="s">
        <v>42</v>
      </c>
      <c r="L27" s="4">
        <v>10000</v>
      </c>
      <c r="M27" s="4">
        <v>10000</v>
      </c>
      <c r="N27" s="4">
        <v>700</v>
      </c>
      <c r="O27" s="4"/>
      <c r="P27" s="4"/>
      <c r="Q27" s="2"/>
    </row>
    <row r="28" spans="1:17" hidden="1" x14ac:dyDescent="0.3">
      <c r="A28">
        <v>27</v>
      </c>
      <c r="D28" s="4" t="s">
        <v>1470</v>
      </c>
      <c r="I28" s="4" t="s">
        <v>33</v>
      </c>
      <c r="J28" s="4" t="s">
        <v>214</v>
      </c>
      <c r="K28" s="4" t="s">
        <v>43</v>
      </c>
      <c r="L28" s="7">
        <f>M28-L29-L30</f>
        <v>19062</v>
      </c>
      <c r="M28" s="7">
        <v>20247</v>
      </c>
      <c r="N28" s="7">
        <v>1417</v>
      </c>
      <c r="Q28" s="2"/>
    </row>
    <row r="29" spans="1:17" hidden="1" x14ac:dyDescent="0.3">
      <c r="A29">
        <v>28</v>
      </c>
      <c r="D29" s="4" t="s">
        <v>1470</v>
      </c>
      <c r="J29" s="4" t="s">
        <v>214</v>
      </c>
      <c r="K29" s="4" t="s">
        <v>44</v>
      </c>
      <c r="L29" s="7">
        <v>545</v>
      </c>
      <c r="Q29" s="2"/>
    </row>
    <row r="30" spans="1:17" hidden="1" x14ac:dyDescent="0.3">
      <c r="A30">
        <v>29</v>
      </c>
      <c r="D30" s="4" t="s">
        <v>1470</v>
      </c>
      <c r="J30" s="4" t="s">
        <v>206</v>
      </c>
      <c r="K30" s="4" t="s">
        <v>45</v>
      </c>
      <c r="L30" s="7">
        <f>80*8</f>
        <v>640</v>
      </c>
      <c r="Q30" s="2"/>
    </row>
    <row r="31" spans="1:17" hidden="1" x14ac:dyDescent="0.3">
      <c r="A31">
        <v>30</v>
      </c>
      <c r="D31" s="4" t="s">
        <v>1594</v>
      </c>
      <c r="I31" s="4" t="s">
        <v>33</v>
      </c>
      <c r="J31" s="4" t="s">
        <v>214</v>
      </c>
      <c r="K31" s="4" t="s">
        <v>46</v>
      </c>
      <c r="L31" s="4">
        <v>10000</v>
      </c>
      <c r="M31" s="4">
        <v>10000</v>
      </c>
      <c r="N31" s="4">
        <v>700</v>
      </c>
      <c r="O31" s="4"/>
      <c r="P31" s="4"/>
      <c r="Q31" s="2"/>
    </row>
    <row r="32" spans="1:17" hidden="1" x14ac:dyDescent="0.3">
      <c r="A32">
        <v>31</v>
      </c>
      <c r="D32" s="4" t="s">
        <v>1564</v>
      </c>
      <c r="I32" s="4" t="s">
        <v>33</v>
      </c>
      <c r="J32" s="4" t="s">
        <v>214</v>
      </c>
      <c r="K32" s="4" t="s">
        <v>15</v>
      </c>
      <c r="L32" s="4">
        <v>5000</v>
      </c>
      <c r="M32" s="4">
        <v>5000</v>
      </c>
      <c r="N32" s="4">
        <v>350</v>
      </c>
      <c r="O32" s="4"/>
      <c r="P32" s="4"/>
      <c r="Q32" s="2"/>
    </row>
    <row r="33" spans="1:17" hidden="1" x14ac:dyDescent="0.3">
      <c r="A33">
        <v>32</v>
      </c>
      <c r="D33" s="4" t="s">
        <v>1511</v>
      </c>
      <c r="I33" s="4" t="s">
        <v>30</v>
      </c>
      <c r="J33" s="4" t="s">
        <v>214</v>
      </c>
      <c r="K33" s="4" t="s">
        <v>37</v>
      </c>
      <c r="L33" s="13">
        <f>M33-L34-L35</f>
        <v>4475</v>
      </c>
      <c r="M33" s="7">
        <v>6725</v>
      </c>
      <c r="N33" s="7">
        <v>470</v>
      </c>
      <c r="O33" s="7">
        <v>6</v>
      </c>
      <c r="Q33" s="2"/>
    </row>
    <row r="34" spans="1:17" hidden="1" x14ac:dyDescent="0.3">
      <c r="A34">
        <v>33</v>
      </c>
      <c r="D34" s="4" t="s">
        <v>1511</v>
      </c>
      <c r="J34" s="4" t="s">
        <v>214</v>
      </c>
      <c r="K34" s="4" t="s">
        <v>47</v>
      </c>
      <c r="L34" s="13">
        <v>1650</v>
      </c>
      <c r="Q34" s="2"/>
    </row>
    <row r="35" spans="1:17" hidden="1" x14ac:dyDescent="0.3">
      <c r="A35">
        <v>34</v>
      </c>
      <c r="D35" s="4" t="s">
        <v>1511</v>
      </c>
      <c r="J35" s="4" t="s">
        <v>1649</v>
      </c>
      <c r="K35" s="4" t="s">
        <v>48</v>
      </c>
      <c r="L35" s="13">
        <v>600</v>
      </c>
      <c r="Q35" s="2"/>
    </row>
    <row r="36" spans="1:17" hidden="1" x14ac:dyDescent="0.3">
      <c r="A36">
        <v>35</v>
      </c>
      <c r="D36" s="4" t="s">
        <v>1287</v>
      </c>
      <c r="I36" s="4" t="s">
        <v>33</v>
      </c>
      <c r="J36" s="4" t="s">
        <v>214</v>
      </c>
      <c r="K36" s="4" t="s">
        <v>49</v>
      </c>
      <c r="L36" s="11">
        <v>7500</v>
      </c>
      <c r="M36" s="7">
        <v>7900</v>
      </c>
      <c r="N36" s="7">
        <v>553</v>
      </c>
      <c r="Q36" s="2"/>
    </row>
    <row r="37" spans="1:17" hidden="1" x14ac:dyDescent="0.3">
      <c r="A37">
        <v>36</v>
      </c>
      <c r="D37" s="4" t="s">
        <v>1287</v>
      </c>
      <c r="J37" s="4" t="s">
        <v>214</v>
      </c>
      <c r="K37" s="4" t="s">
        <v>50</v>
      </c>
      <c r="L37" s="11">
        <v>400</v>
      </c>
      <c r="Q37" s="2"/>
    </row>
    <row r="38" spans="1:17" hidden="1" x14ac:dyDescent="0.3">
      <c r="A38">
        <v>37</v>
      </c>
      <c r="D38" s="4" t="s">
        <v>1345</v>
      </c>
      <c r="I38" s="4" t="s">
        <v>33</v>
      </c>
      <c r="J38" s="4" t="s">
        <v>214</v>
      </c>
      <c r="K38" s="4" t="s">
        <v>51</v>
      </c>
      <c r="L38" s="11">
        <f>2500*6</f>
        <v>15000</v>
      </c>
      <c r="M38" s="7">
        <v>17952</v>
      </c>
      <c r="N38" s="7">
        <v>1256</v>
      </c>
      <c r="O38" s="7">
        <v>4</v>
      </c>
      <c r="Q38" s="2"/>
    </row>
    <row r="39" spans="1:17" hidden="1" x14ac:dyDescent="0.3">
      <c r="A39">
        <v>38</v>
      </c>
      <c r="D39" s="4" t="s">
        <v>1345</v>
      </c>
      <c r="J39" s="4" t="s">
        <v>214</v>
      </c>
      <c r="K39" s="4" t="s">
        <v>52</v>
      </c>
      <c r="L39" s="11">
        <v>1400</v>
      </c>
      <c r="Q39" s="2"/>
    </row>
    <row r="40" spans="1:17" hidden="1" x14ac:dyDescent="0.3">
      <c r="A40">
        <v>39</v>
      </c>
      <c r="D40" s="4" t="s">
        <v>1345</v>
      </c>
      <c r="J40" s="4" t="s">
        <v>1185</v>
      </c>
      <c r="K40" s="4" t="s">
        <v>1191</v>
      </c>
      <c r="L40" s="11">
        <f>174*8</f>
        <v>1392</v>
      </c>
      <c r="Q40" s="2"/>
    </row>
    <row r="41" spans="1:17" hidden="1" x14ac:dyDescent="0.3">
      <c r="A41">
        <v>40</v>
      </c>
      <c r="D41" s="4" t="s">
        <v>1345</v>
      </c>
      <c r="J41" s="4" t="s">
        <v>206</v>
      </c>
      <c r="K41" s="4" t="s">
        <v>479</v>
      </c>
      <c r="L41" s="4">
        <v>160</v>
      </c>
      <c r="M41" s="4"/>
      <c r="N41" s="4"/>
      <c r="O41" s="4"/>
      <c r="P41" s="4"/>
      <c r="Q41" s="2"/>
    </row>
    <row r="42" spans="1:17" hidden="1" x14ac:dyDescent="0.3">
      <c r="A42">
        <v>41</v>
      </c>
      <c r="C42" s="4" t="s">
        <v>268</v>
      </c>
      <c r="D42" s="4" t="s">
        <v>1478</v>
      </c>
      <c r="I42" s="4" t="s">
        <v>33</v>
      </c>
      <c r="J42" s="4" t="s">
        <v>214</v>
      </c>
      <c r="K42" s="4" t="s">
        <v>53</v>
      </c>
      <c r="L42" s="11">
        <v>5000</v>
      </c>
      <c r="M42" s="7">
        <v>11721</v>
      </c>
      <c r="N42" s="7">
        <v>820</v>
      </c>
      <c r="Q42" s="2"/>
    </row>
    <row r="43" spans="1:17" hidden="1" x14ac:dyDescent="0.3">
      <c r="A43">
        <v>42</v>
      </c>
      <c r="D43" s="4" t="s">
        <v>1478</v>
      </c>
      <c r="J43" s="4" t="s">
        <v>1185</v>
      </c>
      <c r="K43" s="4" t="s">
        <v>54</v>
      </c>
      <c r="L43" s="11">
        <f>796*8+3</f>
        <v>6371</v>
      </c>
      <c r="Q43" s="2"/>
    </row>
    <row r="44" spans="1:17" hidden="1" x14ac:dyDescent="0.3">
      <c r="A44">
        <v>43</v>
      </c>
      <c r="D44" s="4" t="s">
        <v>1478</v>
      </c>
      <c r="J44" s="4" t="s">
        <v>214</v>
      </c>
      <c r="K44" s="4" t="s">
        <v>55</v>
      </c>
      <c r="L44" s="11">
        <v>350</v>
      </c>
      <c r="Q44" s="2"/>
    </row>
    <row r="45" spans="1:17" hidden="1" x14ac:dyDescent="0.3">
      <c r="A45">
        <v>44</v>
      </c>
      <c r="C45" s="4" t="s">
        <v>268</v>
      </c>
      <c r="D45" s="4" t="s">
        <v>1520</v>
      </c>
      <c r="I45" s="4" t="s">
        <v>56</v>
      </c>
      <c r="J45" s="4" t="s">
        <v>214</v>
      </c>
      <c r="K45" s="4" t="s">
        <v>57</v>
      </c>
      <c r="L45" s="4">
        <v>20000</v>
      </c>
      <c r="M45" s="4">
        <v>20000</v>
      </c>
      <c r="N45" s="4">
        <v>1400</v>
      </c>
      <c r="O45" s="4"/>
      <c r="P45" s="4"/>
      <c r="Q45" s="2"/>
    </row>
    <row r="46" spans="1:17" hidden="1" x14ac:dyDescent="0.3">
      <c r="A46">
        <v>45</v>
      </c>
      <c r="C46" s="4" t="s">
        <v>268</v>
      </c>
      <c r="D46" s="4" t="s">
        <v>1381</v>
      </c>
      <c r="J46" s="4" t="s">
        <v>214</v>
      </c>
      <c r="K46" s="4" t="s">
        <v>53</v>
      </c>
      <c r="L46" s="11">
        <v>5000</v>
      </c>
      <c r="M46" s="7">
        <v>10347</v>
      </c>
      <c r="N46" s="7">
        <v>724</v>
      </c>
      <c r="O46" s="7">
        <v>2</v>
      </c>
      <c r="Q46" s="18" t="s">
        <v>60</v>
      </c>
    </row>
    <row r="47" spans="1:17" hidden="1" x14ac:dyDescent="0.3">
      <c r="A47">
        <v>46</v>
      </c>
      <c r="D47" s="4" t="s">
        <v>1381</v>
      </c>
      <c r="J47" s="4" t="s">
        <v>1185</v>
      </c>
      <c r="K47" s="4" t="s">
        <v>58</v>
      </c>
      <c r="L47" s="11">
        <f>668*8+3</f>
        <v>5347</v>
      </c>
      <c r="Q47" s="18"/>
    </row>
    <row r="48" spans="1:17" hidden="1" x14ac:dyDescent="0.3">
      <c r="A48">
        <v>47</v>
      </c>
      <c r="B48" s="4" t="s">
        <v>59</v>
      </c>
      <c r="C48" s="4" t="s">
        <v>268</v>
      </c>
      <c r="D48" s="4" t="s">
        <v>1381</v>
      </c>
      <c r="I48" s="4" t="s">
        <v>56</v>
      </c>
      <c r="J48" s="4" t="s">
        <v>214</v>
      </c>
      <c r="K48" s="4" t="s">
        <v>61</v>
      </c>
      <c r="L48" s="4">
        <v>7500</v>
      </c>
      <c r="M48" s="4">
        <v>7500</v>
      </c>
      <c r="N48" s="4">
        <v>525</v>
      </c>
      <c r="O48" s="4"/>
      <c r="P48" s="4"/>
      <c r="Q48" s="2"/>
    </row>
    <row r="49" spans="1:17" hidden="1" x14ac:dyDescent="0.3">
      <c r="A49">
        <v>48</v>
      </c>
      <c r="D49" s="4" t="s">
        <v>1400</v>
      </c>
      <c r="I49" s="4" t="s">
        <v>56</v>
      </c>
      <c r="J49" s="4" t="s">
        <v>214</v>
      </c>
      <c r="K49" s="4" t="s">
        <v>62</v>
      </c>
      <c r="L49" s="11">
        <f>5*2500</f>
        <v>12500</v>
      </c>
      <c r="M49" s="7">
        <v>21868</v>
      </c>
      <c r="N49" s="7">
        <v>1530</v>
      </c>
      <c r="O49" s="7">
        <v>6</v>
      </c>
      <c r="Q49" s="2"/>
    </row>
    <row r="50" spans="1:17" hidden="1" x14ac:dyDescent="0.3">
      <c r="A50">
        <v>49</v>
      </c>
      <c r="D50" s="4" t="s">
        <v>1400</v>
      </c>
      <c r="J50" s="4" t="s">
        <v>1185</v>
      </c>
      <c r="K50" s="4" t="s">
        <v>63</v>
      </c>
      <c r="L50" s="11">
        <f>1171*8</f>
        <v>9368</v>
      </c>
      <c r="Q50" s="2"/>
    </row>
    <row r="51" spans="1:17" hidden="1" x14ac:dyDescent="0.3">
      <c r="A51">
        <v>50</v>
      </c>
      <c r="C51" s="4" t="s">
        <v>268</v>
      </c>
      <c r="D51" s="4" t="s">
        <v>1520</v>
      </c>
      <c r="I51" s="4" t="s">
        <v>56</v>
      </c>
      <c r="J51" s="4" t="s">
        <v>214</v>
      </c>
      <c r="K51" s="4" t="s">
        <v>53</v>
      </c>
      <c r="L51" s="4">
        <v>5000</v>
      </c>
      <c r="M51" s="4">
        <v>5000</v>
      </c>
      <c r="N51" s="4">
        <v>350</v>
      </c>
      <c r="O51" s="4"/>
      <c r="P51" s="4"/>
      <c r="Q51" s="2"/>
    </row>
    <row r="52" spans="1:17" hidden="1" x14ac:dyDescent="0.3">
      <c r="A52">
        <v>51</v>
      </c>
      <c r="C52" s="4" t="s">
        <v>64</v>
      </c>
      <c r="D52" s="4" t="s">
        <v>1460</v>
      </c>
      <c r="I52" s="4" t="s">
        <v>56</v>
      </c>
      <c r="J52" s="4" t="s">
        <v>214</v>
      </c>
      <c r="K52" s="4" t="s">
        <v>65</v>
      </c>
      <c r="L52" s="4">
        <v>4000</v>
      </c>
      <c r="M52" s="4">
        <v>4600</v>
      </c>
      <c r="N52" s="4">
        <v>322</v>
      </c>
      <c r="O52" s="4"/>
      <c r="P52" s="4"/>
      <c r="Q52" s="2"/>
    </row>
    <row r="53" spans="1:17" hidden="1" x14ac:dyDescent="0.3">
      <c r="A53">
        <v>52</v>
      </c>
      <c r="D53" s="4" t="s">
        <v>1460</v>
      </c>
      <c r="J53" s="4" t="s">
        <v>214</v>
      </c>
      <c r="K53" s="4" t="s">
        <v>66</v>
      </c>
      <c r="L53" s="4">
        <v>600</v>
      </c>
      <c r="M53" s="4"/>
      <c r="N53" s="4"/>
      <c r="O53" s="4"/>
      <c r="P53" s="4"/>
      <c r="Q53" s="2"/>
    </row>
    <row r="54" spans="1:17" hidden="1" x14ac:dyDescent="0.3">
      <c r="A54">
        <v>53</v>
      </c>
      <c r="D54" s="4" t="s">
        <v>1411</v>
      </c>
      <c r="I54" s="4" t="s">
        <v>56</v>
      </c>
      <c r="J54" s="4" t="s">
        <v>214</v>
      </c>
      <c r="K54" s="4" t="s">
        <v>67</v>
      </c>
      <c r="L54" s="4">
        <v>2500</v>
      </c>
      <c r="M54" s="4">
        <v>2500</v>
      </c>
      <c r="N54" s="4">
        <v>175</v>
      </c>
      <c r="O54" s="4"/>
      <c r="P54" s="4"/>
      <c r="Q54" s="2"/>
    </row>
    <row r="55" spans="1:17" hidden="1" x14ac:dyDescent="0.3">
      <c r="A55">
        <v>54</v>
      </c>
      <c r="C55" s="4" t="s">
        <v>268</v>
      </c>
      <c r="D55" s="4" t="s">
        <v>1474</v>
      </c>
      <c r="I55" s="4" t="s">
        <v>68</v>
      </c>
      <c r="J55" s="4" t="s">
        <v>214</v>
      </c>
      <c r="K55" s="4" t="s">
        <v>69</v>
      </c>
      <c r="L55" s="4">
        <v>24000</v>
      </c>
      <c r="M55" s="4">
        <v>24500</v>
      </c>
      <c r="N55" s="4">
        <v>1715</v>
      </c>
      <c r="O55" s="4"/>
      <c r="P55" s="4"/>
      <c r="Q55" s="2"/>
    </row>
    <row r="56" spans="1:17" hidden="1" x14ac:dyDescent="0.3">
      <c r="A56">
        <v>55</v>
      </c>
      <c r="D56" s="4" t="s">
        <v>1474</v>
      </c>
      <c r="J56" s="4" t="s">
        <v>214</v>
      </c>
      <c r="K56" s="4" t="s">
        <v>70</v>
      </c>
      <c r="L56" s="4">
        <v>500</v>
      </c>
      <c r="M56" s="4"/>
      <c r="N56" s="4"/>
      <c r="O56" s="4"/>
      <c r="P56" s="4"/>
      <c r="Q56" s="2"/>
    </row>
    <row r="57" spans="1:17" hidden="1" x14ac:dyDescent="0.3">
      <c r="A57">
        <v>56</v>
      </c>
      <c r="D57" s="4" t="s">
        <v>1474</v>
      </c>
      <c r="I57" s="4" t="s">
        <v>68</v>
      </c>
      <c r="J57" s="4" t="s">
        <v>214</v>
      </c>
      <c r="K57" s="4" t="s">
        <v>15</v>
      </c>
      <c r="L57" s="4">
        <v>1000</v>
      </c>
      <c r="M57" s="4">
        <v>1000</v>
      </c>
      <c r="N57" s="4">
        <v>70</v>
      </c>
      <c r="O57" s="4"/>
      <c r="P57" s="4"/>
      <c r="Q57" s="2"/>
    </row>
    <row r="58" spans="1:17" hidden="1" x14ac:dyDescent="0.3">
      <c r="A58">
        <v>57</v>
      </c>
      <c r="C58" s="4" t="s">
        <v>268</v>
      </c>
      <c r="D58" s="4" t="s">
        <v>1519</v>
      </c>
      <c r="I58" s="4" t="s">
        <v>68</v>
      </c>
      <c r="J58" s="4" t="s">
        <v>1649</v>
      </c>
      <c r="K58" s="4" t="s">
        <v>71</v>
      </c>
      <c r="L58" s="4">
        <v>5100</v>
      </c>
      <c r="M58" s="4">
        <v>5100</v>
      </c>
      <c r="N58" s="4">
        <v>357</v>
      </c>
      <c r="O58" s="4"/>
      <c r="P58" s="4"/>
      <c r="Q58" s="2"/>
    </row>
    <row r="59" spans="1:17" hidden="1" x14ac:dyDescent="0.3">
      <c r="A59">
        <v>58</v>
      </c>
      <c r="D59" s="4" t="s">
        <v>1405</v>
      </c>
      <c r="I59" s="4" t="s">
        <v>68</v>
      </c>
      <c r="J59" s="4" t="s">
        <v>1649</v>
      </c>
      <c r="K59" s="4" t="s">
        <v>72</v>
      </c>
      <c r="L59" s="4">
        <v>1050</v>
      </c>
      <c r="M59" s="4">
        <v>1050</v>
      </c>
      <c r="N59" s="4">
        <v>73</v>
      </c>
      <c r="O59" s="4">
        <v>4</v>
      </c>
      <c r="P59" s="4"/>
      <c r="Q59" s="2"/>
    </row>
    <row r="60" spans="1:17" hidden="1" x14ac:dyDescent="0.3">
      <c r="A60">
        <v>59</v>
      </c>
      <c r="D60" s="4" t="s">
        <v>1457</v>
      </c>
      <c r="I60" s="4" t="s">
        <v>68</v>
      </c>
      <c r="J60" s="4" t="s">
        <v>214</v>
      </c>
      <c r="K60" s="4" t="s">
        <v>15</v>
      </c>
      <c r="L60" s="4">
        <v>600</v>
      </c>
      <c r="M60" s="4">
        <v>600</v>
      </c>
      <c r="N60" s="4">
        <v>42</v>
      </c>
      <c r="O60" s="4"/>
      <c r="P60" s="4"/>
      <c r="Q60" s="2"/>
    </row>
    <row r="61" spans="1:17" ht="28.8" hidden="1" x14ac:dyDescent="0.3">
      <c r="A61">
        <v>60</v>
      </c>
      <c r="D61" s="4" t="s">
        <v>1389</v>
      </c>
      <c r="I61" s="4" t="s">
        <v>73</v>
      </c>
      <c r="J61" s="4" t="s">
        <v>1185</v>
      </c>
      <c r="K61" s="5" t="s">
        <v>74</v>
      </c>
      <c r="L61" s="4">
        <v>4333</v>
      </c>
      <c r="M61" s="4">
        <v>4333</v>
      </c>
      <c r="N61" s="4">
        <v>303</v>
      </c>
      <c r="O61" s="4">
        <v>2</v>
      </c>
      <c r="P61" s="4"/>
      <c r="Q61" s="2"/>
    </row>
    <row r="62" spans="1:17" hidden="1" x14ac:dyDescent="0.3">
      <c r="A62">
        <v>61</v>
      </c>
      <c r="D62" s="4" t="s">
        <v>1476</v>
      </c>
      <c r="I62" s="4" t="s">
        <v>73</v>
      </c>
      <c r="J62" s="4" t="s">
        <v>27</v>
      </c>
      <c r="K62" s="4" t="s">
        <v>75</v>
      </c>
      <c r="L62" s="4">
        <v>400</v>
      </c>
      <c r="M62" s="4">
        <v>400</v>
      </c>
      <c r="N62" s="4">
        <v>28</v>
      </c>
      <c r="O62" s="4"/>
      <c r="P62" s="4"/>
      <c r="Q62" s="2"/>
    </row>
    <row r="63" spans="1:17" hidden="1" x14ac:dyDescent="0.3">
      <c r="A63">
        <v>62</v>
      </c>
      <c r="B63" s="4" t="s">
        <v>76</v>
      </c>
      <c r="C63" s="4" t="s">
        <v>268</v>
      </c>
      <c r="D63" s="4" t="s">
        <v>1531</v>
      </c>
      <c r="I63" s="8" t="s">
        <v>79</v>
      </c>
      <c r="J63" s="4" t="s">
        <v>206</v>
      </c>
      <c r="K63" s="5" t="s">
        <v>479</v>
      </c>
      <c r="L63" s="13">
        <f>20*8</f>
        <v>160</v>
      </c>
      <c r="M63" s="11"/>
      <c r="Q63" s="2"/>
    </row>
    <row r="64" spans="1:17" hidden="1" x14ac:dyDescent="0.3">
      <c r="A64">
        <v>63</v>
      </c>
      <c r="C64" s="4" t="s">
        <v>268</v>
      </c>
      <c r="D64" s="4" t="s">
        <v>1531</v>
      </c>
      <c r="I64" s="4" t="s">
        <v>79</v>
      </c>
      <c r="J64" s="4" t="s">
        <v>1185</v>
      </c>
      <c r="K64" s="4" t="s">
        <v>1189</v>
      </c>
      <c r="L64" s="4">
        <f>1062*8</f>
        <v>8496</v>
      </c>
      <c r="M64" s="4">
        <v>9740</v>
      </c>
      <c r="N64" s="4">
        <v>682</v>
      </c>
      <c r="O64" s="4">
        <v>1</v>
      </c>
      <c r="P64" s="4"/>
      <c r="Q64" s="2"/>
    </row>
    <row r="65" spans="1:17" hidden="1" x14ac:dyDescent="0.3">
      <c r="A65">
        <v>64</v>
      </c>
      <c r="C65" s="4" t="s">
        <v>268</v>
      </c>
      <c r="D65" s="4" t="s">
        <v>1531</v>
      </c>
      <c r="I65" s="4" t="s">
        <v>79</v>
      </c>
      <c r="J65" s="4" t="s">
        <v>214</v>
      </c>
      <c r="K65" s="4" t="s">
        <v>1190</v>
      </c>
      <c r="L65" s="4">
        <v>1084</v>
      </c>
      <c r="M65" s="4"/>
      <c r="N65" s="4"/>
      <c r="O65" s="4"/>
      <c r="P65" s="4"/>
      <c r="Q65" s="2"/>
    </row>
    <row r="66" spans="1:17" hidden="1" x14ac:dyDescent="0.3">
      <c r="A66">
        <v>65</v>
      </c>
      <c r="C66" s="4" t="s">
        <v>268</v>
      </c>
      <c r="D66" s="4" t="s">
        <v>1517</v>
      </c>
      <c r="I66" s="4" t="s">
        <v>79</v>
      </c>
      <c r="J66" s="4" t="s">
        <v>214</v>
      </c>
      <c r="K66" s="4" t="s">
        <v>77</v>
      </c>
      <c r="L66" s="4">
        <v>10000</v>
      </c>
      <c r="M66" s="4">
        <v>10100</v>
      </c>
      <c r="N66" s="4">
        <v>707</v>
      </c>
      <c r="O66" s="4"/>
      <c r="P66" s="4"/>
      <c r="Q66" s="2"/>
    </row>
    <row r="67" spans="1:17" hidden="1" x14ac:dyDescent="0.3">
      <c r="A67">
        <v>66</v>
      </c>
      <c r="D67" s="4" t="s">
        <v>1517</v>
      </c>
      <c r="J67" s="4" t="s">
        <v>214</v>
      </c>
      <c r="K67" s="4" t="s">
        <v>78</v>
      </c>
      <c r="L67" s="4">
        <v>100</v>
      </c>
      <c r="M67" s="4"/>
      <c r="N67" s="4"/>
      <c r="O67" s="4"/>
      <c r="P67" s="4"/>
      <c r="Q67" s="2"/>
    </row>
    <row r="68" spans="1:17" hidden="1" x14ac:dyDescent="0.3">
      <c r="A68">
        <v>67</v>
      </c>
      <c r="D68" s="4" t="s">
        <v>1549</v>
      </c>
      <c r="I68" s="4" t="s">
        <v>79</v>
      </c>
      <c r="J68" s="4" t="s">
        <v>1185</v>
      </c>
      <c r="K68" s="4" t="s">
        <v>80</v>
      </c>
      <c r="L68" s="11">
        <f>M68-L69-L70</f>
        <v>20016</v>
      </c>
      <c r="M68" s="11">
        <f>37900</f>
        <v>37900</v>
      </c>
      <c r="N68" s="7">
        <v>2653</v>
      </c>
      <c r="Q68" s="2"/>
    </row>
    <row r="69" spans="1:17" hidden="1" x14ac:dyDescent="0.3">
      <c r="A69">
        <v>68</v>
      </c>
      <c r="D69" s="4" t="s">
        <v>1549</v>
      </c>
      <c r="J69" s="4" t="s">
        <v>214</v>
      </c>
      <c r="K69" s="4" t="s">
        <v>81</v>
      </c>
      <c r="L69" s="11">
        <v>17500</v>
      </c>
      <c r="M69" s="11"/>
      <c r="Q69" s="2"/>
    </row>
    <row r="70" spans="1:17" hidden="1" x14ac:dyDescent="0.3">
      <c r="A70">
        <v>69</v>
      </c>
      <c r="D70" s="4" t="s">
        <v>1549</v>
      </c>
      <c r="J70" s="4" t="s">
        <v>1185</v>
      </c>
      <c r="K70" s="4" t="s">
        <v>82</v>
      </c>
      <c r="L70" s="11">
        <f>48*8</f>
        <v>384</v>
      </c>
      <c r="M70" s="11"/>
      <c r="Q70" s="2"/>
    </row>
    <row r="71" spans="1:17" hidden="1" x14ac:dyDescent="0.3">
      <c r="A71">
        <v>70</v>
      </c>
      <c r="C71" s="5" t="s">
        <v>83</v>
      </c>
      <c r="D71" s="4" t="s">
        <v>1490</v>
      </c>
      <c r="I71" s="4" t="s">
        <v>79</v>
      </c>
      <c r="J71" s="4" t="s">
        <v>214</v>
      </c>
      <c r="K71" s="4" t="s">
        <v>85</v>
      </c>
      <c r="L71" s="4">
        <v>1000</v>
      </c>
      <c r="M71" s="4">
        <v>1000</v>
      </c>
      <c r="N71" s="4">
        <v>70</v>
      </c>
      <c r="O71" s="4"/>
      <c r="P71" s="4"/>
      <c r="Q71" s="2" t="s">
        <v>84</v>
      </c>
    </row>
    <row r="72" spans="1:17" hidden="1" x14ac:dyDescent="0.3">
      <c r="A72">
        <v>71</v>
      </c>
      <c r="D72" s="4" t="s">
        <v>1393</v>
      </c>
      <c r="I72" s="4" t="s">
        <v>79</v>
      </c>
      <c r="J72" s="4" t="s">
        <v>1185</v>
      </c>
      <c r="K72" s="4" t="s">
        <v>86</v>
      </c>
      <c r="L72" s="4">
        <v>97718</v>
      </c>
      <c r="M72" s="4">
        <v>97718</v>
      </c>
      <c r="N72" s="4">
        <v>6840</v>
      </c>
      <c r="O72" s="4">
        <v>2</v>
      </c>
      <c r="P72" s="4"/>
      <c r="Q72" s="2"/>
    </row>
    <row r="73" spans="1:17" hidden="1" x14ac:dyDescent="0.3">
      <c r="A73">
        <v>72</v>
      </c>
      <c r="C73" s="4" t="s">
        <v>268</v>
      </c>
      <c r="D73" s="4" t="s">
        <v>1520</v>
      </c>
      <c r="I73" s="4" t="s">
        <v>79</v>
      </c>
      <c r="J73" s="4" t="s">
        <v>214</v>
      </c>
      <c r="K73" s="4" t="s">
        <v>87</v>
      </c>
      <c r="L73" s="4">
        <v>10000</v>
      </c>
      <c r="M73" s="4">
        <v>10000</v>
      </c>
      <c r="N73" s="4">
        <v>700</v>
      </c>
      <c r="O73" s="4"/>
      <c r="P73" s="4"/>
      <c r="Q73" s="2"/>
    </row>
    <row r="74" spans="1:17" hidden="1" x14ac:dyDescent="0.3">
      <c r="A74">
        <v>73</v>
      </c>
      <c r="C74" s="4" t="s">
        <v>268</v>
      </c>
      <c r="D74" s="4" t="s">
        <v>1668</v>
      </c>
      <c r="I74" s="4" t="s">
        <v>79</v>
      </c>
      <c r="J74" s="4" t="s">
        <v>1185</v>
      </c>
      <c r="K74" s="4" t="s">
        <v>88</v>
      </c>
      <c r="L74" s="11">
        <f>M74-L75-L76</f>
        <v>74922</v>
      </c>
      <c r="M74" s="7">
        <v>127922</v>
      </c>
      <c r="N74" s="7">
        <v>8954</v>
      </c>
      <c r="O74" s="7">
        <v>4</v>
      </c>
      <c r="Q74" s="2"/>
    </row>
    <row r="75" spans="1:17" hidden="1" x14ac:dyDescent="0.3">
      <c r="A75">
        <v>74</v>
      </c>
      <c r="D75" s="4" t="s">
        <v>1668</v>
      </c>
      <c r="J75" s="4" t="s">
        <v>214</v>
      </c>
      <c r="K75" s="4" t="s">
        <v>32</v>
      </c>
      <c r="L75" s="11">
        <f>20*2500</f>
        <v>50000</v>
      </c>
      <c r="Q75" s="2"/>
    </row>
    <row r="76" spans="1:17" hidden="1" x14ac:dyDescent="0.3">
      <c r="A76">
        <v>75</v>
      </c>
      <c r="D76" s="4" t="s">
        <v>1668</v>
      </c>
      <c r="J76" s="4" t="s">
        <v>206</v>
      </c>
      <c r="K76" s="4" t="s">
        <v>89</v>
      </c>
      <c r="L76" s="11">
        <f>375*8</f>
        <v>3000</v>
      </c>
      <c r="Q76" s="2"/>
    </row>
    <row r="77" spans="1:17" hidden="1" x14ac:dyDescent="0.3">
      <c r="A77">
        <v>76</v>
      </c>
      <c r="C77" s="4" t="s">
        <v>268</v>
      </c>
      <c r="D77" s="4" t="s">
        <v>1630</v>
      </c>
      <c r="I77" s="4" t="s">
        <v>90</v>
      </c>
      <c r="J77" s="4" t="s">
        <v>214</v>
      </c>
      <c r="K77" s="4" t="s">
        <v>91</v>
      </c>
      <c r="L77" s="4">
        <v>13500</v>
      </c>
      <c r="M77" s="4">
        <v>13500</v>
      </c>
      <c r="N77" s="4">
        <v>945</v>
      </c>
      <c r="O77" s="4"/>
      <c r="P77" s="4"/>
      <c r="Q77" s="2"/>
    </row>
    <row r="78" spans="1:17" hidden="1" x14ac:dyDescent="0.3">
      <c r="A78">
        <v>77</v>
      </c>
      <c r="C78" s="4" t="s">
        <v>268</v>
      </c>
      <c r="D78" s="4" t="s">
        <v>1668</v>
      </c>
      <c r="I78" s="4" t="s">
        <v>95</v>
      </c>
      <c r="J78" s="4" t="s">
        <v>1185</v>
      </c>
      <c r="K78" s="4" t="s">
        <v>92</v>
      </c>
      <c r="L78" s="11">
        <f>9343*8+4</f>
        <v>74748</v>
      </c>
      <c r="M78" s="7">
        <v>118591</v>
      </c>
      <c r="N78" s="7">
        <v>8301</v>
      </c>
      <c r="O78" s="7">
        <v>2</v>
      </c>
      <c r="Q78" s="2"/>
    </row>
    <row r="79" spans="1:17" hidden="1" x14ac:dyDescent="0.3">
      <c r="A79">
        <v>78</v>
      </c>
      <c r="D79" s="4" t="s">
        <v>1668</v>
      </c>
      <c r="J79" s="4" t="s">
        <v>214</v>
      </c>
      <c r="K79" s="4" t="s">
        <v>93</v>
      </c>
      <c r="L79" s="11">
        <f>2500*16</f>
        <v>40000</v>
      </c>
      <c r="Q79" s="2"/>
    </row>
    <row r="80" spans="1:17" hidden="1" x14ac:dyDescent="0.3">
      <c r="A80">
        <v>79</v>
      </c>
      <c r="D80" s="4" t="s">
        <v>1668</v>
      </c>
      <c r="J80" s="4" t="s">
        <v>206</v>
      </c>
      <c r="K80" s="4" t="s">
        <v>94</v>
      </c>
      <c r="L80" s="11">
        <f>480*8+3</f>
        <v>3843</v>
      </c>
      <c r="Q80" s="2"/>
    </row>
    <row r="81" spans="1:17" hidden="1" x14ac:dyDescent="0.3">
      <c r="A81">
        <v>80</v>
      </c>
      <c r="C81" s="4" t="s">
        <v>268</v>
      </c>
      <c r="D81" s="4" t="s">
        <v>1668</v>
      </c>
      <c r="I81" s="4" t="s">
        <v>96</v>
      </c>
      <c r="J81" s="4" t="s">
        <v>1185</v>
      </c>
      <c r="K81" s="4" t="s">
        <v>97</v>
      </c>
      <c r="L81" s="11">
        <f>M81-L82-L83</f>
        <v>97827</v>
      </c>
      <c r="M81" s="7">
        <v>135867</v>
      </c>
      <c r="N81" s="7">
        <v>9510</v>
      </c>
      <c r="O81" s="7">
        <v>5</v>
      </c>
      <c r="Q81" s="2"/>
    </row>
    <row r="82" spans="1:17" hidden="1" x14ac:dyDescent="0.3">
      <c r="A82">
        <v>81</v>
      </c>
      <c r="D82" s="4" t="s">
        <v>1668</v>
      </c>
      <c r="J82" s="4" t="s">
        <v>214</v>
      </c>
      <c r="K82" s="4" t="s">
        <v>98</v>
      </c>
      <c r="L82" s="11">
        <f>14*2500</f>
        <v>35000</v>
      </c>
      <c r="Q82" s="2"/>
    </row>
    <row r="83" spans="1:17" hidden="1" x14ac:dyDescent="0.3">
      <c r="A83">
        <v>82</v>
      </c>
      <c r="D83" s="4" t="s">
        <v>1668</v>
      </c>
      <c r="J83" s="4" t="s">
        <v>206</v>
      </c>
      <c r="K83" s="4" t="s">
        <v>99</v>
      </c>
      <c r="L83" s="11">
        <f>380*8</f>
        <v>3040</v>
      </c>
      <c r="Q83" s="2"/>
    </row>
    <row r="84" spans="1:17" hidden="1" x14ac:dyDescent="0.3">
      <c r="A84">
        <v>83</v>
      </c>
      <c r="D84" s="4" t="s">
        <v>1593</v>
      </c>
      <c r="I84" s="4" t="s">
        <v>100</v>
      </c>
      <c r="J84" s="4" t="s">
        <v>1185</v>
      </c>
      <c r="K84" s="4" t="s">
        <v>101</v>
      </c>
      <c r="L84" s="11">
        <f>M84-L85-L86</f>
        <v>51048</v>
      </c>
      <c r="M84" s="7">
        <v>90208</v>
      </c>
      <c r="N84" s="7">
        <v>6314</v>
      </c>
      <c r="O84" s="7">
        <v>4</v>
      </c>
      <c r="Q84" s="2"/>
    </row>
    <row r="85" spans="1:17" hidden="1" x14ac:dyDescent="0.3">
      <c r="A85">
        <v>84</v>
      </c>
      <c r="D85" s="4" t="s">
        <v>1593</v>
      </c>
      <c r="J85" s="4" t="s">
        <v>1185</v>
      </c>
      <c r="K85" s="4" t="s">
        <v>305</v>
      </c>
      <c r="L85" s="11">
        <f>195*8</f>
        <v>1560</v>
      </c>
      <c r="Q85" s="2"/>
    </row>
    <row r="86" spans="1:17" hidden="1" x14ac:dyDescent="0.3">
      <c r="A86">
        <v>85</v>
      </c>
      <c r="D86" s="4" t="s">
        <v>1593</v>
      </c>
      <c r="J86" s="4" t="s">
        <v>214</v>
      </c>
      <c r="K86" s="4" t="s">
        <v>102</v>
      </c>
      <c r="L86" s="11">
        <v>37600</v>
      </c>
      <c r="Q86" s="2"/>
    </row>
    <row r="87" spans="1:17" hidden="1" x14ac:dyDescent="0.3">
      <c r="A87">
        <v>86</v>
      </c>
      <c r="D87" s="4" t="s">
        <v>1447</v>
      </c>
      <c r="I87" s="4" t="s">
        <v>103</v>
      </c>
      <c r="J87" s="4" t="s">
        <v>1185</v>
      </c>
      <c r="K87" s="4" t="s">
        <v>104</v>
      </c>
      <c r="L87" s="7">
        <f>M87-L88</f>
        <v>104392</v>
      </c>
      <c r="M87" s="7">
        <v>107792</v>
      </c>
      <c r="N87" s="7">
        <v>7545</v>
      </c>
      <c r="Q87" s="2"/>
    </row>
    <row r="88" spans="1:17" hidden="1" x14ac:dyDescent="0.3">
      <c r="A88">
        <v>87</v>
      </c>
      <c r="D88" s="4" t="s">
        <v>1447</v>
      </c>
      <c r="J88" s="4" t="s">
        <v>214</v>
      </c>
      <c r="K88" s="4" t="s">
        <v>105</v>
      </c>
      <c r="L88" s="7">
        <v>3400</v>
      </c>
      <c r="Q88" s="2"/>
    </row>
    <row r="89" spans="1:17" hidden="1" x14ac:dyDescent="0.3">
      <c r="A89">
        <v>88</v>
      </c>
      <c r="D89" s="4" t="s">
        <v>1357</v>
      </c>
      <c r="I89" s="4" t="s">
        <v>103</v>
      </c>
      <c r="J89" s="4" t="s">
        <v>1185</v>
      </c>
      <c r="K89" s="4" t="s">
        <v>106</v>
      </c>
      <c r="L89" s="4">
        <v>69294</v>
      </c>
      <c r="M89" s="4">
        <v>69294</v>
      </c>
      <c r="N89" s="4">
        <v>4850</v>
      </c>
      <c r="O89" s="4">
        <v>4</v>
      </c>
      <c r="P89" s="4"/>
      <c r="Q89" s="2"/>
    </row>
    <row r="90" spans="1:17" hidden="1" x14ac:dyDescent="0.3">
      <c r="A90">
        <v>89</v>
      </c>
      <c r="D90" s="4" t="s">
        <v>1623</v>
      </c>
      <c r="I90" s="4" t="s">
        <v>103</v>
      </c>
      <c r="J90" s="4" t="s">
        <v>1185</v>
      </c>
      <c r="K90" s="4" t="s">
        <v>107</v>
      </c>
      <c r="L90" s="11">
        <f>1968*8</f>
        <v>15744</v>
      </c>
      <c r="M90" s="7">
        <v>22796</v>
      </c>
      <c r="N90" s="7">
        <v>1595</v>
      </c>
      <c r="O90" s="7">
        <v>6</v>
      </c>
      <c r="Q90" s="2"/>
    </row>
    <row r="91" spans="1:17" hidden="1" x14ac:dyDescent="0.3">
      <c r="A91">
        <v>90</v>
      </c>
      <c r="D91" s="4" t="s">
        <v>1623</v>
      </c>
      <c r="J91" s="4" t="s">
        <v>1185</v>
      </c>
      <c r="K91" s="4" t="s">
        <v>293</v>
      </c>
      <c r="L91" s="11">
        <f>M90-L90-L92</f>
        <v>5452</v>
      </c>
      <c r="Q91" s="2"/>
    </row>
    <row r="92" spans="1:17" hidden="1" x14ac:dyDescent="0.3">
      <c r="A92">
        <v>91</v>
      </c>
      <c r="D92" s="4" t="s">
        <v>1623</v>
      </c>
      <c r="J92" s="4" t="s">
        <v>206</v>
      </c>
      <c r="K92" s="4" t="s">
        <v>108</v>
      </c>
      <c r="L92" s="11">
        <v>1600</v>
      </c>
      <c r="Q92" s="2"/>
    </row>
    <row r="93" spans="1:17" hidden="1" x14ac:dyDescent="0.3">
      <c r="A93">
        <v>92</v>
      </c>
      <c r="D93" s="4" t="s">
        <v>1628</v>
      </c>
      <c r="I93" s="4" t="s">
        <v>103</v>
      </c>
      <c r="J93" s="4" t="s">
        <v>1185</v>
      </c>
      <c r="K93" s="4" t="s">
        <v>109</v>
      </c>
      <c r="L93" s="11">
        <f>1810*8</f>
        <v>14480</v>
      </c>
      <c r="M93" s="7">
        <v>14548</v>
      </c>
      <c r="N93" s="7">
        <v>1018</v>
      </c>
      <c r="O93" s="7">
        <v>3</v>
      </c>
      <c r="Q93" s="2"/>
    </row>
    <row r="94" spans="1:17" hidden="1" x14ac:dyDescent="0.3">
      <c r="A94">
        <v>93</v>
      </c>
      <c r="D94" s="4" t="s">
        <v>1628</v>
      </c>
      <c r="J94" s="4" t="s">
        <v>214</v>
      </c>
      <c r="K94" s="4" t="s">
        <v>110</v>
      </c>
      <c r="L94" s="11">
        <f>M93-L93</f>
        <v>68</v>
      </c>
      <c r="Q94" s="2"/>
    </row>
    <row r="95" spans="1:17" hidden="1" x14ac:dyDescent="0.3">
      <c r="A95">
        <v>94</v>
      </c>
      <c r="D95" s="4" t="s">
        <v>1371</v>
      </c>
      <c r="I95" s="4" t="s">
        <v>103</v>
      </c>
      <c r="J95" s="4" t="s">
        <v>1185</v>
      </c>
      <c r="K95" s="4" t="s">
        <v>111</v>
      </c>
      <c r="L95" s="11">
        <f>1222*8+2</f>
        <v>9778</v>
      </c>
      <c r="M95" s="7">
        <v>12518</v>
      </c>
      <c r="N95" s="7">
        <v>876</v>
      </c>
      <c r="O95" s="7">
        <v>3</v>
      </c>
      <c r="Q95" s="2"/>
    </row>
    <row r="96" spans="1:17" hidden="1" x14ac:dyDescent="0.3">
      <c r="A96">
        <v>95</v>
      </c>
      <c r="D96" s="4" t="s">
        <v>1371</v>
      </c>
      <c r="J96" s="4" t="s">
        <v>214</v>
      </c>
      <c r="K96" s="4" t="s">
        <v>112</v>
      </c>
      <c r="L96" s="11">
        <v>2500</v>
      </c>
      <c r="Q96" s="2"/>
    </row>
    <row r="97" spans="1:17" hidden="1" x14ac:dyDescent="0.3">
      <c r="A97">
        <v>96</v>
      </c>
      <c r="D97" s="4" t="s">
        <v>1371</v>
      </c>
      <c r="J97" s="4" t="s">
        <v>206</v>
      </c>
      <c r="K97" s="4" t="s">
        <v>113</v>
      </c>
      <c r="L97" s="11">
        <f>30*8</f>
        <v>240</v>
      </c>
      <c r="Q97" s="2"/>
    </row>
    <row r="98" spans="1:17" hidden="1" x14ac:dyDescent="0.3">
      <c r="A98">
        <v>97</v>
      </c>
      <c r="D98" s="4" t="s">
        <v>1492</v>
      </c>
      <c r="I98" s="4" t="s">
        <v>103</v>
      </c>
      <c r="J98" s="4" t="s">
        <v>214</v>
      </c>
      <c r="K98" s="4" t="s">
        <v>114</v>
      </c>
      <c r="L98" s="11">
        <v>5000</v>
      </c>
      <c r="M98" s="7">
        <v>6000</v>
      </c>
      <c r="N98" s="7">
        <v>420</v>
      </c>
      <c r="Q98" s="2"/>
    </row>
    <row r="99" spans="1:17" hidden="1" x14ac:dyDescent="0.3">
      <c r="A99">
        <v>98</v>
      </c>
      <c r="D99" s="4" t="s">
        <v>1492</v>
      </c>
      <c r="J99" s="4" t="s">
        <v>214</v>
      </c>
      <c r="K99" s="4" t="s">
        <v>115</v>
      </c>
      <c r="L99" s="11">
        <v>1000</v>
      </c>
      <c r="Q99" s="2"/>
    </row>
    <row r="100" spans="1:17" hidden="1" x14ac:dyDescent="0.3">
      <c r="A100">
        <v>99</v>
      </c>
      <c r="C100" s="4" t="s">
        <v>270</v>
      </c>
      <c r="D100" s="4" t="s">
        <v>1520</v>
      </c>
      <c r="I100" s="4" t="s">
        <v>103</v>
      </c>
      <c r="J100" s="4" t="s">
        <v>214</v>
      </c>
      <c r="K100" s="4" t="s">
        <v>116</v>
      </c>
      <c r="L100" s="4">
        <v>12500</v>
      </c>
      <c r="M100" s="4">
        <v>12500</v>
      </c>
      <c r="N100" s="4">
        <v>875</v>
      </c>
      <c r="O100" s="4"/>
      <c r="P100" s="4"/>
      <c r="Q100" s="2"/>
    </row>
    <row r="101" spans="1:17" hidden="1" x14ac:dyDescent="0.3">
      <c r="A101">
        <v>100</v>
      </c>
      <c r="C101" s="4" t="s">
        <v>270</v>
      </c>
      <c r="D101" s="4" t="s">
        <v>1519</v>
      </c>
      <c r="I101" s="4" t="s">
        <v>117</v>
      </c>
      <c r="J101" s="4" t="s">
        <v>1185</v>
      </c>
      <c r="K101" s="4" t="s">
        <v>118</v>
      </c>
      <c r="L101" s="4">
        <v>131943</v>
      </c>
      <c r="M101" s="4">
        <v>131943</v>
      </c>
      <c r="N101" s="4">
        <v>9236</v>
      </c>
      <c r="O101" s="4"/>
      <c r="P101" s="4"/>
      <c r="Q101" s="2"/>
    </row>
    <row r="102" spans="1:17" hidden="1" x14ac:dyDescent="0.3">
      <c r="A102">
        <v>101</v>
      </c>
      <c r="D102" s="4" t="s">
        <v>1529</v>
      </c>
      <c r="I102" s="4" t="s">
        <v>117</v>
      </c>
      <c r="J102" s="4" t="s">
        <v>1185</v>
      </c>
      <c r="K102" s="4" t="s">
        <v>119</v>
      </c>
      <c r="L102" s="11">
        <f>M102-L103-L104-L105</f>
        <v>81357</v>
      </c>
      <c r="M102" s="7">
        <v>132581</v>
      </c>
      <c r="N102" s="7">
        <v>9280</v>
      </c>
      <c r="O102" s="7">
        <v>5</v>
      </c>
      <c r="Q102" s="2"/>
    </row>
    <row r="103" spans="1:17" hidden="1" x14ac:dyDescent="0.3">
      <c r="A103">
        <v>102</v>
      </c>
      <c r="D103" s="4" t="s">
        <v>1529</v>
      </c>
      <c r="J103" s="4" t="s">
        <v>214</v>
      </c>
      <c r="K103" s="4" t="s">
        <v>120</v>
      </c>
      <c r="L103" s="11">
        <f>2500*17</f>
        <v>42500</v>
      </c>
      <c r="Q103" s="2"/>
    </row>
    <row r="104" spans="1:17" hidden="1" x14ac:dyDescent="0.3">
      <c r="A104">
        <v>103</v>
      </c>
      <c r="D104" s="4" t="s">
        <v>1529</v>
      </c>
      <c r="J104" s="4" t="s">
        <v>214</v>
      </c>
      <c r="K104" s="4" t="s">
        <v>70</v>
      </c>
      <c r="L104" s="11">
        <v>500</v>
      </c>
      <c r="Q104" s="2"/>
    </row>
    <row r="105" spans="1:17" hidden="1" x14ac:dyDescent="0.3">
      <c r="A105">
        <v>104</v>
      </c>
      <c r="D105" s="4" t="s">
        <v>1529</v>
      </c>
      <c r="J105" s="4" t="s">
        <v>206</v>
      </c>
      <c r="K105" s="4" t="s">
        <v>121</v>
      </c>
      <c r="L105" s="11">
        <f>1028*8</f>
        <v>8224</v>
      </c>
      <c r="Q105" s="2"/>
    </row>
    <row r="106" spans="1:17" hidden="1" x14ac:dyDescent="0.3">
      <c r="A106">
        <v>105</v>
      </c>
      <c r="B106" s="4" t="s">
        <v>122</v>
      </c>
      <c r="D106" s="4" t="s">
        <v>1456</v>
      </c>
      <c r="I106" s="4" t="s">
        <v>123</v>
      </c>
      <c r="J106" s="4" t="s">
        <v>214</v>
      </c>
      <c r="K106" s="4" t="s">
        <v>85</v>
      </c>
      <c r="L106" s="4">
        <v>1000</v>
      </c>
      <c r="M106" s="4">
        <v>1000</v>
      </c>
      <c r="N106" s="4">
        <v>70</v>
      </c>
      <c r="O106" s="4"/>
      <c r="P106" s="4"/>
      <c r="Q106" s="2"/>
    </row>
    <row r="107" spans="1:17" hidden="1" x14ac:dyDescent="0.3">
      <c r="A107">
        <v>106</v>
      </c>
      <c r="D107" s="4" t="s">
        <v>1641</v>
      </c>
      <c r="I107" s="4" t="s">
        <v>123</v>
      </c>
      <c r="J107" s="4" t="s">
        <v>214</v>
      </c>
      <c r="K107" s="4" t="s">
        <v>124</v>
      </c>
      <c r="L107" s="11">
        <v>300</v>
      </c>
      <c r="M107" s="7">
        <v>540</v>
      </c>
      <c r="N107" s="7">
        <v>37</v>
      </c>
      <c r="O107" s="7">
        <v>6</v>
      </c>
      <c r="Q107" s="2"/>
    </row>
    <row r="108" spans="1:17" hidden="1" x14ac:dyDescent="0.3">
      <c r="A108">
        <v>107</v>
      </c>
      <c r="D108" s="4" t="s">
        <v>1641</v>
      </c>
      <c r="J108" s="4" t="s">
        <v>206</v>
      </c>
      <c r="K108" s="4" t="s">
        <v>113</v>
      </c>
      <c r="L108" s="11">
        <v>240</v>
      </c>
      <c r="Q108" s="2"/>
    </row>
    <row r="109" spans="1:17" hidden="1" x14ac:dyDescent="0.3">
      <c r="A109">
        <v>108</v>
      </c>
      <c r="C109" s="4" t="s">
        <v>268</v>
      </c>
      <c r="D109" s="4" t="s">
        <v>1568</v>
      </c>
      <c r="I109" s="4" t="s">
        <v>123</v>
      </c>
      <c r="J109" s="4" t="s">
        <v>1185</v>
      </c>
      <c r="K109" s="4" t="s">
        <v>125</v>
      </c>
      <c r="L109" s="11">
        <f>M109-L110</f>
        <v>52019</v>
      </c>
      <c r="M109" s="7">
        <v>97019</v>
      </c>
      <c r="N109" s="7">
        <v>6791</v>
      </c>
      <c r="O109" s="7">
        <v>3</v>
      </c>
      <c r="Q109" s="2"/>
    </row>
    <row r="110" spans="1:17" hidden="1" x14ac:dyDescent="0.3">
      <c r="A110">
        <v>109</v>
      </c>
      <c r="D110" s="4" t="s">
        <v>1568</v>
      </c>
      <c r="J110" s="4" t="s">
        <v>214</v>
      </c>
      <c r="K110" s="4" t="s">
        <v>126</v>
      </c>
      <c r="L110" s="11">
        <f>18*2500</f>
        <v>45000</v>
      </c>
      <c r="Q110" s="2"/>
    </row>
    <row r="111" spans="1:17" hidden="1" x14ac:dyDescent="0.3">
      <c r="A111">
        <v>110</v>
      </c>
      <c r="D111" s="4" t="s">
        <v>1568</v>
      </c>
      <c r="I111" s="4" t="s">
        <v>123</v>
      </c>
      <c r="J111" s="4" t="s">
        <v>1185</v>
      </c>
      <c r="K111" s="4" t="s">
        <v>127</v>
      </c>
      <c r="L111" s="11">
        <f>8221*8</f>
        <v>65768</v>
      </c>
      <c r="M111" s="7">
        <v>130136</v>
      </c>
      <c r="N111" s="7">
        <v>9109</v>
      </c>
      <c r="O111" s="7">
        <v>4</v>
      </c>
      <c r="Q111" s="2"/>
    </row>
    <row r="112" spans="1:17" hidden="1" x14ac:dyDescent="0.3">
      <c r="A112">
        <v>111</v>
      </c>
      <c r="D112" s="4" t="s">
        <v>1568</v>
      </c>
      <c r="J112" s="4" t="s">
        <v>1185</v>
      </c>
      <c r="K112" s="4" t="s">
        <v>294</v>
      </c>
      <c r="L112" s="11">
        <f>624*7</f>
        <v>4368</v>
      </c>
      <c r="Q112" s="2"/>
    </row>
    <row r="113" spans="1:17" hidden="1" x14ac:dyDescent="0.3">
      <c r="A113">
        <v>112</v>
      </c>
      <c r="D113" s="4" t="s">
        <v>1568</v>
      </c>
      <c r="J113" s="4" t="s">
        <v>214</v>
      </c>
      <c r="K113" s="4" t="s">
        <v>128</v>
      </c>
      <c r="L113" s="11">
        <f>2500*24</f>
        <v>60000</v>
      </c>
      <c r="Q113" s="2"/>
    </row>
    <row r="114" spans="1:17" hidden="1" x14ac:dyDescent="0.3">
      <c r="A114">
        <v>113</v>
      </c>
      <c r="D114" s="4" t="s">
        <v>1447</v>
      </c>
      <c r="I114" s="4" t="s">
        <v>123</v>
      </c>
      <c r="J114" s="4" t="s">
        <v>1185</v>
      </c>
      <c r="K114" s="4" t="s">
        <v>129</v>
      </c>
      <c r="L114" s="11">
        <f>6069*8</f>
        <v>48552</v>
      </c>
      <c r="M114" s="7">
        <v>62152</v>
      </c>
      <c r="N114" s="7">
        <v>4350</v>
      </c>
      <c r="O114" s="7">
        <v>5</v>
      </c>
      <c r="Q114" s="2"/>
    </row>
    <row r="115" spans="1:17" hidden="1" x14ac:dyDescent="0.3">
      <c r="A115">
        <v>114</v>
      </c>
      <c r="D115" s="4" t="s">
        <v>1447</v>
      </c>
      <c r="J115" s="4" t="s">
        <v>214</v>
      </c>
      <c r="K115" s="4" t="s">
        <v>130</v>
      </c>
      <c r="L115" s="11">
        <f>4*3400</f>
        <v>13600</v>
      </c>
      <c r="Q115" s="2"/>
    </row>
    <row r="116" spans="1:17" hidden="1" x14ac:dyDescent="0.3">
      <c r="A116">
        <v>115</v>
      </c>
      <c r="C116" s="4" t="s">
        <v>270</v>
      </c>
      <c r="D116" s="4" t="s">
        <v>1519</v>
      </c>
      <c r="I116" s="4" t="s">
        <v>131</v>
      </c>
      <c r="J116" s="4" t="s">
        <v>1185</v>
      </c>
      <c r="K116" s="4" t="s">
        <v>132</v>
      </c>
      <c r="L116" s="11">
        <f>8823*8+4</f>
        <v>70588</v>
      </c>
      <c r="M116" s="7">
        <v>122188</v>
      </c>
      <c r="N116" s="7">
        <v>8553</v>
      </c>
      <c r="O116" s="4"/>
      <c r="P116" s="4"/>
      <c r="Q116" s="2"/>
    </row>
    <row r="117" spans="1:17" hidden="1" x14ac:dyDescent="0.3">
      <c r="A117">
        <v>116</v>
      </c>
      <c r="D117" s="4" t="s">
        <v>1519</v>
      </c>
      <c r="J117" s="4" t="s">
        <v>206</v>
      </c>
      <c r="K117" s="4" t="s">
        <v>133</v>
      </c>
      <c r="L117" s="11">
        <f>2400*8</f>
        <v>19200</v>
      </c>
      <c r="O117" s="4"/>
      <c r="P117" s="4"/>
      <c r="Q117" s="2"/>
    </row>
    <row r="118" spans="1:17" hidden="1" x14ac:dyDescent="0.3">
      <c r="A118">
        <v>117</v>
      </c>
      <c r="D118" s="4" t="s">
        <v>1519</v>
      </c>
      <c r="J118" s="4" t="s">
        <v>214</v>
      </c>
      <c r="K118" s="4" t="s">
        <v>134</v>
      </c>
      <c r="L118" s="11">
        <f>2700*12</f>
        <v>32400</v>
      </c>
      <c r="O118" s="4"/>
      <c r="P118" s="4"/>
      <c r="Q118" s="2"/>
    </row>
    <row r="119" spans="1:17" hidden="1" x14ac:dyDescent="0.3">
      <c r="A119">
        <v>118</v>
      </c>
      <c r="D119" s="4" t="s">
        <v>1387</v>
      </c>
      <c r="I119" s="4" t="s">
        <v>131</v>
      </c>
      <c r="J119" s="4" t="s">
        <v>214</v>
      </c>
      <c r="K119" s="4" t="s">
        <v>15</v>
      </c>
      <c r="L119" s="4">
        <v>1020</v>
      </c>
      <c r="M119" s="4">
        <v>1020</v>
      </c>
      <c r="N119" s="4">
        <v>71</v>
      </c>
      <c r="O119" s="4">
        <v>3</v>
      </c>
      <c r="P119" s="4"/>
      <c r="Q119" s="2"/>
    </row>
    <row r="120" spans="1:17" hidden="1" x14ac:dyDescent="0.3">
      <c r="A120">
        <v>119</v>
      </c>
      <c r="D120" s="4" t="s">
        <v>1504</v>
      </c>
      <c r="I120" s="4" t="s">
        <v>131</v>
      </c>
      <c r="J120" s="4" t="s">
        <v>214</v>
      </c>
      <c r="K120" s="4" t="s">
        <v>15</v>
      </c>
      <c r="L120" s="4">
        <v>1458</v>
      </c>
      <c r="M120" s="4">
        <v>1458</v>
      </c>
      <c r="N120" s="4">
        <v>102</v>
      </c>
      <c r="O120" s="4"/>
      <c r="P120" s="4"/>
      <c r="Q120" s="2"/>
    </row>
    <row r="121" spans="1:17" hidden="1" x14ac:dyDescent="0.3">
      <c r="A121">
        <v>120</v>
      </c>
      <c r="D121" s="4" t="s">
        <v>1508</v>
      </c>
      <c r="I121" s="4" t="s">
        <v>131</v>
      </c>
      <c r="J121" s="4" t="s">
        <v>1185</v>
      </c>
      <c r="K121" s="4" t="s">
        <v>135</v>
      </c>
      <c r="L121" s="7">
        <f>290*8+7</f>
        <v>2327</v>
      </c>
      <c r="M121" s="7">
        <v>9027</v>
      </c>
      <c r="N121" s="7">
        <v>631</v>
      </c>
      <c r="O121" s="4"/>
      <c r="P121" s="4"/>
      <c r="Q121" s="2"/>
    </row>
    <row r="122" spans="1:17" hidden="1" x14ac:dyDescent="0.3">
      <c r="A122">
        <v>121</v>
      </c>
      <c r="D122" s="4" t="s">
        <v>1508</v>
      </c>
      <c r="J122" s="4" t="s">
        <v>214</v>
      </c>
      <c r="K122" s="4" t="s">
        <v>241</v>
      </c>
      <c r="L122" s="7">
        <f>5400</f>
        <v>5400</v>
      </c>
      <c r="O122" s="4"/>
      <c r="P122" s="4"/>
      <c r="Q122" s="2"/>
    </row>
    <row r="123" spans="1:17" hidden="1" x14ac:dyDescent="0.3">
      <c r="A123">
        <v>122</v>
      </c>
      <c r="D123" s="4" t="s">
        <v>1508</v>
      </c>
      <c r="J123" s="4" t="s">
        <v>214</v>
      </c>
      <c r="K123" s="4" t="s">
        <v>136</v>
      </c>
      <c r="L123" s="7">
        <v>1300</v>
      </c>
      <c r="O123" s="4"/>
      <c r="P123" s="4"/>
      <c r="Q123" s="2"/>
    </row>
    <row r="124" spans="1:17" hidden="1" x14ac:dyDescent="0.3">
      <c r="A124">
        <v>123</v>
      </c>
      <c r="D124" s="4" t="s">
        <v>1347</v>
      </c>
      <c r="I124" s="4" t="s">
        <v>131</v>
      </c>
      <c r="J124" s="4" t="s">
        <v>214</v>
      </c>
      <c r="K124" s="4" t="s">
        <v>137</v>
      </c>
      <c r="L124" s="4">
        <v>18700</v>
      </c>
      <c r="M124" s="4">
        <v>18700</v>
      </c>
      <c r="N124" s="4">
        <v>1309</v>
      </c>
      <c r="O124" s="4"/>
      <c r="P124" s="4"/>
      <c r="Q124" s="2"/>
    </row>
    <row r="125" spans="1:17" hidden="1" x14ac:dyDescent="0.3">
      <c r="A125">
        <v>124</v>
      </c>
      <c r="D125" s="4" t="s">
        <v>1392</v>
      </c>
      <c r="I125" s="4" t="s">
        <v>131</v>
      </c>
      <c r="J125" s="4" t="s">
        <v>1185</v>
      </c>
      <c r="K125" s="4" t="s">
        <v>138</v>
      </c>
      <c r="L125" s="11">
        <f>2835*8+7</f>
        <v>22687</v>
      </c>
      <c r="M125" s="7">
        <v>27907</v>
      </c>
      <c r="N125" s="7">
        <v>1953</v>
      </c>
      <c r="O125" s="7">
        <v>4</v>
      </c>
      <c r="Q125" s="2"/>
    </row>
    <row r="126" spans="1:17" hidden="1" x14ac:dyDescent="0.3">
      <c r="A126">
        <v>125</v>
      </c>
      <c r="D126" s="4" t="s">
        <v>1392</v>
      </c>
      <c r="J126" s="4" t="s">
        <v>214</v>
      </c>
      <c r="K126" s="4" t="s">
        <v>139</v>
      </c>
      <c r="L126" s="11">
        <v>2700</v>
      </c>
      <c r="Q126" s="2"/>
    </row>
    <row r="127" spans="1:17" hidden="1" x14ac:dyDescent="0.3">
      <c r="A127">
        <v>126</v>
      </c>
      <c r="D127" s="4" t="s">
        <v>1392</v>
      </c>
      <c r="J127" s="4" t="s">
        <v>206</v>
      </c>
      <c r="K127" s="4" t="s">
        <v>140</v>
      </c>
      <c r="L127" s="11">
        <f>190*8</f>
        <v>1520</v>
      </c>
      <c r="Q127" s="2"/>
    </row>
    <row r="128" spans="1:17" hidden="1" x14ac:dyDescent="0.3">
      <c r="A128">
        <v>127</v>
      </c>
      <c r="D128" s="4" t="s">
        <v>1392</v>
      </c>
      <c r="J128" s="4" t="s">
        <v>214</v>
      </c>
      <c r="K128" s="4" t="s">
        <v>141</v>
      </c>
      <c r="L128" s="11">
        <v>1000</v>
      </c>
      <c r="Q128" s="2"/>
    </row>
    <row r="129" spans="1:17" ht="28.8" hidden="1" x14ac:dyDescent="0.3">
      <c r="A129">
        <v>128</v>
      </c>
      <c r="B129" s="4" t="s">
        <v>165</v>
      </c>
      <c r="D129" s="4" t="s">
        <v>1273</v>
      </c>
      <c r="I129" s="4" t="s">
        <v>131</v>
      </c>
      <c r="J129" s="4" t="s">
        <v>1185</v>
      </c>
      <c r="K129" s="5" t="s">
        <v>306</v>
      </c>
      <c r="L129" s="11">
        <f>M129-L130-L131</f>
        <v>31331</v>
      </c>
      <c r="M129" s="7">
        <v>73631</v>
      </c>
      <c r="N129" s="7">
        <v>5154</v>
      </c>
      <c r="Q129" s="2"/>
    </row>
    <row r="130" spans="1:17" hidden="1" x14ac:dyDescent="0.3">
      <c r="A130">
        <v>129</v>
      </c>
      <c r="D130" s="4" t="s">
        <v>1273</v>
      </c>
      <c r="J130" s="4" t="s">
        <v>214</v>
      </c>
      <c r="K130" s="4" t="s">
        <v>142</v>
      </c>
      <c r="L130" s="11">
        <f>13*2700</f>
        <v>35100</v>
      </c>
      <c r="Q130" s="2"/>
    </row>
    <row r="131" spans="1:17" hidden="1" x14ac:dyDescent="0.3">
      <c r="A131">
        <v>130</v>
      </c>
      <c r="D131" s="4" t="s">
        <v>1273</v>
      </c>
      <c r="J131" s="4" t="s">
        <v>206</v>
      </c>
      <c r="K131" s="4" t="s">
        <v>143</v>
      </c>
      <c r="L131" s="11">
        <f>900*8</f>
        <v>7200</v>
      </c>
      <c r="Q131" s="2"/>
    </row>
    <row r="132" spans="1:17" hidden="1" x14ac:dyDescent="0.3">
      <c r="A132">
        <v>131</v>
      </c>
      <c r="D132" s="4" t="s">
        <v>1267</v>
      </c>
      <c r="I132" s="4" t="s">
        <v>131</v>
      </c>
      <c r="J132" s="4" t="s">
        <v>1185</v>
      </c>
      <c r="K132" s="4" t="s">
        <v>144</v>
      </c>
      <c r="L132" s="11">
        <f>M132-L133-L134-L135</f>
        <v>78168</v>
      </c>
      <c r="M132" s="7">
        <v>113418</v>
      </c>
      <c r="N132" s="7">
        <v>7939</v>
      </c>
      <c r="O132" s="7">
        <v>2</v>
      </c>
      <c r="Q132" s="2"/>
    </row>
    <row r="133" spans="1:17" hidden="1" x14ac:dyDescent="0.3">
      <c r="A133">
        <v>132</v>
      </c>
      <c r="D133" s="4" t="s">
        <v>1267</v>
      </c>
      <c r="J133" s="4" t="s">
        <v>1185</v>
      </c>
      <c r="K133" s="4" t="s">
        <v>295</v>
      </c>
      <c r="L133" s="11">
        <f>1230*7</f>
        <v>8610</v>
      </c>
      <c r="Q133" s="2"/>
    </row>
    <row r="134" spans="1:17" hidden="1" x14ac:dyDescent="0.3">
      <c r="A134">
        <v>133</v>
      </c>
      <c r="D134" s="4" t="s">
        <v>1267</v>
      </c>
      <c r="J134" s="4" t="s">
        <v>214</v>
      </c>
      <c r="K134" s="4" t="s">
        <v>146</v>
      </c>
      <c r="L134" s="11">
        <f>2500*8</f>
        <v>20000</v>
      </c>
      <c r="Q134" s="2"/>
    </row>
    <row r="135" spans="1:17" hidden="1" x14ac:dyDescent="0.3">
      <c r="A135">
        <v>134</v>
      </c>
      <c r="D135" s="4" t="s">
        <v>1267</v>
      </c>
      <c r="J135" s="4" t="s">
        <v>206</v>
      </c>
      <c r="K135" s="4" t="s">
        <v>147</v>
      </c>
      <c r="L135" s="11">
        <f>830*8</f>
        <v>6640</v>
      </c>
      <c r="Q135" s="2"/>
    </row>
    <row r="136" spans="1:17" hidden="1" x14ac:dyDescent="0.3">
      <c r="A136">
        <v>135</v>
      </c>
      <c r="D136" s="4" t="s">
        <v>1488</v>
      </c>
      <c r="I136" s="4" t="s">
        <v>148</v>
      </c>
      <c r="J136" s="4" t="s">
        <v>214</v>
      </c>
      <c r="K136" s="4" t="s">
        <v>149</v>
      </c>
      <c r="L136" s="4">
        <v>55000</v>
      </c>
      <c r="M136" s="4">
        <v>55000</v>
      </c>
      <c r="N136" s="4">
        <v>3850</v>
      </c>
      <c r="O136" s="4"/>
      <c r="P136" s="4"/>
      <c r="Q136" s="2"/>
    </row>
    <row r="137" spans="1:17" hidden="1" x14ac:dyDescent="0.3">
      <c r="A137">
        <v>136</v>
      </c>
      <c r="D137" s="4" t="s">
        <v>1593</v>
      </c>
      <c r="I137" s="4" t="s">
        <v>148</v>
      </c>
      <c r="J137" s="4" t="s">
        <v>1185</v>
      </c>
      <c r="K137" s="4" t="s">
        <v>296</v>
      </c>
      <c r="L137" s="11">
        <f>1502*7</f>
        <v>10514</v>
      </c>
      <c r="M137" s="7">
        <v>26467</v>
      </c>
      <c r="N137" s="7">
        <v>1852</v>
      </c>
      <c r="O137" s="7">
        <v>6</v>
      </c>
      <c r="Q137" s="2"/>
    </row>
    <row r="138" spans="1:17" hidden="1" x14ac:dyDescent="0.3">
      <c r="A138">
        <v>137</v>
      </c>
      <c r="D138" s="4" t="s">
        <v>1593</v>
      </c>
      <c r="J138" s="4" t="s">
        <v>214</v>
      </c>
      <c r="K138" s="4" t="s">
        <v>150</v>
      </c>
      <c r="L138" s="11">
        <v>15800</v>
      </c>
      <c r="Q138" s="2"/>
    </row>
    <row r="139" spans="1:17" hidden="1" x14ac:dyDescent="0.3">
      <c r="A139">
        <v>138</v>
      </c>
      <c r="D139" s="4" t="s">
        <v>1593</v>
      </c>
      <c r="J139" s="4" t="s">
        <v>1649</v>
      </c>
      <c r="K139" s="4" t="s">
        <v>151</v>
      </c>
      <c r="L139" s="11">
        <f>M137-L138-L137</f>
        <v>153</v>
      </c>
      <c r="Q139" s="2"/>
    </row>
    <row r="140" spans="1:17" hidden="1" x14ac:dyDescent="0.3">
      <c r="A140">
        <v>139</v>
      </c>
      <c r="D140" s="4" t="s">
        <v>1540</v>
      </c>
      <c r="I140" s="4" t="s">
        <v>152</v>
      </c>
      <c r="J140" s="4" t="s">
        <v>1185</v>
      </c>
      <c r="K140" s="4" t="s">
        <v>153</v>
      </c>
      <c r="L140" s="11">
        <f>10715*8+7</f>
        <v>85727</v>
      </c>
      <c r="M140" s="7">
        <v>121927</v>
      </c>
      <c r="N140" s="7">
        <v>8534</v>
      </c>
      <c r="O140" s="7">
        <v>7</v>
      </c>
      <c r="Q140" s="2"/>
    </row>
    <row r="141" spans="1:17" hidden="1" x14ac:dyDescent="0.3">
      <c r="A141">
        <v>140</v>
      </c>
      <c r="D141" s="4" t="s">
        <v>1540</v>
      </c>
      <c r="J141" s="4" t="s">
        <v>206</v>
      </c>
      <c r="K141" s="4" t="s">
        <v>154</v>
      </c>
      <c r="L141" s="11">
        <f>M140-L140</f>
        <v>36200</v>
      </c>
      <c r="Q141" s="2"/>
    </row>
    <row r="142" spans="1:17" hidden="1" x14ac:dyDescent="0.3">
      <c r="A142">
        <v>141</v>
      </c>
      <c r="D142" s="4" t="s">
        <v>1461</v>
      </c>
      <c r="I142" s="4" t="s">
        <v>152</v>
      </c>
      <c r="J142" s="4" t="s">
        <v>1185</v>
      </c>
      <c r="K142" s="4" t="s">
        <v>155</v>
      </c>
      <c r="L142" s="11">
        <f>8416*8</f>
        <v>67328</v>
      </c>
      <c r="M142" s="7">
        <v>73726</v>
      </c>
      <c r="N142" s="7">
        <v>5160</v>
      </c>
      <c r="O142" s="7">
        <v>6</v>
      </c>
      <c r="Q142" s="2"/>
    </row>
    <row r="143" spans="1:17" hidden="1" x14ac:dyDescent="0.3">
      <c r="A143">
        <v>142</v>
      </c>
      <c r="D143" s="4" t="s">
        <v>1461</v>
      </c>
      <c r="J143" s="4" t="s">
        <v>1185</v>
      </c>
      <c r="K143" s="4" t="s">
        <v>297</v>
      </c>
      <c r="L143" s="11">
        <f>914*7</f>
        <v>6398</v>
      </c>
      <c r="Q143" s="2"/>
    </row>
    <row r="144" spans="1:17" hidden="1" x14ac:dyDescent="0.3">
      <c r="A144">
        <v>143</v>
      </c>
      <c r="C144" s="4" t="s">
        <v>270</v>
      </c>
      <c r="D144" s="4" t="s">
        <v>1519</v>
      </c>
      <c r="I144" s="4" t="s">
        <v>156</v>
      </c>
      <c r="J144" s="4" t="s">
        <v>1185</v>
      </c>
      <c r="K144" s="4" t="s">
        <v>157</v>
      </c>
      <c r="L144" s="11">
        <f>M144-L145-L147-L146</f>
        <v>56440</v>
      </c>
      <c r="M144" s="7">
        <v>119670</v>
      </c>
      <c r="N144" s="7">
        <v>8377</v>
      </c>
      <c r="Q144" s="2"/>
    </row>
    <row r="145" spans="1:17" hidden="1" x14ac:dyDescent="0.3">
      <c r="A145">
        <v>144</v>
      </c>
      <c r="D145" s="4" t="s">
        <v>1519</v>
      </c>
      <c r="J145" s="4" t="s">
        <v>1185</v>
      </c>
      <c r="K145" s="4" t="s">
        <v>298</v>
      </c>
      <c r="L145" s="11">
        <f>1790*7</f>
        <v>12530</v>
      </c>
      <c r="Q145" s="2"/>
    </row>
    <row r="146" spans="1:17" hidden="1" x14ac:dyDescent="0.3">
      <c r="A146">
        <v>145</v>
      </c>
      <c r="D146" s="4" t="s">
        <v>1519</v>
      </c>
      <c r="J146" s="4" t="s">
        <v>206</v>
      </c>
      <c r="K146" s="4" t="s">
        <v>158</v>
      </c>
      <c r="L146" s="11">
        <f>2400*8</f>
        <v>19200</v>
      </c>
      <c r="Q146" s="2"/>
    </row>
    <row r="147" spans="1:17" hidden="1" x14ac:dyDescent="0.3">
      <c r="A147">
        <v>146</v>
      </c>
      <c r="D147" s="4" t="s">
        <v>1519</v>
      </c>
      <c r="J147" s="4" t="s">
        <v>214</v>
      </c>
      <c r="K147" s="4" t="s">
        <v>159</v>
      </c>
      <c r="L147" s="11">
        <v>31500</v>
      </c>
      <c r="Q147" s="2"/>
    </row>
    <row r="148" spans="1:17" hidden="1" x14ac:dyDescent="0.3">
      <c r="A148">
        <v>147</v>
      </c>
      <c r="D148" s="4" t="s">
        <v>1641</v>
      </c>
      <c r="I148" s="4" t="s">
        <v>156</v>
      </c>
      <c r="J148" s="4" t="s">
        <v>1185</v>
      </c>
      <c r="K148" s="4" t="s">
        <v>160</v>
      </c>
      <c r="L148" s="11">
        <f>4178*8</f>
        <v>33424</v>
      </c>
      <c r="M148" s="7">
        <v>39504</v>
      </c>
      <c r="N148" s="7">
        <v>2765</v>
      </c>
      <c r="Q148" s="2"/>
    </row>
    <row r="149" spans="1:17" hidden="1" x14ac:dyDescent="0.3">
      <c r="A149">
        <v>148</v>
      </c>
      <c r="D149" s="4" t="s">
        <v>1641</v>
      </c>
      <c r="J149" s="4" t="s">
        <v>206</v>
      </c>
      <c r="K149" s="4" t="s">
        <v>161</v>
      </c>
      <c r="L149" s="11">
        <f>760*8</f>
        <v>6080</v>
      </c>
      <c r="Q149" s="2"/>
    </row>
    <row r="150" spans="1:17" hidden="1" x14ac:dyDescent="0.3">
      <c r="A150">
        <v>149</v>
      </c>
      <c r="D150" s="4" t="s">
        <v>1368</v>
      </c>
      <c r="I150" s="4" t="s">
        <v>156</v>
      </c>
      <c r="J150" s="4" t="s">
        <v>1185</v>
      </c>
      <c r="K150" s="4" t="s">
        <v>162</v>
      </c>
      <c r="L150" s="11">
        <f>1077*8+5</f>
        <v>8621</v>
      </c>
      <c r="M150" s="7">
        <v>41906</v>
      </c>
      <c r="N150" s="7">
        <v>2933</v>
      </c>
      <c r="O150" s="7">
        <v>4</v>
      </c>
      <c r="Q150" s="2"/>
    </row>
    <row r="151" spans="1:17" hidden="1" x14ac:dyDescent="0.3">
      <c r="A151">
        <v>150</v>
      </c>
      <c r="D151" s="4" t="s">
        <v>1368</v>
      </c>
      <c r="J151" s="4" t="s">
        <v>1185</v>
      </c>
      <c r="K151" s="4" t="s">
        <v>299</v>
      </c>
      <c r="L151" s="11">
        <f>755*7</f>
        <v>5285</v>
      </c>
      <c r="Q151" s="2"/>
    </row>
    <row r="152" spans="1:17" hidden="1" x14ac:dyDescent="0.3">
      <c r="A152">
        <v>151</v>
      </c>
      <c r="D152" s="4" t="s">
        <v>1368</v>
      </c>
      <c r="J152" s="4" t="s">
        <v>214</v>
      </c>
      <c r="K152" s="4" t="s">
        <v>163</v>
      </c>
      <c r="L152" s="11">
        <f>2800*10</f>
        <v>28000</v>
      </c>
      <c r="Q152" s="2"/>
    </row>
    <row r="153" spans="1:17" hidden="1" x14ac:dyDescent="0.3">
      <c r="A153">
        <v>152</v>
      </c>
      <c r="B153" s="4" t="s">
        <v>166</v>
      </c>
      <c r="D153" s="4" t="s">
        <v>1451</v>
      </c>
      <c r="I153" s="4" t="s">
        <v>156</v>
      </c>
      <c r="J153" s="4" t="s">
        <v>1185</v>
      </c>
      <c r="K153" s="4" t="s">
        <v>167</v>
      </c>
      <c r="L153" s="11">
        <f>4812*8+3</f>
        <v>38499</v>
      </c>
      <c r="M153" s="7">
        <v>56517</v>
      </c>
      <c r="N153" s="7">
        <v>3956</v>
      </c>
      <c r="O153" s="7">
        <v>1</v>
      </c>
      <c r="Q153" s="2"/>
    </row>
    <row r="154" spans="1:17" hidden="1" x14ac:dyDescent="0.3">
      <c r="A154">
        <v>153</v>
      </c>
      <c r="D154" s="4" t="s">
        <v>1451</v>
      </c>
      <c r="J154" s="4" t="s">
        <v>1185</v>
      </c>
      <c r="K154" s="4" t="s">
        <v>307</v>
      </c>
      <c r="L154" s="11">
        <f>174*7</f>
        <v>1218</v>
      </c>
      <c r="Q154" s="2"/>
    </row>
    <row r="155" spans="1:17" hidden="1" x14ac:dyDescent="0.3">
      <c r="A155">
        <v>154</v>
      </c>
      <c r="D155" s="4" t="s">
        <v>1451</v>
      </c>
      <c r="J155" s="4" t="s">
        <v>214</v>
      </c>
      <c r="K155" s="4" t="s">
        <v>168</v>
      </c>
      <c r="L155" s="11">
        <f>2800*6</f>
        <v>16800</v>
      </c>
      <c r="Q155" s="2"/>
    </row>
    <row r="156" spans="1:17" hidden="1" x14ac:dyDescent="0.3">
      <c r="A156">
        <v>155</v>
      </c>
      <c r="D156" s="4" t="s">
        <v>1357</v>
      </c>
      <c r="I156" s="4" t="s">
        <v>169</v>
      </c>
      <c r="J156" s="4" t="s">
        <v>1185</v>
      </c>
      <c r="K156" s="4" t="s">
        <v>170</v>
      </c>
      <c r="L156" s="11">
        <f>3886*8+3</f>
        <v>31091</v>
      </c>
      <c r="M156" s="7">
        <v>51575</v>
      </c>
      <c r="N156" s="7">
        <v>3610</v>
      </c>
      <c r="O156" s="7">
        <v>2</v>
      </c>
      <c r="Q156" s="2"/>
    </row>
    <row r="157" spans="1:17" hidden="1" x14ac:dyDescent="0.3">
      <c r="A157">
        <v>156</v>
      </c>
      <c r="D157" s="4" t="s">
        <v>1357</v>
      </c>
      <c r="J157" s="4" t="s">
        <v>214</v>
      </c>
      <c r="K157" s="4" t="s">
        <v>171</v>
      </c>
      <c r="L157" s="11">
        <f>2500*5</f>
        <v>12500</v>
      </c>
      <c r="Q157" s="2"/>
    </row>
    <row r="158" spans="1:17" hidden="1" x14ac:dyDescent="0.3">
      <c r="A158">
        <v>157</v>
      </c>
      <c r="D158" s="4" t="s">
        <v>1357</v>
      </c>
      <c r="J158" s="4" t="s">
        <v>206</v>
      </c>
      <c r="K158" s="4" t="s">
        <v>1646</v>
      </c>
      <c r="L158" s="11">
        <f>948*8+400</f>
        <v>7984</v>
      </c>
      <c r="Q158" s="2"/>
    </row>
    <row r="159" spans="1:17" hidden="1" x14ac:dyDescent="0.3">
      <c r="A159">
        <v>158</v>
      </c>
      <c r="D159" s="4" t="s">
        <v>1518</v>
      </c>
      <c r="I159" s="4" t="s">
        <v>172</v>
      </c>
      <c r="J159" s="4" t="s">
        <v>1185</v>
      </c>
      <c r="K159" s="4" t="s">
        <v>173</v>
      </c>
      <c r="L159" s="11">
        <f>M159-L160-L161</f>
        <v>89065</v>
      </c>
      <c r="M159" s="7">
        <v>111701</v>
      </c>
      <c r="N159" s="7">
        <v>7819</v>
      </c>
      <c r="Q159" s="2"/>
    </row>
    <row r="160" spans="1:17" hidden="1" x14ac:dyDescent="0.3">
      <c r="A160">
        <v>159</v>
      </c>
      <c r="D160" s="4" t="s">
        <v>1518</v>
      </c>
      <c r="J160" s="4" t="s">
        <v>206</v>
      </c>
      <c r="K160" s="4" t="s">
        <v>174</v>
      </c>
      <c r="L160" s="11">
        <f>292*8</f>
        <v>2336</v>
      </c>
      <c r="Q160" s="2"/>
    </row>
    <row r="161" spans="1:17" hidden="1" x14ac:dyDescent="0.3">
      <c r="A161">
        <v>160</v>
      </c>
      <c r="D161" s="4" t="s">
        <v>1518</v>
      </c>
      <c r="J161" s="4" t="s">
        <v>214</v>
      </c>
      <c r="K161" s="4" t="s">
        <v>175</v>
      </c>
      <c r="L161" s="11">
        <v>20300</v>
      </c>
      <c r="Q161" s="2"/>
    </row>
    <row r="162" spans="1:17" hidden="1" x14ac:dyDescent="0.3">
      <c r="A162">
        <v>161</v>
      </c>
      <c r="D162" s="7" t="s">
        <v>1507</v>
      </c>
      <c r="I162" s="4" t="s">
        <v>172</v>
      </c>
      <c r="J162" s="4" t="s">
        <v>1185</v>
      </c>
      <c r="K162" s="4" t="s">
        <v>176</v>
      </c>
      <c r="L162" s="11">
        <f>1658*8+7</f>
        <v>13271</v>
      </c>
      <c r="M162" s="7">
        <v>18046</v>
      </c>
      <c r="N162" s="7">
        <v>1263</v>
      </c>
      <c r="O162" s="7">
        <v>2</v>
      </c>
      <c r="Q162" s="2"/>
    </row>
    <row r="163" spans="1:17" hidden="1" x14ac:dyDescent="0.3">
      <c r="A163">
        <v>162</v>
      </c>
      <c r="D163" s="7" t="s">
        <v>1507</v>
      </c>
      <c r="J163" s="4" t="s">
        <v>1185</v>
      </c>
      <c r="K163" s="4" t="s">
        <v>308</v>
      </c>
      <c r="L163" s="11">
        <f>185*7</f>
        <v>1295</v>
      </c>
      <c r="Q163" s="2"/>
    </row>
    <row r="164" spans="1:17" hidden="1" x14ac:dyDescent="0.3">
      <c r="A164">
        <v>163</v>
      </c>
      <c r="D164" s="7" t="s">
        <v>1507</v>
      </c>
      <c r="J164" s="4" t="s">
        <v>206</v>
      </c>
      <c r="K164" s="4" t="s">
        <v>177</v>
      </c>
      <c r="L164" s="11">
        <f>410*8</f>
        <v>3280</v>
      </c>
      <c r="Q164" s="2"/>
    </row>
    <row r="165" spans="1:17" hidden="1" x14ac:dyDescent="0.3">
      <c r="A165">
        <v>164</v>
      </c>
      <c r="D165" s="7" t="s">
        <v>1507</v>
      </c>
      <c r="J165" s="4" t="s">
        <v>214</v>
      </c>
      <c r="K165" s="4" t="s">
        <v>178</v>
      </c>
      <c r="L165" s="11">
        <v>200</v>
      </c>
      <c r="Q165" s="2"/>
    </row>
    <row r="166" spans="1:17" hidden="1" x14ac:dyDescent="0.3">
      <c r="A166">
        <v>165</v>
      </c>
      <c r="D166" s="4" t="s">
        <v>1588</v>
      </c>
      <c r="I166" s="4" t="s">
        <v>172</v>
      </c>
      <c r="J166" s="4" t="s">
        <v>206</v>
      </c>
      <c r="K166" s="4" t="s">
        <v>45</v>
      </c>
      <c r="L166" s="11">
        <f>80*8</f>
        <v>640</v>
      </c>
      <c r="M166" s="7">
        <v>1640</v>
      </c>
      <c r="N166" s="7">
        <v>114</v>
      </c>
      <c r="O166" s="7">
        <v>6</v>
      </c>
      <c r="Q166" s="2"/>
    </row>
    <row r="167" spans="1:17" hidden="1" x14ac:dyDescent="0.3">
      <c r="A167">
        <v>166</v>
      </c>
      <c r="D167" s="4" t="s">
        <v>1588</v>
      </c>
      <c r="J167" s="4" t="s">
        <v>214</v>
      </c>
      <c r="K167" s="4" t="s">
        <v>141</v>
      </c>
      <c r="L167" s="11">
        <v>1000</v>
      </c>
      <c r="Q167" s="2"/>
    </row>
    <row r="168" spans="1:17" hidden="1" x14ac:dyDescent="0.3">
      <c r="A168">
        <v>167</v>
      </c>
      <c r="D168" s="4" t="s">
        <v>1605</v>
      </c>
      <c r="I168" s="4" t="s">
        <v>172</v>
      </c>
      <c r="J168" s="4" t="s">
        <v>1185</v>
      </c>
      <c r="K168" s="4" t="s">
        <v>180</v>
      </c>
      <c r="L168" s="11">
        <f>1672*8</f>
        <v>13376</v>
      </c>
      <c r="M168" s="7">
        <v>24517</v>
      </c>
      <c r="N168" s="7">
        <v>1716</v>
      </c>
      <c r="Q168" s="2"/>
    </row>
    <row r="169" spans="1:17" hidden="1" x14ac:dyDescent="0.3">
      <c r="A169">
        <v>168</v>
      </c>
      <c r="D169" s="4" t="s">
        <v>1605</v>
      </c>
      <c r="J169" s="4" t="s">
        <v>1185</v>
      </c>
      <c r="K169" s="4" t="s">
        <v>309</v>
      </c>
      <c r="L169" s="11">
        <f>163*7</f>
        <v>1141</v>
      </c>
      <c r="Q169" s="2"/>
    </row>
    <row r="170" spans="1:17" hidden="1" x14ac:dyDescent="0.3">
      <c r="A170">
        <v>169</v>
      </c>
      <c r="D170" s="4" t="s">
        <v>1605</v>
      </c>
      <c r="J170" s="4" t="s">
        <v>214</v>
      </c>
      <c r="K170" s="4" t="s">
        <v>179</v>
      </c>
      <c r="L170" s="11">
        <v>10000</v>
      </c>
      <c r="Q170" s="2"/>
    </row>
    <row r="171" spans="1:17" hidden="1" x14ac:dyDescent="0.3">
      <c r="A171">
        <v>170</v>
      </c>
      <c r="D171" s="4" t="s">
        <v>1503</v>
      </c>
      <c r="I171" s="4" t="s">
        <v>172</v>
      </c>
      <c r="J171" s="4" t="s">
        <v>1185</v>
      </c>
      <c r="K171" s="4" t="s">
        <v>181</v>
      </c>
      <c r="L171" s="11">
        <f>M171-L172</f>
        <v>28062</v>
      </c>
      <c r="M171" s="7">
        <v>48062</v>
      </c>
      <c r="N171" s="7">
        <v>3364</v>
      </c>
      <c r="O171" s="7">
        <v>3</v>
      </c>
      <c r="Q171" s="2"/>
    </row>
    <row r="172" spans="1:17" hidden="1" x14ac:dyDescent="0.3">
      <c r="A172">
        <v>171</v>
      </c>
      <c r="D172" s="4" t="s">
        <v>1503</v>
      </c>
      <c r="J172" s="4" t="s">
        <v>214</v>
      </c>
      <c r="K172" s="4" t="s">
        <v>182</v>
      </c>
      <c r="L172" s="11">
        <f>2500*8</f>
        <v>20000</v>
      </c>
      <c r="Q172" s="2"/>
    </row>
    <row r="173" spans="1:17" hidden="1" x14ac:dyDescent="0.3">
      <c r="A173">
        <v>172</v>
      </c>
      <c r="C173" s="4" t="s">
        <v>271</v>
      </c>
      <c r="D173" s="4" t="s">
        <v>1566</v>
      </c>
      <c r="I173" s="4" t="s">
        <v>172</v>
      </c>
      <c r="J173" s="4" t="s">
        <v>206</v>
      </c>
      <c r="K173" s="4" t="s">
        <v>184</v>
      </c>
      <c r="L173" s="4">
        <v>3840</v>
      </c>
      <c r="M173" s="4">
        <v>3840</v>
      </c>
      <c r="N173" s="4">
        <v>268</v>
      </c>
      <c r="O173" s="4">
        <v>6</v>
      </c>
      <c r="P173" s="4"/>
      <c r="Q173" s="2"/>
    </row>
    <row r="174" spans="1:17" hidden="1" x14ac:dyDescent="0.3">
      <c r="A174">
        <v>173</v>
      </c>
      <c r="D174" s="4" t="s">
        <v>1520</v>
      </c>
      <c r="I174" s="4" t="s">
        <v>172</v>
      </c>
      <c r="J174" s="4" t="s">
        <v>1185</v>
      </c>
      <c r="K174" s="4" t="s">
        <v>185</v>
      </c>
      <c r="L174" s="11">
        <f>M174-L175</f>
        <v>13501</v>
      </c>
      <c r="M174" s="7">
        <v>16001</v>
      </c>
      <c r="N174" s="7">
        <v>1120</v>
      </c>
      <c r="Q174" s="2"/>
    </row>
    <row r="175" spans="1:17" hidden="1" x14ac:dyDescent="0.3">
      <c r="A175">
        <v>174</v>
      </c>
      <c r="D175" s="4" t="s">
        <v>1520</v>
      </c>
      <c r="J175" s="4" t="s">
        <v>214</v>
      </c>
      <c r="K175" s="4" t="s">
        <v>186</v>
      </c>
      <c r="L175" s="11">
        <v>2500</v>
      </c>
      <c r="Q175" s="2"/>
    </row>
    <row r="176" spans="1:17" hidden="1" x14ac:dyDescent="0.3">
      <c r="A176">
        <v>175</v>
      </c>
      <c r="D176" s="4" t="s">
        <v>1484</v>
      </c>
      <c r="I176" s="4" t="s">
        <v>172</v>
      </c>
      <c r="J176" s="4" t="s">
        <v>214</v>
      </c>
      <c r="K176" s="4" t="s">
        <v>187</v>
      </c>
      <c r="L176" s="4">
        <v>7500</v>
      </c>
      <c r="M176" s="4">
        <v>7500</v>
      </c>
      <c r="N176" s="4">
        <v>525</v>
      </c>
      <c r="O176" s="4"/>
      <c r="P176" s="4"/>
      <c r="Q176" s="2"/>
    </row>
    <row r="177" spans="1:17" hidden="1" x14ac:dyDescent="0.3">
      <c r="A177">
        <v>176</v>
      </c>
      <c r="D177" s="4" t="s">
        <v>1391</v>
      </c>
      <c r="I177" s="4" t="s">
        <v>172</v>
      </c>
      <c r="J177" s="4" t="s">
        <v>214</v>
      </c>
      <c r="K177" s="4" t="s">
        <v>114</v>
      </c>
      <c r="L177" s="11">
        <v>5000</v>
      </c>
      <c r="M177" s="7">
        <v>5820</v>
      </c>
      <c r="N177" s="7">
        <v>407</v>
      </c>
      <c r="O177" s="7">
        <v>3</v>
      </c>
      <c r="Q177" s="2"/>
    </row>
    <row r="178" spans="1:17" hidden="1" x14ac:dyDescent="0.3">
      <c r="A178">
        <v>177</v>
      </c>
      <c r="D178" s="4" t="s">
        <v>1391</v>
      </c>
      <c r="J178" s="4" t="s">
        <v>206</v>
      </c>
      <c r="K178" s="4" t="s">
        <v>188</v>
      </c>
      <c r="L178" s="11">
        <f>90*8</f>
        <v>720</v>
      </c>
      <c r="Q178" s="2"/>
    </row>
    <row r="179" spans="1:17" hidden="1" x14ac:dyDescent="0.3">
      <c r="A179">
        <v>178</v>
      </c>
      <c r="D179" s="4" t="s">
        <v>1391</v>
      </c>
      <c r="J179" s="4" t="s">
        <v>214</v>
      </c>
      <c r="K179" s="4" t="s">
        <v>78</v>
      </c>
      <c r="L179" s="11">
        <v>100</v>
      </c>
      <c r="Q179" s="2"/>
    </row>
    <row r="180" spans="1:17" hidden="1" x14ac:dyDescent="0.3">
      <c r="A180">
        <v>179</v>
      </c>
      <c r="B180" s="4" t="s">
        <v>164</v>
      </c>
      <c r="D180" s="4" t="s">
        <v>1607</v>
      </c>
      <c r="I180" s="4" t="s">
        <v>189</v>
      </c>
      <c r="J180" s="4" t="s">
        <v>1185</v>
      </c>
      <c r="K180" s="4" t="s">
        <v>190</v>
      </c>
      <c r="L180" s="11">
        <f>3689*8+3</f>
        <v>29515</v>
      </c>
      <c r="M180" s="7">
        <v>54751</v>
      </c>
      <c r="N180" s="7">
        <v>3832</v>
      </c>
      <c r="O180" s="7">
        <v>4</v>
      </c>
      <c r="Q180" s="2"/>
    </row>
    <row r="181" spans="1:17" hidden="1" x14ac:dyDescent="0.3">
      <c r="A181">
        <v>180</v>
      </c>
      <c r="D181" s="4" t="s">
        <v>1607</v>
      </c>
      <c r="J181" s="4" t="s">
        <v>214</v>
      </c>
      <c r="K181" s="4" t="s">
        <v>116</v>
      </c>
      <c r="L181" s="11">
        <v>12500</v>
      </c>
      <c r="Q181" s="2"/>
    </row>
    <row r="182" spans="1:17" hidden="1" x14ac:dyDescent="0.3">
      <c r="A182">
        <v>181</v>
      </c>
      <c r="D182" s="4" t="s">
        <v>1607</v>
      </c>
      <c r="J182" s="4" t="s">
        <v>206</v>
      </c>
      <c r="K182" s="4" t="s">
        <v>191</v>
      </c>
      <c r="L182" s="11">
        <f>1567*8</f>
        <v>12536</v>
      </c>
      <c r="Q182" s="2"/>
    </row>
    <row r="183" spans="1:17" hidden="1" x14ac:dyDescent="0.3">
      <c r="A183">
        <v>182</v>
      </c>
      <c r="D183" s="4" t="s">
        <v>1607</v>
      </c>
      <c r="J183" s="4" t="s">
        <v>214</v>
      </c>
      <c r="K183" s="4" t="s">
        <v>192</v>
      </c>
      <c r="L183" s="11">
        <v>200</v>
      </c>
      <c r="Q183" s="2"/>
    </row>
    <row r="184" spans="1:17" hidden="1" x14ac:dyDescent="0.3">
      <c r="A184">
        <v>183</v>
      </c>
      <c r="D184" s="4" t="s">
        <v>1422</v>
      </c>
      <c r="I184" s="4" t="s">
        <v>189</v>
      </c>
      <c r="J184" s="4" t="s">
        <v>1185</v>
      </c>
      <c r="K184" s="4" t="s">
        <v>193</v>
      </c>
      <c r="L184" s="11">
        <f>3464*8+4</f>
        <v>27716</v>
      </c>
      <c r="M184" s="7">
        <v>45216</v>
      </c>
      <c r="N184" s="7">
        <v>3165</v>
      </c>
      <c r="O184" s="7">
        <v>1</v>
      </c>
      <c r="Q184" s="2"/>
    </row>
    <row r="185" spans="1:17" hidden="1" x14ac:dyDescent="0.3">
      <c r="A185">
        <v>184</v>
      </c>
      <c r="D185" s="4" t="s">
        <v>1422</v>
      </c>
      <c r="J185" s="4" t="s">
        <v>214</v>
      </c>
      <c r="K185" s="4" t="s">
        <v>194</v>
      </c>
      <c r="L185" s="11">
        <f>7*2500</f>
        <v>17500</v>
      </c>
      <c r="Q185" s="2"/>
    </row>
    <row r="186" spans="1:17" hidden="1" x14ac:dyDescent="0.3">
      <c r="A186">
        <v>185</v>
      </c>
      <c r="D186" s="4" t="s">
        <v>1543</v>
      </c>
      <c r="I186" s="4" t="s">
        <v>189</v>
      </c>
      <c r="J186" s="4" t="s">
        <v>1185</v>
      </c>
      <c r="K186" s="4" t="s">
        <v>195</v>
      </c>
      <c r="L186" s="4">
        <v>51201</v>
      </c>
      <c r="M186" s="4">
        <v>51201</v>
      </c>
      <c r="N186" s="4">
        <v>3584</v>
      </c>
      <c r="O186" s="4"/>
      <c r="P186" s="4"/>
      <c r="Q186" s="2"/>
    </row>
    <row r="187" spans="1:17" hidden="1" x14ac:dyDescent="0.3">
      <c r="A187">
        <v>186</v>
      </c>
      <c r="D187" s="4" t="s">
        <v>1332</v>
      </c>
      <c r="I187" s="4" t="s">
        <v>189</v>
      </c>
      <c r="J187" s="4" t="s">
        <v>1185</v>
      </c>
      <c r="K187" s="4" t="s">
        <v>196</v>
      </c>
      <c r="L187" s="11">
        <f>2363*8+3</f>
        <v>18907</v>
      </c>
      <c r="M187" s="7">
        <v>31657</v>
      </c>
      <c r="N187" s="7">
        <v>2216</v>
      </c>
      <c r="Q187" s="2"/>
    </row>
    <row r="188" spans="1:17" hidden="1" x14ac:dyDescent="0.3">
      <c r="A188">
        <v>187</v>
      </c>
      <c r="D188" s="4" t="s">
        <v>1332</v>
      </c>
      <c r="J188" s="4" t="s">
        <v>214</v>
      </c>
      <c r="K188" s="4" t="s">
        <v>197</v>
      </c>
      <c r="L188" s="11">
        <f>12750</f>
        <v>12750</v>
      </c>
      <c r="Q188" s="2"/>
    </row>
    <row r="189" spans="1:17" hidden="1" x14ac:dyDescent="0.3">
      <c r="A189">
        <v>188</v>
      </c>
      <c r="D189" s="4" t="s">
        <v>1670</v>
      </c>
      <c r="I189" s="4" t="s">
        <v>189</v>
      </c>
      <c r="J189" s="4" t="s">
        <v>1185</v>
      </c>
      <c r="K189" s="4" t="s">
        <v>198</v>
      </c>
      <c r="L189" s="11">
        <f>M189-L192-L191-L190</f>
        <v>71980</v>
      </c>
      <c r="M189" s="7">
        <v>136504</v>
      </c>
      <c r="N189" s="7">
        <v>9555</v>
      </c>
      <c r="O189" s="7">
        <v>2</v>
      </c>
      <c r="Q189" s="2"/>
    </row>
    <row r="190" spans="1:17" hidden="1" x14ac:dyDescent="0.3">
      <c r="A190">
        <v>189</v>
      </c>
      <c r="D190" s="4" t="s">
        <v>1670</v>
      </c>
      <c r="J190" s="4" t="s">
        <v>214</v>
      </c>
      <c r="K190" s="4" t="s">
        <v>199</v>
      </c>
      <c r="L190" s="11">
        <v>39600</v>
      </c>
      <c r="Q190" s="2"/>
    </row>
    <row r="191" spans="1:17" hidden="1" x14ac:dyDescent="0.3">
      <c r="A191">
        <v>190</v>
      </c>
      <c r="D191" s="4" t="s">
        <v>1670</v>
      </c>
      <c r="J191" s="4" t="s">
        <v>206</v>
      </c>
      <c r="K191" s="4" t="s">
        <v>200</v>
      </c>
      <c r="L191" s="11">
        <f>3078*8</f>
        <v>24624</v>
      </c>
      <c r="Q191" s="2"/>
    </row>
    <row r="192" spans="1:17" hidden="1" x14ac:dyDescent="0.3">
      <c r="A192">
        <v>191</v>
      </c>
      <c r="D192" s="4" t="s">
        <v>1670</v>
      </c>
      <c r="J192" s="4" t="s">
        <v>1649</v>
      </c>
      <c r="K192" s="4" t="s">
        <v>201</v>
      </c>
      <c r="L192" s="11">
        <v>300</v>
      </c>
      <c r="Q192" s="2"/>
    </row>
    <row r="193" spans="1:17" hidden="1" x14ac:dyDescent="0.3">
      <c r="A193">
        <v>192</v>
      </c>
      <c r="D193" s="4" t="s">
        <v>1335</v>
      </c>
      <c r="I193" s="4" t="s">
        <v>189</v>
      </c>
      <c r="J193" s="4" t="s">
        <v>1185</v>
      </c>
      <c r="K193" s="4" t="s">
        <v>202</v>
      </c>
      <c r="L193" s="11">
        <f>5952*8+10</f>
        <v>47626</v>
      </c>
      <c r="M193" s="7">
        <v>118234</v>
      </c>
      <c r="N193" s="7">
        <v>8276</v>
      </c>
      <c r="O193" s="7">
        <v>3</v>
      </c>
      <c r="Q193" s="2"/>
    </row>
    <row r="194" spans="1:17" hidden="1" x14ac:dyDescent="0.3">
      <c r="A194">
        <v>193</v>
      </c>
      <c r="D194" s="4" t="s">
        <v>1335</v>
      </c>
      <c r="J194" s="4" t="s">
        <v>1185</v>
      </c>
      <c r="K194" s="4" t="s">
        <v>300</v>
      </c>
      <c r="L194" s="11">
        <f>1176*7</f>
        <v>8232</v>
      </c>
      <c r="Q194" s="2"/>
    </row>
    <row r="195" spans="1:17" hidden="1" x14ac:dyDescent="0.3">
      <c r="A195">
        <v>194</v>
      </c>
      <c r="D195" s="4" t="s">
        <v>1335</v>
      </c>
      <c r="J195" s="4" t="s">
        <v>214</v>
      </c>
      <c r="K195" s="4" t="s">
        <v>203</v>
      </c>
      <c r="L195" s="11">
        <v>53600</v>
      </c>
      <c r="Q195" s="2"/>
    </row>
    <row r="196" spans="1:17" hidden="1" x14ac:dyDescent="0.3">
      <c r="A196">
        <v>195</v>
      </c>
      <c r="D196" s="4" t="s">
        <v>1335</v>
      </c>
      <c r="J196" s="4" t="s">
        <v>206</v>
      </c>
      <c r="K196" s="4" t="s">
        <v>204</v>
      </c>
      <c r="L196" s="11">
        <f>576*8</f>
        <v>4608</v>
      </c>
      <c r="Q196" s="2"/>
    </row>
    <row r="197" spans="1:17" hidden="1" x14ac:dyDescent="0.3">
      <c r="A197">
        <v>196</v>
      </c>
      <c r="D197" s="4" t="s">
        <v>1335</v>
      </c>
      <c r="J197" s="4" t="s">
        <v>206</v>
      </c>
      <c r="K197" s="4" t="s">
        <v>205</v>
      </c>
      <c r="L197" s="11">
        <f>521*8</f>
        <v>4168</v>
      </c>
      <c r="Q197" s="2"/>
    </row>
    <row r="198" spans="1:17" hidden="1" x14ac:dyDescent="0.3">
      <c r="A198">
        <v>197</v>
      </c>
      <c r="D198" s="4" t="s">
        <v>1500</v>
      </c>
      <c r="I198" s="4" t="s">
        <v>189</v>
      </c>
      <c r="J198" s="4" t="s">
        <v>1185</v>
      </c>
      <c r="K198" s="4" t="s">
        <v>207</v>
      </c>
      <c r="L198" s="11">
        <f>873*8+4</f>
        <v>6988</v>
      </c>
      <c r="M198" s="7">
        <v>15988</v>
      </c>
      <c r="N198" s="7">
        <v>1119</v>
      </c>
      <c r="O198" s="7">
        <v>1</v>
      </c>
      <c r="Q198" s="2"/>
    </row>
    <row r="199" spans="1:17" hidden="1" x14ac:dyDescent="0.3">
      <c r="A199">
        <v>198</v>
      </c>
      <c r="D199" s="4" t="s">
        <v>1500</v>
      </c>
      <c r="J199" s="4" t="s">
        <v>214</v>
      </c>
      <c r="K199" s="4" t="s">
        <v>208</v>
      </c>
      <c r="L199" s="11">
        <v>7500</v>
      </c>
      <c r="Q199" s="2"/>
    </row>
    <row r="200" spans="1:17" hidden="1" x14ac:dyDescent="0.3">
      <c r="A200">
        <v>199</v>
      </c>
      <c r="D200" s="4" t="s">
        <v>1500</v>
      </c>
      <c r="J200" s="4" t="s">
        <v>214</v>
      </c>
      <c r="K200" s="4" t="s">
        <v>209</v>
      </c>
      <c r="L200" s="11">
        <v>1500</v>
      </c>
      <c r="Q200" s="2"/>
    </row>
    <row r="201" spans="1:17" hidden="1" x14ac:dyDescent="0.3">
      <c r="A201">
        <v>200</v>
      </c>
      <c r="D201" s="4" t="s">
        <v>1582</v>
      </c>
      <c r="I201" s="4" t="s">
        <v>189</v>
      </c>
      <c r="J201" s="4" t="s">
        <v>214</v>
      </c>
      <c r="K201" s="4" t="s">
        <v>210</v>
      </c>
      <c r="L201" s="11">
        <v>2500</v>
      </c>
      <c r="M201" s="7">
        <v>2600</v>
      </c>
      <c r="N201" s="7">
        <v>182</v>
      </c>
      <c r="Q201" s="2"/>
    </row>
    <row r="202" spans="1:17" hidden="1" x14ac:dyDescent="0.3">
      <c r="A202">
        <v>201</v>
      </c>
      <c r="D202" s="4" t="s">
        <v>1582</v>
      </c>
      <c r="J202" s="4" t="s">
        <v>214</v>
      </c>
      <c r="K202" s="4" t="s">
        <v>78</v>
      </c>
      <c r="L202" s="11">
        <v>100</v>
      </c>
      <c r="Q202" s="2"/>
    </row>
    <row r="203" spans="1:17" hidden="1" x14ac:dyDescent="0.3">
      <c r="A203">
        <v>202</v>
      </c>
      <c r="D203" s="4" t="s">
        <v>1400</v>
      </c>
      <c r="I203" s="4" t="s">
        <v>189</v>
      </c>
      <c r="J203" s="4" t="s">
        <v>206</v>
      </c>
      <c r="K203" s="4" t="s">
        <v>211</v>
      </c>
      <c r="L203" s="11">
        <f>95*8</f>
        <v>760</v>
      </c>
      <c r="M203" s="7">
        <v>1660</v>
      </c>
      <c r="N203" s="7">
        <v>116</v>
      </c>
      <c r="Q203" s="2"/>
    </row>
    <row r="204" spans="1:17" hidden="1" x14ac:dyDescent="0.3">
      <c r="A204">
        <v>203</v>
      </c>
      <c r="D204" s="4" t="s">
        <v>1400</v>
      </c>
      <c r="J204" s="4" t="s">
        <v>214</v>
      </c>
      <c r="K204" s="4" t="s">
        <v>212</v>
      </c>
      <c r="L204" s="11">
        <v>900</v>
      </c>
      <c r="Q204" s="2"/>
    </row>
    <row r="205" spans="1:17" ht="28.8" hidden="1" x14ac:dyDescent="0.3">
      <c r="A205">
        <v>204</v>
      </c>
      <c r="C205" s="4" t="s">
        <v>268</v>
      </c>
      <c r="D205" s="4" t="s">
        <v>1668</v>
      </c>
      <c r="I205" s="4" t="s">
        <v>213</v>
      </c>
      <c r="J205" s="4" t="s">
        <v>1185</v>
      </c>
      <c r="K205" s="5" t="s">
        <v>312</v>
      </c>
      <c r="L205" s="11">
        <f>M205-L206-L207</f>
        <v>53171</v>
      </c>
      <c r="M205" s="7">
        <v>72411</v>
      </c>
      <c r="N205" s="7">
        <v>5068</v>
      </c>
      <c r="O205" s="7">
        <v>6</v>
      </c>
      <c r="Q205" s="2"/>
    </row>
    <row r="206" spans="1:17" hidden="1" x14ac:dyDescent="0.3">
      <c r="A206">
        <v>205</v>
      </c>
      <c r="D206" s="4" t="s">
        <v>1668</v>
      </c>
      <c r="J206" s="4" t="s">
        <v>214</v>
      </c>
      <c r="K206" s="4" t="s">
        <v>114</v>
      </c>
      <c r="L206" s="11">
        <v>5000</v>
      </c>
      <c r="Q206" s="2"/>
    </row>
    <row r="207" spans="1:17" hidden="1" x14ac:dyDescent="0.3">
      <c r="A207">
        <v>206</v>
      </c>
      <c r="D207" s="4" t="s">
        <v>1668</v>
      </c>
      <c r="J207" s="4" t="s">
        <v>206</v>
      </c>
      <c r="K207" s="4" t="s">
        <v>215</v>
      </c>
      <c r="L207" s="11">
        <f>1780*8</f>
        <v>14240</v>
      </c>
      <c r="Q207" s="2"/>
    </row>
    <row r="208" spans="1:17" hidden="1" x14ac:dyDescent="0.3">
      <c r="A208">
        <v>207</v>
      </c>
      <c r="B208" s="4" t="s">
        <v>216</v>
      </c>
      <c r="C208" s="4" t="s">
        <v>268</v>
      </c>
      <c r="D208" s="4" t="s">
        <v>1519</v>
      </c>
      <c r="I208" s="4" t="s">
        <v>217</v>
      </c>
      <c r="J208" s="4" t="s">
        <v>1185</v>
      </c>
      <c r="K208" s="4" t="s">
        <v>218</v>
      </c>
      <c r="L208" s="11">
        <f>7562*8+3</f>
        <v>60499</v>
      </c>
      <c r="M208" s="7">
        <v>112099</v>
      </c>
      <c r="N208" s="7">
        <v>7847</v>
      </c>
      <c r="Q208" s="2"/>
    </row>
    <row r="209" spans="1:17" hidden="1" x14ac:dyDescent="0.3">
      <c r="A209">
        <v>208</v>
      </c>
      <c r="D209" s="4" t="s">
        <v>1519</v>
      </c>
      <c r="J209" s="4" t="s">
        <v>206</v>
      </c>
      <c r="K209" s="4" t="s">
        <v>158</v>
      </c>
      <c r="L209" s="11">
        <f>2400*8</f>
        <v>19200</v>
      </c>
      <c r="Q209" s="2"/>
    </row>
    <row r="210" spans="1:17" hidden="1" x14ac:dyDescent="0.3">
      <c r="A210">
        <v>209</v>
      </c>
      <c r="D210" s="4" t="s">
        <v>1519</v>
      </c>
      <c r="J210" s="4" t="s">
        <v>214</v>
      </c>
      <c r="K210" s="4" t="s">
        <v>219</v>
      </c>
      <c r="L210" s="11">
        <v>32400</v>
      </c>
      <c r="Q210" s="2"/>
    </row>
    <row r="211" spans="1:17" hidden="1" x14ac:dyDescent="0.3">
      <c r="A211">
        <v>210</v>
      </c>
      <c r="C211" s="4" t="s">
        <v>268</v>
      </c>
      <c r="D211" s="4" t="s">
        <v>1519</v>
      </c>
      <c r="I211" s="4" t="s">
        <v>217</v>
      </c>
      <c r="J211" s="4" t="s">
        <v>206</v>
      </c>
      <c r="K211" s="4" t="s">
        <v>220</v>
      </c>
      <c r="L211" s="4">
        <v>2373</v>
      </c>
      <c r="M211" s="4">
        <v>2373</v>
      </c>
      <c r="N211" s="4">
        <v>166</v>
      </c>
      <c r="O211" s="4"/>
      <c r="P211" s="4"/>
      <c r="Q211" s="2"/>
    </row>
    <row r="212" spans="1:17" hidden="1" x14ac:dyDescent="0.3">
      <c r="A212">
        <v>211</v>
      </c>
      <c r="D212" s="4" t="s">
        <v>1483</v>
      </c>
      <c r="I212" s="4" t="s">
        <v>221</v>
      </c>
      <c r="J212" s="4" t="s">
        <v>1649</v>
      </c>
      <c r="K212" s="4" t="s">
        <v>222</v>
      </c>
      <c r="L212" s="4">
        <v>1800</v>
      </c>
      <c r="M212" s="4">
        <v>1800</v>
      </c>
      <c r="N212" s="4">
        <v>126</v>
      </c>
      <c r="O212" s="4"/>
      <c r="P212" s="4"/>
      <c r="Q212" s="2"/>
    </row>
    <row r="213" spans="1:17" hidden="1" x14ac:dyDescent="0.3">
      <c r="A213">
        <v>212</v>
      </c>
      <c r="D213" s="4" t="s">
        <v>1447</v>
      </c>
      <c r="I213" s="4" t="s">
        <v>223</v>
      </c>
      <c r="J213" s="4" t="s">
        <v>1185</v>
      </c>
      <c r="K213" s="4" t="s">
        <v>224</v>
      </c>
      <c r="L213" s="11">
        <f>12311*8</f>
        <v>98488</v>
      </c>
      <c r="M213" s="7">
        <v>112088</v>
      </c>
      <c r="N213" s="7">
        <v>7846</v>
      </c>
      <c r="Q213" s="2"/>
    </row>
    <row r="214" spans="1:17" hidden="1" x14ac:dyDescent="0.3">
      <c r="A214">
        <v>213</v>
      </c>
      <c r="D214" s="4" t="s">
        <v>1447</v>
      </c>
      <c r="J214" s="4" t="s">
        <v>214</v>
      </c>
      <c r="K214" s="4" t="s">
        <v>130</v>
      </c>
      <c r="L214" s="11">
        <f>3400*4</f>
        <v>13600</v>
      </c>
      <c r="Q214" s="2"/>
    </row>
    <row r="215" spans="1:17" hidden="1" x14ac:dyDescent="0.3">
      <c r="A215">
        <v>214</v>
      </c>
      <c r="D215" s="4" t="s">
        <v>1530</v>
      </c>
      <c r="I215" s="4" t="s">
        <v>223</v>
      </c>
      <c r="J215" s="4" t="s">
        <v>214</v>
      </c>
      <c r="K215" s="4" t="s">
        <v>15</v>
      </c>
      <c r="L215" s="4">
        <v>300</v>
      </c>
      <c r="M215" s="4">
        <v>300</v>
      </c>
      <c r="N215" s="4">
        <v>21</v>
      </c>
      <c r="O215" s="4"/>
      <c r="P215" s="4"/>
      <c r="Q215" s="2"/>
    </row>
    <row r="216" spans="1:17" hidden="1" x14ac:dyDescent="0.3">
      <c r="A216">
        <v>215</v>
      </c>
      <c r="D216" s="4" t="s">
        <v>1607</v>
      </c>
      <c r="I216" s="4" t="s">
        <v>223</v>
      </c>
      <c r="J216" s="4" t="s">
        <v>1649</v>
      </c>
      <c r="K216" s="4" t="s">
        <v>225</v>
      </c>
      <c r="L216" s="4">
        <v>7350</v>
      </c>
      <c r="M216" s="4">
        <v>7350</v>
      </c>
      <c r="N216" s="4">
        <v>514</v>
      </c>
      <c r="O216" s="4">
        <v>4</v>
      </c>
      <c r="P216" s="4"/>
      <c r="Q216" s="2"/>
    </row>
    <row r="217" spans="1:17" hidden="1" x14ac:dyDescent="0.3">
      <c r="A217">
        <v>216</v>
      </c>
      <c r="C217" s="4" t="s">
        <v>270</v>
      </c>
      <c r="D217" s="4" t="s">
        <v>1668</v>
      </c>
      <c r="I217" s="4" t="s">
        <v>223</v>
      </c>
      <c r="J217" s="4" t="s">
        <v>1649</v>
      </c>
      <c r="K217" s="4" t="s">
        <v>12</v>
      </c>
      <c r="L217" s="4">
        <v>2850</v>
      </c>
      <c r="M217" s="4">
        <v>2850</v>
      </c>
      <c r="N217" s="4">
        <v>199</v>
      </c>
      <c r="O217" s="4">
        <v>4</v>
      </c>
      <c r="P217" s="4"/>
      <c r="Q217" s="2"/>
    </row>
    <row r="218" spans="1:17" hidden="1" x14ac:dyDescent="0.3">
      <c r="A218">
        <v>217</v>
      </c>
      <c r="D218" s="4" t="s">
        <v>1519</v>
      </c>
      <c r="I218" s="4" t="s">
        <v>223</v>
      </c>
      <c r="J218" s="4" t="s">
        <v>1649</v>
      </c>
      <c r="K218" s="4" t="s">
        <v>226</v>
      </c>
      <c r="L218" s="4">
        <v>750</v>
      </c>
      <c r="M218" s="4">
        <v>750</v>
      </c>
      <c r="N218" s="4">
        <v>52</v>
      </c>
      <c r="O218" s="4">
        <v>4</v>
      </c>
      <c r="P218" s="4"/>
      <c r="Q218" s="2"/>
    </row>
    <row r="219" spans="1:17" hidden="1" x14ac:dyDescent="0.3">
      <c r="A219">
        <v>218</v>
      </c>
      <c r="D219" s="4" t="s">
        <v>1357</v>
      </c>
      <c r="I219" s="4" t="s">
        <v>223</v>
      </c>
      <c r="J219" s="4" t="s">
        <v>1649</v>
      </c>
      <c r="K219" s="4" t="s">
        <v>227</v>
      </c>
      <c r="L219" s="4">
        <v>1950</v>
      </c>
      <c r="M219" s="4">
        <v>1950</v>
      </c>
      <c r="N219" s="4">
        <v>136</v>
      </c>
      <c r="O219" s="4">
        <v>4</v>
      </c>
      <c r="P219" s="4"/>
      <c r="Q219" s="2"/>
    </row>
    <row r="220" spans="1:17" hidden="1" x14ac:dyDescent="0.3">
      <c r="A220">
        <v>219</v>
      </c>
      <c r="D220" s="4" t="s">
        <v>1387</v>
      </c>
      <c r="I220" s="4" t="s">
        <v>223</v>
      </c>
      <c r="J220" s="4" t="s">
        <v>1649</v>
      </c>
      <c r="K220" s="4" t="s">
        <v>228</v>
      </c>
      <c r="L220" s="4">
        <v>5400</v>
      </c>
      <c r="M220" s="4">
        <v>5400</v>
      </c>
      <c r="N220" s="4">
        <v>378</v>
      </c>
      <c r="O220" s="4"/>
      <c r="P220" s="4"/>
      <c r="Q220" s="2"/>
    </row>
    <row r="221" spans="1:17" hidden="1" x14ac:dyDescent="0.3">
      <c r="A221">
        <v>220</v>
      </c>
      <c r="D221" s="4" t="s">
        <v>1447</v>
      </c>
      <c r="I221" s="4" t="s">
        <v>229</v>
      </c>
      <c r="J221" s="4" t="s">
        <v>1185</v>
      </c>
      <c r="K221" s="4" t="s">
        <v>230</v>
      </c>
      <c r="L221" s="11">
        <f>5928*8</f>
        <v>47424</v>
      </c>
      <c r="M221" s="7">
        <v>61024</v>
      </c>
      <c r="N221" s="7">
        <v>4271</v>
      </c>
      <c r="O221" s="7">
        <v>5</v>
      </c>
      <c r="Q221" s="2"/>
    </row>
    <row r="222" spans="1:17" hidden="1" x14ac:dyDescent="0.3">
      <c r="A222">
        <v>221</v>
      </c>
      <c r="D222" s="4" t="s">
        <v>1447</v>
      </c>
      <c r="J222" s="4" t="s">
        <v>214</v>
      </c>
      <c r="K222" s="4" t="s">
        <v>130</v>
      </c>
      <c r="L222" s="11">
        <f>3400*4</f>
        <v>13600</v>
      </c>
      <c r="Q222" s="2"/>
    </row>
    <row r="223" spans="1:17" hidden="1" x14ac:dyDescent="0.3">
      <c r="A223">
        <v>222</v>
      </c>
      <c r="C223" s="4" t="s">
        <v>231</v>
      </c>
      <c r="D223" s="4" t="s">
        <v>1622</v>
      </c>
      <c r="I223" s="4" t="s">
        <v>229</v>
      </c>
      <c r="J223" s="4" t="s">
        <v>1185</v>
      </c>
      <c r="K223" s="4" t="s">
        <v>232</v>
      </c>
      <c r="L223" s="11">
        <f>M223-L224</f>
        <v>45412</v>
      </c>
      <c r="M223" s="7">
        <v>52902</v>
      </c>
      <c r="N223" s="7">
        <v>3703</v>
      </c>
      <c r="O223" s="7">
        <v>1</v>
      </c>
      <c r="Q223" s="2"/>
    </row>
    <row r="224" spans="1:17" hidden="1" x14ac:dyDescent="0.3">
      <c r="A224">
        <v>223</v>
      </c>
      <c r="D224" s="4" t="s">
        <v>1622</v>
      </c>
      <c r="J224" s="4" t="s">
        <v>1185</v>
      </c>
      <c r="K224" s="4" t="s">
        <v>313</v>
      </c>
      <c r="L224" s="11">
        <f>1070*7</f>
        <v>7490</v>
      </c>
      <c r="Q224" s="2"/>
    </row>
    <row r="225" spans="1:17" hidden="1" x14ac:dyDescent="0.3">
      <c r="A225">
        <v>224</v>
      </c>
      <c r="B225" s="4" t="s">
        <v>233</v>
      </c>
      <c r="D225" s="4" t="s">
        <v>1402</v>
      </c>
      <c r="I225" s="4" t="s">
        <v>234</v>
      </c>
      <c r="J225" s="4" t="s">
        <v>1185</v>
      </c>
      <c r="K225" s="4" t="s">
        <v>235</v>
      </c>
      <c r="L225" s="11">
        <f>M225-L226-L227</f>
        <v>47351</v>
      </c>
      <c r="M225" s="7">
        <v>86631</v>
      </c>
      <c r="N225" s="7">
        <v>6064</v>
      </c>
      <c r="O225" s="7">
        <v>1</v>
      </c>
      <c r="Q225" s="2"/>
    </row>
    <row r="226" spans="1:17" hidden="1" x14ac:dyDescent="0.3">
      <c r="A226">
        <v>225</v>
      </c>
      <c r="D226" s="4" t="s">
        <v>1402</v>
      </c>
      <c r="J226" s="4" t="s">
        <v>214</v>
      </c>
      <c r="K226" s="4" t="s">
        <v>236</v>
      </c>
      <c r="L226" s="11">
        <f>2500*8</f>
        <v>20000</v>
      </c>
      <c r="Q226" s="2"/>
    </row>
    <row r="227" spans="1:17" hidden="1" x14ac:dyDescent="0.3">
      <c r="A227">
        <v>226</v>
      </c>
      <c r="D227" s="4" t="s">
        <v>1402</v>
      </c>
      <c r="J227" s="4" t="s">
        <v>206</v>
      </c>
      <c r="K227" s="4" t="s">
        <v>237</v>
      </c>
      <c r="L227" s="11">
        <f>2410*8</f>
        <v>19280</v>
      </c>
      <c r="Q227" s="2"/>
    </row>
    <row r="228" spans="1:17" hidden="1" x14ac:dyDescent="0.3">
      <c r="A228">
        <v>227</v>
      </c>
      <c r="D228" s="4" t="s">
        <v>1488</v>
      </c>
      <c r="I228" s="4" t="s">
        <v>229</v>
      </c>
      <c r="J228" s="4" t="s">
        <v>1185</v>
      </c>
      <c r="K228" s="4" t="s">
        <v>238</v>
      </c>
      <c r="L228" s="11">
        <f>M228-L230-L229-L231</f>
        <v>33774</v>
      </c>
      <c r="M228" s="7">
        <v>44174</v>
      </c>
      <c r="N228" s="7">
        <v>3092</v>
      </c>
      <c r="O228" s="7">
        <v>1</v>
      </c>
      <c r="Q228" s="2"/>
    </row>
    <row r="229" spans="1:17" hidden="1" x14ac:dyDescent="0.3">
      <c r="A229">
        <v>228</v>
      </c>
      <c r="D229" s="4" t="s">
        <v>1488</v>
      </c>
      <c r="J229" s="4" t="s">
        <v>206</v>
      </c>
      <c r="K229" s="4" t="s">
        <v>239</v>
      </c>
      <c r="L229" s="11">
        <f>550*8</f>
        <v>4400</v>
      </c>
      <c r="Q229" s="2"/>
    </row>
    <row r="230" spans="1:17" hidden="1" x14ac:dyDescent="0.3">
      <c r="A230">
        <v>229</v>
      </c>
      <c r="D230" s="4" t="s">
        <v>1488</v>
      </c>
      <c r="J230" s="4" t="s">
        <v>214</v>
      </c>
      <c r="K230" s="4" t="s">
        <v>240</v>
      </c>
      <c r="L230" s="11">
        <v>600</v>
      </c>
      <c r="Q230" s="2"/>
    </row>
    <row r="231" spans="1:17" hidden="1" x14ac:dyDescent="0.3">
      <c r="A231">
        <v>230</v>
      </c>
      <c r="D231" s="4" t="s">
        <v>1488</v>
      </c>
      <c r="J231" s="4" t="s">
        <v>214</v>
      </c>
      <c r="K231" s="4" t="s">
        <v>241</v>
      </c>
      <c r="L231" s="11">
        <f>5400</f>
        <v>5400</v>
      </c>
      <c r="Q231" s="2"/>
    </row>
    <row r="232" spans="1:17" hidden="1" x14ac:dyDescent="0.3">
      <c r="A232">
        <v>231</v>
      </c>
      <c r="C232" s="4" t="s">
        <v>268</v>
      </c>
      <c r="D232" s="4" t="s">
        <v>1668</v>
      </c>
      <c r="I232" s="4" t="s">
        <v>242</v>
      </c>
      <c r="J232" s="4" t="s">
        <v>1185</v>
      </c>
      <c r="K232" s="4" t="s">
        <v>243</v>
      </c>
      <c r="L232" s="11">
        <f>M232-L233-L234</f>
        <v>22055</v>
      </c>
      <c r="M232" s="7">
        <v>32519</v>
      </c>
      <c r="N232" s="7">
        <v>2276</v>
      </c>
      <c r="O232" s="7">
        <v>2</v>
      </c>
      <c r="Q232" s="2"/>
    </row>
    <row r="233" spans="1:17" hidden="1" x14ac:dyDescent="0.3">
      <c r="A233">
        <v>232</v>
      </c>
      <c r="D233" s="4" t="s">
        <v>1668</v>
      </c>
      <c r="J233" s="4" t="s">
        <v>214</v>
      </c>
      <c r="K233" s="4" t="s">
        <v>244</v>
      </c>
      <c r="L233" s="11">
        <v>5600</v>
      </c>
      <c r="Q233" s="2"/>
    </row>
    <row r="234" spans="1:17" hidden="1" x14ac:dyDescent="0.3">
      <c r="A234">
        <v>233</v>
      </c>
      <c r="D234" s="4" t="s">
        <v>1668</v>
      </c>
      <c r="J234" s="4" t="s">
        <v>206</v>
      </c>
      <c r="K234" s="4" t="s">
        <v>245</v>
      </c>
      <c r="L234" s="11">
        <f>608*8</f>
        <v>4864</v>
      </c>
      <c r="Q234" s="2"/>
    </row>
    <row r="235" spans="1:17" hidden="1" x14ac:dyDescent="0.3">
      <c r="A235">
        <v>234</v>
      </c>
      <c r="D235" s="4" t="s">
        <v>1540</v>
      </c>
      <c r="I235" s="4" t="s">
        <v>246</v>
      </c>
      <c r="J235" s="4" t="s">
        <v>1185</v>
      </c>
      <c r="K235" s="4" t="s">
        <v>247</v>
      </c>
      <c r="L235" s="11">
        <f>2843*8+7</f>
        <v>22751</v>
      </c>
      <c r="M235" s="7">
        <v>123279</v>
      </c>
      <c r="N235" s="7">
        <v>8629</v>
      </c>
      <c r="O235" s="7">
        <v>4</v>
      </c>
      <c r="Q235" s="2"/>
    </row>
    <row r="236" spans="1:17" hidden="1" x14ac:dyDescent="0.3">
      <c r="A236">
        <v>235</v>
      </c>
      <c r="D236" s="4" t="s">
        <v>1540</v>
      </c>
      <c r="J236" s="4" t="s">
        <v>206</v>
      </c>
      <c r="K236" s="4" t="s">
        <v>248</v>
      </c>
      <c r="L236" s="11">
        <f>12066*8</f>
        <v>96528</v>
      </c>
      <c r="Q236" s="2"/>
    </row>
    <row r="237" spans="1:17" hidden="1" x14ac:dyDescent="0.3">
      <c r="A237">
        <v>236</v>
      </c>
      <c r="D237" s="4" t="s">
        <v>1540</v>
      </c>
      <c r="J237" s="4" t="s">
        <v>214</v>
      </c>
      <c r="K237" s="4" t="s">
        <v>249</v>
      </c>
      <c r="L237" s="11">
        <v>4000</v>
      </c>
      <c r="Q237" s="2"/>
    </row>
    <row r="238" spans="1:17" hidden="1" x14ac:dyDescent="0.3">
      <c r="A238">
        <v>237</v>
      </c>
      <c r="C238" s="4" t="s">
        <v>269</v>
      </c>
      <c r="D238" s="4" t="s">
        <v>1583</v>
      </c>
      <c r="I238" s="4" t="s">
        <v>246</v>
      </c>
      <c r="J238" s="4" t="s">
        <v>1185</v>
      </c>
      <c r="K238" s="4" t="s">
        <v>251</v>
      </c>
      <c r="L238" s="4">
        <v>15704</v>
      </c>
      <c r="M238" s="4">
        <v>15704</v>
      </c>
      <c r="N238" s="4">
        <v>1099</v>
      </c>
      <c r="O238" s="4"/>
      <c r="P238" s="4"/>
      <c r="Q238" s="2"/>
    </row>
    <row r="239" spans="1:17" hidden="1" x14ac:dyDescent="0.3">
      <c r="A239">
        <v>238</v>
      </c>
      <c r="D239" s="4" t="s">
        <v>1557</v>
      </c>
      <c r="I239" s="4" t="s">
        <v>246</v>
      </c>
      <c r="J239" s="4" t="s">
        <v>1185</v>
      </c>
      <c r="K239" s="4" t="s">
        <v>252</v>
      </c>
      <c r="L239" s="11">
        <f>2743*8+7</f>
        <v>21951</v>
      </c>
      <c r="M239" s="7">
        <v>48553</v>
      </c>
      <c r="N239" s="7">
        <v>3398</v>
      </c>
      <c r="O239" s="7">
        <v>6</v>
      </c>
      <c r="Q239" s="2"/>
    </row>
    <row r="240" spans="1:17" hidden="1" x14ac:dyDescent="0.3">
      <c r="A240">
        <v>239</v>
      </c>
      <c r="D240" s="4" t="s">
        <v>1557</v>
      </c>
      <c r="J240" s="4" t="s">
        <v>1185</v>
      </c>
      <c r="K240" s="4" t="s">
        <v>310</v>
      </c>
      <c r="L240" s="11">
        <f>154*7</f>
        <v>1078</v>
      </c>
      <c r="Q240" s="2"/>
    </row>
    <row r="241" spans="1:17" hidden="1" x14ac:dyDescent="0.3">
      <c r="A241">
        <v>240</v>
      </c>
      <c r="D241" s="4" t="s">
        <v>1557</v>
      </c>
      <c r="J241" s="4" t="s">
        <v>214</v>
      </c>
      <c r="K241" s="4" t="s">
        <v>253</v>
      </c>
      <c r="L241" s="11">
        <v>23580</v>
      </c>
      <c r="Q241" s="2"/>
    </row>
    <row r="242" spans="1:17" hidden="1" x14ac:dyDescent="0.3">
      <c r="A242">
        <v>241</v>
      </c>
      <c r="D242" s="4" t="s">
        <v>1557</v>
      </c>
      <c r="J242" s="4" t="s">
        <v>206</v>
      </c>
      <c r="K242" s="4" t="s">
        <v>254</v>
      </c>
      <c r="L242" s="11">
        <f>243*8</f>
        <v>1944</v>
      </c>
      <c r="Q242" s="2"/>
    </row>
    <row r="243" spans="1:17" hidden="1" x14ac:dyDescent="0.3">
      <c r="A243">
        <v>242</v>
      </c>
      <c r="D243" s="4" t="s">
        <v>1412</v>
      </c>
      <c r="I243" s="4" t="s">
        <v>246</v>
      </c>
      <c r="J243" s="4" t="s">
        <v>1185</v>
      </c>
      <c r="K243" s="4" t="s">
        <v>255</v>
      </c>
      <c r="L243" s="11">
        <f>4593*8</f>
        <v>36744</v>
      </c>
      <c r="M243" s="7">
        <v>38892</v>
      </c>
      <c r="N243" s="7">
        <v>2722</v>
      </c>
      <c r="O243" s="7">
        <v>4</v>
      </c>
      <c r="Q243" s="2"/>
    </row>
    <row r="244" spans="1:17" hidden="1" x14ac:dyDescent="0.3">
      <c r="A244">
        <v>243</v>
      </c>
      <c r="D244" s="4" t="s">
        <v>1412</v>
      </c>
      <c r="J244" s="4" t="s">
        <v>1185</v>
      </c>
      <c r="K244" s="4" t="s">
        <v>301</v>
      </c>
      <c r="L244" s="11">
        <f>M243-L243</f>
        <v>2148</v>
      </c>
      <c r="Q244" s="2"/>
    </row>
    <row r="245" spans="1:17" hidden="1" x14ac:dyDescent="0.3">
      <c r="A245">
        <v>244</v>
      </c>
      <c r="D245" s="4" t="s">
        <v>1417</v>
      </c>
      <c r="I245" s="4" t="s">
        <v>246</v>
      </c>
      <c r="J245" s="4" t="s">
        <v>214</v>
      </c>
      <c r="K245" s="4" t="s">
        <v>126</v>
      </c>
      <c r="L245" s="4">
        <v>45900</v>
      </c>
      <c r="M245" s="4">
        <v>45900</v>
      </c>
      <c r="N245" s="4">
        <v>3213</v>
      </c>
      <c r="O245" s="4"/>
      <c r="P245" s="4"/>
      <c r="Q245" s="2"/>
    </row>
    <row r="246" spans="1:17" hidden="1" x14ac:dyDescent="0.3">
      <c r="A246">
        <v>245</v>
      </c>
      <c r="C246" s="4" t="s">
        <v>256</v>
      </c>
      <c r="D246" s="4" t="s">
        <v>257</v>
      </c>
      <c r="I246" s="4" t="s">
        <v>246</v>
      </c>
      <c r="J246" s="4" t="s">
        <v>1185</v>
      </c>
      <c r="K246" s="4" t="s">
        <v>258</v>
      </c>
      <c r="L246" s="11">
        <f>745*8</f>
        <v>5960</v>
      </c>
      <c r="M246" s="7">
        <v>20561</v>
      </c>
      <c r="N246" s="7">
        <v>1439</v>
      </c>
      <c r="Q246" s="2"/>
    </row>
    <row r="247" spans="1:17" hidden="1" x14ac:dyDescent="0.3">
      <c r="A247">
        <v>246</v>
      </c>
      <c r="D247" s="4" t="s">
        <v>257</v>
      </c>
      <c r="J247" s="4" t="s">
        <v>214</v>
      </c>
      <c r="K247" s="4" t="s">
        <v>1192</v>
      </c>
      <c r="L247" s="11">
        <v>2961</v>
      </c>
      <c r="Q247" s="2"/>
    </row>
    <row r="248" spans="1:17" hidden="1" x14ac:dyDescent="0.3">
      <c r="A248">
        <v>247</v>
      </c>
      <c r="D248" s="4" t="s">
        <v>257</v>
      </c>
      <c r="J248" s="4" t="s">
        <v>214</v>
      </c>
      <c r="K248" s="4" t="s">
        <v>259</v>
      </c>
      <c r="L248" s="11">
        <f>2550*4</f>
        <v>10200</v>
      </c>
      <c r="Q248" s="2" t="s">
        <v>735</v>
      </c>
    </row>
    <row r="249" spans="1:17" hidden="1" x14ac:dyDescent="0.3">
      <c r="A249">
        <v>248</v>
      </c>
      <c r="D249" s="4" t="s">
        <v>257</v>
      </c>
      <c r="J249" s="4" t="s">
        <v>206</v>
      </c>
      <c r="K249" s="4" t="s">
        <v>260</v>
      </c>
      <c r="L249" s="11">
        <f>180*8</f>
        <v>1440</v>
      </c>
      <c r="Q249" s="2"/>
    </row>
    <row r="250" spans="1:17" hidden="1" x14ac:dyDescent="0.3">
      <c r="A250">
        <v>249</v>
      </c>
      <c r="B250" s="4" t="s">
        <v>261</v>
      </c>
      <c r="C250" s="4" t="s">
        <v>268</v>
      </c>
      <c r="D250" s="4" t="s">
        <v>1568</v>
      </c>
      <c r="I250" s="4" t="s">
        <v>265</v>
      </c>
      <c r="J250" s="4" t="s">
        <v>1185</v>
      </c>
      <c r="K250" s="4" t="s">
        <v>262</v>
      </c>
      <c r="L250" s="11">
        <f>6371*8</f>
        <v>50968</v>
      </c>
      <c r="M250" s="7">
        <v>90902</v>
      </c>
      <c r="N250" s="7">
        <v>6363</v>
      </c>
      <c r="O250" s="7">
        <v>1</v>
      </c>
      <c r="Q250" s="2"/>
    </row>
    <row r="251" spans="1:17" hidden="1" x14ac:dyDescent="0.3">
      <c r="A251">
        <v>250</v>
      </c>
      <c r="D251" s="4" t="s">
        <v>1568</v>
      </c>
      <c r="J251" s="4" t="s">
        <v>1185</v>
      </c>
      <c r="K251" s="4" t="s">
        <v>302</v>
      </c>
      <c r="L251" s="11">
        <f>638*7</f>
        <v>4466</v>
      </c>
      <c r="Q251" s="2"/>
    </row>
    <row r="252" spans="1:17" hidden="1" x14ac:dyDescent="0.3">
      <c r="A252">
        <v>251</v>
      </c>
      <c r="D252" s="4" t="s">
        <v>1568</v>
      </c>
      <c r="J252" s="4" t="s">
        <v>206</v>
      </c>
      <c r="K252" s="4" t="s">
        <v>263</v>
      </c>
      <c r="L252" s="11">
        <f>996*8</f>
        <v>7968</v>
      </c>
      <c r="Q252" s="2"/>
    </row>
    <row r="253" spans="1:17" hidden="1" x14ac:dyDescent="0.3">
      <c r="A253">
        <v>252</v>
      </c>
      <c r="D253" s="4" t="s">
        <v>1568</v>
      </c>
      <c r="J253" s="4" t="s">
        <v>214</v>
      </c>
      <c r="K253" s="4" t="s">
        <v>264</v>
      </c>
      <c r="L253" s="11">
        <f>11*2500</f>
        <v>27500</v>
      </c>
      <c r="Q253" s="2"/>
    </row>
    <row r="254" spans="1:17" hidden="1" x14ac:dyDescent="0.3">
      <c r="A254">
        <v>253</v>
      </c>
      <c r="C254" s="4" t="s">
        <v>268</v>
      </c>
      <c r="D254" s="4" t="s">
        <v>1294</v>
      </c>
      <c r="I254" s="4" t="s">
        <v>265</v>
      </c>
      <c r="J254" s="4" t="s">
        <v>1185</v>
      </c>
      <c r="K254" s="4" t="s">
        <v>266</v>
      </c>
      <c r="L254" s="11">
        <f>12435*8</f>
        <v>99480</v>
      </c>
      <c r="M254" s="7">
        <v>157864</v>
      </c>
      <c r="N254" s="7">
        <v>11050</v>
      </c>
      <c r="O254" s="7">
        <v>4</v>
      </c>
      <c r="Q254" s="2"/>
    </row>
    <row r="255" spans="1:17" hidden="1" x14ac:dyDescent="0.3">
      <c r="A255">
        <v>254</v>
      </c>
      <c r="D255" s="4" t="s">
        <v>1294</v>
      </c>
      <c r="J255" s="4" t="s">
        <v>1185</v>
      </c>
      <c r="K255" s="4" t="s">
        <v>311</v>
      </c>
      <c r="L255" s="11">
        <f>M254-L254-L256</f>
        <v>2848</v>
      </c>
      <c r="Q255" s="2"/>
    </row>
    <row r="256" spans="1:17" hidden="1" x14ac:dyDescent="0.3">
      <c r="A256">
        <v>255</v>
      </c>
      <c r="D256" s="4" t="s">
        <v>1294</v>
      </c>
      <c r="J256" s="4" t="s">
        <v>206</v>
      </c>
      <c r="K256" s="4" t="s">
        <v>267</v>
      </c>
      <c r="L256" s="11">
        <f>6942*8</f>
        <v>55536</v>
      </c>
      <c r="Q256" s="2"/>
    </row>
    <row r="257" spans="1:17" hidden="1" x14ac:dyDescent="0.3">
      <c r="A257">
        <v>256</v>
      </c>
      <c r="C257" s="4" t="s">
        <v>268</v>
      </c>
      <c r="D257" s="4" t="s">
        <v>1668</v>
      </c>
      <c r="I257" s="4" t="s">
        <v>274</v>
      </c>
      <c r="J257" s="4" t="s">
        <v>206</v>
      </c>
      <c r="K257" s="4" t="s">
        <v>275</v>
      </c>
      <c r="L257" s="11">
        <f>2622*8+1</f>
        <v>20977</v>
      </c>
      <c r="M257" s="7">
        <v>21777</v>
      </c>
      <c r="N257" s="7">
        <v>1524</v>
      </c>
      <c r="O257" s="7">
        <v>2</v>
      </c>
      <c r="Q257" s="2"/>
    </row>
    <row r="258" spans="1:17" hidden="1" x14ac:dyDescent="0.3">
      <c r="A258">
        <v>257</v>
      </c>
      <c r="D258" s="4" t="s">
        <v>1668</v>
      </c>
      <c r="J258" s="4" t="s">
        <v>214</v>
      </c>
      <c r="K258" s="4" t="s">
        <v>276</v>
      </c>
      <c r="L258" s="11">
        <v>800</v>
      </c>
      <c r="Q258" s="2"/>
    </row>
    <row r="259" spans="1:17" hidden="1" x14ac:dyDescent="0.3">
      <c r="A259">
        <v>258</v>
      </c>
      <c r="C259" s="4" t="s">
        <v>268</v>
      </c>
      <c r="D259" s="4" t="s">
        <v>1519</v>
      </c>
      <c r="I259" s="4" t="s">
        <v>274</v>
      </c>
      <c r="J259" s="4" t="s">
        <v>214</v>
      </c>
      <c r="K259" s="4" t="s">
        <v>277</v>
      </c>
      <c r="L259" s="4">
        <v>16200</v>
      </c>
      <c r="M259" s="4">
        <v>16200</v>
      </c>
      <c r="N259" s="4">
        <v>1134</v>
      </c>
      <c r="O259" s="4"/>
      <c r="P259" s="4"/>
      <c r="Q259" s="2"/>
    </row>
    <row r="260" spans="1:17" hidden="1" x14ac:dyDescent="0.3">
      <c r="A260">
        <v>259</v>
      </c>
      <c r="D260" s="4" t="s">
        <v>1556</v>
      </c>
      <c r="I260" s="4" t="s">
        <v>274</v>
      </c>
      <c r="J260" s="4" t="s">
        <v>206</v>
      </c>
      <c r="K260" s="4" t="s">
        <v>278</v>
      </c>
      <c r="L260" s="4">
        <v>3664</v>
      </c>
      <c r="M260" s="4">
        <v>3664</v>
      </c>
      <c r="N260" s="4">
        <v>256</v>
      </c>
      <c r="O260" s="4">
        <v>4</v>
      </c>
      <c r="P260" s="4"/>
      <c r="Q260" s="2"/>
    </row>
    <row r="261" spans="1:17" hidden="1" x14ac:dyDescent="0.3">
      <c r="A261">
        <v>260</v>
      </c>
      <c r="D261" s="4" t="s">
        <v>1454</v>
      </c>
      <c r="I261" s="4" t="s">
        <v>274</v>
      </c>
      <c r="J261" s="4" t="s">
        <v>206</v>
      </c>
      <c r="K261" s="4" t="s">
        <v>279</v>
      </c>
      <c r="L261" s="4">
        <v>1848</v>
      </c>
      <c r="M261" s="4">
        <v>1848</v>
      </c>
      <c r="N261" s="4">
        <v>129</v>
      </c>
      <c r="O261" s="4">
        <v>2</v>
      </c>
      <c r="P261" s="4"/>
      <c r="Q261" s="2"/>
    </row>
    <row r="262" spans="1:17" hidden="1" x14ac:dyDescent="0.3">
      <c r="A262">
        <v>261</v>
      </c>
      <c r="D262" s="5" t="s">
        <v>1636</v>
      </c>
      <c r="E262" s="5" t="s">
        <v>1637</v>
      </c>
      <c r="F262" s="5"/>
      <c r="G262" s="5"/>
      <c r="H262" s="5"/>
      <c r="I262" s="4" t="s">
        <v>280</v>
      </c>
      <c r="J262" s="4" t="s">
        <v>1185</v>
      </c>
      <c r="K262" s="4" t="s">
        <v>281</v>
      </c>
      <c r="L262" s="11">
        <f>2336*8</f>
        <v>18688</v>
      </c>
      <c r="M262" s="7">
        <v>103878</v>
      </c>
      <c r="N262" s="7">
        <v>7271</v>
      </c>
      <c r="O262" s="7">
        <v>4</v>
      </c>
      <c r="Q262" s="2"/>
    </row>
    <row r="263" spans="1:17" hidden="1" x14ac:dyDescent="0.3">
      <c r="A263">
        <v>262</v>
      </c>
      <c r="D263" s="5" t="s">
        <v>1636</v>
      </c>
      <c r="E263" s="5" t="s">
        <v>1637</v>
      </c>
      <c r="F263" s="5"/>
      <c r="G263" s="5"/>
      <c r="H263" s="5"/>
      <c r="J263" s="4" t="s">
        <v>1185</v>
      </c>
      <c r="K263" s="4" t="s">
        <v>303</v>
      </c>
      <c r="L263" s="11">
        <f>M262-L262-L264-L265-L266</f>
        <v>14662</v>
      </c>
      <c r="Q263" s="2"/>
    </row>
    <row r="264" spans="1:17" hidden="1" x14ac:dyDescent="0.3">
      <c r="A264">
        <v>263</v>
      </c>
      <c r="D264" s="5" t="s">
        <v>1636</v>
      </c>
      <c r="E264" s="5" t="s">
        <v>1637</v>
      </c>
      <c r="F264" s="5"/>
      <c r="G264" s="5"/>
      <c r="H264" s="5"/>
      <c r="J264" s="4" t="s">
        <v>1185</v>
      </c>
      <c r="K264" s="4" t="s">
        <v>282</v>
      </c>
      <c r="L264" s="11">
        <f>321*8</f>
        <v>2568</v>
      </c>
      <c r="Q264" s="2"/>
    </row>
    <row r="265" spans="1:17" hidden="1" x14ac:dyDescent="0.3">
      <c r="A265">
        <v>264</v>
      </c>
      <c r="D265" s="5" t="s">
        <v>1636</v>
      </c>
      <c r="E265" s="5" t="s">
        <v>1637</v>
      </c>
      <c r="F265" s="5"/>
      <c r="G265" s="5"/>
      <c r="H265" s="5"/>
      <c r="J265" s="4" t="s">
        <v>214</v>
      </c>
      <c r="K265" s="4" t="s">
        <v>283</v>
      </c>
      <c r="L265" s="11">
        <f>2500*27</f>
        <v>67500</v>
      </c>
      <c r="Q265" s="2"/>
    </row>
    <row r="266" spans="1:17" hidden="1" x14ac:dyDescent="0.3">
      <c r="A266">
        <v>265</v>
      </c>
      <c r="D266" s="5" t="s">
        <v>1636</v>
      </c>
      <c r="E266" s="5" t="s">
        <v>1637</v>
      </c>
      <c r="F266" s="5"/>
      <c r="G266" s="5"/>
      <c r="H266" s="5"/>
      <c r="J266" s="4" t="s">
        <v>206</v>
      </c>
      <c r="K266" s="4" t="s">
        <v>284</v>
      </c>
      <c r="L266" s="11">
        <v>460</v>
      </c>
      <c r="Q266" s="2"/>
    </row>
    <row r="267" spans="1:17" hidden="1" x14ac:dyDescent="0.3">
      <c r="A267">
        <v>266</v>
      </c>
      <c r="C267" s="4" t="s">
        <v>268</v>
      </c>
      <c r="D267" s="4" t="s">
        <v>1294</v>
      </c>
      <c r="I267" s="4" t="s">
        <v>280</v>
      </c>
      <c r="J267" s="4" t="s">
        <v>1185</v>
      </c>
      <c r="K267" s="4" t="s">
        <v>285</v>
      </c>
      <c r="L267" s="11">
        <f>9201*8+4</f>
        <v>73612</v>
      </c>
      <c r="M267" s="7">
        <v>120892</v>
      </c>
      <c r="N267" s="7">
        <v>8462</v>
      </c>
      <c r="O267" s="7">
        <v>4</v>
      </c>
      <c r="Q267" s="2"/>
    </row>
    <row r="268" spans="1:17" hidden="1" x14ac:dyDescent="0.3">
      <c r="A268">
        <v>267</v>
      </c>
      <c r="D268" s="4" t="s">
        <v>1294</v>
      </c>
      <c r="J268" s="4" t="s">
        <v>206</v>
      </c>
      <c r="K268" s="4" t="s">
        <v>1193</v>
      </c>
      <c r="L268" s="11">
        <f>5910*8</f>
        <v>47280</v>
      </c>
      <c r="Q268" s="2"/>
    </row>
    <row r="269" spans="1:17" hidden="1" x14ac:dyDescent="0.3">
      <c r="A269">
        <v>268</v>
      </c>
      <c r="C269" s="4" t="s">
        <v>286</v>
      </c>
      <c r="D269" s="4" t="s">
        <v>1550</v>
      </c>
      <c r="I269" s="4" t="s">
        <v>280</v>
      </c>
      <c r="J269" s="4" t="s">
        <v>206</v>
      </c>
      <c r="K269" s="4" t="s">
        <v>287</v>
      </c>
      <c r="L269" s="11">
        <f>1776*8</f>
        <v>14208</v>
      </c>
      <c r="M269" s="7">
        <v>24808</v>
      </c>
      <c r="N269" s="7">
        <v>1736</v>
      </c>
      <c r="O269" s="7">
        <v>4</v>
      </c>
      <c r="Q269" s="2"/>
    </row>
    <row r="270" spans="1:17" hidden="1" x14ac:dyDescent="0.3">
      <c r="A270">
        <v>269</v>
      </c>
      <c r="D270" s="4" t="s">
        <v>1550</v>
      </c>
      <c r="J270" s="4" t="s">
        <v>214</v>
      </c>
      <c r="K270" s="4" t="s">
        <v>114</v>
      </c>
      <c r="L270" s="11">
        <v>5000</v>
      </c>
      <c r="Q270" s="2"/>
    </row>
    <row r="271" spans="1:17" hidden="1" x14ac:dyDescent="0.3">
      <c r="A271">
        <v>270</v>
      </c>
      <c r="D271" s="4" t="s">
        <v>1550</v>
      </c>
      <c r="J271" s="4" t="s">
        <v>1185</v>
      </c>
      <c r="K271" s="4" t="s">
        <v>289</v>
      </c>
      <c r="L271" s="11">
        <f>700*8</f>
        <v>5600</v>
      </c>
      <c r="Q271" s="2"/>
    </row>
    <row r="272" spans="1:17" ht="28.8" hidden="1" x14ac:dyDescent="0.3">
      <c r="A272">
        <v>271</v>
      </c>
      <c r="B272" s="4" t="s">
        <v>290</v>
      </c>
      <c r="D272" s="4" t="s">
        <v>1357</v>
      </c>
      <c r="I272" s="4" t="s">
        <v>280</v>
      </c>
      <c r="J272" s="4" t="s">
        <v>1185</v>
      </c>
      <c r="K272" s="5" t="s">
        <v>304</v>
      </c>
      <c r="L272" s="11">
        <f>157*8+603*7</f>
        <v>5477</v>
      </c>
      <c r="M272" s="7">
        <v>5957</v>
      </c>
      <c r="N272" s="7">
        <v>417</v>
      </c>
      <c r="Q272" s="2"/>
    </row>
    <row r="273" spans="1:17" hidden="1" x14ac:dyDescent="0.3">
      <c r="A273">
        <v>272</v>
      </c>
      <c r="D273" s="4" t="s">
        <v>1357</v>
      </c>
      <c r="J273" s="4" t="s">
        <v>206</v>
      </c>
      <c r="K273" s="4" t="s">
        <v>1194</v>
      </c>
      <c r="L273" s="11">
        <f>M272-L272-L274</f>
        <v>80</v>
      </c>
      <c r="Q273" s="2"/>
    </row>
    <row r="274" spans="1:17" hidden="1" x14ac:dyDescent="0.3">
      <c r="A274">
        <v>273</v>
      </c>
      <c r="D274" s="4" t="s">
        <v>1357</v>
      </c>
      <c r="J274" s="4" t="s">
        <v>214</v>
      </c>
      <c r="K274" s="4" t="s">
        <v>291</v>
      </c>
      <c r="L274" s="11">
        <v>400</v>
      </c>
      <c r="Q274" s="2"/>
    </row>
    <row r="275" spans="1:17" hidden="1" x14ac:dyDescent="0.3">
      <c r="A275">
        <v>274</v>
      </c>
      <c r="D275" s="4" t="s">
        <v>1250</v>
      </c>
      <c r="I275" s="4" t="s">
        <v>280</v>
      </c>
      <c r="J275" s="4" t="s">
        <v>1185</v>
      </c>
      <c r="K275" s="4" t="s">
        <v>292</v>
      </c>
      <c r="L275" s="11">
        <f>4024*8</f>
        <v>32192</v>
      </c>
      <c r="M275" s="7">
        <v>93136</v>
      </c>
      <c r="N275" s="7">
        <v>6519</v>
      </c>
      <c r="O275" s="7">
        <v>3</v>
      </c>
      <c r="Q275" s="2"/>
    </row>
    <row r="276" spans="1:17" hidden="1" x14ac:dyDescent="0.3">
      <c r="A276">
        <v>275</v>
      </c>
      <c r="D276" s="4" t="s">
        <v>1250</v>
      </c>
      <c r="J276" s="4" t="s">
        <v>1185</v>
      </c>
      <c r="K276" s="4" t="s">
        <v>314</v>
      </c>
      <c r="L276" s="11">
        <f>7*2396</f>
        <v>16772</v>
      </c>
      <c r="Q276" s="2"/>
    </row>
    <row r="277" spans="1:17" hidden="1" x14ac:dyDescent="0.3">
      <c r="A277">
        <v>276</v>
      </c>
      <c r="D277" s="4" t="s">
        <v>1250</v>
      </c>
      <c r="J277" s="4" t="s">
        <v>206</v>
      </c>
      <c r="K277" s="4" t="s">
        <v>315</v>
      </c>
      <c r="L277" s="11">
        <f>3422*8</f>
        <v>27376</v>
      </c>
      <c r="Q277" s="2"/>
    </row>
    <row r="278" spans="1:17" hidden="1" x14ac:dyDescent="0.3">
      <c r="A278">
        <v>277</v>
      </c>
      <c r="D278" s="4" t="s">
        <v>1250</v>
      </c>
      <c r="J278" s="4" t="s">
        <v>214</v>
      </c>
      <c r="K278" s="4" t="s">
        <v>316</v>
      </c>
      <c r="L278" s="11">
        <v>450</v>
      </c>
      <c r="Q278" s="2"/>
    </row>
    <row r="279" spans="1:17" hidden="1" x14ac:dyDescent="0.3">
      <c r="A279">
        <v>278</v>
      </c>
      <c r="D279" s="4" t="s">
        <v>1250</v>
      </c>
      <c r="J279" s="4" t="s">
        <v>206</v>
      </c>
      <c r="K279" s="4" t="s">
        <v>317</v>
      </c>
      <c r="L279" s="11">
        <f>657*8</f>
        <v>5256</v>
      </c>
      <c r="Q279" s="2"/>
    </row>
    <row r="280" spans="1:17" hidden="1" x14ac:dyDescent="0.3">
      <c r="A280">
        <v>279</v>
      </c>
      <c r="D280" s="4" t="s">
        <v>1250</v>
      </c>
      <c r="J280" s="4" t="s">
        <v>214</v>
      </c>
      <c r="K280" s="4" t="s">
        <v>318</v>
      </c>
      <c r="L280" s="11">
        <f>2550*3</f>
        <v>7650</v>
      </c>
      <c r="Q280" s="2"/>
    </row>
    <row r="281" spans="1:17" hidden="1" x14ac:dyDescent="0.3">
      <c r="A281">
        <v>280</v>
      </c>
      <c r="D281" s="4" t="s">
        <v>1250</v>
      </c>
      <c r="J281" s="4" t="s">
        <v>206</v>
      </c>
      <c r="K281" s="4" t="s">
        <v>319</v>
      </c>
      <c r="L281" s="11">
        <v>1600</v>
      </c>
      <c r="Q281" s="2"/>
    </row>
    <row r="282" spans="1:17" hidden="1" x14ac:dyDescent="0.3">
      <c r="A282">
        <v>281</v>
      </c>
      <c r="D282" s="4" t="s">
        <v>1250</v>
      </c>
      <c r="J282" s="4" t="s">
        <v>206</v>
      </c>
      <c r="K282" s="4" t="s">
        <v>320</v>
      </c>
      <c r="L282" s="11">
        <f>230*8</f>
        <v>1840</v>
      </c>
      <c r="Q282" s="2"/>
    </row>
    <row r="283" spans="1:17" hidden="1" x14ac:dyDescent="0.3">
      <c r="A283">
        <v>282</v>
      </c>
      <c r="D283" s="4" t="s">
        <v>1499</v>
      </c>
      <c r="I283" s="4" t="s">
        <v>280</v>
      </c>
      <c r="J283" s="4" t="s">
        <v>1185</v>
      </c>
      <c r="K283" s="4" t="s">
        <v>321</v>
      </c>
      <c r="L283" s="11">
        <f>274*8+10</f>
        <v>2202</v>
      </c>
      <c r="M283" s="7">
        <v>9638</v>
      </c>
      <c r="N283" s="7">
        <v>674</v>
      </c>
      <c r="O283" s="7">
        <v>5</v>
      </c>
      <c r="Q283" s="2"/>
    </row>
    <row r="284" spans="1:17" hidden="1" x14ac:dyDescent="0.3">
      <c r="A284">
        <v>283</v>
      </c>
      <c r="D284" s="4" t="s">
        <v>1499</v>
      </c>
      <c r="J284" s="4" t="s">
        <v>214</v>
      </c>
      <c r="K284" s="4" t="s">
        <v>322</v>
      </c>
      <c r="L284" s="11">
        <v>2500</v>
      </c>
      <c r="Q284" s="2"/>
    </row>
    <row r="285" spans="1:17" hidden="1" x14ac:dyDescent="0.3">
      <c r="A285">
        <v>284</v>
      </c>
      <c r="D285" s="4" t="s">
        <v>1499</v>
      </c>
      <c r="J285" s="4" t="s">
        <v>206</v>
      </c>
      <c r="K285" s="4" t="s">
        <v>323</v>
      </c>
      <c r="L285" s="11">
        <f>205*8</f>
        <v>1640</v>
      </c>
      <c r="Q285" s="2"/>
    </row>
    <row r="286" spans="1:17" hidden="1" x14ac:dyDescent="0.3">
      <c r="A286">
        <v>285</v>
      </c>
      <c r="D286" s="4" t="s">
        <v>1499</v>
      </c>
      <c r="J286" s="4" t="s">
        <v>214</v>
      </c>
      <c r="K286" s="4" t="s">
        <v>276</v>
      </c>
      <c r="L286" s="11">
        <v>800</v>
      </c>
      <c r="Q286" s="2"/>
    </row>
    <row r="287" spans="1:17" hidden="1" x14ac:dyDescent="0.3">
      <c r="A287">
        <v>286</v>
      </c>
      <c r="D287" s="4" t="s">
        <v>1499</v>
      </c>
      <c r="J287" s="4" t="s">
        <v>1185</v>
      </c>
      <c r="K287" s="4" t="s">
        <v>324</v>
      </c>
      <c r="L287" s="11">
        <f>135*8</f>
        <v>1080</v>
      </c>
      <c r="Q287" s="2"/>
    </row>
    <row r="288" spans="1:17" hidden="1" x14ac:dyDescent="0.3">
      <c r="A288">
        <v>287</v>
      </c>
      <c r="D288" s="4" t="s">
        <v>1499</v>
      </c>
      <c r="J288" s="4" t="s">
        <v>214</v>
      </c>
      <c r="K288" s="4" t="s">
        <v>325</v>
      </c>
      <c r="L288" s="11">
        <v>1416</v>
      </c>
      <c r="Q288" s="2"/>
    </row>
    <row r="289" spans="1:17" ht="28.8" hidden="1" x14ac:dyDescent="0.3">
      <c r="A289">
        <v>288</v>
      </c>
      <c r="C289" s="4" t="s">
        <v>268</v>
      </c>
      <c r="D289" s="4" t="s">
        <v>1519</v>
      </c>
      <c r="I289" s="4" t="s">
        <v>333</v>
      </c>
      <c r="J289" s="4" t="s">
        <v>1185</v>
      </c>
      <c r="K289" s="5" t="s">
        <v>326</v>
      </c>
      <c r="L289" s="11">
        <f>4702*8+207*7+9</f>
        <v>39074</v>
      </c>
      <c r="M289" s="7">
        <v>86754</v>
      </c>
      <c r="N289" s="7">
        <v>6072</v>
      </c>
      <c r="O289" s="7">
        <v>6</v>
      </c>
      <c r="Q289" s="2"/>
    </row>
    <row r="290" spans="1:17" hidden="1" x14ac:dyDescent="0.3">
      <c r="A290">
        <v>289</v>
      </c>
      <c r="D290" s="4" t="s">
        <v>1519</v>
      </c>
      <c r="J290" s="4" t="s">
        <v>206</v>
      </c>
      <c r="K290" s="4" t="s">
        <v>133</v>
      </c>
      <c r="L290" s="11">
        <f>2400*8</f>
        <v>19200</v>
      </c>
      <c r="Q290" s="2"/>
    </row>
    <row r="291" spans="1:17" hidden="1" x14ac:dyDescent="0.3">
      <c r="A291">
        <v>290</v>
      </c>
      <c r="D291" s="4" t="s">
        <v>1519</v>
      </c>
      <c r="J291" s="4" t="s">
        <v>214</v>
      </c>
      <c r="K291" s="4" t="s">
        <v>327</v>
      </c>
      <c r="L291" s="11">
        <f>2500*8</f>
        <v>20000</v>
      </c>
      <c r="Q291" s="2"/>
    </row>
    <row r="292" spans="1:17" hidden="1" x14ac:dyDescent="0.3">
      <c r="A292">
        <v>291</v>
      </c>
      <c r="D292" s="4" t="s">
        <v>1519</v>
      </c>
      <c r="J292" s="4" t="s">
        <v>206</v>
      </c>
      <c r="K292" s="4" t="s">
        <v>328</v>
      </c>
      <c r="L292" s="11">
        <f>1060*8</f>
        <v>8480</v>
      </c>
      <c r="Q292" s="2"/>
    </row>
    <row r="293" spans="1:17" hidden="1" x14ac:dyDescent="0.3">
      <c r="A293">
        <v>292</v>
      </c>
      <c r="C293" s="4" t="s">
        <v>268</v>
      </c>
      <c r="D293" s="4" t="s">
        <v>1519</v>
      </c>
      <c r="I293" s="4" t="s">
        <v>333</v>
      </c>
      <c r="J293" s="4" t="s">
        <v>1185</v>
      </c>
      <c r="K293" s="4" t="s">
        <v>329</v>
      </c>
      <c r="L293" s="11">
        <f>6474*8+9+5</f>
        <v>51806</v>
      </c>
      <c r="M293" s="7">
        <v>120390</v>
      </c>
      <c r="N293" s="7">
        <v>8427</v>
      </c>
      <c r="O293" s="7">
        <v>2</v>
      </c>
      <c r="Q293" s="2"/>
    </row>
    <row r="294" spans="1:17" hidden="1" x14ac:dyDescent="0.3">
      <c r="A294">
        <v>293</v>
      </c>
      <c r="D294" s="4" t="s">
        <v>1519</v>
      </c>
      <c r="J294" s="4" t="s">
        <v>214</v>
      </c>
      <c r="K294" s="4" t="s">
        <v>330</v>
      </c>
      <c r="L294" s="11">
        <f>2700*18</f>
        <v>48600</v>
      </c>
      <c r="Q294" s="2"/>
    </row>
    <row r="295" spans="1:17" hidden="1" x14ac:dyDescent="0.3">
      <c r="A295">
        <v>294</v>
      </c>
      <c r="D295" s="4" t="s">
        <v>1519</v>
      </c>
      <c r="J295" s="4" t="s">
        <v>206</v>
      </c>
      <c r="K295" s="4" t="s">
        <v>331</v>
      </c>
      <c r="L295" s="11">
        <f>1800*8</f>
        <v>14400</v>
      </c>
      <c r="Q295" s="2"/>
    </row>
    <row r="296" spans="1:17" hidden="1" x14ac:dyDescent="0.3">
      <c r="A296">
        <v>295</v>
      </c>
      <c r="D296" s="4" t="s">
        <v>1519</v>
      </c>
      <c r="J296" s="4" t="s">
        <v>206</v>
      </c>
      <c r="K296" s="4" t="s">
        <v>332</v>
      </c>
      <c r="L296" s="11">
        <f>698*8</f>
        <v>5584</v>
      </c>
      <c r="Q296" s="2"/>
    </row>
    <row r="297" spans="1:17" hidden="1" x14ac:dyDescent="0.3">
      <c r="A297">
        <v>296</v>
      </c>
      <c r="D297" s="4" t="s">
        <v>1356</v>
      </c>
      <c r="I297" s="4" t="s">
        <v>334</v>
      </c>
      <c r="J297" s="4" t="s">
        <v>206</v>
      </c>
      <c r="K297" s="4" t="s">
        <v>335</v>
      </c>
      <c r="L297" s="11">
        <f>9517*8+7</f>
        <v>76143</v>
      </c>
      <c r="M297" s="7">
        <v>121143</v>
      </c>
      <c r="N297" s="7">
        <v>8480</v>
      </c>
      <c r="Q297" s="2"/>
    </row>
    <row r="298" spans="1:17" hidden="1" x14ac:dyDescent="0.3">
      <c r="A298">
        <v>297</v>
      </c>
      <c r="D298" s="4" t="s">
        <v>1356</v>
      </c>
      <c r="J298" s="4" t="s">
        <v>214</v>
      </c>
      <c r="K298" s="4" t="s">
        <v>126</v>
      </c>
      <c r="L298" s="11">
        <f>18*2500</f>
        <v>45000</v>
      </c>
      <c r="Q298" s="2"/>
    </row>
    <row r="299" spans="1:17" ht="28.8" hidden="1" x14ac:dyDescent="0.3">
      <c r="A299">
        <v>298</v>
      </c>
      <c r="C299" s="5" t="s">
        <v>336</v>
      </c>
      <c r="D299" s="4" t="s">
        <v>1600</v>
      </c>
      <c r="I299" s="4" t="s">
        <v>337</v>
      </c>
      <c r="J299" s="4" t="s">
        <v>1185</v>
      </c>
      <c r="K299" s="5" t="s">
        <v>338</v>
      </c>
      <c r="L299" s="11">
        <f>3945*8+1274*7+5747*8+9+2</f>
        <v>86465</v>
      </c>
      <c r="M299" s="7">
        <v>93913</v>
      </c>
      <c r="N299" s="7">
        <v>6573</v>
      </c>
      <c r="Q299" s="2"/>
    </row>
    <row r="300" spans="1:17" hidden="1" x14ac:dyDescent="0.3">
      <c r="A300">
        <v>299</v>
      </c>
      <c r="D300" s="4" t="s">
        <v>1600</v>
      </c>
      <c r="J300" s="4" t="s">
        <v>206</v>
      </c>
      <c r="K300" s="4" t="s">
        <v>339</v>
      </c>
      <c r="L300" s="11">
        <f>306*8</f>
        <v>2448</v>
      </c>
      <c r="Q300" s="2"/>
    </row>
    <row r="301" spans="1:17" hidden="1" x14ac:dyDescent="0.3">
      <c r="A301">
        <v>300</v>
      </c>
      <c r="D301" s="4" t="s">
        <v>1600</v>
      </c>
      <c r="J301" s="4" t="s">
        <v>214</v>
      </c>
      <c r="K301" s="4" t="s">
        <v>114</v>
      </c>
      <c r="L301" s="11">
        <v>5000</v>
      </c>
      <c r="Q301" s="2"/>
    </row>
    <row r="302" spans="1:17" hidden="1" x14ac:dyDescent="0.3">
      <c r="A302">
        <v>301</v>
      </c>
      <c r="B302" s="4" t="s">
        <v>340</v>
      </c>
      <c r="D302" s="4" t="s">
        <v>1552</v>
      </c>
      <c r="I302" s="4" t="s">
        <v>341</v>
      </c>
      <c r="J302" s="4" t="s">
        <v>1185</v>
      </c>
      <c r="K302" s="4" t="s">
        <v>342</v>
      </c>
      <c r="L302" s="11">
        <f>12422*8</f>
        <v>99376</v>
      </c>
      <c r="M302" s="7">
        <v>124376</v>
      </c>
      <c r="N302" s="7">
        <v>8706</v>
      </c>
      <c r="O302" s="7">
        <v>2</v>
      </c>
      <c r="Q302" s="2"/>
    </row>
    <row r="303" spans="1:17" hidden="1" x14ac:dyDescent="0.3">
      <c r="A303">
        <v>302</v>
      </c>
      <c r="D303" s="4" t="s">
        <v>1552</v>
      </c>
      <c r="J303" s="4" t="s">
        <v>214</v>
      </c>
      <c r="K303" s="4" t="s">
        <v>343</v>
      </c>
      <c r="L303" s="11">
        <v>25000</v>
      </c>
      <c r="Q303" s="2"/>
    </row>
    <row r="304" spans="1:17" hidden="1" x14ac:dyDescent="0.3">
      <c r="A304">
        <v>303</v>
      </c>
      <c r="C304" s="4" t="s">
        <v>268</v>
      </c>
      <c r="D304" s="4" t="s">
        <v>1354</v>
      </c>
      <c r="I304" s="4" t="s">
        <v>344</v>
      </c>
      <c r="J304" s="4" t="s">
        <v>214</v>
      </c>
      <c r="K304" s="4" t="s">
        <v>345</v>
      </c>
      <c r="L304" s="11">
        <f>13*2500</f>
        <v>32500</v>
      </c>
      <c r="M304" s="7">
        <v>36572</v>
      </c>
      <c r="N304" s="7">
        <v>2560</v>
      </c>
      <c r="Q304" s="2"/>
    </row>
    <row r="305" spans="1:17" hidden="1" x14ac:dyDescent="0.3">
      <c r="A305">
        <v>304</v>
      </c>
      <c r="D305" s="4" t="s">
        <v>1354</v>
      </c>
      <c r="J305" s="4" t="s">
        <v>214</v>
      </c>
      <c r="K305" s="5" t="s">
        <v>346</v>
      </c>
      <c r="L305" s="11">
        <f>M304-L304-L306</f>
        <v>2504</v>
      </c>
      <c r="Q305" s="2"/>
    </row>
    <row r="306" spans="1:17" hidden="1" x14ac:dyDescent="0.3">
      <c r="A306">
        <v>305</v>
      </c>
      <c r="D306" s="4" t="s">
        <v>1354</v>
      </c>
      <c r="J306" s="4" t="s">
        <v>1185</v>
      </c>
      <c r="K306" s="4" t="s">
        <v>347</v>
      </c>
      <c r="L306" s="11">
        <f>196*8</f>
        <v>1568</v>
      </c>
      <c r="Q306" s="2"/>
    </row>
    <row r="307" spans="1:17" hidden="1" x14ac:dyDescent="0.3">
      <c r="A307">
        <v>306</v>
      </c>
      <c r="D307" s="4" t="s">
        <v>1402</v>
      </c>
      <c r="I307" s="4" t="s">
        <v>344</v>
      </c>
      <c r="J307" s="4" t="s">
        <v>1185</v>
      </c>
      <c r="K307" s="4" t="s">
        <v>348</v>
      </c>
      <c r="L307" s="11">
        <f>2809*8</f>
        <v>22472</v>
      </c>
      <c r="M307" s="7">
        <v>56580</v>
      </c>
      <c r="N307" s="7">
        <v>3960</v>
      </c>
      <c r="O307" s="7">
        <v>5</v>
      </c>
      <c r="Q307" s="2"/>
    </row>
    <row r="308" spans="1:17" hidden="1" x14ac:dyDescent="0.3">
      <c r="A308">
        <v>307</v>
      </c>
      <c r="D308" s="4" t="s">
        <v>1402</v>
      </c>
      <c r="J308" s="4" t="s">
        <v>1185</v>
      </c>
      <c r="K308" s="4" t="s">
        <v>349</v>
      </c>
      <c r="L308" s="11">
        <f>M307-L307-L309-L310</f>
        <v>4584</v>
      </c>
      <c r="Q308" s="2"/>
    </row>
    <row r="309" spans="1:17" hidden="1" x14ac:dyDescent="0.3">
      <c r="A309">
        <v>308</v>
      </c>
      <c r="D309" s="4" t="s">
        <v>1402</v>
      </c>
      <c r="J309" s="4" t="s">
        <v>206</v>
      </c>
      <c r="K309" s="4" t="s">
        <v>350</v>
      </c>
      <c r="L309" s="11">
        <f>603*8</f>
        <v>4824</v>
      </c>
      <c r="Q309" s="2"/>
    </row>
    <row r="310" spans="1:17" hidden="1" x14ac:dyDescent="0.3">
      <c r="A310">
        <v>309</v>
      </c>
      <c r="D310" s="4" t="s">
        <v>1402</v>
      </c>
      <c r="J310" s="4" t="s">
        <v>214</v>
      </c>
      <c r="K310" s="4" t="s">
        <v>351</v>
      </c>
      <c r="L310" s="11">
        <v>24700</v>
      </c>
      <c r="Q310" s="2"/>
    </row>
    <row r="311" spans="1:17" hidden="1" x14ac:dyDescent="0.3">
      <c r="A311">
        <v>310</v>
      </c>
      <c r="D311" s="4" t="s">
        <v>1350</v>
      </c>
      <c r="I311" s="4" t="s">
        <v>344</v>
      </c>
      <c r="J311" s="4" t="s">
        <v>1185</v>
      </c>
      <c r="K311" s="4" t="s">
        <v>352</v>
      </c>
      <c r="L311" s="11">
        <f>M311-L312-L313</f>
        <v>49674</v>
      </c>
      <c r="M311" s="7">
        <v>75126</v>
      </c>
      <c r="N311" s="7">
        <v>5258</v>
      </c>
      <c r="O311" s="7">
        <v>6</v>
      </c>
      <c r="Q311" s="2"/>
    </row>
    <row r="312" spans="1:17" hidden="1" x14ac:dyDescent="0.3">
      <c r="A312">
        <v>311</v>
      </c>
      <c r="D312" s="4" t="s">
        <v>1350</v>
      </c>
      <c r="J312" s="4" t="s">
        <v>206</v>
      </c>
      <c r="K312" s="4" t="s">
        <v>353</v>
      </c>
      <c r="L312" s="11">
        <f>3144*8</f>
        <v>25152</v>
      </c>
      <c r="Q312" s="2"/>
    </row>
    <row r="313" spans="1:17" hidden="1" x14ac:dyDescent="0.3">
      <c r="A313">
        <v>312</v>
      </c>
      <c r="D313" s="4" t="s">
        <v>1350</v>
      </c>
      <c r="J313" s="4" t="s">
        <v>214</v>
      </c>
      <c r="K313" s="4" t="s">
        <v>124</v>
      </c>
      <c r="L313" s="11">
        <v>300</v>
      </c>
      <c r="Q313" s="2"/>
    </row>
    <row r="314" spans="1:17" x14ac:dyDescent="0.3">
      <c r="A314">
        <v>313</v>
      </c>
      <c r="D314" s="4" t="s">
        <v>1593</v>
      </c>
      <c r="I314" s="4" t="s">
        <v>344</v>
      </c>
      <c r="J314" s="4" t="s">
        <v>206</v>
      </c>
      <c r="K314" s="4" t="s">
        <v>354</v>
      </c>
      <c r="L314" s="4">
        <v>5472</v>
      </c>
      <c r="M314" s="4">
        <v>5472</v>
      </c>
      <c r="N314" s="4">
        <v>383</v>
      </c>
      <c r="O314" s="4"/>
      <c r="P314" s="4"/>
      <c r="Q314" s="2"/>
    </row>
    <row r="315" spans="1:17" hidden="1" x14ac:dyDescent="0.3">
      <c r="A315">
        <v>314</v>
      </c>
      <c r="C315" s="4" t="s">
        <v>268</v>
      </c>
      <c r="D315" s="4" t="s">
        <v>1440</v>
      </c>
      <c r="I315" s="4" t="s">
        <v>344</v>
      </c>
      <c r="J315" s="4" t="s">
        <v>1185</v>
      </c>
      <c r="K315" s="4" t="s">
        <v>355</v>
      </c>
      <c r="L315" s="11">
        <f>392*8</f>
        <v>3136</v>
      </c>
      <c r="M315" s="7">
        <v>3456</v>
      </c>
      <c r="N315" s="7">
        <v>241</v>
      </c>
      <c r="Q315" s="2"/>
    </row>
    <row r="316" spans="1:17" hidden="1" x14ac:dyDescent="0.3">
      <c r="A316">
        <v>315</v>
      </c>
      <c r="C316" s="4" t="s">
        <v>268</v>
      </c>
      <c r="D316" s="4" t="s">
        <v>1440</v>
      </c>
      <c r="J316" s="4" t="s">
        <v>206</v>
      </c>
      <c r="K316" s="4" t="s">
        <v>38</v>
      </c>
      <c r="L316" s="11">
        <f>40*8</f>
        <v>320</v>
      </c>
      <c r="Q316" s="2"/>
    </row>
    <row r="317" spans="1:17" hidden="1" x14ac:dyDescent="0.3">
      <c r="A317">
        <v>316</v>
      </c>
      <c r="D317" s="4" t="s">
        <v>1360</v>
      </c>
      <c r="I317" s="4" t="s">
        <v>344</v>
      </c>
      <c r="J317" s="4" t="s">
        <v>1185</v>
      </c>
      <c r="K317" s="4" t="s">
        <v>356</v>
      </c>
      <c r="L317" s="7">
        <f>337*8</f>
        <v>2696</v>
      </c>
      <c r="M317" s="7">
        <v>3656</v>
      </c>
      <c r="N317" s="7">
        <v>255</v>
      </c>
      <c r="Q317" s="2"/>
    </row>
    <row r="318" spans="1:17" hidden="1" x14ac:dyDescent="0.3">
      <c r="A318">
        <v>317</v>
      </c>
      <c r="D318" s="4" t="s">
        <v>1360</v>
      </c>
      <c r="J318" s="4" t="s">
        <v>206</v>
      </c>
      <c r="K318" s="4" t="s">
        <v>357</v>
      </c>
      <c r="L318" s="7">
        <f>120*8</f>
        <v>960</v>
      </c>
      <c r="Q318" s="2"/>
    </row>
    <row r="319" spans="1:17" hidden="1" x14ac:dyDescent="0.3">
      <c r="A319">
        <v>318</v>
      </c>
      <c r="D319" s="4" t="s">
        <v>1627</v>
      </c>
      <c r="I319" s="4" t="s">
        <v>344</v>
      </c>
      <c r="J319" s="4" t="s">
        <v>214</v>
      </c>
      <c r="K319" s="4" t="s">
        <v>358</v>
      </c>
      <c r="L319" s="7">
        <v>7500</v>
      </c>
      <c r="M319" s="7">
        <v>10800</v>
      </c>
      <c r="N319" s="7">
        <v>756</v>
      </c>
      <c r="Q319" s="2"/>
    </row>
    <row r="320" spans="1:17" hidden="1" x14ac:dyDescent="0.3">
      <c r="A320">
        <v>319</v>
      </c>
      <c r="D320" s="4" t="s">
        <v>1627</v>
      </c>
      <c r="J320" s="4" t="s">
        <v>214</v>
      </c>
      <c r="K320" s="4" t="s">
        <v>359</v>
      </c>
      <c r="L320" s="7">
        <v>900</v>
      </c>
      <c r="Q320" s="2"/>
    </row>
    <row r="321" spans="1:17" hidden="1" x14ac:dyDescent="0.3">
      <c r="A321">
        <v>320</v>
      </c>
      <c r="D321" s="4" t="s">
        <v>1627</v>
      </c>
      <c r="J321" s="4" t="s">
        <v>206</v>
      </c>
      <c r="K321" s="4" t="s">
        <v>360</v>
      </c>
      <c r="L321" s="7">
        <f>300*8</f>
        <v>2400</v>
      </c>
      <c r="Q321" s="2"/>
    </row>
    <row r="322" spans="1:17" hidden="1" x14ac:dyDescent="0.3">
      <c r="A322">
        <v>321</v>
      </c>
      <c r="D322" s="4" t="s">
        <v>1510</v>
      </c>
      <c r="I322" s="4" t="s">
        <v>344</v>
      </c>
      <c r="J322" s="4" t="s">
        <v>214</v>
      </c>
      <c r="K322" s="4" t="s">
        <v>361</v>
      </c>
      <c r="L322" s="7">
        <v>2500</v>
      </c>
      <c r="M322" s="7">
        <v>3000</v>
      </c>
      <c r="N322" s="7">
        <v>210</v>
      </c>
      <c r="Q322" s="2"/>
    </row>
    <row r="323" spans="1:17" hidden="1" x14ac:dyDescent="0.3">
      <c r="A323">
        <v>322</v>
      </c>
      <c r="D323" s="4" t="s">
        <v>1510</v>
      </c>
      <c r="J323" s="4" t="s">
        <v>214</v>
      </c>
      <c r="K323" s="4" t="s">
        <v>362</v>
      </c>
      <c r="L323" s="7">
        <v>500</v>
      </c>
      <c r="Q323" s="2"/>
    </row>
    <row r="324" spans="1:17" hidden="1" x14ac:dyDescent="0.3">
      <c r="A324">
        <v>323</v>
      </c>
      <c r="D324" s="4" t="s">
        <v>1331</v>
      </c>
      <c r="I324" s="4" t="s">
        <v>344</v>
      </c>
      <c r="J324" s="4" t="s">
        <v>214</v>
      </c>
      <c r="K324" s="4" t="s">
        <v>363</v>
      </c>
      <c r="L324" s="4">
        <v>250</v>
      </c>
      <c r="M324" s="4">
        <v>250</v>
      </c>
      <c r="N324" s="4">
        <v>17</v>
      </c>
      <c r="O324" s="4">
        <v>4</v>
      </c>
      <c r="P324" s="4"/>
      <c r="Q324" s="2"/>
    </row>
    <row r="325" spans="1:17" hidden="1" x14ac:dyDescent="0.3">
      <c r="A325">
        <v>324</v>
      </c>
      <c r="B325" s="4" t="s">
        <v>364</v>
      </c>
      <c r="C325" s="4" t="s">
        <v>268</v>
      </c>
      <c r="D325" s="4" t="s">
        <v>1441</v>
      </c>
      <c r="I325" s="4" t="s">
        <v>365</v>
      </c>
      <c r="J325" s="4" t="s">
        <v>214</v>
      </c>
      <c r="K325" s="4" t="s">
        <v>366</v>
      </c>
      <c r="L325" s="4">
        <v>62400</v>
      </c>
      <c r="M325" s="4">
        <v>62400</v>
      </c>
      <c r="N325" s="4">
        <v>4368</v>
      </c>
      <c r="O325" s="4"/>
      <c r="P325" s="4"/>
      <c r="Q325" s="2"/>
    </row>
    <row r="326" spans="1:17" ht="43.2" hidden="1" x14ac:dyDescent="0.3">
      <c r="A326">
        <v>325</v>
      </c>
      <c r="D326" s="4" t="s">
        <v>1489</v>
      </c>
      <c r="I326" s="4" t="s">
        <v>367</v>
      </c>
      <c r="J326" s="4" t="s">
        <v>214</v>
      </c>
      <c r="K326" s="5" t="s">
        <v>368</v>
      </c>
      <c r="L326" s="11">
        <f>M326-L327</f>
        <v>14812</v>
      </c>
      <c r="M326" s="7">
        <v>20436</v>
      </c>
      <c r="N326" s="7">
        <v>1430</v>
      </c>
      <c r="Q326" s="2"/>
    </row>
    <row r="327" spans="1:17" hidden="1" x14ac:dyDescent="0.3">
      <c r="A327">
        <v>326</v>
      </c>
      <c r="D327" s="4" t="s">
        <v>1489</v>
      </c>
      <c r="J327" s="4" t="s">
        <v>206</v>
      </c>
      <c r="K327" s="4" t="s">
        <v>369</v>
      </c>
      <c r="L327" s="11">
        <f>703*8</f>
        <v>5624</v>
      </c>
      <c r="Q327" s="2"/>
    </row>
    <row r="328" spans="1:17" hidden="1" x14ac:dyDescent="0.3">
      <c r="A328">
        <v>327</v>
      </c>
      <c r="D328" s="4" t="s">
        <v>1485</v>
      </c>
      <c r="I328" s="4" t="s">
        <v>367</v>
      </c>
      <c r="J328" s="4" t="s">
        <v>206</v>
      </c>
      <c r="K328" s="4" t="s">
        <v>370</v>
      </c>
      <c r="L328" s="4">
        <v>5632</v>
      </c>
      <c r="M328" s="4">
        <v>5632</v>
      </c>
      <c r="N328" s="4">
        <v>394</v>
      </c>
      <c r="O328" s="4">
        <v>2</v>
      </c>
      <c r="P328" s="4"/>
      <c r="Q328" s="2"/>
    </row>
    <row r="329" spans="1:17" hidden="1" x14ac:dyDescent="0.3">
      <c r="A329">
        <v>328</v>
      </c>
      <c r="C329" s="4" t="s">
        <v>268</v>
      </c>
      <c r="D329" s="4" t="s">
        <v>1520</v>
      </c>
      <c r="I329" s="4" t="s">
        <v>367</v>
      </c>
      <c r="J329" s="4" t="s">
        <v>206</v>
      </c>
      <c r="K329" s="4" t="s">
        <v>371</v>
      </c>
      <c r="L329" s="4">
        <v>2896</v>
      </c>
      <c r="M329" s="4">
        <v>2896</v>
      </c>
      <c r="N329" s="4">
        <v>202</v>
      </c>
      <c r="O329" s="4">
        <v>6</v>
      </c>
      <c r="P329" s="4"/>
      <c r="Q329" s="2"/>
    </row>
    <row r="330" spans="1:17" hidden="1" x14ac:dyDescent="0.3">
      <c r="A330">
        <v>329</v>
      </c>
      <c r="C330" s="4" t="s">
        <v>734</v>
      </c>
      <c r="D330" s="4" t="s">
        <v>1299</v>
      </c>
      <c r="I330" s="4" t="s">
        <v>367</v>
      </c>
      <c r="J330" s="4" t="s">
        <v>206</v>
      </c>
      <c r="K330" s="4" t="s">
        <v>500</v>
      </c>
      <c r="L330" s="4">
        <v>5720</v>
      </c>
      <c r="M330" s="4">
        <v>5720</v>
      </c>
      <c r="N330" s="4">
        <v>400</v>
      </c>
      <c r="O330" s="4">
        <v>3</v>
      </c>
      <c r="P330" s="4"/>
      <c r="Q330" s="2"/>
    </row>
    <row r="331" spans="1:17" ht="28.8" hidden="1" x14ac:dyDescent="0.3">
      <c r="A331">
        <v>330</v>
      </c>
      <c r="C331" s="4" t="s">
        <v>268</v>
      </c>
      <c r="D331" s="4" t="s">
        <v>1563</v>
      </c>
      <c r="I331" s="4" t="s">
        <v>367</v>
      </c>
      <c r="J331" s="4" t="s">
        <v>1185</v>
      </c>
      <c r="K331" s="5" t="s">
        <v>372</v>
      </c>
      <c r="L331" s="11">
        <f>M331-L332</f>
        <v>49919</v>
      </c>
      <c r="M331" s="7">
        <v>86719</v>
      </c>
      <c r="N331" s="7">
        <v>6069</v>
      </c>
      <c r="O331" s="7">
        <v>7</v>
      </c>
      <c r="Q331" s="2"/>
    </row>
    <row r="332" spans="1:17" hidden="1" x14ac:dyDescent="0.3">
      <c r="A332">
        <v>331</v>
      </c>
      <c r="D332" s="4" t="s">
        <v>1563</v>
      </c>
      <c r="J332" s="4" t="s">
        <v>214</v>
      </c>
      <c r="K332" s="4" t="s">
        <v>373</v>
      </c>
      <c r="L332" s="11">
        <v>36800</v>
      </c>
      <c r="Q332" s="2"/>
    </row>
    <row r="333" spans="1:17" hidden="1" x14ac:dyDescent="0.3">
      <c r="A333">
        <v>332</v>
      </c>
      <c r="D333" s="4" t="s">
        <v>1563</v>
      </c>
      <c r="I333" s="4" t="s">
        <v>367</v>
      </c>
      <c r="J333" s="4" t="s">
        <v>1185</v>
      </c>
      <c r="K333" s="4" t="s">
        <v>1182</v>
      </c>
      <c r="L333" s="4">
        <v>29892</v>
      </c>
      <c r="M333" s="4">
        <v>29892</v>
      </c>
      <c r="N333" s="4">
        <v>2092</v>
      </c>
      <c r="O333" s="4">
        <v>4</v>
      </c>
      <c r="P333" s="4"/>
      <c r="Q333" s="2"/>
    </row>
    <row r="334" spans="1:17" ht="28.8" hidden="1" x14ac:dyDescent="0.3">
      <c r="A334">
        <v>333</v>
      </c>
      <c r="C334" s="4" t="s">
        <v>268</v>
      </c>
      <c r="D334" s="4" t="s">
        <v>1356</v>
      </c>
      <c r="I334" s="4" t="s">
        <v>374</v>
      </c>
      <c r="J334" s="4" t="s">
        <v>1185</v>
      </c>
      <c r="K334" s="5" t="s">
        <v>375</v>
      </c>
      <c r="L334" s="11">
        <f>M334-L335-L336-L337-L338</f>
        <v>85385</v>
      </c>
      <c r="M334" s="7">
        <v>160814</v>
      </c>
      <c r="N334" s="7">
        <v>11212</v>
      </c>
      <c r="O334" s="7">
        <v>7</v>
      </c>
      <c r="Q334" s="2"/>
    </row>
    <row r="335" spans="1:17" hidden="1" x14ac:dyDescent="0.3">
      <c r="A335">
        <v>334</v>
      </c>
      <c r="D335" s="4" t="s">
        <v>1356</v>
      </c>
      <c r="J335" s="4" t="s">
        <v>214</v>
      </c>
      <c r="K335" s="4" t="s">
        <v>98</v>
      </c>
      <c r="L335" s="11">
        <f>2500*14</f>
        <v>35000</v>
      </c>
      <c r="Q335" s="2"/>
    </row>
    <row r="336" spans="1:17" hidden="1" x14ac:dyDescent="0.3">
      <c r="A336">
        <v>335</v>
      </c>
      <c r="D336" s="4" t="s">
        <v>1356</v>
      </c>
      <c r="J336" s="4" t="s">
        <v>206</v>
      </c>
      <c r="K336" s="4" t="s">
        <v>376</v>
      </c>
      <c r="L336" s="11">
        <f>1456*8</f>
        <v>11648</v>
      </c>
      <c r="Q336" s="2"/>
    </row>
    <row r="337" spans="1:17" hidden="1" x14ac:dyDescent="0.3">
      <c r="A337">
        <v>336</v>
      </c>
      <c r="D337" s="4" t="s">
        <v>1356</v>
      </c>
      <c r="J337" s="4" t="s">
        <v>214</v>
      </c>
      <c r="K337" s="4" t="s">
        <v>377</v>
      </c>
      <c r="L337" s="11">
        <v>14621</v>
      </c>
      <c r="Q337" s="2"/>
    </row>
    <row r="338" spans="1:17" hidden="1" x14ac:dyDescent="0.3">
      <c r="A338">
        <v>337</v>
      </c>
      <c r="D338" s="4" t="s">
        <v>1356</v>
      </c>
      <c r="J338" s="4" t="s">
        <v>206</v>
      </c>
      <c r="K338" s="4" t="s">
        <v>378</v>
      </c>
      <c r="L338" s="11">
        <f>1770*8</f>
        <v>14160</v>
      </c>
      <c r="Q338" s="2"/>
    </row>
    <row r="339" spans="1:17" hidden="1" x14ac:dyDescent="0.3">
      <c r="A339">
        <v>338</v>
      </c>
      <c r="C339" s="4" t="s">
        <v>268</v>
      </c>
      <c r="D339" s="4" t="s">
        <v>1441</v>
      </c>
      <c r="I339" s="4" t="s">
        <v>379</v>
      </c>
      <c r="J339" s="4" t="s">
        <v>206</v>
      </c>
      <c r="K339" s="4" t="s">
        <v>380</v>
      </c>
      <c r="L339" s="4">
        <v>42000</v>
      </c>
      <c r="M339" s="4">
        <v>42000</v>
      </c>
      <c r="N339" s="4">
        <v>2940</v>
      </c>
      <c r="O339" s="4"/>
      <c r="P339" s="4"/>
      <c r="Q339" s="2"/>
    </row>
    <row r="340" spans="1:17" hidden="1" x14ac:dyDescent="0.3">
      <c r="A340">
        <v>339</v>
      </c>
      <c r="B340" s="4" t="s">
        <v>381</v>
      </c>
      <c r="D340" s="4" t="s">
        <v>1540</v>
      </c>
      <c r="I340" s="4" t="s">
        <v>379</v>
      </c>
      <c r="J340" s="4" t="s">
        <v>1185</v>
      </c>
      <c r="K340" s="5" t="s">
        <v>382</v>
      </c>
      <c r="L340" s="4">
        <v>23878</v>
      </c>
      <c r="M340" s="4">
        <v>23878</v>
      </c>
      <c r="N340" s="4">
        <v>1671</v>
      </c>
      <c r="O340" s="4">
        <v>4</v>
      </c>
      <c r="P340" s="4"/>
      <c r="Q340" s="2"/>
    </row>
    <row r="341" spans="1:17" ht="28.8" hidden="1" x14ac:dyDescent="0.3">
      <c r="A341">
        <v>340</v>
      </c>
      <c r="C341" s="4" t="s">
        <v>268</v>
      </c>
      <c r="D341" s="4" t="s">
        <v>1519</v>
      </c>
      <c r="I341" s="4" t="s">
        <v>379</v>
      </c>
      <c r="J341" s="4" t="s">
        <v>1185</v>
      </c>
      <c r="K341" s="5" t="s">
        <v>383</v>
      </c>
      <c r="L341" s="11">
        <f>M341-L342-L343</f>
        <v>32530</v>
      </c>
      <c r="M341" s="7">
        <v>71818</v>
      </c>
      <c r="N341" s="7">
        <v>5027</v>
      </c>
      <c r="O341" s="7">
        <v>2</v>
      </c>
      <c r="Q341" s="2"/>
    </row>
    <row r="342" spans="1:17" hidden="1" x14ac:dyDescent="0.3">
      <c r="A342">
        <v>341</v>
      </c>
      <c r="D342" s="4" t="s">
        <v>1519</v>
      </c>
      <c r="J342" s="4" t="s">
        <v>206</v>
      </c>
      <c r="K342" s="4" t="s">
        <v>384</v>
      </c>
      <c r="L342" s="11">
        <f>4500*8</f>
        <v>36000</v>
      </c>
      <c r="Q342" s="2"/>
    </row>
    <row r="343" spans="1:17" hidden="1" x14ac:dyDescent="0.3">
      <c r="A343">
        <v>342</v>
      </c>
      <c r="D343" s="4" t="s">
        <v>1519</v>
      </c>
      <c r="J343" s="4" t="s">
        <v>206</v>
      </c>
      <c r="K343" s="4" t="s">
        <v>385</v>
      </c>
      <c r="L343" s="11">
        <f>411*8</f>
        <v>3288</v>
      </c>
      <c r="Q343" s="2"/>
    </row>
    <row r="344" spans="1:17" hidden="1" x14ac:dyDescent="0.3">
      <c r="A344">
        <v>343</v>
      </c>
      <c r="D344" s="4" t="s">
        <v>1495</v>
      </c>
      <c r="I344" s="4" t="s">
        <v>379</v>
      </c>
      <c r="J344" s="4" t="s">
        <v>1185</v>
      </c>
      <c r="K344" s="4" t="s">
        <v>386</v>
      </c>
      <c r="L344" s="11">
        <f>M344-L345</f>
        <v>30939</v>
      </c>
      <c r="M344" s="7">
        <v>36939</v>
      </c>
      <c r="N344" s="7">
        <v>2585</v>
      </c>
      <c r="O344" s="7">
        <v>6</v>
      </c>
      <c r="Q344" s="2"/>
    </row>
    <row r="345" spans="1:17" hidden="1" x14ac:dyDescent="0.3">
      <c r="A345">
        <v>344</v>
      </c>
      <c r="D345" s="4" t="s">
        <v>1495</v>
      </c>
      <c r="J345" s="4" t="s">
        <v>214</v>
      </c>
      <c r="K345" s="4" t="s">
        <v>387</v>
      </c>
      <c r="L345" s="11">
        <v>6000</v>
      </c>
      <c r="Q345" s="2"/>
    </row>
    <row r="346" spans="1:17" hidden="1" x14ac:dyDescent="0.3">
      <c r="A346">
        <v>345</v>
      </c>
      <c r="C346" s="4" t="s">
        <v>268</v>
      </c>
      <c r="D346" s="4" t="s">
        <v>1441</v>
      </c>
      <c r="I346" s="4" t="s">
        <v>388</v>
      </c>
      <c r="J346" s="4" t="s">
        <v>214</v>
      </c>
      <c r="K346" s="4" t="s">
        <v>389</v>
      </c>
      <c r="L346" s="11">
        <v>33000</v>
      </c>
      <c r="M346" s="7">
        <v>58920</v>
      </c>
      <c r="N346" s="7">
        <v>4124</v>
      </c>
      <c r="O346" s="7">
        <v>3</v>
      </c>
      <c r="Q346" s="2"/>
    </row>
    <row r="347" spans="1:17" hidden="1" x14ac:dyDescent="0.3">
      <c r="A347">
        <v>346</v>
      </c>
      <c r="C347" s="4" t="s">
        <v>268</v>
      </c>
      <c r="D347" s="4" t="s">
        <v>1441</v>
      </c>
      <c r="J347" s="4" t="s">
        <v>214</v>
      </c>
      <c r="K347" s="4" t="s">
        <v>390</v>
      </c>
      <c r="L347" s="11">
        <f>3200*5</f>
        <v>16000</v>
      </c>
      <c r="Q347" s="2"/>
    </row>
    <row r="348" spans="1:17" hidden="1" x14ac:dyDescent="0.3">
      <c r="A348">
        <v>347</v>
      </c>
      <c r="C348" s="4" t="s">
        <v>268</v>
      </c>
      <c r="D348" s="4" t="s">
        <v>1441</v>
      </c>
      <c r="J348" s="4" t="s">
        <v>206</v>
      </c>
      <c r="K348" s="4" t="s">
        <v>391</v>
      </c>
      <c r="L348" s="11">
        <f>1240*8</f>
        <v>9920</v>
      </c>
      <c r="Q348" s="2"/>
    </row>
    <row r="349" spans="1:17" ht="28.8" hidden="1" x14ac:dyDescent="0.3">
      <c r="A349">
        <v>348</v>
      </c>
      <c r="C349" s="4" t="s">
        <v>271</v>
      </c>
      <c r="D349" s="4" t="s">
        <v>1281</v>
      </c>
      <c r="I349" s="4" t="s">
        <v>392</v>
      </c>
      <c r="J349" s="4" t="s">
        <v>1185</v>
      </c>
      <c r="K349" s="5" t="s">
        <v>393</v>
      </c>
      <c r="L349" s="11">
        <f>M349-L350</f>
        <v>26744</v>
      </c>
      <c r="M349" s="7">
        <v>39244</v>
      </c>
      <c r="N349" s="7">
        <v>2747</v>
      </c>
      <c r="Q349" s="2"/>
    </row>
    <row r="350" spans="1:17" hidden="1" x14ac:dyDescent="0.3">
      <c r="A350">
        <v>349</v>
      </c>
      <c r="D350" s="4" t="s">
        <v>1281</v>
      </c>
      <c r="J350" s="4" t="s">
        <v>214</v>
      </c>
      <c r="K350" s="4" t="s">
        <v>394</v>
      </c>
      <c r="L350" s="11">
        <f>2500*5</f>
        <v>12500</v>
      </c>
      <c r="Q350" s="2"/>
    </row>
    <row r="351" spans="1:17" ht="28.8" hidden="1" x14ac:dyDescent="0.3">
      <c r="A351">
        <v>350</v>
      </c>
      <c r="C351" s="4" t="s">
        <v>268</v>
      </c>
      <c r="D351" s="4" t="s">
        <v>1439</v>
      </c>
      <c r="I351" s="4" t="s">
        <v>392</v>
      </c>
      <c r="J351" s="4" t="s">
        <v>1185</v>
      </c>
      <c r="K351" s="5" t="s">
        <v>395</v>
      </c>
      <c r="L351" s="11">
        <f>M351-L352</f>
        <v>24270</v>
      </c>
      <c r="M351" s="7">
        <v>48270</v>
      </c>
      <c r="N351" s="7">
        <v>3378</v>
      </c>
      <c r="O351" s="7">
        <v>7</v>
      </c>
      <c r="Q351" s="2"/>
    </row>
    <row r="352" spans="1:17" hidden="1" x14ac:dyDescent="0.3">
      <c r="A352">
        <v>351</v>
      </c>
      <c r="C352" s="4" t="s">
        <v>272</v>
      </c>
      <c r="D352" s="4" t="s">
        <v>1439</v>
      </c>
      <c r="J352" s="4" t="s">
        <v>214</v>
      </c>
      <c r="K352" s="4" t="s">
        <v>396</v>
      </c>
      <c r="L352" s="11">
        <f>3000*8</f>
        <v>24000</v>
      </c>
      <c r="Q352" s="2"/>
    </row>
    <row r="353" spans="1:17" hidden="1" x14ac:dyDescent="0.3">
      <c r="A353">
        <v>352</v>
      </c>
      <c r="D353" s="4" t="s">
        <v>1416</v>
      </c>
      <c r="I353" s="4" t="s">
        <v>392</v>
      </c>
      <c r="J353" s="4" t="s">
        <v>1185</v>
      </c>
      <c r="K353" s="4" t="s">
        <v>397</v>
      </c>
      <c r="L353" s="11">
        <f>3022*8</f>
        <v>24176</v>
      </c>
      <c r="M353" s="7">
        <v>29176</v>
      </c>
      <c r="N353" s="7">
        <v>2042</v>
      </c>
      <c r="O353" s="7">
        <v>2</v>
      </c>
      <c r="Q353" s="2"/>
    </row>
    <row r="354" spans="1:17" hidden="1" x14ac:dyDescent="0.3">
      <c r="A354">
        <v>353</v>
      </c>
      <c r="D354" s="4" t="s">
        <v>1416</v>
      </c>
      <c r="J354" s="4" t="s">
        <v>214</v>
      </c>
      <c r="K354" s="4" t="s">
        <v>53</v>
      </c>
      <c r="L354" s="11">
        <v>5000</v>
      </c>
      <c r="Q354" s="2"/>
    </row>
    <row r="355" spans="1:17" ht="28.8" hidden="1" x14ac:dyDescent="0.3">
      <c r="A355">
        <v>354</v>
      </c>
      <c r="D355" s="4" t="s">
        <v>1386</v>
      </c>
      <c r="I355" s="4" t="s">
        <v>392</v>
      </c>
      <c r="J355" s="4" t="s">
        <v>1185</v>
      </c>
      <c r="K355" s="5" t="s">
        <v>398</v>
      </c>
      <c r="L355" s="11">
        <f>M355-L356</f>
        <v>18623</v>
      </c>
      <c r="M355" s="7">
        <v>23623</v>
      </c>
      <c r="N355" s="7">
        <v>1653</v>
      </c>
      <c r="O355" s="7">
        <v>5</v>
      </c>
      <c r="Q355" s="2"/>
    </row>
    <row r="356" spans="1:17" hidden="1" x14ac:dyDescent="0.3">
      <c r="A356">
        <v>355</v>
      </c>
      <c r="D356" s="4" t="s">
        <v>1386</v>
      </c>
      <c r="J356" s="4" t="s">
        <v>214</v>
      </c>
      <c r="K356" s="4" t="s">
        <v>53</v>
      </c>
      <c r="L356" s="11">
        <v>5000</v>
      </c>
      <c r="Q356" s="2"/>
    </row>
    <row r="357" spans="1:17" ht="28.8" hidden="1" x14ac:dyDescent="0.3">
      <c r="A357">
        <v>356</v>
      </c>
      <c r="C357" s="4" t="s">
        <v>268</v>
      </c>
      <c r="D357" s="4" t="s">
        <v>1562</v>
      </c>
      <c r="I357" s="4" t="s">
        <v>399</v>
      </c>
      <c r="J357" s="4" t="s">
        <v>214</v>
      </c>
      <c r="K357" s="5" t="s">
        <v>400</v>
      </c>
      <c r="L357" s="11">
        <f>M357-L358-L359</f>
        <v>28958</v>
      </c>
      <c r="M357" s="7">
        <v>96958</v>
      </c>
      <c r="N357" s="7">
        <v>6787</v>
      </c>
      <c r="Q357" s="2"/>
    </row>
    <row r="358" spans="1:17" hidden="1" x14ac:dyDescent="0.3">
      <c r="A358">
        <v>357</v>
      </c>
      <c r="D358" s="4" t="s">
        <v>1562</v>
      </c>
      <c r="J358" s="4" t="s">
        <v>214</v>
      </c>
      <c r="K358" s="4" t="s">
        <v>401</v>
      </c>
      <c r="L358" s="11">
        <f>2500*20</f>
        <v>50000</v>
      </c>
      <c r="Q358" s="2"/>
    </row>
    <row r="359" spans="1:17" hidden="1" x14ac:dyDescent="0.3">
      <c r="A359">
        <v>358</v>
      </c>
      <c r="D359" s="4" t="s">
        <v>1562</v>
      </c>
      <c r="J359" s="4" t="s">
        <v>214</v>
      </c>
      <c r="K359" s="4" t="s">
        <v>402</v>
      </c>
      <c r="L359" s="11">
        <v>18000</v>
      </c>
      <c r="Q359" s="2"/>
    </row>
    <row r="360" spans="1:17" hidden="1" x14ac:dyDescent="0.3">
      <c r="A360">
        <v>359</v>
      </c>
      <c r="B360" s="4" t="s">
        <v>403</v>
      </c>
      <c r="D360" s="4" t="s">
        <v>1384</v>
      </c>
      <c r="I360" s="4" t="s">
        <v>404</v>
      </c>
      <c r="J360" s="4" t="s">
        <v>214</v>
      </c>
      <c r="K360" s="4" t="s">
        <v>405</v>
      </c>
      <c r="L360" s="4">
        <v>4350</v>
      </c>
      <c r="M360" s="4">
        <v>4350</v>
      </c>
      <c r="N360" s="4">
        <v>304</v>
      </c>
      <c r="O360" s="4">
        <v>4</v>
      </c>
      <c r="P360" s="4"/>
      <c r="Q360" s="2"/>
    </row>
    <row r="361" spans="1:17" hidden="1" x14ac:dyDescent="0.3">
      <c r="A361">
        <v>360</v>
      </c>
      <c r="C361" s="4" t="s">
        <v>406</v>
      </c>
      <c r="D361" s="4" t="s">
        <v>1465</v>
      </c>
      <c r="I361" s="4" t="s">
        <v>404</v>
      </c>
      <c r="J361" s="4" t="s">
        <v>206</v>
      </c>
      <c r="K361" s="4" t="s">
        <v>38</v>
      </c>
      <c r="L361" s="4">
        <v>320</v>
      </c>
      <c r="M361" s="4">
        <v>320</v>
      </c>
      <c r="N361" s="4">
        <v>21</v>
      </c>
      <c r="O361" s="4"/>
      <c r="P361" s="4"/>
      <c r="Q361" s="2"/>
    </row>
    <row r="362" spans="1:17" hidden="1" x14ac:dyDescent="0.3">
      <c r="A362">
        <v>361</v>
      </c>
      <c r="C362" s="4" t="s">
        <v>268</v>
      </c>
      <c r="D362" s="4" t="s">
        <v>1441</v>
      </c>
      <c r="I362" s="4" t="s">
        <v>407</v>
      </c>
      <c r="J362" s="4" t="s">
        <v>1185</v>
      </c>
      <c r="K362" s="4" t="s">
        <v>408</v>
      </c>
      <c r="L362" s="4">
        <v>71120</v>
      </c>
      <c r="M362" s="4">
        <v>71120</v>
      </c>
      <c r="N362" s="4">
        <v>4978</v>
      </c>
      <c r="O362" s="4">
        <v>3</v>
      </c>
      <c r="P362" s="4"/>
      <c r="Q362" s="2"/>
    </row>
    <row r="363" spans="1:17" hidden="1" x14ac:dyDescent="0.3">
      <c r="A363">
        <v>362</v>
      </c>
      <c r="D363" s="4" t="s">
        <v>1596</v>
      </c>
      <c r="I363" s="4" t="s">
        <v>409</v>
      </c>
      <c r="J363" s="4" t="s">
        <v>1185</v>
      </c>
      <c r="K363" s="4" t="s">
        <v>410</v>
      </c>
      <c r="L363" s="4">
        <v>39146</v>
      </c>
      <c r="M363" s="4">
        <v>39146</v>
      </c>
      <c r="N363" s="4">
        <v>2740</v>
      </c>
      <c r="O363" s="4">
        <v>2</v>
      </c>
      <c r="P363" s="4"/>
      <c r="Q363" s="2"/>
    </row>
    <row r="364" spans="1:17" hidden="1" x14ac:dyDescent="0.3">
      <c r="A364">
        <v>363</v>
      </c>
      <c r="D364" s="4" t="s">
        <v>1332</v>
      </c>
      <c r="I364" s="4" t="s">
        <v>409</v>
      </c>
      <c r="J364" s="4" t="s">
        <v>206</v>
      </c>
      <c r="K364" s="4" t="s">
        <v>411</v>
      </c>
      <c r="L364" s="11">
        <f>M364-L365</f>
        <v>1472</v>
      </c>
      <c r="M364" s="7">
        <v>3922</v>
      </c>
      <c r="N364" s="7">
        <v>274</v>
      </c>
      <c r="O364" s="7">
        <v>4</v>
      </c>
      <c r="Q364" s="2"/>
    </row>
    <row r="365" spans="1:17" hidden="1" x14ac:dyDescent="0.3">
      <c r="A365">
        <v>364</v>
      </c>
      <c r="D365" s="4" t="s">
        <v>1332</v>
      </c>
      <c r="J365" s="4" t="s">
        <v>214</v>
      </c>
      <c r="K365" s="4" t="s">
        <v>412</v>
      </c>
      <c r="L365" s="11">
        <v>2450</v>
      </c>
      <c r="Q365" s="2"/>
    </row>
    <row r="366" spans="1:17" hidden="1" x14ac:dyDescent="0.3">
      <c r="A366">
        <v>365</v>
      </c>
      <c r="D366" s="4" t="s">
        <v>1494</v>
      </c>
      <c r="I366" s="4" t="s">
        <v>409</v>
      </c>
      <c r="J366" s="4" t="s">
        <v>214</v>
      </c>
      <c r="K366" s="4" t="s">
        <v>413</v>
      </c>
      <c r="L366" s="11">
        <v>1370</v>
      </c>
      <c r="M366" s="7">
        <v>1610</v>
      </c>
      <c r="N366" s="7">
        <v>112</v>
      </c>
      <c r="O366" s="7">
        <v>7</v>
      </c>
      <c r="Q366" s="2"/>
    </row>
    <row r="367" spans="1:17" hidden="1" x14ac:dyDescent="0.3">
      <c r="A367">
        <v>366</v>
      </c>
      <c r="D367" s="4" t="s">
        <v>1494</v>
      </c>
      <c r="J367" s="4" t="s">
        <v>206</v>
      </c>
      <c r="K367" s="4" t="s">
        <v>113</v>
      </c>
      <c r="L367" s="11">
        <f>M366-L366</f>
        <v>240</v>
      </c>
      <c r="Q367" s="2"/>
    </row>
    <row r="368" spans="1:17" hidden="1" x14ac:dyDescent="0.3">
      <c r="A368">
        <v>367</v>
      </c>
      <c r="D368" s="4" t="s">
        <v>1333</v>
      </c>
      <c r="I368" s="4" t="s">
        <v>414</v>
      </c>
      <c r="J368" s="4" t="s">
        <v>1649</v>
      </c>
      <c r="K368" s="4" t="s">
        <v>415</v>
      </c>
      <c r="L368" s="4">
        <v>2400</v>
      </c>
      <c r="M368" s="4">
        <v>2400</v>
      </c>
      <c r="N368" s="4">
        <v>168</v>
      </c>
      <c r="O368" s="4"/>
      <c r="P368" s="4"/>
      <c r="Q368" s="2"/>
    </row>
    <row r="369" spans="1:17" hidden="1" x14ac:dyDescent="0.3">
      <c r="A369">
        <v>368</v>
      </c>
      <c r="C369" s="4" t="s">
        <v>271</v>
      </c>
      <c r="D369" s="4" t="s">
        <v>1368</v>
      </c>
      <c r="E369" s="4" t="s">
        <v>1369</v>
      </c>
      <c r="I369" s="4" t="s">
        <v>416</v>
      </c>
      <c r="J369" s="4" t="s">
        <v>1649</v>
      </c>
      <c r="K369" s="4" t="s">
        <v>417</v>
      </c>
      <c r="L369" s="4">
        <f>23*150</f>
        <v>3450</v>
      </c>
      <c r="M369" s="4">
        <v>3450</v>
      </c>
      <c r="N369" s="4">
        <v>241</v>
      </c>
      <c r="O369" s="4">
        <v>5</v>
      </c>
      <c r="P369" s="4"/>
      <c r="Q369" s="2"/>
    </row>
    <row r="370" spans="1:17" hidden="1" x14ac:dyDescent="0.3">
      <c r="A370">
        <v>369</v>
      </c>
      <c r="D370" s="4" t="s">
        <v>1407</v>
      </c>
      <c r="I370" s="4" t="s">
        <v>418</v>
      </c>
      <c r="J370" s="4" t="s">
        <v>214</v>
      </c>
      <c r="K370" s="4" t="s">
        <v>419</v>
      </c>
      <c r="L370" s="4">
        <v>100</v>
      </c>
      <c r="M370" s="4">
        <v>100</v>
      </c>
      <c r="N370" s="4">
        <v>7</v>
      </c>
      <c r="O370" s="4"/>
      <c r="P370" s="4"/>
      <c r="Q370" s="2"/>
    </row>
    <row r="371" spans="1:17" ht="28.8" hidden="1" x14ac:dyDescent="0.3">
      <c r="A371">
        <v>370</v>
      </c>
      <c r="C371" s="4" t="s">
        <v>268</v>
      </c>
      <c r="D371" s="4" t="s">
        <v>1563</v>
      </c>
      <c r="I371" s="4" t="s">
        <v>418</v>
      </c>
      <c r="J371" s="4" t="s">
        <v>1185</v>
      </c>
      <c r="K371" s="5" t="s">
        <v>420</v>
      </c>
      <c r="L371" s="4">
        <v>125064</v>
      </c>
      <c r="M371" s="4">
        <v>125064</v>
      </c>
      <c r="N371" s="4">
        <v>8754</v>
      </c>
      <c r="O371" s="4">
        <v>4</v>
      </c>
      <c r="P371" s="4"/>
      <c r="Q371" s="2"/>
    </row>
    <row r="372" spans="1:17" hidden="1" x14ac:dyDescent="0.3">
      <c r="A372">
        <v>371</v>
      </c>
      <c r="C372" s="4" t="s">
        <v>250</v>
      </c>
      <c r="D372" s="4" t="s">
        <v>1583</v>
      </c>
      <c r="I372" s="4" t="s">
        <v>421</v>
      </c>
      <c r="J372" s="4" t="s">
        <v>206</v>
      </c>
      <c r="K372" s="4" t="s">
        <v>422</v>
      </c>
      <c r="L372" s="4">
        <v>704</v>
      </c>
      <c r="M372" s="4">
        <v>704</v>
      </c>
      <c r="N372" s="4">
        <v>49</v>
      </c>
      <c r="O372" s="4">
        <v>2</v>
      </c>
      <c r="P372" s="4"/>
      <c r="Q372" s="2"/>
    </row>
    <row r="373" spans="1:17" hidden="1" x14ac:dyDescent="0.3">
      <c r="A373">
        <v>372</v>
      </c>
      <c r="D373" s="4" t="s">
        <v>1564</v>
      </c>
      <c r="I373" s="4" t="s">
        <v>421</v>
      </c>
      <c r="J373" s="4" t="s">
        <v>214</v>
      </c>
      <c r="K373" s="4" t="s">
        <v>423</v>
      </c>
      <c r="L373" s="11">
        <f>M373-L374-L375-L376</f>
        <v>56690</v>
      </c>
      <c r="M373" s="7">
        <v>79685</v>
      </c>
      <c r="N373" s="7">
        <v>5578</v>
      </c>
      <c r="Q373" s="2"/>
    </row>
    <row r="374" spans="1:17" hidden="1" x14ac:dyDescent="0.3">
      <c r="A374">
        <v>373</v>
      </c>
      <c r="D374" s="4" t="s">
        <v>1564</v>
      </c>
      <c r="J374" s="4" t="s">
        <v>214</v>
      </c>
      <c r="K374" s="4" t="s">
        <v>424</v>
      </c>
      <c r="L374" s="11">
        <v>20500</v>
      </c>
      <c r="Q374" s="2"/>
    </row>
    <row r="375" spans="1:17" hidden="1" x14ac:dyDescent="0.3">
      <c r="A375">
        <v>374</v>
      </c>
      <c r="D375" s="4" t="s">
        <v>1564</v>
      </c>
      <c r="J375" s="4" t="s">
        <v>214</v>
      </c>
      <c r="K375" s="4" t="s">
        <v>425</v>
      </c>
      <c r="L375" s="11">
        <f>160*8</f>
        <v>1280</v>
      </c>
      <c r="Q375" s="2"/>
    </row>
    <row r="376" spans="1:17" hidden="1" x14ac:dyDescent="0.3">
      <c r="A376">
        <v>375</v>
      </c>
      <c r="D376" s="4" t="s">
        <v>1564</v>
      </c>
      <c r="J376" s="4" t="s">
        <v>214</v>
      </c>
      <c r="K376" s="4" t="s">
        <v>426</v>
      </c>
      <c r="L376" s="11">
        <v>1215</v>
      </c>
      <c r="Q376" s="2"/>
    </row>
    <row r="377" spans="1:17" hidden="1" x14ac:dyDescent="0.3">
      <c r="A377">
        <v>376</v>
      </c>
      <c r="B377" s="4" t="s">
        <v>427</v>
      </c>
      <c r="C377" s="4" t="s">
        <v>444</v>
      </c>
      <c r="D377" s="4" t="s">
        <v>1614</v>
      </c>
      <c r="I377" s="4" t="s">
        <v>421</v>
      </c>
      <c r="J377" s="4" t="s">
        <v>1185</v>
      </c>
      <c r="K377" s="4" t="s">
        <v>428</v>
      </c>
      <c r="L377" s="4">
        <v>44137</v>
      </c>
      <c r="M377" s="4">
        <v>44137</v>
      </c>
      <c r="N377" s="4">
        <v>3089</v>
      </c>
      <c r="O377" s="4">
        <v>4</v>
      </c>
      <c r="P377" s="4"/>
      <c r="Q377" s="2"/>
    </row>
    <row r="378" spans="1:17" hidden="1" x14ac:dyDescent="0.3">
      <c r="A378">
        <v>377</v>
      </c>
      <c r="D378" s="4" t="s">
        <v>1486</v>
      </c>
      <c r="I378" s="4" t="s">
        <v>421</v>
      </c>
      <c r="J378" s="4" t="s">
        <v>214</v>
      </c>
      <c r="K378" s="4" t="s">
        <v>55</v>
      </c>
      <c r="L378" s="11">
        <v>350</v>
      </c>
      <c r="M378" s="7">
        <v>430</v>
      </c>
      <c r="N378" s="7">
        <v>30</v>
      </c>
      <c r="Q378" s="2"/>
    </row>
    <row r="379" spans="1:17" hidden="1" x14ac:dyDescent="0.3">
      <c r="A379">
        <v>378</v>
      </c>
      <c r="D379" s="4" t="s">
        <v>1486</v>
      </c>
      <c r="J379" s="4" t="s">
        <v>206</v>
      </c>
      <c r="K379" s="4" t="s">
        <v>429</v>
      </c>
      <c r="L379" s="11">
        <v>80</v>
      </c>
      <c r="Q379" s="2"/>
    </row>
    <row r="380" spans="1:17" hidden="1" x14ac:dyDescent="0.3">
      <c r="A380">
        <v>379</v>
      </c>
      <c r="C380" s="4" t="s">
        <v>268</v>
      </c>
      <c r="D380" s="4" t="s">
        <v>1570</v>
      </c>
      <c r="I380" s="4" t="s">
        <v>430</v>
      </c>
      <c r="J380" s="4" t="s">
        <v>214</v>
      </c>
      <c r="K380" s="4" t="s">
        <v>87</v>
      </c>
      <c r="L380" s="4">
        <v>10000</v>
      </c>
      <c r="M380" s="4">
        <v>10000</v>
      </c>
      <c r="N380" s="4">
        <v>700</v>
      </c>
      <c r="O380" s="4"/>
      <c r="P380" s="4"/>
      <c r="Q380" s="2"/>
    </row>
    <row r="381" spans="1:17" hidden="1" x14ac:dyDescent="0.3">
      <c r="A381">
        <v>380</v>
      </c>
      <c r="D381" s="5" t="s">
        <v>1616</v>
      </c>
      <c r="E381" s="5" t="s">
        <v>1617</v>
      </c>
      <c r="F381" s="5" t="s">
        <v>1618</v>
      </c>
      <c r="G381" s="5"/>
      <c r="H381" s="5"/>
      <c r="I381" s="4" t="s">
        <v>431</v>
      </c>
      <c r="J381" s="4" t="s">
        <v>1185</v>
      </c>
      <c r="K381" s="4" t="s">
        <v>432</v>
      </c>
      <c r="L381" s="11">
        <f>6420-500</f>
        <v>5920</v>
      </c>
      <c r="M381" s="7">
        <v>6420</v>
      </c>
      <c r="N381" s="7">
        <v>449</v>
      </c>
      <c r="O381" s="7">
        <v>3</v>
      </c>
      <c r="Q381" s="2"/>
    </row>
    <row r="382" spans="1:17" hidden="1" x14ac:dyDescent="0.3">
      <c r="A382">
        <v>381</v>
      </c>
      <c r="D382" s="5" t="s">
        <v>1616</v>
      </c>
      <c r="E382" s="5" t="s">
        <v>1617</v>
      </c>
      <c r="F382" s="5" t="s">
        <v>1618</v>
      </c>
      <c r="J382" s="4" t="s">
        <v>214</v>
      </c>
      <c r="K382" s="4" t="s">
        <v>433</v>
      </c>
      <c r="L382" s="11">
        <v>500</v>
      </c>
      <c r="Q382" s="2"/>
    </row>
    <row r="383" spans="1:17" hidden="1" x14ac:dyDescent="0.3">
      <c r="A383">
        <v>382</v>
      </c>
      <c r="D383" s="4" t="s">
        <v>1598</v>
      </c>
      <c r="I383" s="4" t="s">
        <v>434</v>
      </c>
      <c r="J383" s="4" t="s">
        <v>214</v>
      </c>
      <c r="K383" s="4" t="s">
        <v>435</v>
      </c>
      <c r="L383" s="4">
        <v>20293</v>
      </c>
      <c r="M383" s="4">
        <v>20293</v>
      </c>
      <c r="N383" s="4">
        <v>1420</v>
      </c>
      <c r="O383" s="4">
        <v>4</v>
      </c>
      <c r="P383" s="4"/>
      <c r="Q383" s="2"/>
    </row>
    <row r="384" spans="1:17" ht="28.8" hidden="1" x14ac:dyDescent="0.3">
      <c r="A384">
        <v>383</v>
      </c>
      <c r="D384" s="4" t="s">
        <v>1598</v>
      </c>
      <c r="I384" s="4" t="s">
        <v>434</v>
      </c>
      <c r="J384" s="4" t="s">
        <v>214</v>
      </c>
      <c r="K384" s="5" t="s">
        <v>436</v>
      </c>
      <c r="L384" s="4">
        <f>M384-L385</f>
        <v>2475</v>
      </c>
      <c r="M384" s="7">
        <v>4075</v>
      </c>
      <c r="N384" s="7">
        <v>285</v>
      </c>
      <c r="O384" s="7">
        <v>2</v>
      </c>
      <c r="Q384" s="2"/>
    </row>
    <row r="385" spans="1:17" hidden="1" x14ac:dyDescent="0.3">
      <c r="A385">
        <v>384</v>
      </c>
      <c r="D385" s="4" t="s">
        <v>1598</v>
      </c>
      <c r="J385" s="4" t="s">
        <v>214</v>
      </c>
      <c r="K385" s="4" t="s">
        <v>437</v>
      </c>
      <c r="L385" s="4">
        <v>1600</v>
      </c>
      <c r="Q385" s="2"/>
    </row>
    <row r="386" spans="1:17" hidden="1" x14ac:dyDescent="0.3">
      <c r="A386">
        <v>385</v>
      </c>
      <c r="C386" s="4" t="s">
        <v>268</v>
      </c>
      <c r="D386" s="4" t="s">
        <v>1349</v>
      </c>
      <c r="I386" s="4" t="s">
        <v>434</v>
      </c>
      <c r="J386" s="4" t="s">
        <v>1185</v>
      </c>
      <c r="K386" s="4" t="s">
        <v>438</v>
      </c>
      <c r="L386" s="11">
        <f>M386-L387</f>
        <v>5707</v>
      </c>
      <c r="M386" s="7">
        <v>6057</v>
      </c>
      <c r="N386" s="7">
        <v>424</v>
      </c>
      <c r="Q386" s="2"/>
    </row>
    <row r="387" spans="1:17" hidden="1" x14ac:dyDescent="0.3">
      <c r="A387">
        <v>386</v>
      </c>
      <c r="D387" s="4" t="s">
        <v>1349</v>
      </c>
      <c r="J387" s="4" t="s">
        <v>214</v>
      </c>
      <c r="K387" s="4" t="s">
        <v>55</v>
      </c>
      <c r="L387" s="11">
        <v>350</v>
      </c>
      <c r="Q387" s="2"/>
    </row>
    <row r="388" spans="1:17" hidden="1" x14ac:dyDescent="0.3">
      <c r="A388">
        <v>387</v>
      </c>
      <c r="D388" s="4" t="s">
        <v>1445</v>
      </c>
      <c r="I388" s="4" t="s">
        <v>434</v>
      </c>
      <c r="J388" s="4" t="s">
        <v>214</v>
      </c>
      <c r="K388" s="4" t="s">
        <v>212</v>
      </c>
      <c r="L388" s="4">
        <v>900</v>
      </c>
      <c r="M388" s="4">
        <v>900</v>
      </c>
      <c r="N388" s="4">
        <v>63</v>
      </c>
      <c r="O388" s="4"/>
      <c r="P388" s="4"/>
      <c r="Q388" s="2"/>
    </row>
    <row r="389" spans="1:17" ht="28.8" hidden="1" x14ac:dyDescent="0.3">
      <c r="A389">
        <v>388</v>
      </c>
      <c r="D389" s="4" t="s">
        <v>1445</v>
      </c>
      <c r="I389" s="4" t="s">
        <v>434</v>
      </c>
      <c r="J389" s="4" t="s">
        <v>1185</v>
      </c>
      <c r="K389" s="5" t="s">
        <v>439</v>
      </c>
      <c r="L389" s="4">
        <v>7903</v>
      </c>
      <c r="M389" s="4">
        <v>7903</v>
      </c>
      <c r="N389" s="4">
        <v>553</v>
      </c>
      <c r="O389" s="4">
        <v>2</v>
      </c>
      <c r="P389" s="4"/>
      <c r="Q389" s="2"/>
    </row>
    <row r="390" spans="1:17" hidden="1" x14ac:dyDescent="0.3">
      <c r="A390">
        <v>389</v>
      </c>
      <c r="D390" s="4" t="s">
        <v>1350</v>
      </c>
      <c r="I390" s="4" t="s">
        <v>440</v>
      </c>
      <c r="J390" s="4" t="s">
        <v>206</v>
      </c>
      <c r="K390" s="4" t="s">
        <v>441</v>
      </c>
      <c r="L390" s="4">
        <v>1474</v>
      </c>
      <c r="M390" s="4">
        <v>1474</v>
      </c>
      <c r="N390" s="4">
        <v>103</v>
      </c>
      <c r="O390" s="4"/>
      <c r="P390" s="4"/>
      <c r="Q390" s="2"/>
    </row>
    <row r="391" spans="1:17" ht="28.8" hidden="1" x14ac:dyDescent="0.3">
      <c r="A391">
        <v>390</v>
      </c>
      <c r="D391" s="4" t="s">
        <v>1402</v>
      </c>
      <c r="E391" s="5" t="s">
        <v>1403</v>
      </c>
      <c r="F391" s="5"/>
      <c r="G391" s="5"/>
      <c r="H391" s="5"/>
      <c r="I391" s="4" t="s">
        <v>440</v>
      </c>
      <c r="J391" s="4" t="s">
        <v>214</v>
      </c>
      <c r="K391" s="4" t="s">
        <v>442</v>
      </c>
      <c r="L391" s="4">
        <v>1200</v>
      </c>
      <c r="M391" s="4">
        <v>1200</v>
      </c>
      <c r="N391" s="4">
        <v>84</v>
      </c>
      <c r="O391" s="4"/>
      <c r="P391" s="4"/>
      <c r="Q391" s="2"/>
    </row>
    <row r="392" spans="1:17" hidden="1" x14ac:dyDescent="0.3">
      <c r="A392">
        <v>391</v>
      </c>
      <c r="B392" s="4" t="s">
        <v>443</v>
      </c>
      <c r="C392" s="4" t="s">
        <v>444</v>
      </c>
      <c r="D392" s="4" t="s">
        <v>1614</v>
      </c>
      <c r="I392" s="4" t="s">
        <v>440</v>
      </c>
      <c r="J392" s="4" t="s">
        <v>1185</v>
      </c>
      <c r="K392" s="4" t="s">
        <v>445</v>
      </c>
      <c r="L392" s="11">
        <f>2329*8+2</f>
        <v>18634</v>
      </c>
      <c r="M392" s="7">
        <v>20434</v>
      </c>
      <c r="N392" s="7">
        <v>1430</v>
      </c>
      <c r="O392" s="7">
        <v>3</v>
      </c>
      <c r="Q392" s="2"/>
    </row>
    <row r="393" spans="1:17" hidden="1" x14ac:dyDescent="0.3">
      <c r="A393">
        <v>392</v>
      </c>
      <c r="D393" s="4" t="s">
        <v>1614</v>
      </c>
      <c r="J393" s="4" t="s">
        <v>206</v>
      </c>
      <c r="K393" s="4" t="s">
        <v>446</v>
      </c>
      <c r="L393" s="11">
        <f>225*8</f>
        <v>1800</v>
      </c>
      <c r="Q393" s="2"/>
    </row>
    <row r="394" spans="1:17" hidden="1" x14ac:dyDescent="0.3">
      <c r="A394">
        <v>393</v>
      </c>
      <c r="C394" s="4" t="s">
        <v>268</v>
      </c>
      <c r="D394" s="4" t="s">
        <v>1603</v>
      </c>
      <c r="I394" s="4" t="s">
        <v>440</v>
      </c>
      <c r="J394" s="4" t="s">
        <v>1185</v>
      </c>
      <c r="K394" s="4" t="s">
        <v>447</v>
      </c>
      <c r="L394" s="11">
        <f>M394-L395</f>
        <v>16423</v>
      </c>
      <c r="M394" s="7">
        <v>49423</v>
      </c>
      <c r="N394" s="7">
        <v>3459</v>
      </c>
      <c r="O394" s="7">
        <v>5</v>
      </c>
      <c r="Q394" s="2"/>
    </row>
    <row r="395" spans="1:17" hidden="1" x14ac:dyDescent="0.3">
      <c r="A395">
        <v>394</v>
      </c>
      <c r="D395" s="4" t="s">
        <v>1603</v>
      </c>
      <c r="J395" s="4" t="s">
        <v>214</v>
      </c>
      <c r="K395" s="4" t="s">
        <v>502</v>
      </c>
      <c r="L395" s="11">
        <v>33000</v>
      </c>
      <c r="Q395" s="2"/>
    </row>
    <row r="396" spans="1:17" hidden="1" x14ac:dyDescent="0.3">
      <c r="A396">
        <v>395</v>
      </c>
      <c r="C396" s="5" t="s">
        <v>448</v>
      </c>
      <c r="D396" s="4" t="s">
        <v>1467</v>
      </c>
      <c r="I396" s="4" t="s">
        <v>440</v>
      </c>
      <c r="J396" s="4" t="s">
        <v>1185</v>
      </c>
      <c r="K396" s="4" t="s">
        <v>449</v>
      </c>
      <c r="L396" s="11">
        <f>1108*8+16</f>
        <v>8880</v>
      </c>
      <c r="M396" s="7">
        <v>58624</v>
      </c>
      <c r="N396" s="7">
        <v>4103</v>
      </c>
      <c r="O396" s="7">
        <v>5</v>
      </c>
      <c r="Q396" s="2"/>
    </row>
    <row r="397" spans="1:17" hidden="1" x14ac:dyDescent="0.3">
      <c r="A397">
        <v>396</v>
      </c>
      <c r="D397" s="4" t="s">
        <v>1467</v>
      </c>
      <c r="J397" s="4" t="s">
        <v>214</v>
      </c>
      <c r="K397" s="4" t="s">
        <v>450</v>
      </c>
      <c r="L397" s="11">
        <f>38400</f>
        <v>38400</v>
      </c>
      <c r="Q397" s="2"/>
    </row>
    <row r="398" spans="1:17" hidden="1" x14ac:dyDescent="0.3">
      <c r="A398">
        <v>397</v>
      </c>
      <c r="D398" s="4" t="s">
        <v>1467</v>
      </c>
      <c r="J398" s="4" t="s">
        <v>214</v>
      </c>
      <c r="K398" s="4" t="s">
        <v>451</v>
      </c>
      <c r="L398" s="11">
        <f>1418*8</f>
        <v>11344</v>
      </c>
      <c r="Q398" s="2"/>
    </row>
    <row r="399" spans="1:17" hidden="1" x14ac:dyDescent="0.3">
      <c r="A399">
        <v>398</v>
      </c>
      <c r="C399" s="4" t="s">
        <v>268</v>
      </c>
      <c r="D399" s="4" t="s">
        <v>1519</v>
      </c>
      <c r="I399" s="4" t="s">
        <v>440</v>
      </c>
      <c r="J399" s="4" t="s">
        <v>1185</v>
      </c>
      <c r="K399" s="4" t="s">
        <v>452</v>
      </c>
      <c r="L399" s="11">
        <f>144*8</f>
        <v>1152</v>
      </c>
      <c r="M399" s="7">
        <v>1952</v>
      </c>
      <c r="N399" s="7">
        <v>136</v>
      </c>
      <c r="O399" s="7">
        <v>5</v>
      </c>
      <c r="Q399" s="2"/>
    </row>
    <row r="400" spans="1:17" hidden="1" x14ac:dyDescent="0.3">
      <c r="A400">
        <v>399</v>
      </c>
      <c r="D400" s="4" t="s">
        <v>1519</v>
      </c>
      <c r="J400" s="4" t="s">
        <v>214</v>
      </c>
      <c r="K400" s="4" t="s">
        <v>453</v>
      </c>
      <c r="L400" s="11">
        <v>800</v>
      </c>
      <c r="Q400" s="2"/>
    </row>
    <row r="401" spans="1:17" hidden="1" x14ac:dyDescent="0.3">
      <c r="A401">
        <v>400</v>
      </c>
      <c r="D401" s="4" t="s">
        <v>1523</v>
      </c>
      <c r="I401" s="4" t="s">
        <v>440</v>
      </c>
      <c r="J401" s="4" t="s">
        <v>1185</v>
      </c>
      <c r="K401" s="4" t="s">
        <v>454</v>
      </c>
      <c r="L401" s="4">
        <v>1992</v>
      </c>
      <c r="M401" s="4">
        <v>1992</v>
      </c>
      <c r="N401" s="4">
        <v>139</v>
      </c>
      <c r="O401" s="4">
        <v>4</v>
      </c>
      <c r="P401" s="4"/>
      <c r="Q401" s="2"/>
    </row>
    <row r="402" spans="1:17" ht="28.8" hidden="1" x14ac:dyDescent="0.3">
      <c r="A402">
        <v>401</v>
      </c>
      <c r="D402" s="4" t="s">
        <v>1509</v>
      </c>
      <c r="I402" s="4" t="s">
        <v>440</v>
      </c>
      <c r="J402" s="4" t="s">
        <v>1185</v>
      </c>
      <c r="K402" s="5" t="s">
        <v>455</v>
      </c>
      <c r="L402" s="11">
        <f>M402-L403-L404</f>
        <v>67418</v>
      </c>
      <c r="M402" s="7">
        <v>97438</v>
      </c>
      <c r="N402" s="7">
        <v>6820</v>
      </c>
      <c r="O402" s="7">
        <v>5</v>
      </c>
      <c r="Q402" s="2"/>
    </row>
    <row r="403" spans="1:17" hidden="1" x14ac:dyDescent="0.3">
      <c r="A403">
        <v>402</v>
      </c>
      <c r="D403" s="4" t="s">
        <v>1509</v>
      </c>
      <c r="J403" s="4" t="s">
        <v>214</v>
      </c>
      <c r="K403" s="4" t="s">
        <v>456</v>
      </c>
      <c r="L403" s="11">
        <f>2540*11</f>
        <v>27940</v>
      </c>
      <c r="Q403" s="2"/>
    </row>
    <row r="404" spans="1:17" hidden="1" x14ac:dyDescent="0.3">
      <c r="A404">
        <v>403</v>
      </c>
      <c r="D404" s="4" t="s">
        <v>1509</v>
      </c>
      <c r="J404" s="4" t="s">
        <v>206</v>
      </c>
      <c r="K404" s="4" t="s">
        <v>457</v>
      </c>
      <c r="L404" s="11">
        <f>260*8</f>
        <v>2080</v>
      </c>
      <c r="Q404" s="2"/>
    </row>
    <row r="405" spans="1:17" hidden="1" x14ac:dyDescent="0.3">
      <c r="A405">
        <v>404</v>
      </c>
      <c r="D405" s="4" t="s">
        <v>1375</v>
      </c>
      <c r="I405" s="4" t="s">
        <v>440</v>
      </c>
      <c r="J405" s="4" t="s">
        <v>214</v>
      </c>
      <c r="K405" s="4" t="s">
        <v>458</v>
      </c>
      <c r="L405" s="11">
        <v>1300</v>
      </c>
      <c r="M405" s="7">
        <v>1700</v>
      </c>
      <c r="N405" s="7">
        <v>119</v>
      </c>
      <c r="Q405" s="2"/>
    </row>
    <row r="406" spans="1:17" hidden="1" x14ac:dyDescent="0.3">
      <c r="A406">
        <v>405</v>
      </c>
      <c r="D406" s="4" t="s">
        <v>1375</v>
      </c>
      <c r="J406" s="4" t="s">
        <v>206</v>
      </c>
      <c r="K406" s="4" t="s">
        <v>459</v>
      </c>
      <c r="L406" s="11">
        <f>50*8</f>
        <v>400</v>
      </c>
      <c r="Q406" s="2"/>
    </row>
    <row r="407" spans="1:17" hidden="1" x14ac:dyDescent="0.3">
      <c r="A407">
        <v>406</v>
      </c>
      <c r="D407" s="4" t="s">
        <v>1536</v>
      </c>
      <c r="I407" s="4" t="s">
        <v>440</v>
      </c>
      <c r="J407" s="4" t="s">
        <v>1185</v>
      </c>
      <c r="K407" s="4" t="s">
        <v>460</v>
      </c>
      <c r="L407" s="11">
        <f>7553*8</f>
        <v>60424</v>
      </c>
      <c r="M407" s="7">
        <v>65424</v>
      </c>
      <c r="N407" s="7">
        <v>4579</v>
      </c>
      <c r="O407" s="7">
        <v>5</v>
      </c>
      <c r="Q407" s="2"/>
    </row>
    <row r="408" spans="1:17" hidden="1" x14ac:dyDescent="0.3">
      <c r="A408">
        <v>407</v>
      </c>
      <c r="D408" s="4" t="s">
        <v>1536</v>
      </c>
      <c r="J408" s="4" t="s">
        <v>214</v>
      </c>
      <c r="K408" s="4" t="s">
        <v>461</v>
      </c>
      <c r="L408" s="11">
        <v>5000</v>
      </c>
      <c r="Q408" s="2"/>
    </row>
    <row r="409" spans="1:17" hidden="1" x14ac:dyDescent="0.3">
      <c r="A409">
        <v>408</v>
      </c>
      <c r="D409" s="4" t="s">
        <v>1536</v>
      </c>
      <c r="I409" s="4" t="s">
        <v>440</v>
      </c>
      <c r="J409" s="4" t="s">
        <v>214</v>
      </c>
      <c r="K409" s="4" t="s">
        <v>462</v>
      </c>
      <c r="L409" s="4">
        <v>700</v>
      </c>
      <c r="M409" s="4">
        <v>700</v>
      </c>
      <c r="N409" s="4">
        <v>49</v>
      </c>
      <c r="O409" s="4"/>
      <c r="P409" s="4"/>
      <c r="Q409" s="2"/>
    </row>
    <row r="410" spans="1:17" hidden="1" x14ac:dyDescent="0.3">
      <c r="A410">
        <v>409</v>
      </c>
      <c r="B410" s="4" t="s">
        <v>463</v>
      </c>
      <c r="D410" s="4" t="s">
        <v>1385</v>
      </c>
      <c r="I410" s="4" t="s">
        <v>440</v>
      </c>
      <c r="J410" s="4" t="s">
        <v>206</v>
      </c>
      <c r="K410" s="4" t="s">
        <v>464</v>
      </c>
      <c r="L410" s="4">
        <v>2816</v>
      </c>
      <c r="M410" s="4">
        <v>2816</v>
      </c>
      <c r="N410" s="4">
        <v>197</v>
      </c>
      <c r="O410" s="4">
        <v>1</v>
      </c>
      <c r="P410" s="4"/>
      <c r="Q410" s="2"/>
    </row>
    <row r="411" spans="1:17" hidden="1" x14ac:dyDescent="0.3">
      <c r="A411">
        <v>410</v>
      </c>
      <c r="D411" s="4" t="s">
        <v>1365</v>
      </c>
      <c r="I411" s="4" t="s">
        <v>440</v>
      </c>
      <c r="J411" s="4" t="s">
        <v>206</v>
      </c>
      <c r="K411" s="4" t="s">
        <v>465</v>
      </c>
      <c r="L411" s="11">
        <f>546*8</f>
        <v>4368</v>
      </c>
      <c r="M411" s="7">
        <v>13327</v>
      </c>
      <c r="N411" s="7">
        <v>932</v>
      </c>
      <c r="O411" s="7">
        <v>7</v>
      </c>
      <c r="Q411" s="2"/>
    </row>
    <row r="412" spans="1:17" hidden="1" x14ac:dyDescent="0.3">
      <c r="A412">
        <v>411</v>
      </c>
      <c r="D412" s="4" t="s">
        <v>1365</v>
      </c>
      <c r="J412" s="4" t="s">
        <v>214</v>
      </c>
      <c r="K412" s="4" t="s">
        <v>466</v>
      </c>
      <c r="L412" s="11">
        <v>500</v>
      </c>
      <c r="Q412" s="2"/>
    </row>
    <row r="413" spans="1:17" hidden="1" x14ac:dyDescent="0.3">
      <c r="A413">
        <v>412</v>
      </c>
      <c r="D413" s="4" t="s">
        <v>1365</v>
      </c>
      <c r="J413" s="4" t="s">
        <v>1185</v>
      </c>
      <c r="K413" s="4" t="s">
        <v>467</v>
      </c>
      <c r="L413" s="11">
        <f>M411-L411-L412</f>
        <v>8459</v>
      </c>
      <c r="Q413" s="2"/>
    </row>
    <row r="414" spans="1:17" hidden="1" x14ac:dyDescent="0.3">
      <c r="A414">
        <v>413</v>
      </c>
      <c r="D414" s="4" t="s">
        <v>1573</v>
      </c>
      <c r="I414" s="4" t="s">
        <v>440</v>
      </c>
      <c r="J414" s="4" t="s">
        <v>214</v>
      </c>
      <c r="K414" s="4" t="s">
        <v>468</v>
      </c>
      <c r="L414" s="11">
        <v>8239</v>
      </c>
      <c r="M414" s="7">
        <v>18076</v>
      </c>
      <c r="N414" s="7">
        <v>1265</v>
      </c>
      <c r="O414" s="7">
        <v>2</v>
      </c>
      <c r="Q414" s="2"/>
    </row>
    <row r="415" spans="1:17" hidden="1" x14ac:dyDescent="0.3">
      <c r="A415">
        <v>414</v>
      </c>
      <c r="D415" s="4" t="s">
        <v>1573</v>
      </c>
      <c r="J415" s="4" t="s">
        <v>206</v>
      </c>
      <c r="K415" s="4" t="s">
        <v>469</v>
      </c>
      <c r="L415" s="11">
        <f>1229*8+5</f>
        <v>9837</v>
      </c>
      <c r="Q415" s="2"/>
    </row>
    <row r="416" spans="1:17" hidden="1" x14ac:dyDescent="0.3">
      <c r="A416">
        <v>415</v>
      </c>
      <c r="D416" s="5" t="s">
        <v>1636</v>
      </c>
      <c r="E416" s="5" t="s">
        <v>1637</v>
      </c>
      <c r="F416" s="5"/>
      <c r="G416" s="5"/>
      <c r="H416" s="5"/>
      <c r="I416" s="4" t="s">
        <v>440</v>
      </c>
      <c r="J416" s="4" t="s">
        <v>1185</v>
      </c>
      <c r="K416" s="4" t="s">
        <v>470</v>
      </c>
      <c r="L416" s="11">
        <f>M416-L417-L418</f>
        <v>4243</v>
      </c>
      <c r="M416" s="7">
        <v>13679</v>
      </c>
      <c r="N416" s="7">
        <v>957</v>
      </c>
      <c r="O416" s="7">
        <v>4</v>
      </c>
      <c r="Q416" s="2"/>
    </row>
    <row r="417" spans="1:17" hidden="1" x14ac:dyDescent="0.3">
      <c r="A417">
        <v>416</v>
      </c>
      <c r="D417" s="5" t="s">
        <v>1636</v>
      </c>
      <c r="E417" s="5" t="s">
        <v>1637</v>
      </c>
      <c r="J417" s="4" t="s">
        <v>214</v>
      </c>
      <c r="K417" s="4" t="s">
        <v>471</v>
      </c>
      <c r="L417" s="11">
        <v>8700</v>
      </c>
      <c r="Q417" s="2"/>
    </row>
    <row r="418" spans="1:17" hidden="1" x14ac:dyDescent="0.3">
      <c r="A418">
        <v>417</v>
      </c>
      <c r="D418" s="5" t="s">
        <v>1636</v>
      </c>
      <c r="E418" s="5" t="s">
        <v>1637</v>
      </c>
      <c r="J418" s="4" t="s">
        <v>206</v>
      </c>
      <c r="K418" s="4" t="s">
        <v>472</v>
      </c>
      <c r="L418" s="11">
        <f>92*8</f>
        <v>736</v>
      </c>
      <c r="Q418" s="2"/>
    </row>
    <row r="419" spans="1:17" hidden="1" x14ac:dyDescent="0.3">
      <c r="A419">
        <v>418</v>
      </c>
      <c r="C419" s="4" t="s">
        <v>21</v>
      </c>
      <c r="D419" s="4" t="s">
        <v>1461</v>
      </c>
      <c r="I419" s="4" t="s">
        <v>440</v>
      </c>
      <c r="J419" s="4" t="s">
        <v>214</v>
      </c>
      <c r="K419" s="4" t="s">
        <v>473</v>
      </c>
      <c r="L419" s="11">
        <v>9000</v>
      </c>
      <c r="M419" s="7">
        <v>27112</v>
      </c>
      <c r="N419" s="7">
        <v>1897</v>
      </c>
      <c r="O419" s="7">
        <v>7</v>
      </c>
      <c r="Q419" s="2"/>
    </row>
    <row r="420" spans="1:17" hidden="1" x14ac:dyDescent="0.3">
      <c r="A420">
        <v>419</v>
      </c>
      <c r="D420" s="4" t="s">
        <v>1461</v>
      </c>
      <c r="J420" s="4" t="s">
        <v>206</v>
      </c>
      <c r="K420" s="5" t="s">
        <v>1202</v>
      </c>
      <c r="L420" s="11">
        <f>630*8</f>
        <v>5040</v>
      </c>
      <c r="Q420" s="2"/>
    </row>
    <row r="421" spans="1:17" hidden="1" x14ac:dyDescent="0.3">
      <c r="A421">
        <v>420</v>
      </c>
      <c r="D421" s="4" t="s">
        <v>1461</v>
      </c>
      <c r="J421" s="4" t="s">
        <v>206</v>
      </c>
      <c r="K421" s="4" t="s">
        <v>1199</v>
      </c>
      <c r="L421" s="11">
        <f>392*8</f>
        <v>3136</v>
      </c>
      <c r="Q421" s="2"/>
    </row>
    <row r="422" spans="1:17" hidden="1" x14ac:dyDescent="0.3">
      <c r="A422">
        <v>421</v>
      </c>
      <c r="D422" s="4" t="s">
        <v>1461</v>
      </c>
      <c r="J422" s="4" t="s">
        <v>206</v>
      </c>
      <c r="K422" s="4" t="s">
        <v>1200</v>
      </c>
      <c r="L422" s="13">
        <f>92*8</f>
        <v>736</v>
      </c>
      <c r="M422" s="4"/>
      <c r="N422" s="4"/>
      <c r="O422" s="4"/>
      <c r="P422" s="4"/>
      <c r="Q422" s="2"/>
    </row>
    <row r="423" spans="1:17" hidden="1" x14ac:dyDescent="0.3">
      <c r="A423">
        <v>422</v>
      </c>
      <c r="D423" s="4" t="s">
        <v>1461</v>
      </c>
      <c r="J423" s="4" t="s">
        <v>206</v>
      </c>
      <c r="K423" s="4" t="s">
        <v>1201</v>
      </c>
      <c r="L423" s="13">
        <f>1150*8</f>
        <v>9200</v>
      </c>
      <c r="M423" s="4"/>
      <c r="N423" s="4"/>
      <c r="O423" s="4"/>
      <c r="P423" s="4"/>
      <c r="Q423" s="2"/>
    </row>
    <row r="424" spans="1:17" hidden="1" x14ac:dyDescent="0.3">
      <c r="A424">
        <v>423</v>
      </c>
      <c r="C424" s="4" t="s">
        <v>21</v>
      </c>
      <c r="D424" s="4" t="s">
        <v>1263</v>
      </c>
      <c r="I424" s="4" t="s">
        <v>440</v>
      </c>
      <c r="J424" s="4" t="s">
        <v>1185</v>
      </c>
      <c r="K424" s="4" t="s">
        <v>474</v>
      </c>
      <c r="L424" s="11">
        <f>128*8</f>
        <v>1024</v>
      </c>
      <c r="M424" s="7">
        <v>7849</v>
      </c>
      <c r="N424" s="7">
        <v>549</v>
      </c>
      <c r="O424" s="7">
        <v>3</v>
      </c>
      <c r="Q424" s="2"/>
    </row>
    <row r="425" spans="1:17" hidden="1" x14ac:dyDescent="0.3">
      <c r="A425">
        <v>424</v>
      </c>
      <c r="D425" s="4" t="s">
        <v>1263</v>
      </c>
      <c r="J425" s="4" t="s">
        <v>214</v>
      </c>
      <c r="K425" s="4" t="s">
        <v>53</v>
      </c>
      <c r="L425" s="11">
        <v>5000</v>
      </c>
      <c r="Q425" s="2"/>
    </row>
    <row r="426" spans="1:17" hidden="1" x14ac:dyDescent="0.3">
      <c r="A426">
        <v>425</v>
      </c>
      <c r="D426" s="4" t="s">
        <v>1263</v>
      </c>
      <c r="J426" s="4" t="s">
        <v>214</v>
      </c>
      <c r="K426" s="4" t="s">
        <v>475</v>
      </c>
      <c r="L426" s="11">
        <f>M424-L424-L425-L427-L428</f>
        <v>1125</v>
      </c>
      <c r="Q426" s="2"/>
    </row>
    <row r="427" spans="1:17" hidden="1" x14ac:dyDescent="0.3">
      <c r="A427">
        <v>426</v>
      </c>
      <c r="D427" s="4" t="s">
        <v>1263</v>
      </c>
      <c r="J427" s="4" t="s">
        <v>206</v>
      </c>
      <c r="K427" s="4" t="s">
        <v>476</v>
      </c>
      <c r="L427" s="11">
        <v>400</v>
      </c>
      <c r="Q427" s="2"/>
    </row>
    <row r="428" spans="1:17" hidden="1" x14ac:dyDescent="0.3">
      <c r="A428">
        <v>427</v>
      </c>
      <c r="D428" s="4" t="s">
        <v>1263</v>
      </c>
      <c r="J428" s="4" t="s">
        <v>214</v>
      </c>
      <c r="K428" s="4" t="s">
        <v>124</v>
      </c>
      <c r="L428" s="11">
        <v>300</v>
      </c>
      <c r="Q428" s="2"/>
    </row>
    <row r="429" spans="1:17" hidden="1" x14ac:dyDescent="0.3">
      <c r="A429">
        <v>428</v>
      </c>
      <c r="C429" s="4" t="s">
        <v>183</v>
      </c>
      <c r="D429" s="4" t="s">
        <v>1281</v>
      </c>
      <c r="I429" s="4" t="s">
        <v>440</v>
      </c>
      <c r="J429" s="4" t="s">
        <v>1185</v>
      </c>
      <c r="K429" s="4" t="s">
        <v>477</v>
      </c>
      <c r="L429" s="11">
        <f>306*8</f>
        <v>2448</v>
      </c>
      <c r="M429" s="7">
        <v>5300</v>
      </c>
      <c r="N429" s="7">
        <v>371</v>
      </c>
      <c r="Q429" s="2"/>
    </row>
    <row r="430" spans="1:17" hidden="1" x14ac:dyDescent="0.3">
      <c r="A430">
        <v>429</v>
      </c>
      <c r="D430" s="4" t="s">
        <v>1281</v>
      </c>
      <c r="J430" s="4" t="s">
        <v>214</v>
      </c>
      <c r="K430" s="4" t="s">
        <v>478</v>
      </c>
      <c r="L430" s="11">
        <v>2852</v>
      </c>
      <c r="Q430" s="2"/>
    </row>
    <row r="431" spans="1:17" hidden="1" x14ac:dyDescent="0.3">
      <c r="A431">
        <v>430</v>
      </c>
      <c r="C431" s="4" t="s">
        <v>183</v>
      </c>
      <c r="D431" s="4" t="s">
        <v>1604</v>
      </c>
      <c r="I431" s="4" t="s">
        <v>440</v>
      </c>
      <c r="J431" s="4" t="s">
        <v>214</v>
      </c>
      <c r="K431" s="4" t="s">
        <v>249</v>
      </c>
      <c r="L431" s="11">
        <v>4000</v>
      </c>
      <c r="M431" s="7">
        <v>4160</v>
      </c>
      <c r="N431" s="7">
        <v>291</v>
      </c>
      <c r="O431" s="7">
        <v>2</v>
      </c>
      <c r="Q431" s="2"/>
    </row>
    <row r="432" spans="1:17" hidden="1" x14ac:dyDescent="0.3">
      <c r="A432">
        <v>431</v>
      </c>
      <c r="D432" s="4" t="s">
        <v>1604</v>
      </c>
      <c r="J432" s="4" t="s">
        <v>206</v>
      </c>
      <c r="K432" s="4" t="s">
        <v>479</v>
      </c>
      <c r="L432" s="11">
        <f>20*8</f>
        <v>160</v>
      </c>
      <c r="Q432" s="2"/>
    </row>
    <row r="433" spans="1:17" hidden="1" x14ac:dyDescent="0.3">
      <c r="A433">
        <v>432</v>
      </c>
      <c r="C433" s="4" t="s">
        <v>21</v>
      </c>
      <c r="D433" s="4" t="s">
        <v>1382</v>
      </c>
      <c r="I433" s="4" t="s">
        <v>440</v>
      </c>
      <c r="J433" s="4" t="s">
        <v>214</v>
      </c>
      <c r="K433" s="4" t="s">
        <v>480</v>
      </c>
      <c r="L433" s="4">
        <v>1250</v>
      </c>
      <c r="M433" s="4">
        <v>1250</v>
      </c>
      <c r="N433" s="4">
        <v>87</v>
      </c>
      <c r="O433" s="4">
        <v>4</v>
      </c>
      <c r="P433" s="4"/>
      <c r="Q433" s="2"/>
    </row>
    <row r="434" spans="1:17" hidden="1" x14ac:dyDescent="0.3">
      <c r="A434">
        <v>433</v>
      </c>
      <c r="B434" s="4" t="s">
        <v>481</v>
      </c>
      <c r="C434" s="4" t="s">
        <v>21</v>
      </c>
      <c r="D434" s="4" t="s">
        <v>1480</v>
      </c>
      <c r="E434" s="4" t="s">
        <v>1249</v>
      </c>
      <c r="I434" s="4" t="s">
        <v>440</v>
      </c>
      <c r="J434" s="4" t="s">
        <v>214</v>
      </c>
      <c r="K434" s="4" t="s">
        <v>453</v>
      </c>
      <c r="L434" s="4">
        <v>800</v>
      </c>
      <c r="M434" s="4">
        <v>800</v>
      </c>
      <c r="N434" s="4">
        <v>56</v>
      </c>
      <c r="O434" s="4"/>
      <c r="P434" s="4"/>
      <c r="Q434" s="2"/>
    </row>
    <row r="435" spans="1:17" hidden="1" x14ac:dyDescent="0.3">
      <c r="A435">
        <v>434</v>
      </c>
      <c r="D435" s="4" t="s">
        <v>1251</v>
      </c>
      <c r="E435" s="4" t="s">
        <v>1250</v>
      </c>
      <c r="I435" s="4" t="s">
        <v>440</v>
      </c>
      <c r="J435" s="4" t="s">
        <v>206</v>
      </c>
      <c r="K435" s="4" t="s">
        <v>482</v>
      </c>
      <c r="L435" s="11">
        <f>692*8</f>
        <v>5536</v>
      </c>
      <c r="M435" s="7">
        <v>16636</v>
      </c>
      <c r="N435" s="7">
        <v>1164</v>
      </c>
      <c r="O435" s="7">
        <v>4</v>
      </c>
      <c r="Q435" s="2"/>
    </row>
    <row r="436" spans="1:17" hidden="1" x14ac:dyDescent="0.3">
      <c r="A436">
        <v>435</v>
      </c>
      <c r="D436" s="4" t="s">
        <v>1251</v>
      </c>
      <c r="E436" s="4" t="s">
        <v>1250</v>
      </c>
      <c r="J436" s="4" t="s">
        <v>214</v>
      </c>
      <c r="K436" s="4" t="s">
        <v>483</v>
      </c>
      <c r="L436" s="11">
        <v>3600</v>
      </c>
      <c r="Q436" s="2"/>
    </row>
    <row r="437" spans="1:17" hidden="1" x14ac:dyDescent="0.3">
      <c r="A437">
        <v>436</v>
      </c>
      <c r="D437" s="4" t="s">
        <v>1251</v>
      </c>
      <c r="E437" s="4" t="s">
        <v>1250</v>
      </c>
      <c r="J437" s="4" t="s">
        <v>214</v>
      </c>
      <c r="K437" s="4" t="s">
        <v>484</v>
      </c>
      <c r="L437" s="11">
        <v>7500</v>
      </c>
      <c r="Q437" s="2"/>
    </row>
    <row r="438" spans="1:17" hidden="1" x14ac:dyDescent="0.3">
      <c r="A438">
        <v>437</v>
      </c>
      <c r="D438" s="4" t="s">
        <v>1352</v>
      </c>
      <c r="I438" s="4" t="s">
        <v>485</v>
      </c>
      <c r="J438" s="4" t="s">
        <v>1185</v>
      </c>
      <c r="K438" s="4" t="s">
        <v>486</v>
      </c>
      <c r="L438" s="11">
        <f>5090*8+5</f>
        <v>40725</v>
      </c>
      <c r="M438" s="7">
        <v>60725</v>
      </c>
      <c r="N438" s="7">
        <v>4250</v>
      </c>
      <c r="Q438" s="2"/>
    </row>
    <row r="439" spans="1:17" hidden="1" x14ac:dyDescent="0.3">
      <c r="A439">
        <v>438</v>
      </c>
      <c r="D439" s="4" t="s">
        <v>1352</v>
      </c>
      <c r="J439" s="4" t="s">
        <v>214</v>
      </c>
      <c r="K439" s="4" t="s">
        <v>182</v>
      </c>
      <c r="L439" s="11">
        <f>2500*8</f>
        <v>20000</v>
      </c>
      <c r="Q439" s="2"/>
    </row>
    <row r="440" spans="1:17" hidden="1" x14ac:dyDescent="0.3">
      <c r="A440">
        <v>439</v>
      </c>
      <c r="D440" s="4" t="s">
        <v>1564</v>
      </c>
      <c r="I440" s="4" t="s">
        <v>485</v>
      </c>
      <c r="J440" s="4" t="s">
        <v>214</v>
      </c>
      <c r="K440" s="4" t="s">
        <v>433</v>
      </c>
      <c r="L440" s="4">
        <v>500</v>
      </c>
      <c r="M440" s="4">
        <v>500</v>
      </c>
      <c r="N440" s="4">
        <v>35</v>
      </c>
      <c r="O440" s="4"/>
      <c r="P440" s="4"/>
      <c r="Q440" s="2"/>
    </row>
    <row r="441" spans="1:17" hidden="1" x14ac:dyDescent="0.3">
      <c r="A441">
        <v>440</v>
      </c>
      <c r="C441" s="4" t="s">
        <v>21</v>
      </c>
      <c r="D441" s="4" t="s">
        <v>1562</v>
      </c>
      <c r="E441" s="4" t="s">
        <v>1252</v>
      </c>
      <c r="I441" s="4" t="s">
        <v>485</v>
      </c>
      <c r="J441" s="4" t="s">
        <v>1185</v>
      </c>
      <c r="K441" s="4" t="s">
        <v>487</v>
      </c>
      <c r="L441" s="11">
        <f>M441-L442</f>
        <v>3611</v>
      </c>
      <c r="M441" s="7">
        <v>4411</v>
      </c>
      <c r="N441" s="7">
        <v>308</v>
      </c>
      <c r="O441" s="7">
        <v>6</v>
      </c>
      <c r="Q441" s="2"/>
    </row>
    <row r="442" spans="1:17" hidden="1" x14ac:dyDescent="0.3">
      <c r="A442">
        <v>441</v>
      </c>
      <c r="D442" s="4" t="s">
        <v>1562</v>
      </c>
      <c r="E442" s="4" t="s">
        <v>1252</v>
      </c>
      <c r="J442" s="4" t="s">
        <v>214</v>
      </c>
      <c r="K442" s="4" t="s">
        <v>276</v>
      </c>
      <c r="L442" s="11">
        <v>800</v>
      </c>
      <c r="Q442" s="2"/>
    </row>
    <row r="443" spans="1:17" hidden="1" x14ac:dyDescent="0.3">
      <c r="A443">
        <v>442</v>
      </c>
      <c r="C443" s="4" t="s">
        <v>268</v>
      </c>
      <c r="D443" s="4" t="s">
        <v>1440</v>
      </c>
      <c r="I443" s="4" t="s">
        <v>488</v>
      </c>
      <c r="J443" s="4" t="s">
        <v>1185</v>
      </c>
      <c r="K443" s="4" t="s">
        <v>489</v>
      </c>
      <c r="L443" s="11">
        <f>4969*8</f>
        <v>39752</v>
      </c>
      <c r="M443" s="7">
        <v>48952</v>
      </c>
      <c r="N443" s="7">
        <v>3426</v>
      </c>
      <c r="O443" s="7">
        <v>5</v>
      </c>
      <c r="Q443" s="2"/>
    </row>
    <row r="444" spans="1:17" hidden="1" x14ac:dyDescent="0.3">
      <c r="A444">
        <v>443</v>
      </c>
      <c r="C444" s="4" t="s">
        <v>268</v>
      </c>
      <c r="D444" s="4" t="s">
        <v>1440</v>
      </c>
      <c r="J444" s="4" t="s">
        <v>214</v>
      </c>
      <c r="K444" s="4" t="s">
        <v>461</v>
      </c>
      <c r="L444" s="11">
        <v>5000</v>
      </c>
      <c r="Q444" s="2"/>
    </row>
    <row r="445" spans="1:17" hidden="1" x14ac:dyDescent="0.3">
      <c r="A445">
        <v>444</v>
      </c>
      <c r="C445" s="4" t="s">
        <v>268</v>
      </c>
      <c r="D445" s="4" t="s">
        <v>1440</v>
      </c>
      <c r="J445" s="4" t="s">
        <v>214</v>
      </c>
      <c r="K445" s="4" t="s">
        <v>490</v>
      </c>
      <c r="L445" s="11">
        <v>1000</v>
      </c>
      <c r="Q445" s="2"/>
    </row>
    <row r="446" spans="1:17" hidden="1" x14ac:dyDescent="0.3">
      <c r="A446">
        <v>445</v>
      </c>
      <c r="C446" s="4" t="s">
        <v>268</v>
      </c>
      <c r="D446" s="4" t="s">
        <v>1440</v>
      </c>
      <c r="J446" s="4" t="s">
        <v>206</v>
      </c>
      <c r="K446" s="4" t="s">
        <v>491</v>
      </c>
      <c r="L446" s="11">
        <f>400*8</f>
        <v>3200</v>
      </c>
      <c r="Q446" s="2"/>
    </row>
    <row r="447" spans="1:17" hidden="1" x14ac:dyDescent="0.3">
      <c r="A447">
        <v>446</v>
      </c>
      <c r="C447" s="4" t="s">
        <v>268</v>
      </c>
      <c r="D447" s="4" t="s">
        <v>1440</v>
      </c>
      <c r="I447" s="4" t="s">
        <v>488</v>
      </c>
      <c r="J447" s="4" t="s">
        <v>214</v>
      </c>
      <c r="K447" s="4" t="s">
        <v>492</v>
      </c>
      <c r="L447" s="4">
        <v>2350</v>
      </c>
      <c r="M447" s="4">
        <v>2350</v>
      </c>
      <c r="N447" s="4">
        <v>164</v>
      </c>
      <c r="O447" s="4">
        <v>4</v>
      </c>
      <c r="P447" s="4"/>
      <c r="Q447" s="2"/>
    </row>
    <row r="448" spans="1:17" hidden="1" x14ac:dyDescent="0.3">
      <c r="A448">
        <v>447</v>
      </c>
      <c r="D448" s="4" t="s">
        <v>1328</v>
      </c>
      <c r="I448" s="4" t="s">
        <v>488</v>
      </c>
      <c r="J448" s="4" t="s">
        <v>214</v>
      </c>
      <c r="K448" s="4" t="s">
        <v>87</v>
      </c>
      <c r="L448" s="11">
        <f>2500*4</f>
        <v>10000</v>
      </c>
      <c r="M448" s="7">
        <v>10296</v>
      </c>
      <c r="N448" s="7">
        <v>720</v>
      </c>
      <c r="O448" s="7">
        <v>6</v>
      </c>
      <c r="Q448" s="2"/>
    </row>
    <row r="449" spans="1:17" hidden="1" x14ac:dyDescent="0.3">
      <c r="A449">
        <v>448</v>
      </c>
      <c r="D449" s="4" t="s">
        <v>1328</v>
      </c>
      <c r="J449" s="4" t="s">
        <v>214</v>
      </c>
      <c r="K449" s="4" t="s">
        <v>493</v>
      </c>
      <c r="L449" s="11">
        <v>200</v>
      </c>
      <c r="Q449" s="2"/>
    </row>
    <row r="450" spans="1:17" hidden="1" x14ac:dyDescent="0.3">
      <c r="A450">
        <v>449</v>
      </c>
      <c r="D450" s="4" t="s">
        <v>1328</v>
      </c>
      <c r="J450" s="4" t="s">
        <v>206</v>
      </c>
      <c r="K450" s="4" t="s">
        <v>494</v>
      </c>
      <c r="L450" s="11">
        <f>12*8</f>
        <v>96</v>
      </c>
      <c r="Q450" s="2"/>
    </row>
    <row r="451" spans="1:17" hidden="1" x14ac:dyDescent="0.3">
      <c r="A451">
        <v>450</v>
      </c>
      <c r="D451" s="4" t="s">
        <v>1275</v>
      </c>
      <c r="I451" s="4" t="s">
        <v>488</v>
      </c>
      <c r="J451" s="4" t="s">
        <v>214</v>
      </c>
      <c r="K451" s="4" t="s">
        <v>495</v>
      </c>
      <c r="L451" s="11">
        <v>7900</v>
      </c>
      <c r="M451" s="7">
        <v>10060</v>
      </c>
      <c r="N451" s="7">
        <v>704</v>
      </c>
      <c r="O451" s="7">
        <v>2</v>
      </c>
      <c r="Q451" s="2"/>
    </row>
    <row r="452" spans="1:17" hidden="1" x14ac:dyDescent="0.3">
      <c r="A452">
        <v>451</v>
      </c>
      <c r="D452" s="4" t="s">
        <v>1275</v>
      </c>
      <c r="J452" s="4" t="s">
        <v>206</v>
      </c>
      <c r="K452" s="4" t="s">
        <v>496</v>
      </c>
      <c r="L452" s="11">
        <f>170*8</f>
        <v>1360</v>
      </c>
      <c r="Q452" s="2"/>
    </row>
    <row r="453" spans="1:17" hidden="1" x14ac:dyDescent="0.3">
      <c r="A453">
        <v>452</v>
      </c>
      <c r="D453" s="4" t="s">
        <v>1275</v>
      </c>
      <c r="J453" s="4" t="s">
        <v>214</v>
      </c>
      <c r="K453" s="4" t="s">
        <v>497</v>
      </c>
      <c r="L453" s="11">
        <v>800</v>
      </c>
      <c r="Q453" s="2"/>
    </row>
    <row r="454" spans="1:17" hidden="1" x14ac:dyDescent="0.3">
      <c r="A454">
        <v>453</v>
      </c>
      <c r="D454" s="4" t="s">
        <v>1557</v>
      </c>
      <c r="I454" s="4" t="s">
        <v>488</v>
      </c>
      <c r="J454" s="4" t="s">
        <v>1185</v>
      </c>
      <c r="K454" s="4" t="s">
        <v>498</v>
      </c>
      <c r="L454" s="4">
        <v>8896</v>
      </c>
      <c r="M454" s="4">
        <v>8896</v>
      </c>
      <c r="N454" s="4">
        <v>622</v>
      </c>
      <c r="O454" s="4">
        <v>6</v>
      </c>
      <c r="P454" s="4"/>
      <c r="Q454" s="2"/>
    </row>
    <row r="455" spans="1:17" hidden="1" x14ac:dyDescent="0.3">
      <c r="A455">
        <v>454</v>
      </c>
      <c r="B455" s="4" t="s">
        <v>499</v>
      </c>
      <c r="D455" s="4" t="s">
        <v>1401</v>
      </c>
      <c r="I455" s="4" t="s">
        <v>488</v>
      </c>
      <c r="J455" s="4" t="s">
        <v>1185</v>
      </c>
      <c r="K455" s="4" t="s">
        <v>501</v>
      </c>
      <c r="L455" s="4">
        <v>10009</v>
      </c>
      <c r="M455" s="4">
        <v>10009</v>
      </c>
      <c r="N455" s="4">
        <v>700</v>
      </c>
      <c r="O455" s="4">
        <v>5</v>
      </c>
      <c r="P455" s="4"/>
      <c r="Q455" s="2"/>
    </row>
    <row r="456" spans="1:17" hidden="1" x14ac:dyDescent="0.3">
      <c r="A456">
        <v>455</v>
      </c>
      <c r="D456" s="4" t="s">
        <v>1593</v>
      </c>
      <c r="I456" s="4" t="s">
        <v>488</v>
      </c>
      <c r="J456" s="4" t="s">
        <v>214</v>
      </c>
      <c r="K456" s="4" t="s">
        <v>503</v>
      </c>
      <c r="L456" s="11">
        <v>6200</v>
      </c>
      <c r="M456" s="7">
        <v>8264</v>
      </c>
      <c r="N456" s="7">
        <v>578</v>
      </c>
      <c r="O456" s="7">
        <v>4</v>
      </c>
      <c r="Q456" s="2"/>
    </row>
    <row r="457" spans="1:17" hidden="1" x14ac:dyDescent="0.3">
      <c r="A457">
        <v>456</v>
      </c>
      <c r="D457" s="4" t="s">
        <v>1593</v>
      </c>
      <c r="J457" s="4" t="s">
        <v>206</v>
      </c>
      <c r="K457" s="4" t="s">
        <v>733</v>
      </c>
      <c r="L457" s="11">
        <f>M456-L456</f>
        <v>2064</v>
      </c>
      <c r="Q457" s="2"/>
    </row>
    <row r="458" spans="1:17" hidden="1" x14ac:dyDescent="0.3">
      <c r="A458">
        <v>457</v>
      </c>
      <c r="D458" s="4" t="s">
        <v>1533</v>
      </c>
      <c r="I458" s="4" t="s">
        <v>488</v>
      </c>
      <c r="J458" s="4" t="s">
        <v>206</v>
      </c>
      <c r="K458" s="4" t="s">
        <v>504</v>
      </c>
      <c r="L458" s="4">
        <v>4000</v>
      </c>
      <c r="M458" s="4">
        <v>4000</v>
      </c>
      <c r="N458" s="4">
        <v>280</v>
      </c>
      <c r="O458" s="4"/>
      <c r="P458" s="4"/>
      <c r="Q458" s="2"/>
    </row>
    <row r="459" spans="1:17" hidden="1" x14ac:dyDescent="0.3">
      <c r="A459">
        <v>458</v>
      </c>
      <c r="D459" s="4" t="s">
        <v>1620</v>
      </c>
      <c r="I459" s="4" t="s">
        <v>505</v>
      </c>
      <c r="J459" s="4" t="s">
        <v>1185</v>
      </c>
      <c r="K459" s="5" t="s">
        <v>1204</v>
      </c>
      <c r="L459" s="11">
        <f>3884*8+3</f>
        <v>31075</v>
      </c>
      <c r="M459" s="7">
        <v>76352</v>
      </c>
      <c r="N459" s="7">
        <v>5344</v>
      </c>
      <c r="O459" s="7">
        <v>5</v>
      </c>
      <c r="Q459" s="2"/>
    </row>
    <row r="460" spans="1:17" hidden="1" x14ac:dyDescent="0.3">
      <c r="A460">
        <v>459</v>
      </c>
      <c r="D460" s="4" t="s">
        <v>1620</v>
      </c>
      <c r="J460" s="4" t="s">
        <v>1185</v>
      </c>
      <c r="K460" s="5" t="s">
        <v>1203</v>
      </c>
      <c r="L460" s="11">
        <f>542*7</f>
        <v>3794</v>
      </c>
      <c r="Q460" s="2"/>
    </row>
    <row r="461" spans="1:17" hidden="1" x14ac:dyDescent="0.3">
      <c r="A461">
        <v>460</v>
      </c>
      <c r="D461" s="4" t="s">
        <v>1620</v>
      </c>
      <c r="J461" s="4" t="s">
        <v>214</v>
      </c>
      <c r="K461" s="4" t="s">
        <v>506</v>
      </c>
      <c r="L461" s="11">
        <f>2525*9</f>
        <v>22725</v>
      </c>
      <c r="Q461" s="2"/>
    </row>
    <row r="462" spans="1:17" hidden="1" x14ac:dyDescent="0.3">
      <c r="A462">
        <v>461</v>
      </c>
      <c r="D462" s="4" t="s">
        <v>1620</v>
      </c>
      <c r="J462" s="4" t="s">
        <v>206</v>
      </c>
      <c r="K462" s="4" t="s">
        <v>507</v>
      </c>
      <c r="L462" s="14">
        <f>M459-L459-L460-L461-L463</f>
        <v>14814</v>
      </c>
      <c r="Q462" s="2"/>
    </row>
    <row r="463" spans="1:17" hidden="1" x14ac:dyDescent="0.3">
      <c r="A463">
        <v>462</v>
      </c>
      <c r="D463" s="4" t="s">
        <v>1620</v>
      </c>
      <c r="J463" s="4" t="s">
        <v>214</v>
      </c>
      <c r="K463" s="4" t="s">
        <v>508</v>
      </c>
      <c r="L463" s="11">
        <f>493*8</f>
        <v>3944</v>
      </c>
      <c r="Q463" s="2"/>
    </row>
    <row r="464" spans="1:17" ht="28.8" hidden="1" x14ac:dyDescent="0.3">
      <c r="A464">
        <v>463</v>
      </c>
      <c r="D464" s="5" t="s">
        <v>1255</v>
      </c>
      <c r="E464" s="5" t="s">
        <v>1254</v>
      </c>
      <c r="F464" s="5" t="s">
        <v>1253</v>
      </c>
      <c r="G464" s="5"/>
      <c r="H464" s="5"/>
      <c r="I464" s="4" t="s">
        <v>505</v>
      </c>
      <c r="J464" s="4" t="s">
        <v>1185</v>
      </c>
      <c r="K464" s="5" t="s">
        <v>509</v>
      </c>
      <c r="L464" s="11">
        <f>M464-L465</f>
        <v>37538</v>
      </c>
      <c r="M464" s="7">
        <v>68138</v>
      </c>
      <c r="N464" s="7">
        <v>4769</v>
      </c>
      <c r="O464" s="7">
        <v>5</v>
      </c>
      <c r="Q464" s="2"/>
    </row>
    <row r="465" spans="1:17" hidden="1" x14ac:dyDescent="0.3">
      <c r="A465">
        <v>464</v>
      </c>
      <c r="D465" s="5" t="s">
        <v>1255</v>
      </c>
      <c r="E465" s="5" t="s">
        <v>1254</v>
      </c>
      <c r="F465" s="5" t="s">
        <v>1253</v>
      </c>
      <c r="J465" s="4" t="s">
        <v>214</v>
      </c>
      <c r="K465" s="4" t="s">
        <v>510</v>
      </c>
      <c r="L465" s="11">
        <f>2550*12</f>
        <v>30600</v>
      </c>
      <c r="Q465" s="2"/>
    </row>
    <row r="466" spans="1:17" hidden="1" x14ac:dyDescent="0.3">
      <c r="A466">
        <v>465</v>
      </c>
      <c r="D466" s="5" t="s">
        <v>1255</v>
      </c>
      <c r="E466" s="5" t="s">
        <v>1254</v>
      </c>
      <c r="F466" s="5" t="s">
        <v>1253</v>
      </c>
      <c r="J466" s="4" t="s">
        <v>214</v>
      </c>
      <c r="K466" s="4" t="s">
        <v>511</v>
      </c>
      <c r="L466" s="4">
        <v>600</v>
      </c>
      <c r="M466" s="4">
        <v>600</v>
      </c>
      <c r="N466" s="4">
        <v>42</v>
      </c>
      <c r="O466" s="4"/>
      <c r="P466" s="4"/>
      <c r="Q466" s="2"/>
    </row>
    <row r="467" spans="1:17" hidden="1" x14ac:dyDescent="0.3">
      <c r="A467">
        <v>466</v>
      </c>
      <c r="D467" s="4" t="s">
        <v>1405</v>
      </c>
      <c r="I467" s="4" t="s">
        <v>505</v>
      </c>
      <c r="J467" s="4" t="s">
        <v>206</v>
      </c>
      <c r="K467" s="4" t="s">
        <v>512</v>
      </c>
      <c r="L467" s="11">
        <v>800</v>
      </c>
      <c r="M467" s="7">
        <v>1700</v>
      </c>
      <c r="N467" s="7">
        <v>119</v>
      </c>
      <c r="Q467" s="2"/>
    </row>
    <row r="468" spans="1:17" hidden="1" x14ac:dyDescent="0.3">
      <c r="A468">
        <v>467</v>
      </c>
      <c r="D468" s="4" t="s">
        <v>1405</v>
      </c>
      <c r="J468" s="4" t="s">
        <v>214</v>
      </c>
      <c r="K468" s="4" t="s">
        <v>212</v>
      </c>
      <c r="L468" s="11">
        <v>900</v>
      </c>
      <c r="Q468" s="2"/>
    </row>
    <row r="469" spans="1:17" hidden="1" x14ac:dyDescent="0.3">
      <c r="A469">
        <v>468</v>
      </c>
      <c r="D469" s="4" t="s">
        <v>1609</v>
      </c>
      <c r="I469" s="4" t="s">
        <v>505</v>
      </c>
      <c r="J469" s="4" t="s">
        <v>214</v>
      </c>
      <c r="K469" s="4" t="s">
        <v>513</v>
      </c>
      <c r="L469" s="4">
        <v>10900</v>
      </c>
      <c r="M469" s="4">
        <v>10900</v>
      </c>
      <c r="N469" s="4">
        <v>763</v>
      </c>
      <c r="O469" s="4"/>
      <c r="P469" s="4"/>
      <c r="Q469" s="2"/>
    </row>
    <row r="470" spans="1:17" ht="28.8" hidden="1" x14ac:dyDescent="0.3">
      <c r="A470">
        <v>469</v>
      </c>
      <c r="C470" s="4" t="s">
        <v>286</v>
      </c>
      <c r="D470" s="5" t="s">
        <v>1559</v>
      </c>
      <c r="E470" s="5" t="s">
        <v>1560</v>
      </c>
      <c r="F470" s="5" t="s">
        <v>1561</v>
      </c>
      <c r="G470" s="5"/>
      <c r="H470" s="5"/>
      <c r="I470" s="4" t="s">
        <v>505</v>
      </c>
      <c r="J470" s="4" t="s">
        <v>1185</v>
      </c>
      <c r="K470" s="5" t="s">
        <v>514</v>
      </c>
      <c r="L470" s="11">
        <f>M470-L471-L472</f>
        <v>14459</v>
      </c>
      <c r="M470" s="7">
        <v>36059</v>
      </c>
      <c r="N470" s="7">
        <v>2524</v>
      </c>
      <c r="O470" s="7">
        <v>1</v>
      </c>
      <c r="Q470" s="2"/>
    </row>
    <row r="471" spans="1:17" hidden="1" x14ac:dyDescent="0.3">
      <c r="A471">
        <v>470</v>
      </c>
      <c r="D471" s="5" t="s">
        <v>1559</v>
      </c>
      <c r="E471" s="5" t="s">
        <v>1560</v>
      </c>
      <c r="F471" s="5" t="s">
        <v>1561</v>
      </c>
      <c r="J471" s="4" t="s">
        <v>214</v>
      </c>
      <c r="K471" s="4" t="s">
        <v>515</v>
      </c>
      <c r="L471" s="11">
        <f>2600*8</f>
        <v>20800</v>
      </c>
      <c r="Q471" s="2"/>
    </row>
    <row r="472" spans="1:17" hidden="1" x14ac:dyDescent="0.3">
      <c r="A472">
        <v>471</v>
      </c>
      <c r="D472" s="5" t="s">
        <v>1559</v>
      </c>
      <c r="E472" s="5" t="s">
        <v>1560</v>
      </c>
      <c r="F472" s="5" t="s">
        <v>1561</v>
      </c>
      <c r="J472" s="4" t="s">
        <v>206</v>
      </c>
      <c r="K472" s="4" t="s">
        <v>512</v>
      </c>
      <c r="L472" s="11">
        <v>800</v>
      </c>
      <c r="Q472" s="2"/>
    </row>
    <row r="473" spans="1:17" ht="28.8" hidden="1" x14ac:dyDescent="0.3">
      <c r="A473">
        <v>472</v>
      </c>
      <c r="B473" s="4" t="s">
        <v>516</v>
      </c>
      <c r="D473" s="4" t="s">
        <v>1481</v>
      </c>
      <c r="I473" s="4" t="s">
        <v>505</v>
      </c>
      <c r="J473" s="4" t="s">
        <v>1185</v>
      </c>
      <c r="K473" s="5" t="s">
        <v>517</v>
      </c>
      <c r="L473" s="11">
        <f>M473-L474</f>
        <v>12177</v>
      </c>
      <c r="M473" s="7">
        <v>13185</v>
      </c>
      <c r="N473" s="7">
        <v>925</v>
      </c>
      <c r="Q473" s="2"/>
    </row>
    <row r="474" spans="1:17" hidden="1" x14ac:dyDescent="0.3">
      <c r="A474">
        <v>473</v>
      </c>
      <c r="D474" s="4" t="s">
        <v>1481</v>
      </c>
      <c r="J474" s="4" t="s">
        <v>206</v>
      </c>
      <c r="K474" s="4" t="s">
        <v>518</v>
      </c>
      <c r="L474" s="11">
        <f>126*8</f>
        <v>1008</v>
      </c>
      <c r="Q474" s="2"/>
    </row>
    <row r="475" spans="1:17" ht="28.8" hidden="1" x14ac:dyDescent="0.3">
      <c r="A475">
        <v>474</v>
      </c>
      <c r="D475" s="5" t="s">
        <v>1256</v>
      </c>
      <c r="E475" s="5" t="s">
        <v>1565</v>
      </c>
      <c r="F475" s="5"/>
      <c r="G475" s="5"/>
      <c r="H475" s="5"/>
      <c r="I475" s="4" t="s">
        <v>505</v>
      </c>
      <c r="J475" s="4" t="s">
        <v>1185</v>
      </c>
      <c r="K475" s="4" t="s">
        <v>519</v>
      </c>
      <c r="L475" s="11">
        <f>M475-L476-L477</f>
        <v>5491</v>
      </c>
      <c r="M475" s="7">
        <v>47141</v>
      </c>
      <c r="N475" s="7">
        <v>3299</v>
      </c>
      <c r="O475" s="7">
        <v>7</v>
      </c>
      <c r="Q475" s="2"/>
    </row>
    <row r="476" spans="1:17" ht="28.8" hidden="1" x14ac:dyDescent="0.3">
      <c r="A476">
        <v>475</v>
      </c>
      <c r="D476" s="5" t="s">
        <v>1256</v>
      </c>
      <c r="E476" s="5" t="s">
        <v>1565</v>
      </c>
      <c r="J476" s="4" t="s">
        <v>214</v>
      </c>
      <c r="K476" s="4" t="s">
        <v>520</v>
      </c>
      <c r="L476" s="11">
        <v>36250</v>
      </c>
      <c r="Q476" s="2"/>
    </row>
    <row r="477" spans="1:17" ht="28.8" x14ac:dyDescent="0.3">
      <c r="A477">
        <v>476</v>
      </c>
      <c r="D477" s="5" t="s">
        <v>1256</v>
      </c>
      <c r="E477" s="5" t="s">
        <v>1565</v>
      </c>
      <c r="J477" s="4" t="s">
        <v>214</v>
      </c>
      <c r="K477" s="4" t="s">
        <v>521</v>
      </c>
      <c r="L477" s="11">
        <v>5400</v>
      </c>
      <c r="Q477" s="2"/>
    </row>
    <row r="478" spans="1:17" hidden="1" x14ac:dyDescent="0.3">
      <c r="A478">
        <v>477</v>
      </c>
      <c r="C478" s="4" t="s">
        <v>268</v>
      </c>
      <c r="D478" s="4" t="s">
        <v>1478</v>
      </c>
      <c r="I478" s="4" t="s">
        <v>522</v>
      </c>
      <c r="J478" s="4" t="s">
        <v>214</v>
      </c>
      <c r="K478" s="4" t="s">
        <v>523</v>
      </c>
      <c r="L478" s="4">
        <v>10000</v>
      </c>
      <c r="M478" s="4">
        <v>10000</v>
      </c>
      <c r="N478" s="4">
        <v>700</v>
      </c>
      <c r="O478" s="4"/>
      <c r="P478" s="4"/>
      <c r="Q478" s="2"/>
    </row>
    <row r="479" spans="1:17" ht="28.8" hidden="1" x14ac:dyDescent="0.3">
      <c r="A479">
        <v>478</v>
      </c>
      <c r="D479" s="5" t="s">
        <v>1491</v>
      </c>
      <c r="E479" s="5" t="s">
        <v>1195</v>
      </c>
      <c r="F479" s="5" t="s">
        <v>1196</v>
      </c>
      <c r="G479" s="5"/>
      <c r="H479" s="5"/>
      <c r="I479" s="4" t="s">
        <v>522</v>
      </c>
      <c r="J479" s="4" t="s">
        <v>1185</v>
      </c>
      <c r="K479" s="4" t="s">
        <v>1197</v>
      </c>
      <c r="L479" s="13">
        <f>M479-L480</f>
        <v>69795</v>
      </c>
      <c r="M479" s="7">
        <v>159795</v>
      </c>
      <c r="N479" s="7">
        <v>11185</v>
      </c>
      <c r="O479" s="7">
        <v>4</v>
      </c>
      <c r="Q479" s="2" t="s">
        <v>1198</v>
      </c>
    </row>
    <row r="480" spans="1:17" ht="28.8" hidden="1" x14ac:dyDescent="0.3">
      <c r="A480">
        <v>479</v>
      </c>
      <c r="D480" s="5" t="s">
        <v>1491</v>
      </c>
      <c r="E480" s="5" t="s">
        <v>1195</v>
      </c>
      <c r="F480" s="5" t="s">
        <v>1196</v>
      </c>
      <c r="J480" s="4" t="s">
        <v>214</v>
      </c>
      <c r="K480" s="4" t="s">
        <v>524</v>
      </c>
      <c r="L480" s="13">
        <f>36*2500</f>
        <v>90000</v>
      </c>
      <c r="Q480" s="2"/>
    </row>
    <row r="481" spans="1:17" hidden="1" x14ac:dyDescent="0.3">
      <c r="A481">
        <v>480</v>
      </c>
      <c r="C481" s="4" t="s">
        <v>270</v>
      </c>
      <c r="D481" s="4" t="s">
        <v>1586</v>
      </c>
      <c r="I481" s="4" t="s">
        <v>522</v>
      </c>
      <c r="J481" s="4" t="s">
        <v>1185</v>
      </c>
      <c r="K481" s="4" t="s">
        <v>525</v>
      </c>
      <c r="L481" s="11">
        <f>1702*8</f>
        <v>13616</v>
      </c>
      <c r="M481" s="7">
        <v>43656</v>
      </c>
      <c r="N481" s="7">
        <v>3056</v>
      </c>
      <c r="Q481" s="2"/>
    </row>
    <row r="482" spans="1:17" hidden="1" x14ac:dyDescent="0.3">
      <c r="A482">
        <v>481</v>
      </c>
      <c r="D482" s="4" t="s">
        <v>1586</v>
      </c>
      <c r="J482" s="4" t="s">
        <v>214</v>
      </c>
      <c r="K482" s="4" t="s">
        <v>526</v>
      </c>
      <c r="L482" s="11">
        <v>25000</v>
      </c>
      <c r="Q482" s="2"/>
    </row>
    <row r="483" spans="1:17" x14ac:dyDescent="0.3">
      <c r="A483">
        <v>482</v>
      </c>
      <c r="D483" s="4" t="s">
        <v>1586</v>
      </c>
      <c r="J483" s="4" t="s">
        <v>214</v>
      </c>
      <c r="K483" s="4" t="s">
        <v>527</v>
      </c>
      <c r="L483" s="11">
        <v>4000</v>
      </c>
      <c r="Q483" s="2"/>
    </row>
    <row r="484" spans="1:17" x14ac:dyDescent="0.3">
      <c r="A484">
        <v>483</v>
      </c>
      <c r="D484" s="4" t="s">
        <v>1586</v>
      </c>
      <c r="J484" s="4" t="s">
        <v>206</v>
      </c>
      <c r="K484" s="4" t="s">
        <v>528</v>
      </c>
      <c r="L484" s="11">
        <f>130*8</f>
        <v>1040</v>
      </c>
      <c r="Q484" s="2"/>
    </row>
    <row r="485" spans="1:17" ht="28.8" hidden="1" x14ac:dyDescent="0.3">
      <c r="A485">
        <v>484</v>
      </c>
      <c r="C485" s="4" t="s">
        <v>268</v>
      </c>
      <c r="D485" s="4" t="s">
        <v>1666</v>
      </c>
      <c r="I485" s="4" t="s">
        <v>522</v>
      </c>
      <c r="J485" s="4" t="s">
        <v>1185</v>
      </c>
      <c r="K485" s="5" t="s">
        <v>529</v>
      </c>
      <c r="L485" s="11">
        <f>35050-5000</f>
        <v>30050</v>
      </c>
      <c r="M485" s="7">
        <v>35050</v>
      </c>
      <c r="N485" s="7">
        <v>2453</v>
      </c>
      <c r="O485" s="7">
        <v>4</v>
      </c>
      <c r="Q485" s="2"/>
    </row>
    <row r="486" spans="1:17" hidden="1" x14ac:dyDescent="0.3">
      <c r="A486">
        <v>485</v>
      </c>
      <c r="D486" s="4" t="s">
        <v>1666</v>
      </c>
      <c r="J486" s="4" t="s">
        <v>214</v>
      </c>
      <c r="K486" s="4" t="s">
        <v>114</v>
      </c>
      <c r="L486" s="11">
        <v>5000</v>
      </c>
      <c r="Q486" s="2"/>
    </row>
    <row r="487" spans="1:17" hidden="1" x14ac:dyDescent="0.3">
      <c r="A487">
        <v>486</v>
      </c>
      <c r="C487" s="4" t="s">
        <v>268</v>
      </c>
      <c r="D487" s="4" t="s">
        <v>1540</v>
      </c>
      <c r="I487" s="4" t="s">
        <v>530</v>
      </c>
      <c r="J487" s="4" t="s">
        <v>1185</v>
      </c>
      <c r="K487" s="4" t="s">
        <v>531</v>
      </c>
      <c r="L487" s="11">
        <v>9150</v>
      </c>
      <c r="M487" s="7">
        <v>19150</v>
      </c>
      <c r="N487" s="7">
        <v>1340</v>
      </c>
      <c r="O487" s="7">
        <v>4</v>
      </c>
      <c r="Q487" s="2"/>
    </row>
    <row r="488" spans="1:17" hidden="1" x14ac:dyDescent="0.3">
      <c r="A488">
        <v>487</v>
      </c>
      <c r="D488" s="4" t="s">
        <v>1540</v>
      </c>
      <c r="J488" s="4" t="s">
        <v>214</v>
      </c>
      <c r="K488" s="4" t="s">
        <v>523</v>
      </c>
      <c r="L488" s="11">
        <v>10000</v>
      </c>
      <c r="Q488" s="2"/>
    </row>
    <row r="489" spans="1:17" ht="28.8" hidden="1" x14ac:dyDescent="0.3">
      <c r="A489">
        <v>488</v>
      </c>
      <c r="D489" s="5" t="s">
        <v>1259</v>
      </c>
      <c r="E489" s="5" t="s">
        <v>1258</v>
      </c>
      <c r="F489" s="5" t="s">
        <v>1257</v>
      </c>
      <c r="G489" s="5"/>
      <c r="H489" s="5"/>
      <c r="I489" s="4" t="s">
        <v>530</v>
      </c>
      <c r="J489" s="4" t="s">
        <v>206</v>
      </c>
      <c r="K489" s="4" t="s">
        <v>532</v>
      </c>
      <c r="L489" s="11">
        <f>760-280</f>
        <v>480</v>
      </c>
      <c r="M489" s="7">
        <v>760</v>
      </c>
      <c r="N489" s="7">
        <v>53</v>
      </c>
      <c r="Q489" s="2"/>
    </row>
    <row r="490" spans="1:17" ht="28.8" hidden="1" x14ac:dyDescent="0.3">
      <c r="A490">
        <v>489</v>
      </c>
      <c r="D490" s="5" t="s">
        <v>1259</v>
      </c>
      <c r="E490" s="5" t="s">
        <v>1258</v>
      </c>
      <c r="F490" s="5" t="s">
        <v>1257</v>
      </c>
      <c r="J490" s="4" t="s">
        <v>214</v>
      </c>
      <c r="K490" s="4" t="s">
        <v>533</v>
      </c>
      <c r="L490" s="11">
        <v>280</v>
      </c>
      <c r="Q490" s="2"/>
    </row>
    <row r="491" spans="1:17" ht="28.8" hidden="1" x14ac:dyDescent="0.3">
      <c r="A491">
        <v>490</v>
      </c>
      <c r="B491" s="4" t="s">
        <v>534</v>
      </c>
      <c r="D491" s="4" t="s">
        <v>1493</v>
      </c>
      <c r="I491" s="4" t="s">
        <v>535</v>
      </c>
      <c r="J491" s="4" t="s">
        <v>1185</v>
      </c>
      <c r="K491" s="5" t="s">
        <v>536</v>
      </c>
      <c r="L491" s="11">
        <v>6618</v>
      </c>
      <c r="M491" s="7">
        <v>29618</v>
      </c>
      <c r="N491" s="7">
        <v>2073</v>
      </c>
      <c r="Q491" s="2"/>
    </row>
    <row r="492" spans="1:17" hidden="1" x14ac:dyDescent="0.3">
      <c r="A492">
        <v>491</v>
      </c>
      <c r="D492" s="4" t="s">
        <v>1493</v>
      </c>
      <c r="J492" s="4" t="s">
        <v>214</v>
      </c>
      <c r="K492" s="4" t="s">
        <v>537</v>
      </c>
      <c r="L492" s="11">
        <v>23000</v>
      </c>
      <c r="Q492" s="2"/>
    </row>
    <row r="493" spans="1:17" ht="28.8" hidden="1" x14ac:dyDescent="0.3">
      <c r="A493">
        <v>492</v>
      </c>
      <c r="D493" s="4" t="s">
        <v>1483</v>
      </c>
      <c r="I493" s="4" t="s">
        <v>535</v>
      </c>
      <c r="J493" s="4" t="s">
        <v>1185</v>
      </c>
      <c r="K493" s="5" t="s">
        <v>538</v>
      </c>
      <c r="L493" s="11">
        <f>M493-L494</f>
        <v>50398</v>
      </c>
      <c r="M493" s="7">
        <v>51898</v>
      </c>
      <c r="N493" s="7">
        <v>3632</v>
      </c>
      <c r="O493" s="7">
        <v>7</v>
      </c>
      <c r="Q493" s="2"/>
    </row>
    <row r="494" spans="1:17" hidden="1" x14ac:dyDescent="0.3">
      <c r="A494">
        <v>493</v>
      </c>
      <c r="D494" s="4" t="s">
        <v>1483</v>
      </c>
      <c r="J494" s="4" t="s">
        <v>1649</v>
      </c>
      <c r="K494" s="4" t="s">
        <v>539</v>
      </c>
      <c r="L494" s="11">
        <v>1500</v>
      </c>
      <c r="Q494" s="2"/>
    </row>
    <row r="495" spans="1:17" hidden="1" x14ac:dyDescent="0.3">
      <c r="A495">
        <v>494</v>
      </c>
      <c r="C495" s="4" t="s">
        <v>268</v>
      </c>
      <c r="D495" s="4" t="s">
        <v>1294</v>
      </c>
      <c r="I495" s="4" t="s">
        <v>540</v>
      </c>
      <c r="J495" s="4" t="s">
        <v>214</v>
      </c>
      <c r="K495" s="4" t="s">
        <v>264</v>
      </c>
      <c r="L495" s="11">
        <f>2500*11</f>
        <v>27500</v>
      </c>
      <c r="M495" s="7">
        <v>130247</v>
      </c>
      <c r="N495" s="7">
        <v>9117</v>
      </c>
      <c r="O495" s="7">
        <v>2</v>
      </c>
      <c r="Q495" s="2"/>
    </row>
    <row r="496" spans="1:17" hidden="1" x14ac:dyDescent="0.3">
      <c r="A496">
        <v>495</v>
      </c>
      <c r="D496" s="4" t="s">
        <v>1294</v>
      </c>
      <c r="J496" s="4" t="s">
        <v>206</v>
      </c>
      <c r="K496" s="4" t="s">
        <v>1209</v>
      </c>
      <c r="L496" s="11">
        <f>M495-L497-L498-L499-L495</f>
        <v>22183</v>
      </c>
      <c r="Q496" s="2"/>
    </row>
    <row r="497" spans="1:17" hidden="1" x14ac:dyDescent="0.3">
      <c r="A497">
        <v>496</v>
      </c>
      <c r="D497" s="4" t="s">
        <v>1294</v>
      </c>
      <c r="J497" s="4" t="s">
        <v>214</v>
      </c>
      <c r="K497" s="4" t="s">
        <v>1207</v>
      </c>
      <c r="L497" s="11">
        <v>28045</v>
      </c>
      <c r="Q497" s="2"/>
    </row>
    <row r="498" spans="1:17" hidden="1" x14ac:dyDescent="0.3">
      <c r="A498">
        <v>497</v>
      </c>
      <c r="D498" s="4" t="s">
        <v>1294</v>
      </c>
      <c r="J498" s="4" t="s">
        <v>206</v>
      </c>
      <c r="K498" s="4" t="s">
        <v>1208</v>
      </c>
      <c r="L498" s="11">
        <f>1792*8</f>
        <v>14336</v>
      </c>
      <c r="Q498" s="2"/>
    </row>
    <row r="499" spans="1:17" hidden="1" x14ac:dyDescent="0.3">
      <c r="A499">
        <v>498</v>
      </c>
      <c r="D499" s="4" t="s">
        <v>1294</v>
      </c>
      <c r="J499" s="4" t="s">
        <v>1185</v>
      </c>
      <c r="K499" s="4" t="s">
        <v>541</v>
      </c>
      <c r="L499" s="11">
        <f>4639*8+153*7</f>
        <v>38183</v>
      </c>
      <c r="Q499" s="2"/>
    </row>
    <row r="500" spans="1:17" hidden="1" x14ac:dyDescent="0.3">
      <c r="A500">
        <v>499</v>
      </c>
      <c r="C500" s="4" t="s">
        <v>268</v>
      </c>
      <c r="D500" s="4" t="s">
        <v>1519</v>
      </c>
      <c r="I500" s="4" t="s">
        <v>540</v>
      </c>
      <c r="J500" s="4" t="s">
        <v>214</v>
      </c>
      <c r="K500" s="4" t="s">
        <v>542</v>
      </c>
      <c r="L500" s="4">
        <v>18700</v>
      </c>
      <c r="M500" s="4">
        <v>18700</v>
      </c>
      <c r="N500" s="4">
        <v>1309</v>
      </c>
      <c r="O500" s="4"/>
      <c r="P500" s="4"/>
      <c r="Q500" s="2"/>
    </row>
    <row r="501" spans="1:17" hidden="1" x14ac:dyDescent="0.3">
      <c r="A501">
        <v>500</v>
      </c>
      <c r="D501" s="4" t="s">
        <v>1641</v>
      </c>
      <c r="I501" s="4" t="s">
        <v>543</v>
      </c>
      <c r="J501" s="4" t="s">
        <v>1185</v>
      </c>
      <c r="K501" s="4" t="s">
        <v>544</v>
      </c>
      <c r="L501" s="4">
        <v>6785</v>
      </c>
      <c r="M501" s="4">
        <v>6785</v>
      </c>
      <c r="N501" s="4">
        <v>475</v>
      </c>
      <c r="O501" s="4"/>
      <c r="P501" s="4"/>
      <c r="Q501" s="2"/>
    </row>
    <row r="502" spans="1:17" ht="28.8" x14ac:dyDescent="0.3">
      <c r="A502">
        <v>501</v>
      </c>
      <c r="D502" s="4" t="s">
        <v>1451</v>
      </c>
      <c r="I502" s="4" t="s">
        <v>543</v>
      </c>
      <c r="J502" s="4" t="s">
        <v>1185</v>
      </c>
      <c r="K502" s="5" t="s">
        <v>545</v>
      </c>
      <c r="L502" s="4">
        <v>6563</v>
      </c>
      <c r="M502" s="4">
        <v>6563</v>
      </c>
      <c r="N502" s="4">
        <v>459</v>
      </c>
      <c r="O502" s="4">
        <v>3</v>
      </c>
      <c r="P502" s="4"/>
      <c r="Q502" s="2"/>
    </row>
    <row r="503" spans="1:17" hidden="1" x14ac:dyDescent="0.3">
      <c r="A503">
        <v>502</v>
      </c>
      <c r="D503" s="4" t="s">
        <v>1534</v>
      </c>
      <c r="I503" s="4" t="s">
        <v>543</v>
      </c>
      <c r="J503" s="4" t="s">
        <v>214</v>
      </c>
      <c r="K503" s="4" t="s">
        <v>116</v>
      </c>
      <c r="L503" s="4">
        <v>12500</v>
      </c>
      <c r="M503" s="4">
        <v>12500</v>
      </c>
      <c r="N503" s="4">
        <v>875</v>
      </c>
      <c r="O503" s="4"/>
      <c r="P503" s="4"/>
      <c r="Q503" s="2"/>
    </row>
    <row r="504" spans="1:17" ht="28.8" x14ac:dyDescent="0.3">
      <c r="A504">
        <v>503</v>
      </c>
      <c r="D504" s="4" t="s">
        <v>1335</v>
      </c>
      <c r="I504" s="4" t="s">
        <v>543</v>
      </c>
      <c r="J504" s="4" t="s">
        <v>1185</v>
      </c>
      <c r="K504" s="5" t="s">
        <v>546</v>
      </c>
      <c r="L504" s="11">
        <f>M504-L505-L506</f>
        <v>3928</v>
      </c>
      <c r="M504" s="7">
        <v>19228</v>
      </c>
      <c r="N504" s="7">
        <v>1346</v>
      </c>
      <c r="Q504" s="2"/>
    </row>
    <row r="505" spans="1:17" hidden="1" x14ac:dyDescent="0.3">
      <c r="A505">
        <v>504</v>
      </c>
      <c r="D505" s="4" t="s">
        <v>1335</v>
      </c>
      <c r="J505" s="4" t="s">
        <v>214</v>
      </c>
      <c r="K505" s="5" t="s">
        <v>547</v>
      </c>
      <c r="L505" s="11">
        <v>13100</v>
      </c>
      <c r="Q505" s="2"/>
    </row>
    <row r="506" spans="1:17" hidden="1" x14ac:dyDescent="0.3">
      <c r="A506">
        <v>505</v>
      </c>
      <c r="D506" s="4" t="s">
        <v>1335</v>
      </c>
      <c r="J506" s="4" t="s">
        <v>206</v>
      </c>
      <c r="K506" s="4" t="s">
        <v>548</v>
      </c>
      <c r="L506" s="11">
        <f>275*8</f>
        <v>2200</v>
      </c>
      <c r="Q506" s="2"/>
    </row>
    <row r="507" spans="1:17" hidden="1" x14ac:dyDescent="0.3">
      <c r="A507">
        <v>506</v>
      </c>
      <c r="D507" s="4" t="s">
        <v>1666</v>
      </c>
      <c r="I507" s="4" t="s">
        <v>549</v>
      </c>
      <c r="J507" s="4" t="s">
        <v>1185</v>
      </c>
      <c r="K507" s="4" t="s">
        <v>550</v>
      </c>
      <c r="L507" s="11">
        <f>M507-L508-L510-L509-L511</f>
        <v>34400</v>
      </c>
      <c r="M507" s="7">
        <v>52897</v>
      </c>
      <c r="N507" s="7">
        <v>3702</v>
      </c>
      <c r="O507" s="7">
        <v>6</v>
      </c>
      <c r="Q507" s="2"/>
    </row>
    <row r="508" spans="1:17" hidden="1" x14ac:dyDescent="0.3">
      <c r="A508">
        <v>507</v>
      </c>
      <c r="D508" s="4" t="s">
        <v>1666</v>
      </c>
      <c r="J508" s="4" t="s">
        <v>214</v>
      </c>
      <c r="K508" s="4" t="s">
        <v>551</v>
      </c>
      <c r="L508" s="11">
        <f>2500*6</f>
        <v>15000</v>
      </c>
      <c r="Q508" s="2"/>
    </row>
    <row r="509" spans="1:17" hidden="1" x14ac:dyDescent="0.3">
      <c r="A509">
        <v>508</v>
      </c>
      <c r="D509" s="4" t="s">
        <v>1666</v>
      </c>
      <c r="J509" s="4" t="s">
        <v>206</v>
      </c>
      <c r="K509" s="4" t="s">
        <v>552</v>
      </c>
      <c r="L509" s="11">
        <f>350*8</f>
        <v>2800</v>
      </c>
      <c r="Q509" s="2"/>
    </row>
    <row r="510" spans="1:17" hidden="1" x14ac:dyDescent="0.3">
      <c r="A510">
        <v>509</v>
      </c>
      <c r="D510" s="4" t="s">
        <v>1666</v>
      </c>
      <c r="J510" s="4" t="s">
        <v>1649</v>
      </c>
      <c r="K510" s="4" t="s">
        <v>553</v>
      </c>
      <c r="L510" s="11">
        <v>450</v>
      </c>
      <c r="Q510" s="2"/>
    </row>
    <row r="511" spans="1:17" hidden="1" x14ac:dyDescent="0.3">
      <c r="A511">
        <v>510</v>
      </c>
      <c r="D511" s="4" t="s">
        <v>1666</v>
      </c>
      <c r="J511" s="4" t="s">
        <v>206</v>
      </c>
      <c r="K511" s="4" t="s">
        <v>554</v>
      </c>
      <c r="L511" s="11">
        <f>30*8+7</f>
        <v>247</v>
      </c>
      <c r="Q511" s="2"/>
    </row>
    <row r="512" spans="1:17" ht="28.8" hidden="1" x14ac:dyDescent="0.3">
      <c r="A512">
        <v>511</v>
      </c>
      <c r="B512" s="4" t="s">
        <v>555</v>
      </c>
      <c r="D512" s="4" t="s">
        <v>1525</v>
      </c>
      <c r="I512" s="4" t="s">
        <v>549</v>
      </c>
      <c r="J512" s="4" t="s">
        <v>1185</v>
      </c>
      <c r="K512" s="5" t="s">
        <v>556</v>
      </c>
      <c r="L512" s="11">
        <f>M512-L513</f>
        <v>31785</v>
      </c>
      <c r="M512" s="7">
        <v>32585</v>
      </c>
      <c r="N512" s="7">
        <v>2280</v>
      </c>
      <c r="Q512" s="2"/>
    </row>
    <row r="513" spans="1:17" hidden="1" x14ac:dyDescent="0.3">
      <c r="A513">
        <v>512</v>
      </c>
      <c r="D513" s="4" t="s">
        <v>1525</v>
      </c>
      <c r="J513" s="4" t="s">
        <v>214</v>
      </c>
      <c r="K513" s="4" t="s">
        <v>453</v>
      </c>
      <c r="L513" s="11">
        <v>800</v>
      </c>
      <c r="Q513" s="2"/>
    </row>
    <row r="514" spans="1:17" hidden="1" x14ac:dyDescent="0.3">
      <c r="A514">
        <v>513</v>
      </c>
      <c r="D514" s="4" t="s">
        <v>1416</v>
      </c>
      <c r="I514" s="4" t="s">
        <v>549</v>
      </c>
      <c r="J514" s="4" t="s">
        <v>1185</v>
      </c>
      <c r="K514" s="4" t="s">
        <v>557</v>
      </c>
      <c r="L514" s="11">
        <f>1418*8+2</f>
        <v>11346</v>
      </c>
      <c r="M514" s="7">
        <v>48860</v>
      </c>
      <c r="N514" s="7">
        <v>3420</v>
      </c>
      <c r="O514" s="7">
        <v>2</v>
      </c>
      <c r="Q514" s="2"/>
    </row>
    <row r="515" spans="1:17" hidden="1" x14ac:dyDescent="0.3">
      <c r="A515">
        <v>514</v>
      </c>
      <c r="D515" s="4" t="s">
        <v>1416</v>
      </c>
      <c r="J515" s="4" t="s">
        <v>214</v>
      </c>
      <c r="K515" s="4" t="s">
        <v>558</v>
      </c>
      <c r="L515" s="11">
        <f>2500*13</f>
        <v>32500</v>
      </c>
      <c r="Q515" s="2"/>
    </row>
    <row r="516" spans="1:17" hidden="1" x14ac:dyDescent="0.3">
      <c r="A516">
        <v>515</v>
      </c>
      <c r="D516" s="4" t="s">
        <v>1416</v>
      </c>
      <c r="J516" s="4" t="s">
        <v>206</v>
      </c>
      <c r="K516" s="4" t="s">
        <v>559</v>
      </c>
      <c r="L516" s="11">
        <f>563*8</f>
        <v>4504</v>
      </c>
      <c r="Q516" s="2"/>
    </row>
    <row r="517" spans="1:17" hidden="1" x14ac:dyDescent="0.3">
      <c r="A517">
        <v>516</v>
      </c>
      <c r="D517" s="4" t="s">
        <v>1416</v>
      </c>
      <c r="J517" s="4" t="s">
        <v>214</v>
      </c>
      <c r="K517" s="4" t="s">
        <v>560</v>
      </c>
      <c r="L517" s="11">
        <v>446</v>
      </c>
      <c r="Q517" s="2"/>
    </row>
    <row r="518" spans="1:17" hidden="1" x14ac:dyDescent="0.3">
      <c r="A518">
        <v>517</v>
      </c>
      <c r="D518" s="4" t="s">
        <v>1416</v>
      </c>
      <c r="J518" s="4" t="s">
        <v>206</v>
      </c>
      <c r="K518" s="4" t="s">
        <v>110</v>
      </c>
      <c r="L518" s="11">
        <v>64</v>
      </c>
      <c r="Q518" s="2"/>
    </row>
    <row r="519" spans="1:17" hidden="1" x14ac:dyDescent="0.3">
      <c r="A519">
        <v>518</v>
      </c>
      <c r="D519" s="4" t="s">
        <v>1526</v>
      </c>
      <c r="I519" s="4" t="s">
        <v>549</v>
      </c>
      <c r="J519" s="4" t="s">
        <v>1185</v>
      </c>
      <c r="K519" s="4" t="s">
        <v>561</v>
      </c>
      <c r="L519" s="11">
        <f>1288*8+4</f>
        <v>10308</v>
      </c>
      <c r="M519" s="7">
        <v>12808</v>
      </c>
      <c r="N519" s="7">
        <v>896</v>
      </c>
      <c r="O519" s="7">
        <v>4</v>
      </c>
      <c r="Q519" s="2"/>
    </row>
    <row r="520" spans="1:17" hidden="1" x14ac:dyDescent="0.3">
      <c r="A520">
        <v>519</v>
      </c>
      <c r="D520" s="4" t="s">
        <v>1526</v>
      </c>
      <c r="J520" s="4" t="s">
        <v>214</v>
      </c>
      <c r="K520" s="4" t="s">
        <v>112</v>
      </c>
      <c r="L520" s="11">
        <v>2500</v>
      </c>
      <c r="Q520" s="2"/>
    </row>
    <row r="521" spans="1:17" hidden="1" x14ac:dyDescent="0.3">
      <c r="A521">
        <v>520</v>
      </c>
      <c r="C521" s="4" t="s">
        <v>268</v>
      </c>
      <c r="D521" s="4" t="s">
        <v>1574</v>
      </c>
      <c r="I521" s="4" t="s">
        <v>549</v>
      </c>
      <c r="J521" s="4" t="s">
        <v>214</v>
      </c>
      <c r="K521" s="4" t="s">
        <v>562</v>
      </c>
      <c r="L521" s="11">
        <f>3000*15</f>
        <v>45000</v>
      </c>
      <c r="M521" s="7">
        <v>118139</v>
      </c>
      <c r="N521" s="7">
        <v>8269</v>
      </c>
      <c r="O521" s="7">
        <v>4</v>
      </c>
      <c r="Q521" s="2"/>
    </row>
    <row r="522" spans="1:17" hidden="1" x14ac:dyDescent="0.3">
      <c r="A522">
        <v>521</v>
      </c>
      <c r="D522" s="4" t="s">
        <v>1574</v>
      </c>
      <c r="J522" s="4" t="s">
        <v>214</v>
      </c>
      <c r="K522" s="4" t="s">
        <v>563</v>
      </c>
      <c r="L522" s="11">
        <v>25000</v>
      </c>
      <c r="Q522" s="2"/>
    </row>
    <row r="523" spans="1:17" hidden="1" x14ac:dyDescent="0.3">
      <c r="A523">
        <v>522</v>
      </c>
      <c r="D523" s="4" t="s">
        <v>1574</v>
      </c>
      <c r="J523" s="4" t="s">
        <v>1185</v>
      </c>
      <c r="K523" s="4" t="s">
        <v>564</v>
      </c>
      <c r="L523" s="11">
        <f>M521-L521-L522</f>
        <v>48139</v>
      </c>
      <c r="Q523" s="2"/>
    </row>
    <row r="524" spans="1:17" ht="28.8" hidden="1" x14ac:dyDescent="0.3">
      <c r="A524">
        <v>523</v>
      </c>
      <c r="D524" s="4" t="s">
        <v>1664</v>
      </c>
      <c r="I524" s="4" t="s">
        <v>549</v>
      </c>
      <c r="J524" s="4" t="s">
        <v>1185</v>
      </c>
      <c r="K524" s="5" t="s">
        <v>565</v>
      </c>
      <c r="L524" s="11">
        <f>1074*8+153*7+10</f>
        <v>9673</v>
      </c>
      <c r="M524" s="7">
        <v>54841</v>
      </c>
      <c r="N524" s="7">
        <v>3838</v>
      </c>
      <c r="O524" s="7">
        <v>7</v>
      </c>
      <c r="Q524" s="2"/>
    </row>
    <row r="525" spans="1:17" hidden="1" x14ac:dyDescent="0.3">
      <c r="A525">
        <v>524</v>
      </c>
      <c r="D525" s="4" t="s">
        <v>1664</v>
      </c>
      <c r="J525" s="4" t="s">
        <v>214</v>
      </c>
      <c r="K525" s="4" t="s">
        <v>566</v>
      </c>
      <c r="L525" s="11">
        <f>2500*16</f>
        <v>40000</v>
      </c>
      <c r="Q525" s="2"/>
    </row>
    <row r="526" spans="1:17" hidden="1" x14ac:dyDescent="0.3">
      <c r="A526">
        <v>525</v>
      </c>
      <c r="D526" s="4" t="s">
        <v>1664</v>
      </c>
      <c r="J526" s="4" t="s">
        <v>214</v>
      </c>
      <c r="K526" s="4" t="s">
        <v>567</v>
      </c>
      <c r="L526" s="11">
        <v>2600</v>
      </c>
      <c r="Q526" s="2"/>
    </row>
    <row r="527" spans="1:17" hidden="1" x14ac:dyDescent="0.3">
      <c r="A527">
        <v>526</v>
      </c>
      <c r="D527" s="4" t="s">
        <v>1664</v>
      </c>
      <c r="J527" s="4" t="s">
        <v>214</v>
      </c>
      <c r="K527" s="4" t="s">
        <v>437</v>
      </c>
      <c r="L527" s="11">
        <v>1600</v>
      </c>
      <c r="Q527" s="2"/>
    </row>
    <row r="528" spans="1:17" hidden="1" x14ac:dyDescent="0.3">
      <c r="A528">
        <v>527</v>
      </c>
      <c r="D528" s="4" t="s">
        <v>1664</v>
      </c>
      <c r="J528" s="4" t="s">
        <v>206</v>
      </c>
      <c r="K528" s="5" t="s">
        <v>1210</v>
      </c>
      <c r="L528" s="11">
        <f>121*8</f>
        <v>968</v>
      </c>
      <c r="Q528" s="2"/>
    </row>
    <row r="529" spans="1:17" hidden="1" x14ac:dyDescent="0.3">
      <c r="A529">
        <v>528</v>
      </c>
      <c r="C529" s="4" t="s">
        <v>268</v>
      </c>
      <c r="D529" s="4" t="s">
        <v>1538</v>
      </c>
      <c r="I529" s="4" t="s">
        <v>549</v>
      </c>
      <c r="J529" s="4" t="s">
        <v>214</v>
      </c>
      <c r="K529" s="4" t="s">
        <v>568</v>
      </c>
      <c r="L529" s="11">
        <v>7500</v>
      </c>
      <c r="M529" s="7">
        <v>8631</v>
      </c>
      <c r="N529" s="7">
        <v>604</v>
      </c>
      <c r="O529" s="7">
        <v>1</v>
      </c>
      <c r="Q529" s="2"/>
    </row>
    <row r="530" spans="1:17" hidden="1" x14ac:dyDescent="0.3">
      <c r="A530">
        <v>529</v>
      </c>
      <c r="D530" s="4" t="s">
        <v>1538</v>
      </c>
      <c r="J530" s="4" t="s">
        <v>206</v>
      </c>
      <c r="K530" s="4" t="s">
        <v>569</v>
      </c>
      <c r="L530" s="11">
        <f>132*8</f>
        <v>1056</v>
      </c>
      <c r="Q530" s="2"/>
    </row>
    <row r="531" spans="1:17" hidden="1" x14ac:dyDescent="0.3">
      <c r="A531">
        <v>530</v>
      </c>
      <c r="D531" s="4" t="s">
        <v>1538</v>
      </c>
      <c r="J531" s="4" t="s">
        <v>1649</v>
      </c>
      <c r="K531" s="4" t="s">
        <v>151</v>
      </c>
      <c r="L531" s="14">
        <v>75</v>
      </c>
      <c r="Q531" s="2"/>
    </row>
    <row r="532" spans="1:17" ht="28.8" hidden="1" x14ac:dyDescent="0.3">
      <c r="A532">
        <v>531</v>
      </c>
      <c r="D532" s="4" t="s">
        <v>1387</v>
      </c>
      <c r="I532" s="4" t="s">
        <v>570</v>
      </c>
      <c r="J532" s="4" t="s">
        <v>1185</v>
      </c>
      <c r="K532" s="5" t="s">
        <v>571</v>
      </c>
      <c r="L532" s="11">
        <f>1845*8+296*7+8</f>
        <v>16840</v>
      </c>
      <c r="M532" s="7">
        <v>48142</v>
      </c>
      <c r="N532" s="7">
        <v>3369</v>
      </c>
      <c r="O532" s="7">
        <v>2</v>
      </c>
      <c r="Q532" s="2"/>
    </row>
    <row r="533" spans="1:17" hidden="1" x14ac:dyDescent="0.3">
      <c r="A533">
        <v>532</v>
      </c>
      <c r="D533" s="4" t="s">
        <v>1387</v>
      </c>
      <c r="J533" s="4" t="s">
        <v>206</v>
      </c>
      <c r="K533" s="4" t="s">
        <v>1212</v>
      </c>
      <c r="L533" s="11">
        <f>1144*8</f>
        <v>9152</v>
      </c>
      <c r="Q533" s="2"/>
    </row>
    <row r="534" spans="1:17" hidden="1" x14ac:dyDescent="0.3">
      <c r="A534">
        <v>533</v>
      </c>
      <c r="D534" s="4" t="s">
        <v>1387</v>
      </c>
      <c r="J534" s="4" t="s">
        <v>214</v>
      </c>
      <c r="K534" s="4" t="s">
        <v>327</v>
      </c>
      <c r="L534" s="11">
        <f>2500*8</f>
        <v>20000</v>
      </c>
      <c r="Q534" s="2"/>
    </row>
    <row r="535" spans="1:17" hidden="1" x14ac:dyDescent="0.3">
      <c r="A535">
        <v>534</v>
      </c>
      <c r="D535" s="4" t="s">
        <v>1387</v>
      </c>
      <c r="J535" s="4" t="s">
        <v>214</v>
      </c>
      <c r="K535" s="4" t="s">
        <v>1211</v>
      </c>
      <c r="L535" s="11">
        <v>2150</v>
      </c>
      <c r="Q535" s="2"/>
    </row>
    <row r="536" spans="1:17" ht="28.8" hidden="1" x14ac:dyDescent="0.3">
      <c r="A536">
        <v>535</v>
      </c>
      <c r="D536" s="5" t="s">
        <v>1261</v>
      </c>
      <c r="E536" s="5" t="s">
        <v>1260</v>
      </c>
      <c r="F536" s="5"/>
      <c r="G536" s="5"/>
      <c r="H536" s="5"/>
      <c r="I536" s="4" t="s">
        <v>570</v>
      </c>
      <c r="J536" s="4" t="s">
        <v>214</v>
      </c>
      <c r="K536" s="4" t="s">
        <v>523</v>
      </c>
      <c r="L536" s="13">
        <v>10000</v>
      </c>
      <c r="M536" s="7">
        <v>22719</v>
      </c>
      <c r="N536" s="7">
        <v>1590</v>
      </c>
      <c r="O536" s="7">
        <v>3</v>
      </c>
      <c r="Q536" s="2"/>
    </row>
    <row r="537" spans="1:17" ht="28.8" hidden="1" x14ac:dyDescent="0.3">
      <c r="A537">
        <v>536</v>
      </c>
      <c r="D537" s="5" t="s">
        <v>1261</v>
      </c>
      <c r="E537" s="5" t="s">
        <v>1260</v>
      </c>
      <c r="J537" s="4" t="s">
        <v>1185</v>
      </c>
      <c r="K537" s="5" t="s">
        <v>572</v>
      </c>
      <c r="L537" s="13">
        <f>M536-L536-L538</f>
        <v>12615</v>
      </c>
      <c r="Q537" s="2"/>
    </row>
    <row r="538" spans="1:17" ht="28.8" hidden="1" x14ac:dyDescent="0.3">
      <c r="A538">
        <v>537</v>
      </c>
      <c r="D538" s="5" t="s">
        <v>1261</v>
      </c>
      <c r="E538" s="5" t="s">
        <v>1260</v>
      </c>
      <c r="J538" s="4" t="s">
        <v>206</v>
      </c>
      <c r="K538" s="5" t="s">
        <v>1644</v>
      </c>
      <c r="L538" s="13">
        <f>13*8</f>
        <v>104</v>
      </c>
      <c r="Q538" s="2"/>
    </row>
    <row r="539" spans="1:17" hidden="1" x14ac:dyDescent="0.3">
      <c r="A539">
        <v>538</v>
      </c>
      <c r="D539" s="4" t="s">
        <v>1262</v>
      </c>
      <c r="I539" s="4" t="s">
        <v>570</v>
      </c>
      <c r="J539" s="4" t="s">
        <v>1185</v>
      </c>
      <c r="K539" s="4" t="s">
        <v>573</v>
      </c>
      <c r="L539" s="11">
        <f>411*8</f>
        <v>3288</v>
      </c>
      <c r="M539" s="7">
        <v>34272</v>
      </c>
      <c r="N539" s="7">
        <v>2399</v>
      </c>
      <c r="Q539" s="2"/>
    </row>
    <row r="540" spans="1:17" hidden="1" x14ac:dyDescent="0.3">
      <c r="A540">
        <v>539</v>
      </c>
      <c r="D540" s="4" t="s">
        <v>1262</v>
      </c>
      <c r="J540" s="4" t="s">
        <v>214</v>
      </c>
      <c r="K540" s="4" t="s">
        <v>574</v>
      </c>
      <c r="L540" s="11">
        <f>2500*12</f>
        <v>30000</v>
      </c>
      <c r="Q540" s="2"/>
    </row>
    <row r="541" spans="1:17" hidden="1" x14ac:dyDescent="0.3">
      <c r="A541">
        <v>540</v>
      </c>
      <c r="D541" s="4" t="s">
        <v>1262</v>
      </c>
      <c r="J541" s="4" t="s">
        <v>206</v>
      </c>
      <c r="K541" s="4" t="s">
        <v>575</v>
      </c>
      <c r="L541" s="11">
        <f>123*8</f>
        <v>984</v>
      </c>
      <c r="Q541" s="2"/>
    </row>
    <row r="542" spans="1:17" hidden="1" x14ac:dyDescent="0.3">
      <c r="A542">
        <v>541</v>
      </c>
      <c r="B542" s="4" t="s">
        <v>576</v>
      </c>
      <c r="D542" s="4" t="s">
        <v>1393</v>
      </c>
      <c r="I542" s="4" t="s">
        <v>570</v>
      </c>
      <c r="J542" s="4" t="s">
        <v>1185</v>
      </c>
      <c r="K542" s="4" t="s">
        <v>577</v>
      </c>
      <c r="L542" s="11">
        <f>1259*8+1</f>
        <v>10073</v>
      </c>
      <c r="M542" s="7">
        <v>30073</v>
      </c>
      <c r="N542" s="7">
        <v>2105</v>
      </c>
      <c r="O542" s="7">
        <v>1</v>
      </c>
      <c r="Q542" s="2"/>
    </row>
    <row r="543" spans="1:17" hidden="1" x14ac:dyDescent="0.3">
      <c r="A543">
        <v>542</v>
      </c>
      <c r="D543" s="4" t="s">
        <v>1393</v>
      </c>
      <c r="J543" s="4" t="s">
        <v>214</v>
      </c>
      <c r="K543" s="4" t="s">
        <v>146</v>
      </c>
      <c r="L543" s="11">
        <f>2500*8</f>
        <v>20000</v>
      </c>
      <c r="Q543" s="2"/>
    </row>
    <row r="544" spans="1:17" hidden="1" x14ac:dyDescent="0.3">
      <c r="A544">
        <v>543</v>
      </c>
      <c r="D544" s="4" t="s">
        <v>1620</v>
      </c>
      <c r="I544" s="4" t="s">
        <v>570</v>
      </c>
      <c r="J544" s="4" t="s">
        <v>214</v>
      </c>
      <c r="K544" s="4" t="s">
        <v>578</v>
      </c>
      <c r="L544" s="11">
        <v>379</v>
      </c>
      <c r="M544" s="7">
        <v>1515</v>
      </c>
      <c r="N544" s="7">
        <v>106</v>
      </c>
      <c r="O544" s="7">
        <v>1</v>
      </c>
      <c r="Q544" s="2"/>
    </row>
    <row r="545" spans="1:17" hidden="1" x14ac:dyDescent="0.3">
      <c r="A545">
        <v>544</v>
      </c>
      <c r="D545" s="4" t="s">
        <v>1620</v>
      </c>
      <c r="J545" s="4" t="s">
        <v>214</v>
      </c>
      <c r="K545" s="4" t="s">
        <v>579</v>
      </c>
      <c r="L545" s="11">
        <v>800</v>
      </c>
      <c r="Q545" s="2"/>
    </row>
    <row r="546" spans="1:17" hidden="1" x14ac:dyDescent="0.3">
      <c r="A546">
        <v>545</v>
      </c>
      <c r="D546" s="4" t="s">
        <v>1620</v>
      </c>
      <c r="J546" s="4" t="s">
        <v>206</v>
      </c>
      <c r="K546" s="4" t="s">
        <v>580</v>
      </c>
      <c r="L546" s="11">
        <f>42*8</f>
        <v>336</v>
      </c>
      <c r="Q546" s="2"/>
    </row>
    <row r="547" spans="1:17" hidden="1" x14ac:dyDescent="0.3">
      <c r="A547">
        <v>546</v>
      </c>
      <c r="C547" s="4" t="s">
        <v>268</v>
      </c>
      <c r="D547" s="4" t="s">
        <v>1603</v>
      </c>
      <c r="I547" s="4" t="s">
        <v>581</v>
      </c>
      <c r="J547" s="4" t="s">
        <v>214</v>
      </c>
      <c r="K547" s="4" t="s">
        <v>1213</v>
      </c>
      <c r="L547" s="11">
        <v>14000</v>
      </c>
      <c r="M547" s="7">
        <v>37641</v>
      </c>
      <c r="N547" s="7">
        <v>2634</v>
      </c>
      <c r="O547" s="7">
        <v>7</v>
      </c>
      <c r="Q547" s="2"/>
    </row>
    <row r="548" spans="1:17" ht="28.8" hidden="1" x14ac:dyDescent="0.3">
      <c r="A548">
        <v>547</v>
      </c>
      <c r="D548" s="4" t="s">
        <v>1603</v>
      </c>
      <c r="J548" s="4" t="s">
        <v>1185</v>
      </c>
      <c r="K548" s="5" t="s">
        <v>582</v>
      </c>
      <c r="L548" s="11">
        <f>M547-L547-L549</f>
        <v>23391</v>
      </c>
      <c r="Q548" s="2"/>
    </row>
    <row r="549" spans="1:17" hidden="1" x14ac:dyDescent="0.3">
      <c r="A549">
        <v>548</v>
      </c>
      <c r="D549" s="4" t="s">
        <v>1603</v>
      </c>
      <c r="J549" s="4" t="s">
        <v>206</v>
      </c>
      <c r="K549" s="4" t="s">
        <v>583</v>
      </c>
      <c r="L549" s="11">
        <v>250</v>
      </c>
      <c r="Q549" s="2"/>
    </row>
    <row r="550" spans="1:17" ht="28.8" hidden="1" x14ac:dyDescent="0.3">
      <c r="A550">
        <v>549</v>
      </c>
      <c r="C550" s="4" t="s">
        <v>268</v>
      </c>
      <c r="D550" s="4" t="s">
        <v>1520</v>
      </c>
      <c r="I550" s="4" t="s">
        <v>584</v>
      </c>
      <c r="J550" s="4" t="s">
        <v>1185</v>
      </c>
      <c r="K550" s="5" t="s">
        <v>585</v>
      </c>
      <c r="L550" s="11">
        <f>M550-L551-L552-L553</f>
        <v>65334</v>
      </c>
      <c r="M550" s="7">
        <v>123774</v>
      </c>
      <c r="N550" s="7">
        <v>8664</v>
      </c>
      <c r="O550" s="7">
        <v>1</v>
      </c>
      <c r="Q550" s="2"/>
    </row>
    <row r="551" spans="1:17" hidden="1" x14ac:dyDescent="0.3">
      <c r="A551">
        <v>550</v>
      </c>
      <c r="D551" s="4" t="s">
        <v>1520</v>
      </c>
      <c r="J551" s="4" t="s">
        <v>214</v>
      </c>
      <c r="K551" s="4" t="s">
        <v>149</v>
      </c>
      <c r="L551" s="11">
        <f>2500*22</f>
        <v>55000</v>
      </c>
      <c r="Q551" s="2"/>
    </row>
    <row r="552" spans="1:17" hidden="1" x14ac:dyDescent="0.3">
      <c r="A552">
        <v>551</v>
      </c>
      <c r="D552" s="4" t="s">
        <v>1520</v>
      </c>
      <c r="J552" s="4" t="s">
        <v>206</v>
      </c>
      <c r="K552" s="4" t="s">
        <v>586</v>
      </c>
      <c r="L552" s="11">
        <f>330*8</f>
        <v>2640</v>
      </c>
      <c r="Q552" s="2"/>
    </row>
    <row r="553" spans="1:17" hidden="1" x14ac:dyDescent="0.3">
      <c r="A553">
        <v>552</v>
      </c>
      <c r="D553" s="4" t="s">
        <v>1520</v>
      </c>
      <c r="J553" s="4" t="s">
        <v>206</v>
      </c>
      <c r="K553" s="5" t="s">
        <v>587</v>
      </c>
      <c r="L553" s="11">
        <v>800</v>
      </c>
      <c r="Q553" s="2"/>
    </row>
    <row r="554" spans="1:17" hidden="1" x14ac:dyDescent="0.3">
      <c r="A554">
        <v>553</v>
      </c>
      <c r="D554" s="4" t="s">
        <v>1402</v>
      </c>
      <c r="I554" s="4" t="s">
        <v>584</v>
      </c>
      <c r="J554" s="4" t="s">
        <v>206</v>
      </c>
      <c r="K554" s="4" t="s">
        <v>588</v>
      </c>
      <c r="L554" s="4">
        <v>4000</v>
      </c>
      <c r="M554" s="4">
        <v>4000</v>
      </c>
      <c r="N554" s="4">
        <v>280</v>
      </c>
      <c r="O554" s="4"/>
      <c r="P554" s="4"/>
      <c r="Q554" s="2"/>
    </row>
    <row r="555" spans="1:17" hidden="1" x14ac:dyDescent="0.3">
      <c r="A555">
        <v>554</v>
      </c>
      <c r="D555" s="4" t="s">
        <v>1485</v>
      </c>
      <c r="I555" s="4" t="s">
        <v>584</v>
      </c>
      <c r="J555" s="4" t="s">
        <v>214</v>
      </c>
      <c r="K555" s="4" t="s">
        <v>327</v>
      </c>
      <c r="L555" s="4">
        <v>20000</v>
      </c>
      <c r="M555" s="4">
        <v>20000</v>
      </c>
      <c r="N555" s="4">
        <v>1400</v>
      </c>
      <c r="O555" s="4"/>
      <c r="P555" s="4"/>
      <c r="Q555" s="2"/>
    </row>
    <row r="556" spans="1:17" hidden="1" x14ac:dyDescent="0.3">
      <c r="A556">
        <v>555</v>
      </c>
      <c r="D556" s="4" t="s">
        <v>1366</v>
      </c>
      <c r="I556" s="4" t="s">
        <v>584</v>
      </c>
      <c r="J556" s="4" t="s">
        <v>1185</v>
      </c>
      <c r="K556" s="4" t="s">
        <v>589</v>
      </c>
      <c r="L556" s="11">
        <v>13333</v>
      </c>
      <c r="M556" s="7">
        <v>43333</v>
      </c>
      <c r="N556" s="7">
        <v>3033</v>
      </c>
      <c r="O556" s="7">
        <v>3</v>
      </c>
      <c r="Q556" s="2"/>
    </row>
    <row r="557" spans="1:17" hidden="1" x14ac:dyDescent="0.3">
      <c r="A557">
        <v>556</v>
      </c>
      <c r="D557" s="4" t="s">
        <v>1366</v>
      </c>
      <c r="J557" s="4" t="s">
        <v>214</v>
      </c>
      <c r="K557" s="4" t="s">
        <v>574</v>
      </c>
      <c r="L557" s="11">
        <f>2500*12</f>
        <v>30000</v>
      </c>
      <c r="Q557" s="2"/>
    </row>
    <row r="558" spans="1:17" hidden="1" x14ac:dyDescent="0.3">
      <c r="A558">
        <v>557</v>
      </c>
      <c r="D558" s="4" t="s">
        <v>1591</v>
      </c>
      <c r="I558" s="4" t="s">
        <v>584</v>
      </c>
      <c r="J558" s="4" t="s">
        <v>206</v>
      </c>
      <c r="K558" s="4" t="s">
        <v>479</v>
      </c>
      <c r="L558" s="4">
        <v>160</v>
      </c>
      <c r="M558" s="4">
        <v>160</v>
      </c>
      <c r="N558" s="4">
        <v>11</v>
      </c>
      <c r="O558" s="4">
        <v>2</v>
      </c>
      <c r="P558" s="4"/>
      <c r="Q558" s="2"/>
    </row>
    <row r="559" spans="1:17" hidden="1" x14ac:dyDescent="0.3">
      <c r="A559">
        <v>558</v>
      </c>
      <c r="D559" s="4" t="s">
        <v>1352</v>
      </c>
      <c r="I559" s="4" t="s">
        <v>584</v>
      </c>
      <c r="J559" s="4" t="s">
        <v>214</v>
      </c>
      <c r="K559" s="4" t="s">
        <v>590</v>
      </c>
      <c r="L559" s="11">
        <v>1000</v>
      </c>
      <c r="M559" s="7">
        <v>1800</v>
      </c>
      <c r="N559" s="7">
        <v>126</v>
      </c>
      <c r="Q559" s="2"/>
    </row>
    <row r="560" spans="1:17" hidden="1" x14ac:dyDescent="0.3">
      <c r="A560">
        <v>559</v>
      </c>
      <c r="D560" s="4" t="s">
        <v>1352</v>
      </c>
      <c r="J560" s="4" t="s">
        <v>206</v>
      </c>
      <c r="K560" s="4" t="s">
        <v>512</v>
      </c>
      <c r="L560" s="11">
        <v>800</v>
      </c>
      <c r="Q560" s="2"/>
    </row>
    <row r="561" spans="1:17" ht="28.8" hidden="1" x14ac:dyDescent="0.3">
      <c r="A561">
        <v>560</v>
      </c>
      <c r="C561" s="4" t="s">
        <v>272</v>
      </c>
      <c r="D561" s="4" t="s">
        <v>1668</v>
      </c>
      <c r="I561" s="4" t="s">
        <v>591</v>
      </c>
      <c r="J561" s="4" t="s">
        <v>1185</v>
      </c>
      <c r="K561" s="5" t="s">
        <v>592</v>
      </c>
      <c r="L561" s="12">
        <f>M561-L562</f>
        <v>16060</v>
      </c>
      <c r="M561" s="7">
        <v>28560</v>
      </c>
      <c r="N561" s="7">
        <v>1999</v>
      </c>
      <c r="O561" s="7">
        <v>2</v>
      </c>
      <c r="Q561" s="2"/>
    </row>
    <row r="562" spans="1:17" hidden="1" x14ac:dyDescent="0.3">
      <c r="A562">
        <v>561</v>
      </c>
      <c r="D562" s="4" t="s">
        <v>1668</v>
      </c>
      <c r="J562" s="4" t="s">
        <v>214</v>
      </c>
      <c r="K562" s="4" t="s">
        <v>116</v>
      </c>
      <c r="L562" s="12">
        <f>2500*5</f>
        <v>12500</v>
      </c>
      <c r="Q562" s="2"/>
    </row>
    <row r="563" spans="1:17" hidden="1" x14ac:dyDescent="0.3">
      <c r="A563">
        <v>562</v>
      </c>
      <c r="B563" s="4" t="s">
        <v>593</v>
      </c>
      <c r="D563" s="4" t="s">
        <v>1571</v>
      </c>
      <c r="I563" s="4" t="s">
        <v>591</v>
      </c>
      <c r="J563" s="4" t="s">
        <v>214</v>
      </c>
      <c r="K563" s="4" t="s">
        <v>594</v>
      </c>
      <c r="L563" s="4">
        <v>10374</v>
      </c>
      <c r="M563" s="4">
        <v>10374</v>
      </c>
      <c r="N563" s="4">
        <v>726</v>
      </c>
      <c r="O563" s="4">
        <v>1</v>
      </c>
      <c r="P563" s="4"/>
      <c r="Q563" s="2"/>
    </row>
    <row r="564" spans="1:17" hidden="1" x14ac:dyDescent="0.3">
      <c r="A564">
        <v>563</v>
      </c>
      <c r="D564" s="4" t="s">
        <v>1446</v>
      </c>
      <c r="I564" s="4" t="s">
        <v>595</v>
      </c>
      <c r="J564" s="4" t="s">
        <v>214</v>
      </c>
      <c r="K564" s="4" t="s">
        <v>120</v>
      </c>
      <c r="L564" s="11">
        <f>2500*17</f>
        <v>42500</v>
      </c>
      <c r="M564" s="7">
        <v>69006</v>
      </c>
      <c r="N564" s="7">
        <v>4830</v>
      </c>
      <c r="O564" s="7">
        <v>3</v>
      </c>
      <c r="Q564" s="2"/>
    </row>
    <row r="565" spans="1:17" hidden="1" x14ac:dyDescent="0.3">
      <c r="A565">
        <v>564</v>
      </c>
      <c r="D565" s="4" t="s">
        <v>1446</v>
      </c>
      <c r="J565" s="4" t="s">
        <v>1185</v>
      </c>
      <c r="K565" s="4" t="s">
        <v>596</v>
      </c>
      <c r="L565" s="11">
        <f>2662*8+6</f>
        <v>21302</v>
      </c>
      <c r="Q565" s="2"/>
    </row>
    <row r="566" spans="1:17" hidden="1" x14ac:dyDescent="0.3">
      <c r="A566">
        <v>565</v>
      </c>
      <c r="D566" s="4" t="s">
        <v>1446</v>
      </c>
      <c r="J566" s="4" t="s">
        <v>1649</v>
      </c>
      <c r="K566" s="4" t="s">
        <v>1215</v>
      </c>
      <c r="L566" s="11">
        <v>900</v>
      </c>
      <c r="Q566" s="2"/>
    </row>
    <row r="567" spans="1:17" hidden="1" x14ac:dyDescent="0.3">
      <c r="A567">
        <v>566</v>
      </c>
      <c r="D567" s="4" t="s">
        <v>1446</v>
      </c>
      <c r="J567" s="4" t="s">
        <v>206</v>
      </c>
      <c r="K567" s="4" t="s">
        <v>1214</v>
      </c>
      <c r="L567" s="13">
        <f>538*8</f>
        <v>4304</v>
      </c>
      <c r="M567" s="4"/>
      <c r="N567" s="4"/>
      <c r="O567" s="4"/>
      <c r="P567" s="4"/>
      <c r="Q567" s="2"/>
    </row>
    <row r="568" spans="1:17" hidden="1" x14ac:dyDescent="0.3">
      <c r="A568">
        <v>567</v>
      </c>
      <c r="C568" s="4" t="s">
        <v>268</v>
      </c>
      <c r="D568" s="4" t="s">
        <v>1496</v>
      </c>
      <c r="I568" s="4" t="s">
        <v>595</v>
      </c>
      <c r="J568" s="4" t="s">
        <v>206</v>
      </c>
      <c r="K568" s="4" t="s">
        <v>597</v>
      </c>
      <c r="L568" s="11">
        <f>253*8</f>
        <v>2024</v>
      </c>
      <c r="M568" s="7">
        <v>10829</v>
      </c>
      <c r="N568" s="7">
        <v>758</v>
      </c>
      <c r="Q568" s="2"/>
    </row>
    <row r="569" spans="1:17" hidden="1" x14ac:dyDescent="0.3">
      <c r="A569">
        <v>568</v>
      </c>
      <c r="D569" s="4" t="s">
        <v>1496</v>
      </c>
      <c r="J569" s="4" t="s">
        <v>206</v>
      </c>
      <c r="K569" s="4" t="s">
        <v>598</v>
      </c>
      <c r="L569" s="11">
        <f>86*8</f>
        <v>688</v>
      </c>
      <c r="Q569" s="2"/>
    </row>
    <row r="570" spans="1:17" hidden="1" x14ac:dyDescent="0.3">
      <c r="A570">
        <v>569</v>
      </c>
      <c r="D570" s="4" t="s">
        <v>1496</v>
      </c>
      <c r="J570" s="4" t="s">
        <v>214</v>
      </c>
      <c r="K570" s="4" t="s">
        <v>433</v>
      </c>
      <c r="L570" s="11">
        <v>500</v>
      </c>
      <c r="Q570" s="2"/>
    </row>
    <row r="571" spans="1:17" hidden="1" x14ac:dyDescent="0.3">
      <c r="A571">
        <v>570</v>
      </c>
      <c r="D571" s="4" t="s">
        <v>1496</v>
      </c>
      <c r="J571" s="4" t="s">
        <v>1185</v>
      </c>
      <c r="K571" s="4" t="s">
        <v>1216</v>
      </c>
      <c r="L571" s="13">
        <f>639*8+5</f>
        <v>5117</v>
      </c>
      <c r="N571" s="17"/>
      <c r="Q571" s="2"/>
    </row>
    <row r="572" spans="1:17" hidden="1" x14ac:dyDescent="0.3">
      <c r="A572">
        <v>571</v>
      </c>
      <c r="D572" s="4" t="s">
        <v>1496</v>
      </c>
      <c r="J572" s="4" t="s">
        <v>214</v>
      </c>
      <c r="K572" s="4" t="s">
        <v>1217</v>
      </c>
      <c r="L572" s="13">
        <v>2500</v>
      </c>
      <c r="N572" s="17"/>
      <c r="Q572" s="2"/>
    </row>
    <row r="573" spans="1:17" ht="28.8" hidden="1" x14ac:dyDescent="0.3">
      <c r="A573">
        <v>572</v>
      </c>
      <c r="C573" s="4" t="s">
        <v>268</v>
      </c>
      <c r="D573" s="4" t="s">
        <v>1543</v>
      </c>
      <c r="I573" s="4" t="s">
        <v>595</v>
      </c>
      <c r="J573" s="4" t="s">
        <v>1185</v>
      </c>
      <c r="K573" s="5" t="s">
        <v>599</v>
      </c>
      <c r="L573" s="11">
        <f>7835*8+494*7+8</f>
        <v>66146</v>
      </c>
      <c r="M573" s="7">
        <v>85186</v>
      </c>
      <c r="N573" s="7">
        <v>5963</v>
      </c>
      <c r="Q573" s="2"/>
    </row>
    <row r="574" spans="1:17" hidden="1" x14ac:dyDescent="0.3">
      <c r="A574">
        <v>573</v>
      </c>
      <c r="D574" s="4" t="s">
        <v>1543</v>
      </c>
      <c r="J574" s="4" t="s">
        <v>214</v>
      </c>
      <c r="K574" s="4" t="s">
        <v>600</v>
      </c>
      <c r="L574" s="11">
        <v>16000</v>
      </c>
      <c r="Q574" s="2"/>
    </row>
    <row r="575" spans="1:17" hidden="1" x14ac:dyDescent="0.3">
      <c r="A575">
        <v>574</v>
      </c>
      <c r="D575" s="4" t="s">
        <v>1543</v>
      </c>
      <c r="J575" s="4" t="s">
        <v>206</v>
      </c>
      <c r="K575" s="4" t="s">
        <v>601</v>
      </c>
      <c r="L575" s="11">
        <f>80*8</f>
        <v>640</v>
      </c>
      <c r="Q575" s="2"/>
    </row>
    <row r="576" spans="1:17" hidden="1" x14ac:dyDescent="0.3">
      <c r="A576">
        <v>575</v>
      </c>
      <c r="D576" s="4" t="s">
        <v>1543</v>
      </c>
      <c r="J576" s="4" t="s">
        <v>206</v>
      </c>
      <c r="K576" s="4" t="s">
        <v>602</v>
      </c>
      <c r="L576" s="11">
        <f>300*8</f>
        <v>2400</v>
      </c>
      <c r="Q576" s="2"/>
    </row>
    <row r="577" spans="1:17" hidden="1" x14ac:dyDescent="0.3">
      <c r="A577">
        <v>576</v>
      </c>
      <c r="C577" s="4" t="s">
        <v>270</v>
      </c>
      <c r="D577" s="4" t="s">
        <v>1471</v>
      </c>
      <c r="I577" s="4" t="s">
        <v>603</v>
      </c>
      <c r="J577" s="4" t="s">
        <v>206</v>
      </c>
      <c r="K577" s="4" t="s">
        <v>604</v>
      </c>
      <c r="L577" s="11">
        <f>M577-L578</f>
        <v>18032</v>
      </c>
      <c r="M577" s="7">
        <v>67482</v>
      </c>
      <c r="N577" s="7">
        <v>4723</v>
      </c>
      <c r="O577" s="7">
        <v>6</v>
      </c>
      <c r="Q577" s="2"/>
    </row>
    <row r="578" spans="1:17" hidden="1" x14ac:dyDescent="0.3">
      <c r="A578">
        <v>577</v>
      </c>
      <c r="D578" s="4" t="s">
        <v>1471</v>
      </c>
      <c r="J578" s="4" t="s">
        <v>214</v>
      </c>
      <c r="K578" s="4" t="s">
        <v>605</v>
      </c>
      <c r="L578" s="11">
        <v>49450</v>
      </c>
      <c r="Q578" s="2"/>
    </row>
    <row r="579" spans="1:17" hidden="1" x14ac:dyDescent="0.3">
      <c r="A579">
        <v>578</v>
      </c>
      <c r="D579" s="4" t="s">
        <v>1289</v>
      </c>
      <c r="I579" s="4" t="s">
        <v>603</v>
      </c>
      <c r="J579" s="4" t="s">
        <v>214</v>
      </c>
      <c r="K579" s="4" t="s">
        <v>606</v>
      </c>
      <c r="L579" s="4">
        <v>25100</v>
      </c>
      <c r="M579" s="4">
        <v>25100</v>
      </c>
      <c r="N579" s="4">
        <v>1757</v>
      </c>
      <c r="O579" s="4"/>
      <c r="P579" s="4"/>
      <c r="Q579" s="2"/>
    </row>
    <row r="580" spans="1:17" hidden="1" x14ac:dyDescent="0.3">
      <c r="A580">
        <v>579</v>
      </c>
      <c r="D580" s="4" t="s">
        <v>1474</v>
      </c>
      <c r="I580" s="4" t="s">
        <v>603</v>
      </c>
      <c r="J580" s="4" t="s">
        <v>1185</v>
      </c>
      <c r="K580" s="4" t="s">
        <v>607</v>
      </c>
      <c r="L580" s="11">
        <f>M580-L581</f>
        <v>26180</v>
      </c>
      <c r="M580" s="7">
        <v>28680</v>
      </c>
      <c r="N580" s="7">
        <v>2007</v>
      </c>
      <c r="O580" s="7">
        <v>4</v>
      </c>
      <c r="Q580" s="2"/>
    </row>
    <row r="581" spans="1:17" hidden="1" x14ac:dyDescent="0.3">
      <c r="A581">
        <v>580</v>
      </c>
      <c r="D581" s="4" t="s">
        <v>1474</v>
      </c>
      <c r="J581" s="4" t="s">
        <v>214</v>
      </c>
      <c r="K581" s="4" t="s">
        <v>608</v>
      </c>
      <c r="L581" s="11">
        <v>2500</v>
      </c>
      <c r="Q581" s="2"/>
    </row>
    <row r="582" spans="1:17" hidden="1" x14ac:dyDescent="0.3">
      <c r="A582">
        <v>581</v>
      </c>
      <c r="D582" s="4" t="s">
        <v>1416</v>
      </c>
      <c r="I582" s="4" t="s">
        <v>609</v>
      </c>
      <c r="J582" s="4" t="s">
        <v>1185</v>
      </c>
      <c r="K582" s="4" t="s">
        <v>610</v>
      </c>
      <c r="L582" s="11">
        <f>778*8+1</f>
        <v>6225</v>
      </c>
      <c r="M582" s="7">
        <v>21525</v>
      </c>
      <c r="N582" s="7">
        <v>1506</v>
      </c>
      <c r="O582" s="7">
        <v>6</v>
      </c>
      <c r="Q582" s="2"/>
    </row>
    <row r="583" spans="1:17" hidden="1" x14ac:dyDescent="0.3">
      <c r="A583">
        <v>582</v>
      </c>
      <c r="D583" s="4" t="s">
        <v>1416</v>
      </c>
      <c r="J583" s="4" t="s">
        <v>214</v>
      </c>
      <c r="K583" s="4" t="s">
        <v>611</v>
      </c>
      <c r="L583" s="11">
        <f>2500*6</f>
        <v>15000</v>
      </c>
      <c r="Q583" s="2"/>
    </row>
    <row r="584" spans="1:17" hidden="1" x14ac:dyDescent="0.3">
      <c r="A584">
        <v>583</v>
      </c>
      <c r="D584" s="4" t="s">
        <v>1416</v>
      </c>
      <c r="J584" s="4" t="s">
        <v>1649</v>
      </c>
      <c r="K584" s="4" t="s">
        <v>612</v>
      </c>
      <c r="L584" s="11">
        <v>300</v>
      </c>
      <c r="Q584" s="2"/>
    </row>
    <row r="585" spans="1:17" hidden="1" x14ac:dyDescent="0.3">
      <c r="A585">
        <v>584</v>
      </c>
      <c r="D585" s="4" t="s">
        <v>1485</v>
      </c>
      <c r="I585" s="4" t="s">
        <v>609</v>
      </c>
      <c r="J585" s="4" t="s">
        <v>1185</v>
      </c>
      <c r="K585" s="4" t="s">
        <v>613</v>
      </c>
      <c r="L585" s="11">
        <f>3699*8+1</f>
        <v>29593</v>
      </c>
      <c r="M585" s="7">
        <v>35593</v>
      </c>
      <c r="N585" s="7">
        <v>2491</v>
      </c>
      <c r="O585" s="7">
        <v>4</v>
      </c>
      <c r="Q585" s="2"/>
    </row>
    <row r="586" spans="1:17" hidden="1" x14ac:dyDescent="0.3">
      <c r="A586">
        <v>585</v>
      </c>
      <c r="D586" s="4" t="s">
        <v>1485</v>
      </c>
      <c r="J586" s="4" t="s">
        <v>206</v>
      </c>
      <c r="K586" s="4" t="s">
        <v>614</v>
      </c>
      <c r="L586" s="11">
        <f>750*8</f>
        <v>6000</v>
      </c>
      <c r="Q586" s="2"/>
    </row>
    <row r="587" spans="1:17" hidden="1" x14ac:dyDescent="0.3">
      <c r="A587">
        <v>586</v>
      </c>
      <c r="B587" s="4" t="s">
        <v>615</v>
      </c>
      <c r="D587" s="4" t="s">
        <v>1576</v>
      </c>
      <c r="I587" s="4" t="s">
        <v>609</v>
      </c>
      <c r="J587" s="4" t="s">
        <v>1185</v>
      </c>
      <c r="K587" s="4" t="s">
        <v>616</v>
      </c>
      <c r="L587" s="4">
        <v>25565</v>
      </c>
      <c r="M587" s="4">
        <v>25565</v>
      </c>
      <c r="N587" s="4">
        <v>1789</v>
      </c>
      <c r="O587" s="4">
        <v>4</v>
      </c>
      <c r="P587" s="4"/>
      <c r="Q587" s="2"/>
    </row>
    <row r="588" spans="1:17" hidden="1" x14ac:dyDescent="0.3">
      <c r="A588">
        <v>587</v>
      </c>
      <c r="D588" s="4" t="s">
        <v>1525</v>
      </c>
      <c r="I588" s="4" t="s">
        <v>609</v>
      </c>
      <c r="J588" s="4" t="s">
        <v>214</v>
      </c>
      <c r="K588" s="4" t="s">
        <v>617</v>
      </c>
      <c r="L588" s="4">
        <v>800</v>
      </c>
      <c r="M588" s="4">
        <v>800</v>
      </c>
      <c r="N588" s="4">
        <v>56</v>
      </c>
      <c r="O588" s="4"/>
      <c r="P588" s="4"/>
      <c r="Q588" s="2"/>
    </row>
    <row r="589" spans="1:17" hidden="1" x14ac:dyDescent="0.3">
      <c r="A589">
        <v>588</v>
      </c>
      <c r="D589" s="4" t="s">
        <v>1514</v>
      </c>
      <c r="I589" s="4" t="s">
        <v>618</v>
      </c>
      <c r="J589" s="4" t="s">
        <v>1185</v>
      </c>
      <c r="K589" s="5" t="s">
        <v>1218</v>
      </c>
      <c r="L589" s="11">
        <f>2118*8+3</f>
        <v>16947</v>
      </c>
      <c r="M589" s="7">
        <v>122034</v>
      </c>
      <c r="N589" s="7">
        <v>8542</v>
      </c>
      <c r="O589" s="7">
        <v>3</v>
      </c>
      <c r="Q589" s="2"/>
    </row>
    <row r="590" spans="1:17" hidden="1" x14ac:dyDescent="0.3">
      <c r="A590">
        <v>589</v>
      </c>
      <c r="D590" s="4" t="s">
        <v>1514</v>
      </c>
      <c r="J590" s="4" t="s">
        <v>214</v>
      </c>
      <c r="K590" s="4" t="s">
        <v>619</v>
      </c>
      <c r="L590" s="11">
        <v>2935</v>
      </c>
      <c r="Q590" s="2"/>
    </row>
    <row r="591" spans="1:17" hidden="1" x14ac:dyDescent="0.3">
      <c r="A591">
        <v>590</v>
      </c>
      <c r="D591" s="4" t="s">
        <v>1514</v>
      </c>
      <c r="J591" s="4" t="s">
        <v>206</v>
      </c>
      <c r="K591" s="4" t="s">
        <v>620</v>
      </c>
      <c r="L591" s="11">
        <f>338*8</f>
        <v>2704</v>
      </c>
      <c r="Q591" s="2"/>
    </row>
    <row r="592" spans="1:17" hidden="1" x14ac:dyDescent="0.3">
      <c r="A592">
        <v>591</v>
      </c>
      <c r="D592" s="4" t="s">
        <v>1514</v>
      </c>
      <c r="J592" s="4" t="s">
        <v>214</v>
      </c>
      <c r="K592" s="4" t="s">
        <v>194</v>
      </c>
      <c r="L592" s="11">
        <f>2500*7</f>
        <v>17500</v>
      </c>
      <c r="Q592" s="2"/>
    </row>
    <row r="593" spans="1:17" hidden="1" x14ac:dyDescent="0.3">
      <c r="A593">
        <v>592</v>
      </c>
      <c r="D593" s="4" t="s">
        <v>1514</v>
      </c>
      <c r="J593" s="4" t="s">
        <v>206</v>
      </c>
      <c r="K593" s="4" t="s">
        <v>1219</v>
      </c>
      <c r="L593" s="11">
        <f>10243*8+4</f>
        <v>81948</v>
      </c>
      <c r="Q593" s="2"/>
    </row>
    <row r="594" spans="1:17" hidden="1" x14ac:dyDescent="0.3">
      <c r="A594">
        <v>593</v>
      </c>
      <c r="D594" s="4" t="s">
        <v>1638</v>
      </c>
      <c r="I594" s="4" t="s">
        <v>621</v>
      </c>
      <c r="J594" s="4" t="s">
        <v>1185</v>
      </c>
      <c r="K594" s="4" t="s">
        <v>622</v>
      </c>
      <c r="L594" s="4">
        <v>15051</v>
      </c>
      <c r="M594" s="4">
        <v>15051</v>
      </c>
      <c r="N594" s="4">
        <v>1053</v>
      </c>
      <c r="O594" s="4">
        <v>4</v>
      </c>
      <c r="P594" s="4"/>
      <c r="Q594" s="2"/>
    </row>
    <row r="595" spans="1:17" hidden="1" x14ac:dyDescent="0.3">
      <c r="A595">
        <v>594</v>
      </c>
      <c r="D595" s="4" t="s">
        <v>1401</v>
      </c>
      <c r="I595" s="4" t="s">
        <v>621</v>
      </c>
      <c r="J595" s="4" t="s">
        <v>1185</v>
      </c>
      <c r="K595" s="4" t="s">
        <v>1220</v>
      </c>
      <c r="L595" s="11">
        <f>M595-L596-L597</f>
        <v>7729</v>
      </c>
      <c r="M595" s="7">
        <v>10549</v>
      </c>
      <c r="N595" s="7">
        <v>738</v>
      </c>
      <c r="O595" s="7">
        <v>4</v>
      </c>
      <c r="Q595" s="2"/>
    </row>
    <row r="596" spans="1:17" hidden="1" x14ac:dyDescent="0.3">
      <c r="A596">
        <v>595</v>
      </c>
      <c r="D596" s="4" t="s">
        <v>1401</v>
      </c>
      <c r="J596" s="4" t="s">
        <v>214</v>
      </c>
      <c r="K596" s="4" t="s">
        <v>623</v>
      </c>
      <c r="L596" s="11">
        <v>1500</v>
      </c>
      <c r="Q596" s="2"/>
    </row>
    <row r="597" spans="1:17" hidden="1" x14ac:dyDescent="0.3">
      <c r="A597">
        <v>596</v>
      </c>
      <c r="D597" s="4" t="s">
        <v>1401</v>
      </c>
      <c r="J597" s="4" t="s">
        <v>206</v>
      </c>
      <c r="K597" s="4" t="s">
        <v>1221</v>
      </c>
      <c r="L597" s="13">
        <f>165*8</f>
        <v>1320</v>
      </c>
      <c r="M597" s="4"/>
      <c r="N597" s="4"/>
      <c r="O597" s="4"/>
      <c r="P597" s="4"/>
      <c r="Q597" s="2"/>
    </row>
    <row r="598" spans="1:17" hidden="1" x14ac:dyDescent="0.3">
      <c r="A598">
        <v>597</v>
      </c>
      <c r="D598" s="4" t="s">
        <v>1469</v>
      </c>
      <c r="I598" s="4" t="s">
        <v>621</v>
      </c>
      <c r="J598" s="4" t="s">
        <v>214</v>
      </c>
      <c r="K598" s="4" t="s">
        <v>327</v>
      </c>
      <c r="L598" s="11">
        <f>2500*8</f>
        <v>20000</v>
      </c>
      <c r="M598" s="7">
        <v>38398</v>
      </c>
      <c r="N598" s="7">
        <v>2687</v>
      </c>
      <c r="O598" s="7">
        <v>7</v>
      </c>
      <c r="Q598" s="2"/>
    </row>
    <row r="599" spans="1:17" hidden="1" x14ac:dyDescent="0.3">
      <c r="A599">
        <v>598</v>
      </c>
      <c r="D599" s="4" t="s">
        <v>1469</v>
      </c>
      <c r="J599" s="4" t="s">
        <v>1185</v>
      </c>
      <c r="K599" s="5" t="s">
        <v>1222</v>
      </c>
      <c r="L599" s="11">
        <f>2067*8+1</f>
        <v>16537</v>
      </c>
      <c r="Q599" s="2"/>
    </row>
    <row r="600" spans="1:17" hidden="1" x14ac:dyDescent="0.3">
      <c r="A600">
        <v>599</v>
      </c>
      <c r="D600" s="4" t="s">
        <v>1469</v>
      </c>
      <c r="J600" s="4" t="s">
        <v>1224</v>
      </c>
      <c r="K600" s="4" t="s">
        <v>1225</v>
      </c>
      <c r="L600" s="13">
        <v>229</v>
      </c>
      <c r="M600" s="4"/>
      <c r="N600" s="4"/>
      <c r="O600" s="4"/>
      <c r="P600" s="4"/>
      <c r="Q600" s="2"/>
    </row>
    <row r="601" spans="1:17" hidden="1" x14ac:dyDescent="0.3">
      <c r="A601">
        <v>600</v>
      </c>
      <c r="D601" s="4" t="s">
        <v>1469</v>
      </c>
      <c r="J601" s="4" t="s">
        <v>206</v>
      </c>
      <c r="K601" s="4" t="s">
        <v>1223</v>
      </c>
      <c r="L601" s="13">
        <f>204*8</f>
        <v>1632</v>
      </c>
      <c r="M601" s="4"/>
      <c r="N601" s="4"/>
      <c r="O601" s="4"/>
      <c r="P601" s="4"/>
      <c r="Q601" s="2"/>
    </row>
    <row r="602" spans="1:17" hidden="1" x14ac:dyDescent="0.3">
      <c r="A602">
        <v>601</v>
      </c>
      <c r="D602" s="5" t="s">
        <v>1432</v>
      </c>
      <c r="E602" s="5" t="s">
        <v>1431</v>
      </c>
      <c r="F602" s="5"/>
      <c r="G602" s="5"/>
      <c r="H602" s="5"/>
      <c r="I602" s="4" t="s">
        <v>621</v>
      </c>
      <c r="J602" s="4" t="s">
        <v>206</v>
      </c>
      <c r="K602" s="4" t="s">
        <v>184</v>
      </c>
      <c r="L602" s="11">
        <f>480*8</f>
        <v>3840</v>
      </c>
      <c r="M602" s="7">
        <v>4690</v>
      </c>
      <c r="N602" s="7">
        <v>328</v>
      </c>
      <c r="O602" s="7">
        <v>3</v>
      </c>
      <c r="Q602" s="2"/>
    </row>
    <row r="603" spans="1:17" hidden="1" x14ac:dyDescent="0.3">
      <c r="A603">
        <v>602</v>
      </c>
      <c r="D603" s="5" t="s">
        <v>1432</v>
      </c>
      <c r="E603" s="5" t="s">
        <v>1431</v>
      </c>
      <c r="J603" s="4" t="s">
        <v>214</v>
      </c>
      <c r="K603" s="4" t="s">
        <v>624</v>
      </c>
      <c r="L603" s="11">
        <v>850</v>
      </c>
      <c r="Q603" s="2"/>
    </row>
    <row r="604" spans="1:17" hidden="1" x14ac:dyDescent="0.3">
      <c r="A604">
        <v>603</v>
      </c>
      <c r="D604" s="4" t="s">
        <v>1532</v>
      </c>
      <c r="I604" s="4" t="s">
        <v>621</v>
      </c>
      <c r="J604" s="4" t="s">
        <v>1185</v>
      </c>
      <c r="K604" s="4" t="s">
        <v>625</v>
      </c>
      <c r="L604" s="11">
        <f>1865*8+7</f>
        <v>14927</v>
      </c>
      <c r="M604" s="7">
        <v>18427</v>
      </c>
      <c r="N604" s="7">
        <v>1289</v>
      </c>
      <c r="O604" s="7">
        <v>7</v>
      </c>
      <c r="Q604" s="2"/>
    </row>
    <row r="605" spans="1:17" hidden="1" x14ac:dyDescent="0.3">
      <c r="A605">
        <v>604</v>
      </c>
      <c r="D605" s="4" t="s">
        <v>1532</v>
      </c>
      <c r="J605" s="4" t="s">
        <v>214</v>
      </c>
      <c r="K605" s="4" t="s">
        <v>626</v>
      </c>
      <c r="L605" s="11">
        <v>2500</v>
      </c>
      <c r="Q605" s="2"/>
    </row>
    <row r="606" spans="1:17" hidden="1" x14ac:dyDescent="0.3">
      <c r="A606">
        <v>605</v>
      </c>
      <c r="D606" s="4" t="s">
        <v>1532</v>
      </c>
      <c r="J606" s="4" t="s">
        <v>206</v>
      </c>
      <c r="K606" s="4" t="s">
        <v>627</v>
      </c>
      <c r="L606" s="11">
        <f>125*8</f>
        <v>1000</v>
      </c>
      <c r="Q606" s="2"/>
    </row>
    <row r="607" spans="1:17" hidden="1" x14ac:dyDescent="0.3">
      <c r="A607">
        <v>606</v>
      </c>
      <c r="D607" s="4" t="s">
        <v>1598</v>
      </c>
      <c r="I607" s="4" t="s">
        <v>621</v>
      </c>
      <c r="J607" s="4" t="s">
        <v>1185</v>
      </c>
      <c r="K607" s="4" t="s">
        <v>628</v>
      </c>
      <c r="L607" s="11">
        <f>M607-L608</f>
        <v>23048</v>
      </c>
      <c r="M607" s="7">
        <v>25844</v>
      </c>
      <c r="N607" s="7">
        <v>1809</v>
      </c>
      <c r="Q607" s="2"/>
    </row>
    <row r="608" spans="1:17" hidden="1" x14ac:dyDescent="0.3">
      <c r="A608">
        <v>607</v>
      </c>
      <c r="D608" s="4" t="s">
        <v>1598</v>
      </c>
      <c r="J608" s="4" t="s">
        <v>206</v>
      </c>
      <c r="K608" s="4" t="s">
        <v>629</v>
      </c>
      <c r="L608" s="11">
        <f>349*8+4</f>
        <v>2796</v>
      </c>
      <c r="Q608" s="2"/>
    </row>
    <row r="609" spans="1:17" hidden="1" x14ac:dyDescent="0.3">
      <c r="A609">
        <v>608</v>
      </c>
      <c r="B609" s="4" t="s">
        <v>644</v>
      </c>
      <c r="D609" s="4" t="s">
        <v>1483</v>
      </c>
      <c r="I609" s="4" t="s">
        <v>621</v>
      </c>
      <c r="J609" s="4" t="s">
        <v>206</v>
      </c>
      <c r="K609" s="4" t="s">
        <v>630</v>
      </c>
      <c r="L609" s="4">
        <v>960</v>
      </c>
      <c r="M609" s="4">
        <v>960</v>
      </c>
      <c r="N609" s="4">
        <v>67</v>
      </c>
      <c r="O609" s="4">
        <v>2</v>
      </c>
      <c r="P609" s="4"/>
      <c r="Q609" s="2"/>
    </row>
    <row r="610" spans="1:17" hidden="1" x14ac:dyDescent="0.3">
      <c r="A610">
        <v>609</v>
      </c>
      <c r="D610" s="4" t="s">
        <v>1580</v>
      </c>
      <c r="I610" s="4" t="s">
        <v>621</v>
      </c>
      <c r="J610" s="4" t="s">
        <v>1185</v>
      </c>
      <c r="K610" s="4" t="s">
        <v>631</v>
      </c>
      <c r="L610" s="4">
        <v>113997</v>
      </c>
      <c r="M610" s="4">
        <v>113997</v>
      </c>
      <c r="N610" s="4">
        <v>7979</v>
      </c>
      <c r="O610" s="4">
        <v>6</v>
      </c>
      <c r="P610" s="4"/>
      <c r="Q610" s="2"/>
    </row>
    <row r="611" spans="1:17" hidden="1" x14ac:dyDescent="0.3">
      <c r="A611">
        <v>610</v>
      </c>
      <c r="D611" s="4" t="s">
        <v>1578</v>
      </c>
      <c r="I611" s="4" t="s">
        <v>621</v>
      </c>
      <c r="J611" s="4" t="s">
        <v>1185</v>
      </c>
      <c r="K611" s="4" t="s">
        <v>633</v>
      </c>
      <c r="L611" s="4">
        <v>38802</v>
      </c>
      <c r="M611" s="4">
        <v>38802</v>
      </c>
      <c r="N611" s="4">
        <v>2716</v>
      </c>
      <c r="O611" s="4">
        <v>1</v>
      </c>
      <c r="P611" s="4"/>
      <c r="Q611" s="2"/>
    </row>
    <row r="612" spans="1:17" hidden="1" x14ac:dyDescent="0.3">
      <c r="A612">
        <v>611</v>
      </c>
      <c r="D612" s="4" t="s">
        <v>1544</v>
      </c>
      <c r="I612" s="4" t="s">
        <v>621</v>
      </c>
      <c r="J612" s="4" t="s">
        <v>214</v>
      </c>
      <c r="K612" s="4" t="s">
        <v>623</v>
      </c>
      <c r="L612" s="11">
        <v>1500</v>
      </c>
      <c r="M612" s="7">
        <v>1628</v>
      </c>
      <c r="N612" s="7">
        <v>114</v>
      </c>
      <c r="Q612" s="2"/>
    </row>
    <row r="613" spans="1:17" hidden="1" x14ac:dyDescent="0.3">
      <c r="A613">
        <v>612</v>
      </c>
      <c r="D613" s="4" t="s">
        <v>1544</v>
      </c>
      <c r="J613" s="4" t="s">
        <v>206</v>
      </c>
      <c r="K613" s="4" t="s">
        <v>635</v>
      </c>
      <c r="L613" s="11">
        <f>16*8</f>
        <v>128</v>
      </c>
      <c r="Q613" s="2"/>
    </row>
    <row r="614" spans="1:17" hidden="1" x14ac:dyDescent="0.3">
      <c r="A614">
        <v>613</v>
      </c>
      <c r="D614" s="4" t="s">
        <v>1370</v>
      </c>
      <c r="I614" s="4" t="s">
        <v>621</v>
      </c>
      <c r="J614" s="4" t="s">
        <v>214</v>
      </c>
      <c r="K614" s="4" t="s">
        <v>634</v>
      </c>
      <c r="L614" s="4">
        <v>1800</v>
      </c>
      <c r="M614" s="4">
        <v>1800</v>
      </c>
      <c r="N614" s="4">
        <v>126</v>
      </c>
      <c r="O614" s="4"/>
      <c r="P614" s="4"/>
      <c r="Q614" s="2"/>
    </row>
    <row r="615" spans="1:17" hidden="1" x14ac:dyDescent="0.3">
      <c r="A615">
        <v>614</v>
      </c>
      <c r="D615" s="4" t="s">
        <v>1624</v>
      </c>
      <c r="I615" s="4" t="s">
        <v>621</v>
      </c>
      <c r="J615" s="4" t="s">
        <v>206</v>
      </c>
      <c r="K615" s="4" t="s">
        <v>38</v>
      </c>
      <c r="L615" s="11">
        <f>40*8</f>
        <v>320</v>
      </c>
      <c r="M615" s="7">
        <v>520</v>
      </c>
      <c r="N615" s="7">
        <v>36</v>
      </c>
      <c r="O615" s="7">
        <v>3</v>
      </c>
      <c r="Q615" s="2"/>
    </row>
    <row r="616" spans="1:17" hidden="1" x14ac:dyDescent="0.3">
      <c r="A616">
        <v>615</v>
      </c>
      <c r="D616" s="4" t="s">
        <v>1624</v>
      </c>
      <c r="J616" s="4" t="s">
        <v>214</v>
      </c>
      <c r="K616" s="4" t="s">
        <v>178</v>
      </c>
      <c r="L616" s="11">
        <v>200</v>
      </c>
      <c r="Q616" s="2"/>
    </row>
    <row r="617" spans="1:17" hidden="1" x14ac:dyDescent="0.3">
      <c r="A617">
        <v>616</v>
      </c>
      <c r="C617" s="4" t="s">
        <v>286</v>
      </c>
      <c r="D617" s="4" t="s">
        <v>1363</v>
      </c>
      <c r="I617" s="4" t="s">
        <v>621</v>
      </c>
      <c r="J617" s="4" t="s">
        <v>214</v>
      </c>
      <c r="K617" s="4" t="s">
        <v>636</v>
      </c>
      <c r="L617" s="4">
        <v>9664</v>
      </c>
      <c r="M617" s="4">
        <v>9664</v>
      </c>
      <c r="N617" s="4">
        <v>676</v>
      </c>
      <c r="O617" s="4">
        <v>4</v>
      </c>
      <c r="P617" s="4"/>
      <c r="Q617" s="2"/>
    </row>
    <row r="618" spans="1:17" hidden="1" x14ac:dyDescent="0.3">
      <c r="A618">
        <v>617</v>
      </c>
      <c r="C618" s="4" t="s">
        <v>268</v>
      </c>
      <c r="D618" s="4" t="s">
        <v>1478</v>
      </c>
      <c r="I618" s="4" t="s">
        <v>637</v>
      </c>
      <c r="J618" s="4" t="s">
        <v>214</v>
      </c>
      <c r="K618" s="4" t="s">
        <v>566</v>
      </c>
      <c r="L618" s="4">
        <v>40000</v>
      </c>
      <c r="M618" s="4">
        <v>40000</v>
      </c>
      <c r="N618" s="4">
        <v>2800</v>
      </c>
      <c r="O618" s="4"/>
      <c r="P618" s="4"/>
      <c r="Q618" s="2"/>
    </row>
    <row r="619" spans="1:17" ht="28.8" hidden="1" x14ac:dyDescent="0.3">
      <c r="A619">
        <v>618</v>
      </c>
      <c r="D619" s="4" t="s">
        <v>1388</v>
      </c>
      <c r="I619" s="4" t="s">
        <v>637</v>
      </c>
      <c r="J619" s="4" t="s">
        <v>1185</v>
      </c>
      <c r="K619" s="5" t="s">
        <v>638</v>
      </c>
      <c r="L619" s="11">
        <f>M619-L620-L621-L622</f>
        <v>18244</v>
      </c>
      <c r="M619" s="7">
        <v>40927</v>
      </c>
      <c r="N619" s="7">
        <v>2864</v>
      </c>
      <c r="O619" s="7">
        <v>7</v>
      </c>
      <c r="Q619" s="2"/>
    </row>
    <row r="620" spans="1:17" hidden="1" x14ac:dyDescent="0.3">
      <c r="A620">
        <v>619</v>
      </c>
      <c r="D620" s="4" t="s">
        <v>1388</v>
      </c>
      <c r="J620" s="4" t="s">
        <v>206</v>
      </c>
      <c r="K620" s="4" t="s">
        <v>640</v>
      </c>
      <c r="L620" s="11">
        <f>1460*8</f>
        <v>11680</v>
      </c>
      <c r="Q620" s="2"/>
    </row>
    <row r="621" spans="1:17" hidden="1" x14ac:dyDescent="0.3">
      <c r="A621">
        <v>620</v>
      </c>
      <c r="D621" s="4" t="s">
        <v>1388</v>
      </c>
      <c r="J621" s="4" t="s">
        <v>214</v>
      </c>
      <c r="K621" s="4" t="s">
        <v>641</v>
      </c>
      <c r="L621" s="11">
        <v>2603</v>
      </c>
      <c r="Q621" s="2"/>
    </row>
    <row r="622" spans="1:17" hidden="1" x14ac:dyDescent="0.3">
      <c r="A622">
        <v>621</v>
      </c>
      <c r="D622" s="4" t="s">
        <v>1388</v>
      </c>
      <c r="J622" s="4" t="s">
        <v>214</v>
      </c>
      <c r="K622" s="4" t="s">
        <v>642</v>
      </c>
      <c r="L622" s="11">
        <v>8400</v>
      </c>
      <c r="Q622" s="2"/>
    </row>
    <row r="623" spans="1:17" hidden="1" x14ac:dyDescent="0.3">
      <c r="A623">
        <v>622</v>
      </c>
      <c r="C623" s="4" t="s">
        <v>268</v>
      </c>
      <c r="D623" s="4" t="s">
        <v>1668</v>
      </c>
      <c r="I623" s="4" t="s">
        <v>632</v>
      </c>
      <c r="J623" s="4" t="s">
        <v>206</v>
      </c>
      <c r="K623" s="4" t="s">
        <v>643</v>
      </c>
      <c r="L623" s="4">
        <v>2400</v>
      </c>
      <c r="M623" s="4">
        <v>2400</v>
      </c>
      <c r="N623" s="4">
        <v>168</v>
      </c>
      <c r="O623" s="4"/>
      <c r="P623" s="4"/>
      <c r="Q623" s="2"/>
    </row>
    <row r="624" spans="1:17" hidden="1" x14ac:dyDescent="0.3">
      <c r="A624">
        <v>623</v>
      </c>
      <c r="D624" s="4" t="s">
        <v>1447</v>
      </c>
      <c r="I624" s="4" t="s">
        <v>632</v>
      </c>
      <c r="J624" s="4" t="s">
        <v>214</v>
      </c>
      <c r="K624" s="4" t="s">
        <v>623</v>
      </c>
      <c r="L624" s="4">
        <v>1500</v>
      </c>
      <c r="M624" s="4">
        <v>1500</v>
      </c>
      <c r="N624" s="4">
        <v>105</v>
      </c>
      <c r="O624" s="4"/>
      <c r="P624" s="4"/>
      <c r="Q624" s="2"/>
    </row>
    <row r="625" spans="1:17" hidden="1" x14ac:dyDescent="0.3">
      <c r="A625">
        <v>624</v>
      </c>
      <c r="B625" s="4" t="s">
        <v>645</v>
      </c>
      <c r="C625" s="4" t="s">
        <v>268</v>
      </c>
      <c r="D625" s="4" t="s">
        <v>1574</v>
      </c>
      <c r="I625" s="4" t="s">
        <v>646</v>
      </c>
      <c r="J625" s="4" t="s">
        <v>1185</v>
      </c>
      <c r="K625" s="4" t="s">
        <v>647</v>
      </c>
      <c r="L625" s="11">
        <f>6585*8+4</f>
        <v>52684</v>
      </c>
      <c r="M625" s="7">
        <v>116684</v>
      </c>
      <c r="N625" s="7">
        <v>8167</v>
      </c>
      <c r="O625" s="7">
        <v>7</v>
      </c>
      <c r="Q625" s="2"/>
    </row>
    <row r="626" spans="1:17" hidden="1" x14ac:dyDescent="0.3">
      <c r="A626">
        <v>625</v>
      </c>
      <c r="D626" s="4" t="s">
        <v>1574</v>
      </c>
      <c r="J626" s="4" t="s">
        <v>214</v>
      </c>
      <c r="K626" s="4" t="s">
        <v>648</v>
      </c>
      <c r="L626" s="11">
        <v>64000</v>
      </c>
      <c r="Q626" s="2"/>
    </row>
    <row r="627" spans="1:17" hidden="1" x14ac:dyDescent="0.3">
      <c r="A627">
        <v>626</v>
      </c>
      <c r="C627" s="4" t="s">
        <v>406</v>
      </c>
      <c r="D627" s="4" t="s">
        <v>1444</v>
      </c>
      <c r="I627" s="4" t="s">
        <v>649</v>
      </c>
      <c r="J627" s="4" t="s">
        <v>214</v>
      </c>
      <c r="K627" s="4" t="s">
        <v>650</v>
      </c>
      <c r="L627" s="11">
        <v>1100</v>
      </c>
      <c r="M627" s="7">
        <v>1268</v>
      </c>
      <c r="N627" s="7">
        <v>88</v>
      </c>
      <c r="O627" s="7">
        <v>6</v>
      </c>
      <c r="Q627" s="2"/>
    </row>
    <row r="628" spans="1:17" hidden="1" x14ac:dyDescent="0.3">
      <c r="A628">
        <v>627</v>
      </c>
      <c r="D628" s="4" t="s">
        <v>1444</v>
      </c>
      <c r="J628" s="4" t="s">
        <v>206</v>
      </c>
      <c r="K628" s="4" t="s">
        <v>651</v>
      </c>
      <c r="L628" s="11">
        <f>21*8</f>
        <v>168</v>
      </c>
      <c r="Q628" s="2"/>
    </row>
    <row r="629" spans="1:17" hidden="1" x14ac:dyDescent="0.3">
      <c r="A629">
        <v>628</v>
      </c>
      <c r="D629" s="4" t="s">
        <v>1374</v>
      </c>
      <c r="I629" s="4" t="s">
        <v>652</v>
      </c>
      <c r="J629" s="4" t="s">
        <v>1185</v>
      </c>
      <c r="K629" s="4" t="s">
        <v>653</v>
      </c>
      <c r="L629" s="11">
        <f>956*8+6</f>
        <v>7654</v>
      </c>
      <c r="M629" s="7">
        <v>25854</v>
      </c>
      <c r="N629" s="7">
        <v>1809</v>
      </c>
      <c r="O629" s="7">
        <v>6</v>
      </c>
      <c r="Q629" s="2"/>
    </row>
    <row r="630" spans="1:17" hidden="1" x14ac:dyDescent="0.3">
      <c r="A630">
        <v>629</v>
      </c>
      <c r="D630" s="4" t="s">
        <v>1374</v>
      </c>
      <c r="J630" s="4" t="s">
        <v>214</v>
      </c>
      <c r="K630" s="4" t="s">
        <v>654</v>
      </c>
      <c r="L630" s="11">
        <f>2600*7</f>
        <v>18200</v>
      </c>
      <c r="Q630" s="2"/>
    </row>
    <row r="631" spans="1:17" hidden="1" x14ac:dyDescent="0.3">
      <c r="A631">
        <v>630</v>
      </c>
      <c r="C631" s="4" t="s">
        <v>268</v>
      </c>
      <c r="D631" s="4" t="s">
        <v>1281</v>
      </c>
      <c r="E631" s="4" t="s">
        <v>1459</v>
      </c>
      <c r="I631" s="4" t="s">
        <v>652</v>
      </c>
      <c r="J631" s="4" t="s">
        <v>214</v>
      </c>
      <c r="K631" s="4" t="s">
        <v>655</v>
      </c>
      <c r="L631" s="4">
        <v>20000</v>
      </c>
      <c r="M631" s="4">
        <v>20000</v>
      </c>
      <c r="N631" s="4">
        <v>1400</v>
      </c>
      <c r="O631" s="4"/>
      <c r="P631" s="4"/>
      <c r="Q631" s="2"/>
    </row>
    <row r="632" spans="1:17" hidden="1" x14ac:dyDescent="0.3">
      <c r="A632">
        <v>631</v>
      </c>
      <c r="D632" s="4" t="s">
        <v>1348</v>
      </c>
      <c r="I632" s="4" t="s">
        <v>652</v>
      </c>
      <c r="J632" s="4" t="s">
        <v>214</v>
      </c>
      <c r="K632" s="4" t="s">
        <v>656</v>
      </c>
      <c r="L632" s="4">
        <v>10400</v>
      </c>
      <c r="M632" s="4">
        <v>10400</v>
      </c>
      <c r="N632" s="4">
        <v>728</v>
      </c>
      <c r="O632" s="4"/>
      <c r="P632" s="4"/>
      <c r="Q632" s="2"/>
    </row>
    <row r="633" spans="1:17" hidden="1" x14ac:dyDescent="0.3">
      <c r="A633">
        <v>632</v>
      </c>
      <c r="D633" s="5" t="s">
        <v>1612</v>
      </c>
      <c r="E633" s="5" t="s">
        <v>1613</v>
      </c>
      <c r="F633" s="5" t="s">
        <v>1569</v>
      </c>
      <c r="G633" s="5"/>
      <c r="H633" s="5"/>
      <c r="I633" s="4" t="s">
        <v>652</v>
      </c>
      <c r="J633" s="4" t="s">
        <v>214</v>
      </c>
      <c r="K633" s="4" t="s">
        <v>657</v>
      </c>
      <c r="L633" s="4">
        <v>15000</v>
      </c>
      <c r="M633" s="4">
        <v>15000</v>
      </c>
      <c r="N633" s="4">
        <v>1050</v>
      </c>
      <c r="O633" s="4"/>
      <c r="P633" s="4"/>
      <c r="Q633" s="2"/>
    </row>
    <row r="634" spans="1:17" hidden="1" x14ac:dyDescent="0.3">
      <c r="A634">
        <v>633</v>
      </c>
      <c r="D634" s="4" t="s">
        <v>1442</v>
      </c>
      <c r="I634" s="4" t="s">
        <v>652</v>
      </c>
      <c r="J634" s="4" t="s">
        <v>1185</v>
      </c>
      <c r="K634" s="4" t="s">
        <v>658</v>
      </c>
      <c r="L634" s="11">
        <f>260*8+2+10+36</f>
        <v>2128</v>
      </c>
      <c r="M634" s="7">
        <v>32438</v>
      </c>
      <c r="N634" s="7">
        <v>2270</v>
      </c>
      <c r="O634" s="7">
        <v>5</v>
      </c>
      <c r="Q634" s="2"/>
    </row>
    <row r="635" spans="1:17" hidden="1" x14ac:dyDescent="0.3">
      <c r="A635">
        <v>634</v>
      </c>
      <c r="D635" s="4" t="s">
        <v>1442</v>
      </c>
      <c r="J635" s="4" t="s">
        <v>214</v>
      </c>
      <c r="K635" s="4" t="s">
        <v>327</v>
      </c>
      <c r="L635" s="11">
        <f>2500*8</f>
        <v>20000</v>
      </c>
      <c r="Q635" s="2"/>
    </row>
    <row r="636" spans="1:17" hidden="1" x14ac:dyDescent="0.3">
      <c r="A636">
        <v>635</v>
      </c>
      <c r="D636" s="4" t="s">
        <v>1442</v>
      </c>
      <c r="J636" s="4" t="s">
        <v>206</v>
      </c>
      <c r="K636" s="4" t="s">
        <v>659</v>
      </c>
      <c r="L636" s="11">
        <f>199*8+3</f>
        <v>1595</v>
      </c>
      <c r="Q636" s="2"/>
    </row>
    <row r="637" spans="1:17" hidden="1" x14ac:dyDescent="0.3">
      <c r="A637">
        <v>636</v>
      </c>
      <c r="D637" s="4" t="s">
        <v>1442</v>
      </c>
      <c r="J637" s="4" t="s">
        <v>214</v>
      </c>
      <c r="K637" s="4" t="s">
        <v>660</v>
      </c>
      <c r="L637" s="11">
        <v>1521</v>
      </c>
      <c r="Q637" s="2"/>
    </row>
    <row r="638" spans="1:17" hidden="1" x14ac:dyDescent="0.3">
      <c r="A638">
        <v>637</v>
      </c>
      <c r="D638" s="4" t="s">
        <v>1442</v>
      </c>
      <c r="J638" s="4" t="s">
        <v>206</v>
      </c>
      <c r="K638" s="4" t="s">
        <v>661</v>
      </c>
      <c r="L638" s="11">
        <f>280*8</f>
        <v>2240</v>
      </c>
      <c r="Q638" s="2"/>
    </row>
    <row r="639" spans="1:17" hidden="1" x14ac:dyDescent="0.3">
      <c r="A639">
        <v>638</v>
      </c>
      <c r="D639" s="4" t="s">
        <v>1442</v>
      </c>
      <c r="J639" s="4" t="s">
        <v>214</v>
      </c>
      <c r="K639" s="4" t="s">
        <v>1226</v>
      </c>
      <c r="L639" s="11">
        <f>4016+938</f>
        <v>4954</v>
      </c>
      <c r="Q639" s="2"/>
    </row>
    <row r="640" spans="1:17" hidden="1" x14ac:dyDescent="0.3">
      <c r="A640">
        <v>639</v>
      </c>
      <c r="D640" s="4" t="s">
        <v>1397</v>
      </c>
      <c r="I640" s="4" t="s">
        <v>662</v>
      </c>
      <c r="J640" s="4" t="s">
        <v>214</v>
      </c>
      <c r="K640" s="4" t="s">
        <v>419</v>
      </c>
      <c r="L640" s="4">
        <v>100</v>
      </c>
      <c r="M640" s="4">
        <v>100</v>
      </c>
      <c r="N640" s="4">
        <v>7</v>
      </c>
      <c r="O640" s="4"/>
      <c r="P640" s="4"/>
      <c r="Q640" s="2"/>
    </row>
    <row r="641" spans="1:17" hidden="1" x14ac:dyDescent="0.3">
      <c r="A641">
        <v>640</v>
      </c>
      <c r="C641" s="4" t="s">
        <v>268</v>
      </c>
      <c r="D641" s="4" t="s">
        <v>1263</v>
      </c>
      <c r="E641" s="4" t="s">
        <v>1640</v>
      </c>
      <c r="I641" s="4" t="s">
        <v>662</v>
      </c>
      <c r="J641" s="4" t="s">
        <v>214</v>
      </c>
      <c r="K641" s="4" t="s">
        <v>663</v>
      </c>
      <c r="L641" s="7">
        <f>19*8+6</f>
        <v>158</v>
      </c>
      <c r="M641" s="7">
        <v>258</v>
      </c>
      <c r="N641" s="7">
        <v>18</v>
      </c>
      <c r="Q641" s="2"/>
    </row>
    <row r="642" spans="1:17" hidden="1" x14ac:dyDescent="0.3">
      <c r="A642">
        <v>641</v>
      </c>
      <c r="D642" s="4" t="s">
        <v>1263</v>
      </c>
      <c r="E642" s="4" t="s">
        <v>1640</v>
      </c>
      <c r="J642" s="4" t="s">
        <v>214</v>
      </c>
      <c r="K642" s="4" t="s">
        <v>664</v>
      </c>
      <c r="L642" s="7">
        <v>100</v>
      </c>
      <c r="Q642" s="2"/>
    </row>
    <row r="643" spans="1:17" hidden="1" x14ac:dyDescent="0.3">
      <c r="A643">
        <v>642</v>
      </c>
      <c r="D643" s="4" t="s">
        <v>1340</v>
      </c>
      <c r="I643" s="4" t="s">
        <v>665</v>
      </c>
      <c r="J643" s="4" t="s">
        <v>206</v>
      </c>
      <c r="K643" s="4" t="s">
        <v>666</v>
      </c>
      <c r="L643" s="11">
        <f>350*8+158*8+7</f>
        <v>4071</v>
      </c>
      <c r="M643" s="7">
        <v>5721</v>
      </c>
      <c r="N643" s="7">
        <v>400</v>
      </c>
      <c r="Q643" s="2"/>
    </row>
    <row r="644" spans="1:17" hidden="1" x14ac:dyDescent="0.3">
      <c r="A644">
        <v>643</v>
      </c>
      <c r="D644" s="4" t="s">
        <v>1340</v>
      </c>
      <c r="J644" s="4" t="s">
        <v>214</v>
      </c>
      <c r="K644" s="4" t="s">
        <v>623</v>
      </c>
      <c r="L644" s="11">
        <v>1500</v>
      </c>
      <c r="Q644" s="2"/>
    </row>
    <row r="645" spans="1:17" hidden="1" x14ac:dyDescent="0.3">
      <c r="A645">
        <v>644</v>
      </c>
      <c r="D645" s="4" t="s">
        <v>1340</v>
      </c>
      <c r="J645" s="4" t="s">
        <v>1649</v>
      </c>
      <c r="K645" s="4" t="s">
        <v>151</v>
      </c>
      <c r="L645" s="11">
        <f>M643-L643-L644</f>
        <v>150</v>
      </c>
      <c r="Q645" s="2"/>
    </row>
    <row r="646" spans="1:17" hidden="1" x14ac:dyDescent="0.3">
      <c r="A646">
        <v>645</v>
      </c>
      <c r="B646" s="4" t="s">
        <v>667</v>
      </c>
      <c r="D646" s="4" t="s">
        <v>1340</v>
      </c>
      <c r="I646" s="4" t="s">
        <v>665</v>
      </c>
      <c r="J646" s="4" t="s">
        <v>206</v>
      </c>
      <c r="K646" s="4" t="s">
        <v>668</v>
      </c>
      <c r="L646" s="11">
        <v>2400</v>
      </c>
      <c r="M646" s="7">
        <v>2500</v>
      </c>
      <c r="N646" s="7">
        <v>175</v>
      </c>
      <c r="Q646" s="2"/>
    </row>
    <row r="647" spans="1:17" hidden="1" x14ac:dyDescent="0.3">
      <c r="A647">
        <v>646</v>
      </c>
      <c r="D647" s="4" t="s">
        <v>1340</v>
      </c>
      <c r="J647" s="4" t="s">
        <v>1649</v>
      </c>
      <c r="K647" s="4" t="s">
        <v>1227</v>
      </c>
      <c r="L647" s="11">
        <v>100</v>
      </c>
      <c r="Q647" s="2"/>
    </row>
    <row r="648" spans="1:17" hidden="1" x14ac:dyDescent="0.3">
      <c r="A648">
        <v>647</v>
      </c>
      <c r="D648" s="5" t="s">
        <v>1265</v>
      </c>
      <c r="E648" s="5" t="s">
        <v>1264</v>
      </c>
      <c r="F648" s="5"/>
      <c r="G648" s="5"/>
      <c r="H648" s="5"/>
      <c r="I648" s="4" t="s">
        <v>665</v>
      </c>
      <c r="J648" s="4" t="s">
        <v>214</v>
      </c>
      <c r="K648" s="4" t="s">
        <v>669</v>
      </c>
      <c r="L648" s="11">
        <v>7500</v>
      </c>
      <c r="M648" s="7">
        <v>18956</v>
      </c>
      <c r="N648" s="7">
        <v>1327</v>
      </c>
      <c r="Q648" s="2"/>
    </row>
    <row r="649" spans="1:17" hidden="1" x14ac:dyDescent="0.3">
      <c r="A649">
        <v>648</v>
      </c>
      <c r="D649" s="5" t="s">
        <v>1265</v>
      </c>
      <c r="E649" s="5" t="s">
        <v>1264</v>
      </c>
      <c r="J649" s="4" t="s">
        <v>1185</v>
      </c>
      <c r="K649" s="4" t="s">
        <v>670</v>
      </c>
      <c r="L649" s="11">
        <f>M648-L648-L650</f>
        <v>10072</v>
      </c>
      <c r="Q649" s="2"/>
    </row>
    <row r="650" spans="1:17" hidden="1" x14ac:dyDescent="0.3">
      <c r="A650">
        <v>649</v>
      </c>
      <c r="D650" s="5" t="s">
        <v>1265</v>
      </c>
      <c r="E650" s="5" t="s">
        <v>1264</v>
      </c>
      <c r="J650" s="4" t="s">
        <v>214</v>
      </c>
      <c r="K650" s="4" t="s">
        <v>671</v>
      </c>
      <c r="L650" s="11">
        <v>1384</v>
      </c>
      <c r="Q650" s="2"/>
    </row>
    <row r="651" spans="1:17" ht="28.8" hidden="1" x14ac:dyDescent="0.3">
      <c r="A651">
        <v>650</v>
      </c>
      <c r="D651" s="5" t="s">
        <v>1270</v>
      </c>
      <c r="E651" s="5" t="s">
        <v>1266</v>
      </c>
      <c r="F651" s="5" t="s">
        <v>1267</v>
      </c>
      <c r="G651" s="5" t="s">
        <v>1268</v>
      </c>
      <c r="H651" s="5" t="s">
        <v>1269</v>
      </c>
      <c r="I651" s="4" t="s">
        <v>665</v>
      </c>
      <c r="J651" s="4" t="s">
        <v>214</v>
      </c>
      <c r="K651" s="4" t="s">
        <v>672</v>
      </c>
      <c r="L651" s="4">
        <v>2640</v>
      </c>
      <c r="M651" s="4">
        <v>2640</v>
      </c>
      <c r="N651" s="4">
        <v>184</v>
      </c>
      <c r="O651" s="4">
        <v>6</v>
      </c>
      <c r="P651" s="4"/>
      <c r="Q651" s="2"/>
    </row>
    <row r="652" spans="1:17" hidden="1" x14ac:dyDescent="0.3">
      <c r="A652">
        <v>651</v>
      </c>
      <c r="D652" s="5" t="s">
        <v>1365</v>
      </c>
      <c r="E652" s="5" t="s">
        <v>1271</v>
      </c>
      <c r="F652" s="5"/>
      <c r="G652" s="5"/>
      <c r="H652" s="5"/>
      <c r="I652" s="4" t="s">
        <v>665</v>
      </c>
      <c r="J652" s="4" t="s">
        <v>214</v>
      </c>
      <c r="K652" s="4" t="s">
        <v>1229</v>
      </c>
      <c r="L652" s="11">
        <f>145*7</f>
        <v>1015</v>
      </c>
      <c r="M652" s="7">
        <v>4616</v>
      </c>
      <c r="N652" s="7">
        <v>323</v>
      </c>
      <c r="O652" s="7">
        <v>1</v>
      </c>
      <c r="Q652" s="2"/>
    </row>
    <row r="653" spans="1:17" hidden="1" x14ac:dyDescent="0.3">
      <c r="A653">
        <v>652</v>
      </c>
      <c r="D653" s="5" t="s">
        <v>1365</v>
      </c>
      <c r="E653" s="5" t="s">
        <v>1271</v>
      </c>
      <c r="J653" s="4" t="s">
        <v>214</v>
      </c>
      <c r="K653" s="4" t="s">
        <v>673</v>
      </c>
      <c r="L653" s="11">
        <f>1965+100</f>
        <v>2065</v>
      </c>
      <c r="Q653" s="2" t="s">
        <v>1643</v>
      </c>
    </row>
    <row r="654" spans="1:17" hidden="1" x14ac:dyDescent="0.3">
      <c r="A654">
        <v>653</v>
      </c>
      <c r="D654" s="4" t="s">
        <v>1365</v>
      </c>
      <c r="E654" s="4" t="s">
        <v>1271</v>
      </c>
      <c r="J654" s="4" t="s">
        <v>214</v>
      </c>
      <c r="K654" s="4" t="s">
        <v>1228</v>
      </c>
      <c r="L654" s="13">
        <f>2048*6/8</f>
        <v>1536</v>
      </c>
      <c r="Q654" s="2"/>
    </row>
    <row r="655" spans="1:17" hidden="1" x14ac:dyDescent="0.3">
      <c r="A655">
        <v>654</v>
      </c>
      <c r="D655" s="4" t="s">
        <v>1355</v>
      </c>
      <c r="I655" s="4" t="s">
        <v>665</v>
      </c>
      <c r="J655" s="4" t="s">
        <v>1185</v>
      </c>
      <c r="K655" s="4" t="s">
        <v>674</v>
      </c>
      <c r="L655" s="11">
        <f>463*8+7</f>
        <v>3711</v>
      </c>
      <c r="M655" s="11">
        <v>10788</v>
      </c>
      <c r="N655" s="7">
        <v>755</v>
      </c>
      <c r="O655" s="7">
        <v>1</v>
      </c>
      <c r="Q655" s="2"/>
    </row>
    <row r="656" spans="1:17" hidden="1" x14ac:dyDescent="0.3">
      <c r="A656">
        <v>655</v>
      </c>
      <c r="D656" s="4" t="s">
        <v>1355</v>
      </c>
      <c r="J656" s="4" t="s">
        <v>214</v>
      </c>
      <c r="K656" s="4" t="s">
        <v>1230</v>
      </c>
      <c r="L656" s="11">
        <v>6606</v>
      </c>
      <c r="M656" s="11"/>
      <c r="Q656" s="2"/>
    </row>
    <row r="657" spans="1:17" hidden="1" x14ac:dyDescent="0.3">
      <c r="A657">
        <v>656</v>
      </c>
      <c r="D657" s="4" t="s">
        <v>1355</v>
      </c>
      <c r="J657" s="4" t="s">
        <v>206</v>
      </c>
      <c r="K657" s="4" t="s">
        <v>675</v>
      </c>
      <c r="L657" s="11">
        <f>58*8+7</f>
        <v>471</v>
      </c>
      <c r="M657" s="11"/>
      <c r="Q657" s="2"/>
    </row>
    <row r="658" spans="1:17" hidden="1" x14ac:dyDescent="0.3">
      <c r="A658">
        <v>657</v>
      </c>
      <c r="D658" s="4" t="s">
        <v>1568</v>
      </c>
      <c r="E658" s="4" t="s">
        <v>1272</v>
      </c>
      <c r="I658" s="4" t="s">
        <v>665</v>
      </c>
      <c r="J658" s="4" t="s">
        <v>214</v>
      </c>
      <c r="K658" s="4" t="s">
        <v>676</v>
      </c>
      <c r="L658" s="4">
        <v>2600</v>
      </c>
      <c r="M658" s="4">
        <v>2600</v>
      </c>
      <c r="N658" s="4">
        <v>182</v>
      </c>
      <c r="O658" s="4"/>
      <c r="P658" s="4"/>
      <c r="Q658" s="2"/>
    </row>
    <row r="659" spans="1:17" hidden="1" x14ac:dyDescent="0.3">
      <c r="A659">
        <v>658</v>
      </c>
      <c r="C659" s="4" t="s">
        <v>270</v>
      </c>
      <c r="D659" s="4" t="s">
        <v>1603</v>
      </c>
      <c r="I659" s="4" t="s">
        <v>665</v>
      </c>
      <c r="J659" s="4" t="s">
        <v>214</v>
      </c>
      <c r="K659" s="4" t="s">
        <v>677</v>
      </c>
      <c r="L659" s="4">
        <v>6300</v>
      </c>
      <c r="M659" s="4">
        <v>6300</v>
      </c>
      <c r="N659" s="4">
        <v>441</v>
      </c>
      <c r="O659" s="4"/>
      <c r="P659" s="4"/>
      <c r="Q659" s="2"/>
    </row>
    <row r="660" spans="1:17" hidden="1" x14ac:dyDescent="0.3">
      <c r="A660">
        <v>659</v>
      </c>
      <c r="C660" s="4" t="s">
        <v>678</v>
      </c>
      <c r="D660" s="4" t="s">
        <v>1634</v>
      </c>
      <c r="I660" s="4" t="s">
        <v>665</v>
      </c>
      <c r="J660" s="4" t="s">
        <v>214</v>
      </c>
      <c r="K660" s="4" t="s">
        <v>116</v>
      </c>
      <c r="L660" s="4">
        <v>12500</v>
      </c>
      <c r="M660" s="4">
        <v>12500</v>
      </c>
      <c r="N660" s="4">
        <v>875</v>
      </c>
      <c r="O660" s="4"/>
      <c r="P660" s="4"/>
      <c r="Q660" s="2"/>
    </row>
    <row r="661" spans="1:17" hidden="1" x14ac:dyDescent="0.3">
      <c r="A661">
        <v>660</v>
      </c>
      <c r="B661" s="4" t="s">
        <v>679</v>
      </c>
      <c r="D661" s="4" t="s">
        <v>1592</v>
      </c>
      <c r="I661" s="4" t="s">
        <v>665</v>
      </c>
      <c r="J661" s="4" t="s">
        <v>214</v>
      </c>
      <c r="K661" s="4" t="s">
        <v>680</v>
      </c>
      <c r="L661" s="4">
        <v>3350</v>
      </c>
      <c r="M661" s="4">
        <v>3350</v>
      </c>
      <c r="N661" s="4">
        <v>234</v>
      </c>
      <c r="O661" s="4">
        <v>4</v>
      </c>
      <c r="P661" s="4"/>
      <c r="Q661" s="2"/>
    </row>
    <row r="662" spans="1:17" hidden="1" x14ac:dyDescent="0.3">
      <c r="A662">
        <v>661</v>
      </c>
      <c r="D662" s="4" t="s">
        <v>1629</v>
      </c>
      <c r="I662" s="4" t="s">
        <v>665</v>
      </c>
      <c r="J662" s="4" t="s">
        <v>214</v>
      </c>
      <c r="K662" s="4" t="s">
        <v>681</v>
      </c>
      <c r="L662" s="4">
        <v>4350</v>
      </c>
      <c r="M662" s="4">
        <v>4350</v>
      </c>
      <c r="N662" s="4">
        <v>304</v>
      </c>
      <c r="O662" s="4">
        <v>4</v>
      </c>
      <c r="P662" s="4"/>
      <c r="Q662" s="2"/>
    </row>
    <row r="663" spans="1:17" ht="28.8" hidden="1" x14ac:dyDescent="0.3">
      <c r="A663">
        <v>662</v>
      </c>
      <c r="D663" s="5" t="s">
        <v>1665</v>
      </c>
      <c r="E663" s="5" t="s">
        <v>1273</v>
      </c>
      <c r="F663" s="5" t="s">
        <v>1274</v>
      </c>
      <c r="G663" s="5" t="s">
        <v>1275</v>
      </c>
      <c r="H663" s="5"/>
      <c r="I663" s="4" t="s">
        <v>665</v>
      </c>
      <c r="J663" s="4" t="s">
        <v>214</v>
      </c>
      <c r="K663" s="4" t="s">
        <v>15</v>
      </c>
      <c r="L663" s="4">
        <v>1000</v>
      </c>
      <c r="M663" s="4">
        <v>1000</v>
      </c>
      <c r="N663" s="4">
        <v>70</v>
      </c>
      <c r="O663" s="4"/>
      <c r="P663" s="4"/>
      <c r="Q663" s="2"/>
    </row>
    <row r="664" spans="1:17" hidden="1" x14ac:dyDescent="0.3">
      <c r="A664">
        <v>663</v>
      </c>
      <c r="D664" s="4" t="s">
        <v>1397</v>
      </c>
      <c r="I664" s="4" t="s">
        <v>665</v>
      </c>
      <c r="J664" s="4" t="s">
        <v>214</v>
      </c>
      <c r="K664" s="4" t="s">
        <v>682</v>
      </c>
      <c r="L664" s="11">
        <v>4700</v>
      </c>
      <c r="M664" s="7">
        <v>6435</v>
      </c>
      <c r="N664" s="7">
        <v>450</v>
      </c>
      <c r="O664" s="7">
        <v>4</v>
      </c>
      <c r="Q664" s="3" t="s">
        <v>685</v>
      </c>
    </row>
    <row r="665" spans="1:17" hidden="1" x14ac:dyDescent="0.3">
      <c r="A665">
        <v>664</v>
      </c>
      <c r="D665" s="4" t="s">
        <v>1397</v>
      </c>
      <c r="J665" s="4" t="s">
        <v>214</v>
      </c>
      <c r="K665" s="4" t="s">
        <v>683</v>
      </c>
      <c r="L665" s="11">
        <v>300</v>
      </c>
      <c r="Q665" s="2"/>
    </row>
    <row r="666" spans="1:17" hidden="1" x14ac:dyDescent="0.3">
      <c r="A666">
        <v>665</v>
      </c>
      <c r="D666" s="4" t="s">
        <v>1397</v>
      </c>
      <c r="J666" s="4" t="s">
        <v>206</v>
      </c>
      <c r="K666" s="4" t="s">
        <v>684</v>
      </c>
      <c r="L666" s="11">
        <f>M664-L664-L665</f>
        <v>1435</v>
      </c>
      <c r="Q666" s="2"/>
    </row>
    <row r="667" spans="1:17" hidden="1" x14ac:dyDescent="0.3">
      <c r="A667">
        <v>666</v>
      </c>
      <c r="D667" s="4" t="s">
        <v>1473</v>
      </c>
      <c r="I667" s="4" t="s">
        <v>686</v>
      </c>
      <c r="J667" s="4" t="s">
        <v>206</v>
      </c>
      <c r="K667" s="4" t="s">
        <v>687</v>
      </c>
      <c r="L667" s="4">
        <v>1040</v>
      </c>
      <c r="M667" s="4">
        <v>1040</v>
      </c>
      <c r="N667" s="4">
        <v>72</v>
      </c>
      <c r="O667" s="4">
        <v>6</v>
      </c>
      <c r="P667" s="4"/>
      <c r="Q667" s="2"/>
    </row>
    <row r="668" spans="1:17" hidden="1" x14ac:dyDescent="0.3">
      <c r="A668">
        <v>667</v>
      </c>
      <c r="C668" s="4" t="s">
        <v>268</v>
      </c>
      <c r="D668" s="4" t="s">
        <v>1502</v>
      </c>
      <c r="I668" s="4" t="s">
        <v>686</v>
      </c>
      <c r="J668" s="4" t="s">
        <v>1185</v>
      </c>
      <c r="K668" s="4" t="s">
        <v>688</v>
      </c>
      <c r="L668" s="4">
        <v>3320</v>
      </c>
      <c r="M668" s="4">
        <v>3320</v>
      </c>
      <c r="N668" s="4">
        <v>232</v>
      </c>
      <c r="O668" s="4">
        <v>4</v>
      </c>
      <c r="P668" s="4"/>
      <c r="Q668" s="2"/>
    </row>
    <row r="669" spans="1:17" hidden="1" x14ac:dyDescent="0.3">
      <c r="A669">
        <v>668</v>
      </c>
      <c r="D669" s="4" t="s">
        <v>1276</v>
      </c>
      <c r="E669" s="4" t="s">
        <v>1277</v>
      </c>
      <c r="I669" s="4" t="s">
        <v>686</v>
      </c>
      <c r="J669" s="4" t="s">
        <v>1185</v>
      </c>
      <c r="K669" s="4" t="s">
        <v>689</v>
      </c>
      <c r="L669" s="11">
        <f>3031*8+7</f>
        <v>24255</v>
      </c>
      <c r="M669" s="7">
        <v>39363</v>
      </c>
      <c r="N669" s="7">
        <v>2755</v>
      </c>
      <c r="O669" s="7">
        <v>3</v>
      </c>
      <c r="Q669" s="2"/>
    </row>
    <row r="670" spans="1:17" hidden="1" x14ac:dyDescent="0.3">
      <c r="A670">
        <v>669</v>
      </c>
      <c r="D670" s="4" t="s">
        <v>1276</v>
      </c>
      <c r="E670" s="4" t="s">
        <v>1277</v>
      </c>
      <c r="J670" s="4" t="s">
        <v>214</v>
      </c>
      <c r="K670" s="4" t="s">
        <v>690</v>
      </c>
      <c r="L670" s="11">
        <v>15108</v>
      </c>
      <c r="Q670" s="2"/>
    </row>
    <row r="671" spans="1:17" hidden="1" x14ac:dyDescent="0.3">
      <c r="A671">
        <v>670</v>
      </c>
      <c r="D671" s="4" t="s">
        <v>1576</v>
      </c>
      <c r="I671" s="4" t="s">
        <v>686</v>
      </c>
      <c r="J671" s="4" t="s">
        <v>206</v>
      </c>
      <c r="K671" s="4" t="s">
        <v>691</v>
      </c>
      <c r="L671" s="4">
        <v>80</v>
      </c>
      <c r="M671" s="4">
        <v>80</v>
      </c>
      <c r="N671" s="4">
        <v>5</v>
      </c>
      <c r="O671" s="4">
        <v>4</v>
      </c>
      <c r="P671" s="4"/>
      <c r="Q671" s="2"/>
    </row>
    <row r="672" spans="1:17" hidden="1" x14ac:dyDescent="0.3">
      <c r="A672">
        <v>671</v>
      </c>
      <c r="D672" s="4" t="s">
        <v>1326</v>
      </c>
      <c r="E672" s="4" t="s">
        <v>1493</v>
      </c>
      <c r="I672" s="4" t="s">
        <v>686</v>
      </c>
      <c r="J672" s="4" t="s">
        <v>214</v>
      </c>
      <c r="K672" s="4" t="s">
        <v>634</v>
      </c>
      <c r="L672" s="11">
        <v>1800</v>
      </c>
      <c r="M672" s="7">
        <v>2264</v>
      </c>
      <c r="N672" s="7">
        <v>158</v>
      </c>
      <c r="O672" s="7">
        <v>4</v>
      </c>
      <c r="Q672" s="2"/>
    </row>
    <row r="673" spans="1:17" hidden="1" x14ac:dyDescent="0.3">
      <c r="A673">
        <v>672</v>
      </c>
      <c r="D673" s="4" t="s">
        <v>1326</v>
      </c>
      <c r="E673" s="4" t="s">
        <v>1493</v>
      </c>
      <c r="J673" s="4" t="s">
        <v>1185</v>
      </c>
      <c r="K673" s="4" t="s">
        <v>692</v>
      </c>
      <c r="L673" s="11">
        <v>464</v>
      </c>
      <c r="Q673" s="2"/>
    </row>
    <row r="674" spans="1:17" hidden="1" x14ac:dyDescent="0.3">
      <c r="A674">
        <v>673</v>
      </c>
      <c r="D674" s="4" t="s">
        <v>1506</v>
      </c>
      <c r="I674" s="4" t="s">
        <v>686</v>
      </c>
      <c r="J674" s="4" t="s">
        <v>214</v>
      </c>
      <c r="K674" s="4" t="s">
        <v>288</v>
      </c>
      <c r="L674" s="4">
        <v>4650</v>
      </c>
      <c r="M674" s="4">
        <v>4650</v>
      </c>
      <c r="N674" s="4">
        <v>325</v>
      </c>
      <c r="O674" s="4">
        <v>4</v>
      </c>
      <c r="P674" s="4"/>
      <c r="Q674" s="2"/>
    </row>
    <row r="675" spans="1:17" hidden="1" x14ac:dyDescent="0.3">
      <c r="A675">
        <v>674</v>
      </c>
      <c r="B675" s="4" t="s">
        <v>693</v>
      </c>
      <c r="D675" s="4" t="s">
        <v>1494</v>
      </c>
      <c r="I675" s="4" t="s">
        <v>686</v>
      </c>
      <c r="J675" s="4" t="s">
        <v>214</v>
      </c>
      <c r="K675" s="4" t="s">
        <v>694</v>
      </c>
      <c r="L675" s="11">
        <v>2900</v>
      </c>
      <c r="M675" s="7">
        <v>3220</v>
      </c>
      <c r="N675" s="7">
        <v>225</v>
      </c>
      <c r="Q675" s="2"/>
    </row>
    <row r="676" spans="1:17" hidden="1" x14ac:dyDescent="0.3">
      <c r="A676">
        <v>675</v>
      </c>
      <c r="D676" s="4" t="s">
        <v>1494</v>
      </c>
      <c r="J676" s="4" t="s">
        <v>206</v>
      </c>
      <c r="K676" s="4" t="s">
        <v>38</v>
      </c>
      <c r="L676" s="11">
        <f>40*8</f>
        <v>320</v>
      </c>
      <c r="Q676" s="2"/>
    </row>
    <row r="677" spans="1:17" ht="28.8" hidden="1" x14ac:dyDescent="0.3">
      <c r="A677">
        <v>676</v>
      </c>
      <c r="D677" s="4" t="s">
        <v>1633</v>
      </c>
      <c r="I677" s="4" t="s">
        <v>695</v>
      </c>
      <c r="J677" s="4" t="s">
        <v>214</v>
      </c>
      <c r="K677" s="5" t="s">
        <v>696</v>
      </c>
      <c r="L677" s="4">
        <v>14387</v>
      </c>
      <c r="M677" s="4">
        <v>14387</v>
      </c>
      <c r="N677" s="4">
        <v>1007</v>
      </c>
      <c r="O677" s="4"/>
      <c r="P677" s="4"/>
      <c r="Q677" s="2"/>
    </row>
    <row r="678" spans="1:17" hidden="1" x14ac:dyDescent="0.3">
      <c r="A678">
        <v>677</v>
      </c>
      <c r="D678" s="4" t="s">
        <v>1462</v>
      </c>
      <c r="I678" s="4" t="s">
        <v>695</v>
      </c>
      <c r="J678" s="4" t="s">
        <v>214</v>
      </c>
      <c r="K678" s="4" t="s">
        <v>639</v>
      </c>
      <c r="L678" s="4">
        <v>15000</v>
      </c>
      <c r="M678" s="4">
        <v>15000</v>
      </c>
      <c r="N678" s="4">
        <v>1050</v>
      </c>
      <c r="O678" s="4"/>
      <c r="P678" s="4"/>
      <c r="Q678" s="2"/>
    </row>
    <row r="679" spans="1:17" ht="28.8" hidden="1" x14ac:dyDescent="0.3">
      <c r="A679">
        <v>678</v>
      </c>
      <c r="D679" s="4" t="s">
        <v>1518</v>
      </c>
      <c r="E679" s="5" t="s">
        <v>1205</v>
      </c>
      <c r="F679" s="5" t="s">
        <v>1206</v>
      </c>
      <c r="G679" s="5" t="s">
        <v>1232</v>
      </c>
      <c r="H679" s="5"/>
      <c r="I679" s="4" t="s">
        <v>695</v>
      </c>
      <c r="J679" s="4" t="s">
        <v>1185</v>
      </c>
      <c r="K679" s="4" t="s">
        <v>1233</v>
      </c>
      <c r="L679" s="11">
        <f>1149*8+6</f>
        <v>9198</v>
      </c>
      <c r="M679" s="7">
        <v>36432</v>
      </c>
      <c r="N679" s="7">
        <v>2550</v>
      </c>
      <c r="O679" s="7">
        <v>2</v>
      </c>
      <c r="Q679" s="2"/>
    </row>
    <row r="680" spans="1:17" ht="28.8" hidden="1" x14ac:dyDescent="0.3">
      <c r="A680">
        <v>679</v>
      </c>
      <c r="D680" s="4" t="s">
        <v>1518</v>
      </c>
      <c r="E680" s="5" t="s">
        <v>1205</v>
      </c>
      <c r="F680" s="5" t="s">
        <v>1206</v>
      </c>
      <c r="G680" s="5" t="s">
        <v>1232</v>
      </c>
      <c r="J680" s="4" t="s">
        <v>214</v>
      </c>
      <c r="K680" s="4" t="s">
        <v>697</v>
      </c>
      <c r="L680" s="11">
        <v>3350</v>
      </c>
      <c r="Q680" s="2"/>
    </row>
    <row r="681" spans="1:17" ht="28.8" hidden="1" x14ac:dyDescent="0.3">
      <c r="A681">
        <v>680</v>
      </c>
      <c r="D681" s="4" t="s">
        <v>1518</v>
      </c>
      <c r="E681" s="5" t="s">
        <v>1205</v>
      </c>
      <c r="F681" s="5" t="s">
        <v>1206</v>
      </c>
      <c r="G681" s="5" t="s">
        <v>1232</v>
      </c>
      <c r="J681" s="4" t="s">
        <v>214</v>
      </c>
      <c r="K681" s="4" t="s">
        <v>698</v>
      </c>
      <c r="L681" s="11">
        <f>2500*9</f>
        <v>22500</v>
      </c>
      <c r="Q681" s="2"/>
    </row>
    <row r="682" spans="1:17" ht="28.8" hidden="1" x14ac:dyDescent="0.3">
      <c r="A682">
        <v>681</v>
      </c>
      <c r="D682" s="4" t="s">
        <v>1518</v>
      </c>
      <c r="E682" s="5" t="s">
        <v>1205</v>
      </c>
      <c r="F682" s="5" t="s">
        <v>1206</v>
      </c>
      <c r="G682" s="5" t="s">
        <v>1232</v>
      </c>
      <c r="H682" s="5"/>
      <c r="J682" s="4" t="s">
        <v>206</v>
      </c>
      <c r="K682" s="4" t="s">
        <v>1231</v>
      </c>
      <c r="L682" s="11">
        <f>173*8</f>
        <v>1384</v>
      </c>
      <c r="Q682" s="2"/>
    </row>
    <row r="683" spans="1:17" hidden="1" x14ac:dyDescent="0.3">
      <c r="A683">
        <v>682</v>
      </c>
      <c r="D683" s="4" t="s">
        <v>1395</v>
      </c>
      <c r="I683" s="4" t="s">
        <v>695</v>
      </c>
      <c r="J683" s="4" t="s">
        <v>214</v>
      </c>
      <c r="K683" s="4" t="s">
        <v>699</v>
      </c>
      <c r="L683" s="11">
        <v>3000</v>
      </c>
      <c r="M683" s="7">
        <v>3400</v>
      </c>
      <c r="N683" s="7">
        <v>238</v>
      </c>
      <c r="Q683" s="2"/>
    </row>
    <row r="684" spans="1:17" hidden="1" x14ac:dyDescent="0.3">
      <c r="A684">
        <v>683</v>
      </c>
      <c r="D684" s="4" t="s">
        <v>1395</v>
      </c>
      <c r="J684" s="4" t="s">
        <v>206</v>
      </c>
      <c r="K684" s="4" t="s">
        <v>700</v>
      </c>
      <c r="L684" s="11">
        <v>400</v>
      </c>
      <c r="Q684" s="2"/>
    </row>
    <row r="685" spans="1:17" hidden="1" x14ac:dyDescent="0.3">
      <c r="A685">
        <v>684</v>
      </c>
      <c r="D685" s="4" t="s">
        <v>1420</v>
      </c>
      <c r="I685" s="4" t="s">
        <v>695</v>
      </c>
      <c r="J685" s="4" t="s">
        <v>214</v>
      </c>
      <c r="K685" s="4" t="s">
        <v>114</v>
      </c>
      <c r="L685" s="11">
        <v>5000</v>
      </c>
      <c r="M685" s="7">
        <v>7600</v>
      </c>
      <c r="N685" s="7">
        <v>532</v>
      </c>
      <c r="Q685" s="2"/>
    </row>
    <row r="686" spans="1:17" hidden="1" x14ac:dyDescent="0.3">
      <c r="A686">
        <v>685</v>
      </c>
      <c r="D686" s="4" t="s">
        <v>1420</v>
      </c>
      <c r="J686" s="4" t="s">
        <v>214</v>
      </c>
      <c r="K686" s="4" t="s">
        <v>701</v>
      </c>
      <c r="L686" s="11">
        <v>2600</v>
      </c>
      <c r="Q686" s="2"/>
    </row>
    <row r="687" spans="1:17" hidden="1" x14ac:dyDescent="0.3">
      <c r="A687">
        <v>686</v>
      </c>
      <c r="D687" s="4" t="s">
        <v>1413</v>
      </c>
      <c r="I687" s="4" t="s">
        <v>695</v>
      </c>
      <c r="J687" s="4" t="s">
        <v>214</v>
      </c>
      <c r="K687" s="4" t="s">
        <v>702</v>
      </c>
      <c r="L687" s="4">
        <v>2900</v>
      </c>
      <c r="M687" s="4">
        <v>2900</v>
      </c>
      <c r="N687" s="4">
        <v>203</v>
      </c>
      <c r="O687" s="4"/>
      <c r="P687" s="4"/>
      <c r="Q687" s="2"/>
    </row>
    <row r="688" spans="1:17" hidden="1" x14ac:dyDescent="0.3">
      <c r="A688">
        <v>687</v>
      </c>
      <c r="D688" s="4" t="s">
        <v>1346</v>
      </c>
      <c r="I688" s="4" t="s">
        <v>695</v>
      </c>
      <c r="J688" s="4" t="s">
        <v>214</v>
      </c>
      <c r="K688" s="4" t="s">
        <v>703</v>
      </c>
      <c r="L688" s="4">
        <v>7000</v>
      </c>
      <c r="M688" s="4">
        <v>7000</v>
      </c>
      <c r="N688" s="4">
        <v>490</v>
      </c>
      <c r="O688" s="4"/>
      <c r="P688" s="4"/>
      <c r="Q688" s="2"/>
    </row>
    <row r="689" spans="1:17" hidden="1" x14ac:dyDescent="0.3">
      <c r="A689">
        <v>688</v>
      </c>
      <c r="D689" s="4" t="s">
        <v>1597</v>
      </c>
      <c r="I689" s="4" t="s">
        <v>695</v>
      </c>
      <c r="J689" s="4" t="s">
        <v>1185</v>
      </c>
      <c r="K689" s="4" t="s">
        <v>704</v>
      </c>
      <c r="L689" s="4">
        <v>1801</v>
      </c>
      <c r="M689" s="4">
        <v>1801</v>
      </c>
      <c r="N689" s="4">
        <v>126</v>
      </c>
      <c r="O689" s="4"/>
      <c r="P689" s="4"/>
      <c r="Q689" s="2"/>
    </row>
    <row r="690" spans="1:17" ht="28.8" hidden="1" x14ac:dyDescent="0.3">
      <c r="A690">
        <v>689</v>
      </c>
      <c r="B690" s="4" t="s">
        <v>705</v>
      </c>
      <c r="D690" s="5" t="s">
        <v>1279</v>
      </c>
      <c r="E690" s="5" t="s">
        <v>1278</v>
      </c>
      <c r="F690" s="5"/>
      <c r="G690" s="5"/>
      <c r="H690" s="5"/>
      <c r="I690" s="4" t="s">
        <v>706</v>
      </c>
      <c r="J690" s="4" t="s">
        <v>1185</v>
      </c>
      <c r="K690" s="4" t="s">
        <v>707</v>
      </c>
      <c r="L690" s="4">
        <v>20016</v>
      </c>
      <c r="M690" s="4">
        <v>20016</v>
      </c>
      <c r="N690" s="4">
        <v>1401</v>
      </c>
      <c r="O690" s="4"/>
      <c r="P690" s="4"/>
      <c r="Q690" s="2"/>
    </row>
    <row r="691" spans="1:17" hidden="1" x14ac:dyDescent="0.3">
      <c r="A691">
        <v>690</v>
      </c>
      <c r="D691" s="4" t="s">
        <v>1281</v>
      </c>
      <c r="E691" s="4" t="s">
        <v>1280</v>
      </c>
      <c r="I691" s="4" t="s">
        <v>706</v>
      </c>
      <c r="J691" s="4" t="s">
        <v>214</v>
      </c>
      <c r="K691" s="4" t="s">
        <v>708</v>
      </c>
      <c r="L691" s="4">
        <v>4602</v>
      </c>
      <c r="M691" s="4">
        <v>4602</v>
      </c>
      <c r="N691" s="4">
        <v>322</v>
      </c>
      <c r="O691" s="4">
        <v>1</v>
      </c>
      <c r="P691" s="4"/>
      <c r="Q691" s="2"/>
    </row>
    <row r="692" spans="1:17" ht="28.8" hidden="1" x14ac:dyDescent="0.3">
      <c r="A692">
        <v>691</v>
      </c>
      <c r="D692" s="5" t="s">
        <v>1283</v>
      </c>
      <c r="E692" s="5" t="s">
        <v>1282</v>
      </c>
      <c r="F692" s="5"/>
      <c r="G692" s="5"/>
      <c r="H692" s="5"/>
      <c r="I692" s="4" t="s">
        <v>706</v>
      </c>
      <c r="J692" s="4" t="s">
        <v>214</v>
      </c>
      <c r="K692" s="4" t="s">
        <v>709</v>
      </c>
      <c r="L692" s="15">
        <v>10600</v>
      </c>
      <c r="M692" s="7">
        <v>11136</v>
      </c>
      <c r="N692" s="7">
        <v>779</v>
      </c>
      <c r="O692" s="7">
        <v>4</v>
      </c>
      <c r="Q692" s="2"/>
    </row>
    <row r="693" spans="1:17" ht="28.8" hidden="1" x14ac:dyDescent="0.3">
      <c r="A693">
        <v>692</v>
      </c>
      <c r="D693" s="5" t="s">
        <v>1283</v>
      </c>
      <c r="E693" s="5" t="s">
        <v>1282</v>
      </c>
      <c r="J693" s="4" t="s">
        <v>214</v>
      </c>
      <c r="K693" s="4" t="s">
        <v>1234</v>
      </c>
      <c r="L693" s="15">
        <v>136</v>
      </c>
      <c r="Q693" s="2"/>
    </row>
    <row r="694" spans="1:17" ht="28.8" hidden="1" x14ac:dyDescent="0.3">
      <c r="A694">
        <v>693</v>
      </c>
      <c r="D694" s="5" t="s">
        <v>1283</v>
      </c>
      <c r="E694" s="5" t="s">
        <v>1282</v>
      </c>
      <c r="J694" s="4" t="s">
        <v>206</v>
      </c>
      <c r="K694" s="4" t="s">
        <v>700</v>
      </c>
      <c r="L694" s="15">
        <v>400</v>
      </c>
      <c r="Q694" s="2"/>
    </row>
    <row r="695" spans="1:17" hidden="1" x14ac:dyDescent="0.3">
      <c r="A695">
        <v>694</v>
      </c>
      <c r="C695" s="4" t="s">
        <v>272</v>
      </c>
      <c r="D695" s="4" t="s">
        <v>1438</v>
      </c>
      <c r="I695" s="4" t="s">
        <v>706</v>
      </c>
      <c r="J695" s="4" t="s">
        <v>1185</v>
      </c>
      <c r="K695" s="4" t="s">
        <v>710</v>
      </c>
      <c r="L695" s="15">
        <f>M695-L696</f>
        <v>10094</v>
      </c>
      <c r="M695" s="7">
        <v>22094</v>
      </c>
      <c r="N695" s="7">
        <v>1546</v>
      </c>
      <c r="O695" s="7">
        <v>4</v>
      </c>
      <c r="Q695" s="2"/>
    </row>
    <row r="696" spans="1:17" hidden="1" x14ac:dyDescent="0.3">
      <c r="A696">
        <v>695</v>
      </c>
      <c r="C696" s="4" t="s">
        <v>272</v>
      </c>
      <c r="D696" s="4" t="s">
        <v>1438</v>
      </c>
      <c r="J696" s="4" t="s">
        <v>214</v>
      </c>
      <c r="K696" s="4" t="s">
        <v>711</v>
      </c>
      <c r="L696" s="15">
        <v>12000</v>
      </c>
      <c r="Q696" s="2"/>
    </row>
    <row r="697" spans="1:17" hidden="1" x14ac:dyDescent="0.3">
      <c r="A697">
        <v>696</v>
      </c>
      <c r="D697" s="5" t="s">
        <v>1285</v>
      </c>
      <c r="E697" s="5" t="s">
        <v>1284</v>
      </c>
      <c r="F697" s="5"/>
      <c r="G697" s="5"/>
      <c r="H697" s="5"/>
      <c r="I697" s="4" t="s">
        <v>706</v>
      </c>
      <c r="J697" s="4" t="s">
        <v>214</v>
      </c>
      <c r="K697" s="4" t="s">
        <v>712</v>
      </c>
      <c r="L697" s="4">
        <v>1863</v>
      </c>
      <c r="M697" s="4">
        <v>1863</v>
      </c>
      <c r="N697" s="4">
        <v>130</v>
      </c>
      <c r="O697" s="4">
        <v>3</v>
      </c>
      <c r="P697" s="4"/>
      <c r="Q697" s="2"/>
    </row>
    <row r="698" spans="1:17" hidden="1" x14ac:dyDescent="0.3">
      <c r="A698">
        <v>697</v>
      </c>
      <c r="D698" s="5" t="s">
        <v>1287</v>
      </c>
      <c r="E698" s="5" t="s">
        <v>1286</v>
      </c>
      <c r="F698" s="5"/>
      <c r="G698" s="5"/>
      <c r="H698" s="5"/>
      <c r="I698" s="4" t="s">
        <v>706</v>
      </c>
      <c r="J698" s="4" t="s">
        <v>214</v>
      </c>
      <c r="K698" s="4" t="s">
        <v>713</v>
      </c>
      <c r="L698" s="4">
        <v>20300</v>
      </c>
      <c r="M698" s="4">
        <v>20300</v>
      </c>
      <c r="N698" s="4">
        <v>1421</v>
      </c>
      <c r="O698" s="4"/>
      <c r="P698" s="4"/>
      <c r="Q698" s="2"/>
    </row>
    <row r="699" spans="1:17" ht="28.8" hidden="1" x14ac:dyDescent="0.3">
      <c r="A699">
        <v>698</v>
      </c>
      <c r="D699" s="5" t="s">
        <v>1290</v>
      </c>
      <c r="E699" s="5" t="s">
        <v>1288</v>
      </c>
      <c r="F699" s="5" t="s">
        <v>1289</v>
      </c>
      <c r="G699" s="5"/>
      <c r="H699" s="5"/>
      <c r="I699" s="4" t="s">
        <v>706</v>
      </c>
      <c r="J699" s="4" t="s">
        <v>214</v>
      </c>
      <c r="K699" s="4" t="s">
        <v>714</v>
      </c>
      <c r="L699" s="11">
        <f>2500*5</f>
        <v>12500</v>
      </c>
      <c r="M699" s="7">
        <v>19200</v>
      </c>
      <c r="N699" s="7">
        <v>1344</v>
      </c>
      <c r="Q699" s="2"/>
    </row>
    <row r="700" spans="1:17" ht="28.8" hidden="1" x14ac:dyDescent="0.3">
      <c r="A700">
        <v>699</v>
      </c>
      <c r="D700" s="5" t="s">
        <v>1290</v>
      </c>
      <c r="E700" s="5" t="s">
        <v>1288</v>
      </c>
      <c r="F700" s="5" t="s">
        <v>1289</v>
      </c>
      <c r="J700" s="4" t="s">
        <v>214</v>
      </c>
      <c r="K700" s="4" t="s">
        <v>715</v>
      </c>
      <c r="L700" s="11">
        <v>2000</v>
      </c>
      <c r="Q700" s="2"/>
    </row>
    <row r="701" spans="1:17" ht="28.8" hidden="1" x14ac:dyDescent="0.3">
      <c r="A701">
        <v>700</v>
      </c>
      <c r="D701" s="5" t="s">
        <v>1290</v>
      </c>
      <c r="E701" s="5" t="s">
        <v>1288</v>
      </c>
      <c r="F701" s="5" t="s">
        <v>1289</v>
      </c>
      <c r="J701" s="4" t="s">
        <v>214</v>
      </c>
      <c r="K701" s="4" t="s">
        <v>716</v>
      </c>
      <c r="L701" s="11">
        <v>2500</v>
      </c>
      <c r="Q701" s="2"/>
    </row>
    <row r="702" spans="1:17" ht="28.8" hidden="1" x14ac:dyDescent="0.3">
      <c r="A702">
        <v>701</v>
      </c>
      <c r="D702" s="5" t="s">
        <v>1290</v>
      </c>
      <c r="E702" s="5" t="s">
        <v>1288</v>
      </c>
      <c r="F702" s="5" t="s">
        <v>1289</v>
      </c>
      <c r="J702" s="4" t="s">
        <v>206</v>
      </c>
      <c r="K702" s="4" t="s">
        <v>717</v>
      </c>
      <c r="L702" s="11">
        <f>150*8</f>
        <v>1200</v>
      </c>
      <c r="Q702" s="2"/>
    </row>
    <row r="703" spans="1:17" ht="28.8" hidden="1" x14ac:dyDescent="0.3">
      <c r="A703">
        <v>702</v>
      </c>
      <c r="D703" s="5" t="s">
        <v>1290</v>
      </c>
      <c r="E703" s="5" t="s">
        <v>1288</v>
      </c>
      <c r="F703" s="5" t="s">
        <v>1289</v>
      </c>
      <c r="J703" s="4" t="s">
        <v>214</v>
      </c>
      <c r="K703" s="4" t="s">
        <v>141</v>
      </c>
      <c r="L703" s="11">
        <v>1000</v>
      </c>
      <c r="Q703" s="2"/>
    </row>
    <row r="704" spans="1:17" hidden="1" x14ac:dyDescent="0.3">
      <c r="A704">
        <v>703</v>
      </c>
      <c r="D704" s="4" t="s">
        <v>1421</v>
      </c>
      <c r="I704" s="4" t="s">
        <v>706</v>
      </c>
      <c r="J704" s="4" t="s">
        <v>214</v>
      </c>
      <c r="K704" s="4" t="s">
        <v>608</v>
      </c>
      <c r="L704" s="11">
        <v>2500</v>
      </c>
      <c r="M704" s="7">
        <v>4300</v>
      </c>
      <c r="N704" s="7">
        <v>301</v>
      </c>
      <c r="Q704" s="2"/>
    </row>
    <row r="705" spans="1:17" hidden="1" x14ac:dyDescent="0.3">
      <c r="A705">
        <v>704</v>
      </c>
      <c r="D705" s="4" t="s">
        <v>1421</v>
      </c>
      <c r="J705" s="4" t="s">
        <v>206</v>
      </c>
      <c r="K705" s="4" t="s">
        <v>718</v>
      </c>
      <c r="L705" s="11">
        <f>225*8</f>
        <v>1800</v>
      </c>
      <c r="Q705" s="2"/>
    </row>
    <row r="706" spans="1:17" hidden="1" x14ac:dyDescent="0.3">
      <c r="A706">
        <v>705</v>
      </c>
      <c r="B706" s="4" t="s">
        <v>719</v>
      </c>
      <c r="D706" s="5" t="s">
        <v>1292</v>
      </c>
      <c r="E706" s="5" t="s">
        <v>1291</v>
      </c>
      <c r="F706" s="5"/>
      <c r="G706" s="5"/>
      <c r="H706" s="5"/>
      <c r="I706" s="4" t="s">
        <v>706</v>
      </c>
      <c r="J706" s="4" t="s">
        <v>214</v>
      </c>
      <c r="K706" s="4" t="s">
        <v>240</v>
      </c>
      <c r="L706" s="4">
        <v>600</v>
      </c>
      <c r="M706" s="4">
        <v>600</v>
      </c>
      <c r="N706" s="4">
        <v>42</v>
      </c>
      <c r="O706" s="4"/>
      <c r="P706" s="4"/>
      <c r="Q706" s="2"/>
    </row>
    <row r="707" spans="1:17" hidden="1" x14ac:dyDescent="0.3">
      <c r="A707">
        <v>706</v>
      </c>
      <c r="D707" s="4" t="s">
        <v>1455</v>
      </c>
      <c r="I707" s="4" t="s">
        <v>706</v>
      </c>
      <c r="J707" s="4" t="s">
        <v>1185</v>
      </c>
      <c r="K707" s="4" t="s">
        <v>720</v>
      </c>
      <c r="L707" s="11">
        <f>550*8+5</f>
        <v>4405</v>
      </c>
      <c r="M707" s="7">
        <v>9829</v>
      </c>
      <c r="N707" s="7">
        <v>688</v>
      </c>
      <c r="Q707" s="2"/>
    </row>
    <row r="708" spans="1:17" hidden="1" x14ac:dyDescent="0.3">
      <c r="A708">
        <v>707</v>
      </c>
      <c r="D708" s="4" t="s">
        <v>1455</v>
      </c>
      <c r="J708" s="4" t="s">
        <v>214</v>
      </c>
      <c r="K708" s="4" t="s">
        <v>288</v>
      </c>
      <c r="L708" s="11">
        <v>5000</v>
      </c>
      <c r="Q708" s="2"/>
    </row>
    <row r="709" spans="1:17" hidden="1" x14ac:dyDescent="0.3">
      <c r="A709">
        <v>708</v>
      </c>
      <c r="D709" s="4" t="s">
        <v>1455</v>
      </c>
      <c r="J709" s="4" t="s">
        <v>206</v>
      </c>
      <c r="K709" s="4" t="s">
        <v>721</v>
      </c>
      <c r="L709" s="11">
        <f>53*8</f>
        <v>424</v>
      </c>
      <c r="Q709" s="2"/>
    </row>
    <row r="710" spans="1:17" hidden="1" x14ac:dyDescent="0.3">
      <c r="A710">
        <v>709</v>
      </c>
      <c r="D710" s="5" t="s">
        <v>1434</v>
      </c>
      <c r="E710" s="5" t="s">
        <v>1435</v>
      </c>
      <c r="F710" s="5" t="s">
        <v>1664</v>
      </c>
      <c r="G710" s="5"/>
      <c r="H710" s="5"/>
      <c r="I710" s="4" t="s">
        <v>706</v>
      </c>
      <c r="J710" s="4" t="s">
        <v>1185</v>
      </c>
      <c r="K710" s="4" t="s">
        <v>1236</v>
      </c>
      <c r="L710" s="11">
        <f>729*8+1</f>
        <v>5833</v>
      </c>
      <c r="M710" s="7">
        <v>7493</v>
      </c>
      <c r="N710" s="7">
        <v>524</v>
      </c>
      <c r="O710" s="7">
        <v>4</v>
      </c>
      <c r="Q710" s="2"/>
    </row>
    <row r="711" spans="1:17" hidden="1" x14ac:dyDescent="0.3">
      <c r="A711">
        <v>710</v>
      </c>
      <c r="D711" s="5" t="s">
        <v>1434</v>
      </c>
      <c r="E711" s="5" t="s">
        <v>1435</v>
      </c>
      <c r="F711" s="5" t="s">
        <v>1664</v>
      </c>
      <c r="J711" s="4" t="s">
        <v>214</v>
      </c>
      <c r="K711" s="4" t="s">
        <v>124</v>
      </c>
      <c r="L711" s="11">
        <v>300</v>
      </c>
      <c r="Q711" s="2"/>
    </row>
    <row r="712" spans="1:17" hidden="1" x14ac:dyDescent="0.3">
      <c r="A712">
        <v>711</v>
      </c>
      <c r="D712" s="4" t="s">
        <v>1434</v>
      </c>
      <c r="E712" s="4" t="s">
        <v>1435</v>
      </c>
      <c r="F712" s="4" t="s">
        <v>1664</v>
      </c>
      <c r="J712" s="4" t="s">
        <v>206</v>
      </c>
      <c r="K712" s="4" t="s">
        <v>496</v>
      </c>
      <c r="L712" s="13">
        <f>170*8</f>
        <v>1360</v>
      </c>
      <c r="M712" s="4"/>
      <c r="N712" s="4"/>
      <c r="O712" s="4"/>
      <c r="P712" s="4"/>
      <c r="Q712" s="2"/>
    </row>
    <row r="713" spans="1:17" hidden="1" x14ac:dyDescent="0.3">
      <c r="A713">
        <v>712</v>
      </c>
      <c r="C713" s="4" t="s">
        <v>273</v>
      </c>
      <c r="D713" s="4" t="s">
        <v>1417</v>
      </c>
      <c r="E713" s="5" t="s">
        <v>1293</v>
      </c>
      <c r="F713" s="5"/>
      <c r="G713" s="5"/>
      <c r="H713" s="5"/>
      <c r="I713" s="4" t="s">
        <v>706</v>
      </c>
      <c r="J713" s="4" t="s">
        <v>1185</v>
      </c>
      <c r="K713" s="4" t="s">
        <v>722</v>
      </c>
      <c r="L713" s="11">
        <f>183*8</f>
        <v>1464</v>
      </c>
      <c r="M713" s="7">
        <v>4216</v>
      </c>
      <c r="N713" s="7">
        <v>295</v>
      </c>
      <c r="O713" s="7">
        <v>1</v>
      </c>
      <c r="Q713" s="2"/>
    </row>
    <row r="714" spans="1:17" hidden="1" x14ac:dyDescent="0.3">
      <c r="A714">
        <v>713</v>
      </c>
      <c r="D714" s="4" t="s">
        <v>1417</v>
      </c>
      <c r="E714" s="5" t="s">
        <v>1293</v>
      </c>
      <c r="J714" s="4" t="s">
        <v>214</v>
      </c>
      <c r="K714" s="4" t="s">
        <v>442</v>
      </c>
      <c r="L714" s="11">
        <v>1200</v>
      </c>
      <c r="Q714" s="2"/>
    </row>
    <row r="715" spans="1:17" hidden="1" x14ac:dyDescent="0.3">
      <c r="A715">
        <v>714</v>
      </c>
      <c r="D715" s="4" t="s">
        <v>1417</v>
      </c>
      <c r="E715" s="5" t="s">
        <v>1293</v>
      </c>
      <c r="J715" s="4" t="s">
        <v>206</v>
      </c>
      <c r="K715" s="4" t="s">
        <v>723</v>
      </c>
      <c r="L715" s="11">
        <f>194*8</f>
        <v>1552</v>
      </c>
      <c r="Q715" s="2"/>
    </row>
    <row r="716" spans="1:17" hidden="1" x14ac:dyDescent="0.3">
      <c r="A716">
        <v>715</v>
      </c>
      <c r="D716" s="4" t="s">
        <v>1418</v>
      </c>
      <c r="I716" s="4" t="s">
        <v>706</v>
      </c>
      <c r="J716" s="4" t="s">
        <v>1185</v>
      </c>
      <c r="K716" s="4" t="s">
        <v>724</v>
      </c>
      <c r="L716" s="11">
        <f>5362*8+2</f>
        <v>42898</v>
      </c>
      <c r="M716" s="7">
        <v>55898</v>
      </c>
      <c r="N716" s="7">
        <v>3912</v>
      </c>
      <c r="Q716" s="2"/>
    </row>
    <row r="717" spans="1:17" hidden="1" x14ac:dyDescent="0.3">
      <c r="A717">
        <v>716</v>
      </c>
      <c r="D717" s="4" t="s">
        <v>1418</v>
      </c>
      <c r="J717" s="4" t="s">
        <v>214</v>
      </c>
      <c r="K717" s="4" t="s">
        <v>725</v>
      </c>
      <c r="L717" s="11">
        <v>13000</v>
      </c>
      <c r="Q717" s="2"/>
    </row>
    <row r="718" spans="1:17" hidden="1" x14ac:dyDescent="0.3">
      <c r="A718">
        <v>717</v>
      </c>
      <c r="C718" s="4" t="s">
        <v>268</v>
      </c>
      <c r="D718" s="4" t="s">
        <v>1487</v>
      </c>
      <c r="I718" s="4" t="s">
        <v>706</v>
      </c>
      <c r="J718" s="4" t="s">
        <v>214</v>
      </c>
      <c r="K718" s="4" t="s">
        <v>264</v>
      </c>
      <c r="L718" s="4">
        <v>27500</v>
      </c>
      <c r="M718" s="4">
        <v>27500</v>
      </c>
      <c r="N718" s="4">
        <v>1925</v>
      </c>
      <c r="O718" s="4"/>
      <c r="P718" s="4"/>
      <c r="Q718" s="2"/>
    </row>
    <row r="719" spans="1:17" hidden="1" x14ac:dyDescent="0.3">
      <c r="A719">
        <v>718</v>
      </c>
      <c r="C719" s="4" t="s">
        <v>268</v>
      </c>
      <c r="D719" s="4" t="s">
        <v>1294</v>
      </c>
      <c r="I719" s="4" t="s">
        <v>706</v>
      </c>
      <c r="J719" s="4" t="s">
        <v>214</v>
      </c>
      <c r="K719" s="4" t="s">
        <v>726</v>
      </c>
      <c r="L719" s="11">
        <v>18000</v>
      </c>
      <c r="M719" s="7">
        <v>22388</v>
      </c>
      <c r="N719" s="7">
        <v>1567</v>
      </c>
      <c r="O719" s="7">
        <v>1</v>
      </c>
      <c r="Q719" s="2"/>
    </row>
    <row r="720" spans="1:17" hidden="1" x14ac:dyDescent="0.3">
      <c r="A720">
        <v>719</v>
      </c>
      <c r="D720" s="4" t="s">
        <v>1294</v>
      </c>
      <c r="J720" s="4" t="s">
        <v>206</v>
      </c>
      <c r="K720" s="4" t="s">
        <v>727</v>
      </c>
      <c r="L720" s="11">
        <f>286*8</f>
        <v>2288</v>
      </c>
      <c r="Q720" s="2"/>
    </row>
    <row r="721" spans="1:17" hidden="1" x14ac:dyDescent="0.3">
      <c r="A721">
        <v>720</v>
      </c>
      <c r="D721" s="4" t="s">
        <v>1294</v>
      </c>
      <c r="J721" s="4" t="s">
        <v>214</v>
      </c>
      <c r="K721" s="4" t="s">
        <v>728</v>
      </c>
      <c r="L721" s="11">
        <v>2100</v>
      </c>
      <c r="Q721" s="2"/>
    </row>
    <row r="722" spans="1:17" hidden="1" x14ac:dyDescent="0.3">
      <c r="A722">
        <v>721</v>
      </c>
      <c r="C722" s="4" t="s">
        <v>269</v>
      </c>
      <c r="D722" s="4" t="s">
        <v>1515</v>
      </c>
      <c r="I722" s="4" t="s">
        <v>706</v>
      </c>
      <c r="J722" s="4" t="s">
        <v>214</v>
      </c>
      <c r="K722" s="4" t="s">
        <v>729</v>
      </c>
      <c r="L722" s="11">
        <v>3000</v>
      </c>
      <c r="M722" s="7">
        <v>3320</v>
      </c>
      <c r="N722" s="7">
        <v>232</v>
      </c>
      <c r="O722" s="7">
        <v>3</v>
      </c>
      <c r="Q722" s="2"/>
    </row>
    <row r="723" spans="1:17" hidden="1" x14ac:dyDescent="0.3">
      <c r="A723">
        <v>722</v>
      </c>
      <c r="D723" s="4" t="s">
        <v>1515</v>
      </c>
      <c r="J723" s="4" t="s">
        <v>206</v>
      </c>
      <c r="K723" s="4" t="s">
        <v>38</v>
      </c>
      <c r="L723" s="11">
        <f>40*8</f>
        <v>320</v>
      </c>
      <c r="Q723" s="2"/>
    </row>
    <row r="724" spans="1:17" hidden="1" x14ac:dyDescent="0.3">
      <c r="A724">
        <v>723</v>
      </c>
      <c r="D724" s="4" t="s">
        <v>1599</v>
      </c>
      <c r="I724" s="4" t="s">
        <v>706</v>
      </c>
      <c r="J724" s="4" t="s">
        <v>214</v>
      </c>
      <c r="K724" s="4" t="s">
        <v>730</v>
      </c>
      <c r="L724" s="11">
        <v>7982</v>
      </c>
      <c r="M724" s="14">
        <v>8210</v>
      </c>
      <c r="N724" s="7">
        <v>558</v>
      </c>
      <c r="O724" s="7">
        <v>4</v>
      </c>
      <c r="Q724" s="2"/>
    </row>
    <row r="725" spans="1:17" hidden="1" x14ac:dyDescent="0.3">
      <c r="A725">
        <v>724</v>
      </c>
      <c r="D725" s="4" t="s">
        <v>1599</v>
      </c>
      <c r="J725" s="4" t="s">
        <v>206</v>
      </c>
      <c r="K725" s="4" t="s">
        <v>731</v>
      </c>
      <c r="L725" s="11">
        <f>28*8+4</f>
        <v>228</v>
      </c>
      <c r="M725" s="14"/>
      <c r="Q725" s="2"/>
    </row>
    <row r="726" spans="1:17" hidden="1" x14ac:dyDescent="0.3">
      <c r="A726">
        <v>725</v>
      </c>
      <c r="B726" s="4" t="s">
        <v>732</v>
      </c>
      <c r="D726" s="4" t="s">
        <v>1528</v>
      </c>
      <c r="I726" s="4" t="s">
        <v>706</v>
      </c>
      <c r="J726" s="4" t="s">
        <v>206</v>
      </c>
      <c r="K726" s="4" t="s">
        <v>700</v>
      </c>
      <c r="L726" s="4">
        <v>400</v>
      </c>
      <c r="M726" s="4">
        <v>400</v>
      </c>
      <c r="N726" s="4">
        <v>28</v>
      </c>
      <c r="O726" s="4"/>
      <c r="P726" s="4"/>
      <c r="Q726" s="2"/>
    </row>
    <row r="727" spans="1:17" hidden="1" x14ac:dyDescent="0.3">
      <c r="A727">
        <v>726</v>
      </c>
      <c r="C727" s="4" t="s">
        <v>64</v>
      </c>
      <c r="D727" s="4" t="s">
        <v>1295</v>
      </c>
      <c r="E727" s="4" t="s">
        <v>1390</v>
      </c>
      <c r="I727" s="4" t="s">
        <v>706</v>
      </c>
      <c r="J727" s="4" t="s">
        <v>214</v>
      </c>
      <c r="K727" s="4" t="s">
        <v>736</v>
      </c>
      <c r="L727" s="4">
        <v>1000</v>
      </c>
      <c r="M727" s="4">
        <v>1000</v>
      </c>
      <c r="N727" s="4">
        <v>70</v>
      </c>
      <c r="O727" s="4"/>
      <c r="P727" s="4"/>
      <c r="Q727" s="2"/>
    </row>
    <row r="728" spans="1:17" hidden="1" x14ac:dyDescent="0.3">
      <c r="A728">
        <v>727</v>
      </c>
      <c r="C728" s="4" t="s">
        <v>268</v>
      </c>
      <c r="D728" s="4" t="s">
        <v>1668</v>
      </c>
      <c r="I728" s="4" t="s">
        <v>737</v>
      </c>
      <c r="J728" s="4" t="s">
        <v>206</v>
      </c>
      <c r="K728" s="4" t="s">
        <v>882</v>
      </c>
      <c r="L728" s="11">
        <f>725*8</f>
        <v>5800</v>
      </c>
      <c r="M728" s="7">
        <v>7006</v>
      </c>
      <c r="N728" s="7">
        <v>490</v>
      </c>
      <c r="O728" s="7">
        <v>3</v>
      </c>
      <c r="Q728" s="2"/>
    </row>
    <row r="729" spans="1:17" hidden="1" x14ac:dyDescent="0.3">
      <c r="A729">
        <v>728</v>
      </c>
      <c r="D729" s="4" t="s">
        <v>1668</v>
      </c>
      <c r="J729" s="4" t="s">
        <v>1185</v>
      </c>
      <c r="K729" s="4" t="s">
        <v>738</v>
      </c>
      <c r="L729" s="11">
        <v>1206</v>
      </c>
      <c r="Q729" s="2"/>
    </row>
    <row r="730" spans="1:17" hidden="1" x14ac:dyDescent="0.3">
      <c r="A730">
        <v>729</v>
      </c>
      <c r="C730" s="4" t="s">
        <v>286</v>
      </c>
      <c r="D730" s="4" t="s">
        <v>1550</v>
      </c>
      <c r="I730" s="4" t="s">
        <v>737</v>
      </c>
      <c r="J730" s="4" t="s">
        <v>214</v>
      </c>
      <c r="K730" s="4" t="s">
        <v>739</v>
      </c>
      <c r="L730" s="11">
        <v>700</v>
      </c>
      <c r="M730" s="7">
        <v>2300</v>
      </c>
      <c r="N730" s="7">
        <v>161</v>
      </c>
      <c r="Q730" s="2"/>
    </row>
    <row r="731" spans="1:17" hidden="1" x14ac:dyDescent="0.3">
      <c r="A731">
        <v>730</v>
      </c>
      <c r="D731" s="4" t="s">
        <v>1550</v>
      </c>
      <c r="J731" s="4" t="s">
        <v>206</v>
      </c>
      <c r="K731" s="4" t="s">
        <v>740</v>
      </c>
      <c r="L731" s="11">
        <v>1600</v>
      </c>
      <c r="Q731" s="2"/>
    </row>
    <row r="732" spans="1:17" hidden="1" x14ac:dyDescent="0.3">
      <c r="A732">
        <v>731</v>
      </c>
      <c r="D732" s="4" t="s">
        <v>1297</v>
      </c>
      <c r="E732" s="4" t="s">
        <v>1296</v>
      </c>
      <c r="I732" s="4" t="s">
        <v>737</v>
      </c>
      <c r="J732" s="4" t="s">
        <v>214</v>
      </c>
      <c r="K732" s="4" t="s">
        <v>608</v>
      </c>
      <c r="L732" s="4">
        <v>2500</v>
      </c>
      <c r="M732" s="4">
        <v>2500</v>
      </c>
      <c r="N732" s="4">
        <v>175</v>
      </c>
      <c r="O732" s="4"/>
      <c r="P732" s="4"/>
      <c r="Q732" s="2"/>
    </row>
    <row r="733" spans="1:17" hidden="1" x14ac:dyDescent="0.3">
      <c r="A733">
        <v>732</v>
      </c>
      <c r="C733" s="4" t="s">
        <v>268</v>
      </c>
      <c r="D733" s="4" t="s">
        <v>1595</v>
      </c>
      <c r="I733" s="4" t="s">
        <v>737</v>
      </c>
      <c r="J733" s="4" t="s">
        <v>1185</v>
      </c>
      <c r="K733" s="4" t="s">
        <v>741</v>
      </c>
      <c r="L733" s="11">
        <f>11811*8-24</f>
        <v>94464</v>
      </c>
      <c r="M733" s="7">
        <v>192112</v>
      </c>
      <c r="N733" s="7">
        <v>13447</v>
      </c>
      <c r="O733" s="7">
        <v>6</v>
      </c>
      <c r="Q733" s="3" t="s">
        <v>744</v>
      </c>
    </row>
    <row r="734" spans="1:17" hidden="1" x14ac:dyDescent="0.3">
      <c r="A734">
        <v>733</v>
      </c>
      <c r="D734" s="4" t="s">
        <v>1595</v>
      </c>
      <c r="J734" s="4" t="s">
        <v>214</v>
      </c>
      <c r="K734" s="4" t="s">
        <v>742</v>
      </c>
      <c r="L734" s="11">
        <f>3000*24</f>
        <v>72000</v>
      </c>
      <c r="Q734" s="2"/>
    </row>
    <row r="735" spans="1:17" hidden="1" x14ac:dyDescent="0.3">
      <c r="A735">
        <v>734</v>
      </c>
      <c r="D735" s="4" t="s">
        <v>1595</v>
      </c>
      <c r="J735" s="4" t="s">
        <v>206</v>
      </c>
      <c r="K735" s="4" t="s">
        <v>743</v>
      </c>
      <c r="L735" s="11">
        <f>3206*8</f>
        <v>25648</v>
      </c>
      <c r="Q735" s="2"/>
    </row>
    <row r="736" spans="1:17" hidden="1" x14ac:dyDescent="0.3">
      <c r="A736">
        <v>735</v>
      </c>
      <c r="C736" s="4" t="s">
        <v>268</v>
      </c>
      <c r="D736" s="4" t="s">
        <v>1353</v>
      </c>
      <c r="I736" s="4" t="s">
        <v>737</v>
      </c>
      <c r="J736" s="4" t="s">
        <v>206</v>
      </c>
      <c r="K736" s="4" t="s">
        <v>745</v>
      </c>
      <c r="L736" s="11">
        <f>120*8</f>
        <v>960</v>
      </c>
      <c r="M736" s="7">
        <v>1910</v>
      </c>
      <c r="N736" s="7">
        <v>133</v>
      </c>
      <c r="O736" s="7">
        <v>6</v>
      </c>
      <c r="Q736" s="2"/>
    </row>
    <row r="737" spans="1:17" hidden="1" x14ac:dyDescent="0.3">
      <c r="A737">
        <v>736</v>
      </c>
      <c r="D737" s="4" t="s">
        <v>1353</v>
      </c>
      <c r="J737" s="4" t="s">
        <v>214</v>
      </c>
      <c r="K737" s="4" t="s">
        <v>746</v>
      </c>
      <c r="L737" s="11">
        <v>950</v>
      </c>
      <c r="Q737" s="2"/>
    </row>
    <row r="738" spans="1:17" hidden="1" x14ac:dyDescent="0.3">
      <c r="A738">
        <v>737</v>
      </c>
      <c r="D738" s="4" t="s">
        <v>1611</v>
      </c>
      <c r="I738" s="4" t="s">
        <v>737</v>
      </c>
      <c r="J738" s="4" t="s">
        <v>214</v>
      </c>
      <c r="K738" s="4" t="s">
        <v>747</v>
      </c>
      <c r="L738" s="4">
        <v>550</v>
      </c>
      <c r="M738" s="4">
        <v>550</v>
      </c>
      <c r="N738" s="4">
        <v>38</v>
      </c>
      <c r="O738" s="4">
        <v>4</v>
      </c>
      <c r="P738" s="4"/>
      <c r="Q738" s="2"/>
    </row>
    <row r="739" spans="1:17" hidden="1" x14ac:dyDescent="0.3">
      <c r="A739">
        <v>738</v>
      </c>
      <c r="C739" s="4" t="s">
        <v>268</v>
      </c>
      <c r="D739" s="4" t="s">
        <v>1668</v>
      </c>
      <c r="I739" s="4" t="s">
        <v>748</v>
      </c>
      <c r="J739" s="4" t="s">
        <v>206</v>
      </c>
      <c r="K739" s="4" t="s">
        <v>749</v>
      </c>
      <c r="L739" s="11">
        <v>960</v>
      </c>
      <c r="M739" s="7">
        <v>1460</v>
      </c>
      <c r="N739" s="7">
        <v>102</v>
      </c>
      <c r="Q739" s="2"/>
    </row>
    <row r="740" spans="1:17" hidden="1" x14ac:dyDescent="0.3">
      <c r="A740">
        <v>739</v>
      </c>
      <c r="D740" s="4" t="s">
        <v>1668</v>
      </c>
      <c r="J740" s="4" t="s">
        <v>214</v>
      </c>
      <c r="K740" s="4" t="s">
        <v>750</v>
      </c>
      <c r="L740" s="11">
        <v>500</v>
      </c>
    </row>
    <row r="741" spans="1:17" hidden="1" x14ac:dyDescent="0.3">
      <c r="A741">
        <v>740</v>
      </c>
      <c r="D741" s="4" t="s">
        <v>1414</v>
      </c>
      <c r="I741" s="4" t="s">
        <v>748</v>
      </c>
      <c r="J741" s="4" t="s">
        <v>214</v>
      </c>
      <c r="K741" s="4" t="s">
        <v>751</v>
      </c>
      <c r="L741" s="4">
        <v>1000</v>
      </c>
      <c r="M741" s="4">
        <v>1000</v>
      </c>
      <c r="N741" s="4">
        <v>70</v>
      </c>
      <c r="O741" s="4"/>
      <c r="P741" s="4"/>
    </row>
    <row r="742" spans="1:17" hidden="1" x14ac:dyDescent="0.3">
      <c r="A742">
        <v>741</v>
      </c>
      <c r="B742" s="4" t="s">
        <v>772</v>
      </c>
      <c r="D742" s="4" t="s">
        <v>1305</v>
      </c>
      <c r="I742" s="4" t="s">
        <v>748</v>
      </c>
      <c r="J742" s="4" t="s">
        <v>214</v>
      </c>
      <c r="K742" s="4" t="s">
        <v>752</v>
      </c>
      <c r="L742" s="4">
        <v>26000</v>
      </c>
      <c r="M742" s="4">
        <v>26000</v>
      </c>
      <c r="N742" s="4">
        <v>1820</v>
      </c>
      <c r="O742" s="4"/>
      <c r="P742" s="4"/>
    </row>
    <row r="743" spans="1:17" hidden="1" x14ac:dyDescent="0.3">
      <c r="A743">
        <v>742</v>
      </c>
      <c r="C743" s="4" t="s">
        <v>286</v>
      </c>
      <c r="D743" s="4" t="s">
        <v>1468</v>
      </c>
      <c r="I743" s="4" t="s">
        <v>748</v>
      </c>
      <c r="J743" s="4" t="s">
        <v>214</v>
      </c>
      <c r="K743" s="4" t="s">
        <v>753</v>
      </c>
      <c r="L743" s="4">
        <v>5200</v>
      </c>
      <c r="M743" s="4">
        <v>5200</v>
      </c>
      <c r="N743" s="4">
        <v>364</v>
      </c>
      <c r="O743" s="4"/>
      <c r="P743" s="4"/>
    </row>
    <row r="744" spans="1:17" hidden="1" x14ac:dyDescent="0.3">
      <c r="A744">
        <v>743</v>
      </c>
      <c r="C744" s="4" t="s">
        <v>286</v>
      </c>
      <c r="D744" s="4" t="s">
        <v>1425</v>
      </c>
      <c r="I744" s="4" t="s">
        <v>748</v>
      </c>
      <c r="J744" s="4" t="s">
        <v>214</v>
      </c>
      <c r="K744" s="4" t="s">
        <v>808</v>
      </c>
      <c r="L744" s="11">
        <v>7500</v>
      </c>
      <c r="M744" s="7">
        <v>9997</v>
      </c>
      <c r="N744" s="7">
        <v>699</v>
      </c>
      <c r="O744" s="7">
        <v>7</v>
      </c>
    </row>
    <row r="745" spans="1:17" hidden="1" x14ac:dyDescent="0.3">
      <c r="A745">
        <v>744</v>
      </c>
      <c r="D745" s="4" t="s">
        <v>1425</v>
      </c>
      <c r="J745" s="4" t="s">
        <v>214</v>
      </c>
      <c r="K745" s="4" t="s">
        <v>754</v>
      </c>
      <c r="L745" s="11">
        <v>1600</v>
      </c>
    </row>
    <row r="746" spans="1:17" hidden="1" x14ac:dyDescent="0.3">
      <c r="A746">
        <v>745</v>
      </c>
      <c r="D746" s="4" t="s">
        <v>1425</v>
      </c>
      <c r="J746" s="4" t="s">
        <v>206</v>
      </c>
      <c r="K746" s="4" t="s">
        <v>755</v>
      </c>
      <c r="L746" s="11">
        <f>28*8</f>
        <v>224</v>
      </c>
    </row>
    <row r="747" spans="1:17" hidden="1" x14ac:dyDescent="0.3">
      <c r="A747">
        <v>746</v>
      </c>
      <c r="D747" s="4" t="s">
        <v>1425</v>
      </c>
      <c r="J747" s="4" t="s">
        <v>214</v>
      </c>
      <c r="K747" s="4" t="s">
        <v>756</v>
      </c>
      <c r="L747" s="11">
        <f>M744-L744-L745-L746-L748</f>
        <v>193</v>
      </c>
    </row>
    <row r="748" spans="1:17" hidden="1" x14ac:dyDescent="0.3">
      <c r="A748">
        <v>747</v>
      </c>
      <c r="D748" s="4" t="s">
        <v>1425</v>
      </c>
      <c r="J748" s="4" t="s">
        <v>206</v>
      </c>
      <c r="K748" s="4" t="s">
        <v>757</v>
      </c>
      <c r="L748" s="11">
        <f>60*8</f>
        <v>480</v>
      </c>
    </row>
    <row r="749" spans="1:17" hidden="1" x14ac:dyDescent="0.3">
      <c r="A749">
        <v>748</v>
      </c>
      <c r="C749" s="4" t="s">
        <v>286</v>
      </c>
      <c r="D749" s="4" t="s">
        <v>1572</v>
      </c>
      <c r="I749" s="4" t="s">
        <v>748</v>
      </c>
      <c r="J749" s="4" t="s">
        <v>1185</v>
      </c>
      <c r="K749" s="4" t="s">
        <v>1237</v>
      </c>
      <c r="L749" s="11">
        <f>666*8</f>
        <v>5328</v>
      </c>
      <c r="M749" s="7">
        <v>9537</v>
      </c>
      <c r="N749" s="7">
        <v>667</v>
      </c>
      <c r="O749" s="7">
        <v>2</v>
      </c>
    </row>
    <row r="750" spans="1:17" hidden="1" x14ac:dyDescent="0.3">
      <c r="A750">
        <v>749</v>
      </c>
      <c r="D750" s="4" t="s">
        <v>1572</v>
      </c>
      <c r="J750" s="4" t="s">
        <v>214</v>
      </c>
      <c r="K750" s="4" t="s">
        <v>112</v>
      </c>
      <c r="L750" s="11">
        <v>2500</v>
      </c>
    </row>
    <row r="751" spans="1:17" hidden="1" x14ac:dyDescent="0.3">
      <c r="A751">
        <v>750</v>
      </c>
      <c r="D751" s="4" t="s">
        <v>1572</v>
      </c>
      <c r="J751" s="4" t="s">
        <v>214</v>
      </c>
      <c r="K751" s="4" t="s">
        <v>759</v>
      </c>
      <c r="L751" s="11">
        <f>M749-L749-L750</f>
        <v>1709</v>
      </c>
    </row>
    <row r="752" spans="1:17" hidden="1" x14ac:dyDescent="0.3">
      <c r="A752">
        <v>751</v>
      </c>
      <c r="D752" s="4" t="s">
        <v>1326</v>
      </c>
      <c r="I752" s="4" t="s">
        <v>748</v>
      </c>
      <c r="J752" s="4" t="s">
        <v>1185</v>
      </c>
      <c r="K752" s="4" t="s">
        <v>1238</v>
      </c>
      <c r="L752" s="11">
        <f>414*8+6</f>
        <v>3318</v>
      </c>
      <c r="M752" s="7">
        <v>5818</v>
      </c>
      <c r="N752" s="7">
        <v>407</v>
      </c>
      <c r="O752" s="7">
        <v>2</v>
      </c>
    </row>
    <row r="753" spans="1:16" hidden="1" x14ac:dyDescent="0.3">
      <c r="A753">
        <v>752</v>
      </c>
      <c r="D753" s="4" t="s">
        <v>1326</v>
      </c>
      <c r="J753" s="4" t="s">
        <v>214</v>
      </c>
      <c r="K753" s="4" t="s">
        <v>626</v>
      </c>
      <c r="L753" s="11">
        <v>2500</v>
      </c>
    </row>
    <row r="754" spans="1:16" hidden="1" x14ac:dyDescent="0.3">
      <c r="A754">
        <v>753</v>
      </c>
      <c r="D754" s="4" t="s">
        <v>1393</v>
      </c>
      <c r="I754" s="4" t="s">
        <v>748</v>
      </c>
      <c r="J754" s="4" t="s">
        <v>206</v>
      </c>
      <c r="K754" s="4" t="s">
        <v>760</v>
      </c>
      <c r="L754" s="4">
        <v>272</v>
      </c>
      <c r="M754" s="4">
        <v>272</v>
      </c>
      <c r="N754" s="4">
        <v>19</v>
      </c>
      <c r="O754" s="4"/>
      <c r="P754" s="4"/>
    </row>
    <row r="755" spans="1:16" hidden="1" x14ac:dyDescent="0.3">
      <c r="A755">
        <v>754</v>
      </c>
      <c r="C755" s="4" t="s">
        <v>776</v>
      </c>
      <c r="D755" s="5" t="s">
        <v>1299</v>
      </c>
      <c r="E755" s="5" t="s">
        <v>1298</v>
      </c>
      <c r="F755" s="5"/>
      <c r="G755" s="5"/>
      <c r="H755" s="5"/>
      <c r="I755" s="4" t="s">
        <v>761</v>
      </c>
      <c r="J755" s="4" t="s">
        <v>206</v>
      </c>
      <c r="K755" s="4" t="s">
        <v>532</v>
      </c>
      <c r="L755" s="11">
        <f>60*8</f>
        <v>480</v>
      </c>
      <c r="M755" s="7">
        <v>1880</v>
      </c>
      <c r="N755" s="7">
        <v>131</v>
      </c>
      <c r="O755" s="7">
        <v>5</v>
      </c>
    </row>
    <row r="756" spans="1:16" hidden="1" x14ac:dyDescent="0.3">
      <c r="A756">
        <v>755</v>
      </c>
      <c r="D756" s="5" t="s">
        <v>1299</v>
      </c>
      <c r="E756" s="5" t="s">
        <v>1298</v>
      </c>
      <c r="J756" s="4" t="s">
        <v>214</v>
      </c>
      <c r="K756" s="4" t="s">
        <v>762</v>
      </c>
      <c r="L756" s="11">
        <v>1400</v>
      </c>
    </row>
    <row r="757" spans="1:16" hidden="1" x14ac:dyDescent="0.3">
      <c r="A757">
        <v>756</v>
      </c>
      <c r="C757" s="4" t="s">
        <v>273</v>
      </c>
      <c r="D757" s="4" t="s">
        <v>1543</v>
      </c>
      <c r="I757" s="4" t="s">
        <v>763</v>
      </c>
      <c r="J757" s="4" t="s">
        <v>1185</v>
      </c>
      <c r="K757" s="4" t="s">
        <v>764</v>
      </c>
      <c r="L757" s="11">
        <v>2657</v>
      </c>
      <c r="M757" s="7">
        <v>12657</v>
      </c>
      <c r="N757" s="7">
        <v>886</v>
      </c>
    </row>
    <row r="758" spans="1:16" hidden="1" x14ac:dyDescent="0.3">
      <c r="A758">
        <v>757</v>
      </c>
      <c r="D758" s="4" t="s">
        <v>1543</v>
      </c>
      <c r="J758" s="4" t="s">
        <v>214</v>
      </c>
      <c r="K758" s="4" t="s">
        <v>765</v>
      </c>
      <c r="L758" s="11">
        <f>10000</f>
        <v>10000</v>
      </c>
    </row>
    <row r="759" spans="1:16" ht="28.8" hidden="1" x14ac:dyDescent="0.3">
      <c r="A759">
        <v>758</v>
      </c>
      <c r="D759" s="5" t="s">
        <v>1329</v>
      </c>
      <c r="E759" s="5" t="s">
        <v>1330</v>
      </c>
      <c r="F759" s="5"/>
      <c r="G759" s="5"/>
      <c r="H759" s="5"/>
      <c r="I759" s="4" t="s">
        <v>763</v>
      </c>
      <c r="J759" s="4" t="s">
        <v>214</v>
      </c>
      <c r="K759" s="4" t="s">
        <v>766</v>
      </c>
      <c r="L759" s="11">
        <f>2650*2</f>
        <v>5300</v>
      </c>
      <c r="M759" s="7">
        <v>16500</v>
      </c>
      <c r="N759" s="7">
        <v>1155</v>
      </c>
    </row>
    <row r="760" spans="1:16" ht="28.8" hidden="1" x14ac:dyDescent="0.3">
      <c r="A760">
        <v>759</v>
      </c>
      <c r="D760" s="5" t="s">
        <v>1329</v>
      </c>
      <c r="E760" s="5" t="s">
        <v>1330</v>
      </c>
      <c r="J760" s="4" t="s">
        <v>206</v>
      </c>
      <c r="K760" s="4" t="s">
        <v>767</v>
      </c>
      <c r="L760" s="11">
        <f>400*8</f>
        <v>3200</v>
      </c>
    </row>
    <row r="761" spans="1:16" ht="28.8" hidden="1" x14ac:dyDescent="0.3">
      <c r="A761">
        <v>760</v>
      </c>
      <c r="D761" s="5" t="s">
        <v>1329</v>
      </c>
      <c r="E761" s="5" t="s">
        <v>1330</v>
      </c>
      <c r="J761" s="4" t="s">
        <v>214</v>
      </c>
      <c r="K761" s="4" t="s">
        <v>768</v>
      </c>
      <c r="L761" s="11">
        <v>5600</v>
      </c>
    </row>
    <row r="762" spans="1:16" ht="28.8" hidden="1" x14ac:dyDescent="0.3">
      <c r="A762">
        <v>761</v>
      </c>
      <c r="D762" s="5" t="s">
        <v>1329</v>
      </c>
      <c r="E762" s="5" t="s">
        <v>1330</v>
      </c>
      <c r="J762" s="4" t="s">
        <v>214</v>
      </c>
      <c r="K762" s="4" t="s">
        <v>769</v>
      </c>
      <c r="L762" s="11">
        <v>2400</v>
      </c>
    </row>
    <row r="763" spans="1:16" hidden="1" x14ac:dyDescent="0.3">
      <c r="A763">
        <v>762</v>
      </c>
      <c r="C763" s="4" t="s">
        <v>1300</v>
      </c>
      <c r="D763" s="4" t="s">
        <v>1479</v>
      </c>
      <c r="I763" s="4" t="s">
        <v>763</v>
      </c>
      <c r="J763" s="4" t="s">
        <v>214</v>
      </c>
      <c r="K763" s="4" t="s">
        <v>770</v>
      </c>
      <c r="L763" s="11">
        <v>2900</v>
      </c>
      <c r="M763" s="7">
        <v>3236</v>
      </c>
      <c r="N763" s="7">
        <v>226</v>
      </c>
      <c r="O763" s="7">
        <v>4</v>
      </c>
    </row>
    <row r="764" spans="1:16" hidden="1" x14ac:dyDescent="0.3">
      <c r="A764">
        <v>763</v>
      </c>
      <c r="D764" s="4" t="s">
        <v>1479</v>
      </c>
      <c r="J764" s="4" t="s">
        <v>206</v>
      </c>
      <c r="K764" s="4" t="s">
        <v>580</v>
      </c>
      <c r="L764" s="11">
        <f>42*8</f>
        <v>336</v>
      </c>
    </row>
    <row r="765" spans="1:16" hidden="1" x14ac:dyDescent="0.3">
      <c r="A765">
        <v>764</v>
      </c>
      <c r="B765" s="4" t="s">
        <v>771</v>
      </c>
      <c r="D765" s="4" t="s">
        <v>1663</v>
      </c>
      <c r="I765" s="4" t="s">
        <v>763</v>
      </c>
      <c r="J765" s="4" t="s">
        <v>214</v>
      </c>
      <c r="K765" s="4" t="s">
        <v>773</v>
      </c>
      <c r="L765" s="11">
        <f>5000+1450</f>
        <v>6450</v>
      </c>
      <c r="M765" s="7">
        <v>8848</v>
      </c>
      <c r="N765" s="7">
        <v>619</v>
      </c>
      <c r="O765" s="7">
        <v>3</v>
      </c>
    </row>
    <row r="766" spans="1:16" hidden="1" x14ac:dyDescent="0.3">
      <c r="A766">
        <v>765</v>
      </c>
      <c r="D766" s="4" t="s">
        <v>1663</v>
      </c>
      <c r="J766" s="4" t="s">
        <v>1185</v>
      </c>
      <c r="K766" s="4" t="s">
        <v>774</v>
      </c>
      <c r="L766" s="11">
        <f>154*7</f>
        <v>1078</v>
      </c>
    </row>
    <row r="767" spans="1:16" hidden="1" x14ac:dyDescent="0.3">
      <c r="A767">
        <v>766</v>
      </c>
      <c r="D767" s="4" t="s">
        <v>1663</v>
      </c>
      <c r="J767" s="4" t="s">
        <v>214</v>
      </c>
      <c r="K767" s="4" t="s">
        <v>775</v>
      </c>
      <c r="L767" s="11">
        <v>600</v>
      </c>
    </row>
    <row r="768" spans="1:16" hidden="1" x14ac:dyDescent="0.3">
      <c r="A768">
        <v>767</v>
      </c>
      <c r="D768" s="4" t="s">
        <v>1663</v>
      </c>
      <c r="J768" s="4" t="s">
        <v>206</v>
      </c>
      <c r="K768" s="4" t="s">
        <v>188</v>
      </c>
      <c r="L768" s="11">
        <f>90*8</f>
        <v>720</v>
      </c>
    </row>
    <row r="769" spans="1:17" hidden="1" x14ac:dyDescent="0.3">
      <c r="A769">
        <v>768</v>
      </c>
      <c r="C769" s="4" t="s">
        <v>776</v>
      </c>
      <c r="D769" s="4" t="s">
        <v>1463</v>
      </c>
      <c r="I769" s="4" t="s">
        <v>763</v>
      </c>
      <c r="J769" s="4" t="s">
        <v>214</v>
      </c>
      <c r="K769" s="4" t="s">
        <v>437</v>
      </c>
      <c r="L769" s="4">
        <v>1600</v>
      </c>
      <c r="M769" s="4">
        <v>1600</v>
      </c>
      <c r="N769" s="4">
        <v>112</v>
      </c>
      <c r="O769" s="4"/>
      <c r="P769" s="4"/>
    </row>
    <row r="770" spans="1:17" hidden="1" x14ac:dyDescent="0.3">
      <c r="A770">
        <v>769</v>
      </c>
      <c r="C770" s="4" t="s">
        <v>444</v>
      </c>
      <c r="D770" s="4" t="s">
        <v>1614</v>
      </c>
      <c r="I770" s="4" t="s">
        <v>763</v>
      </c>
      <c r="J770" s="4" t="s">
        <v>214</v>
      </c>
      <c r="K770" s="4" t="s">
        <v>777</v>
      </c>
      <c r="L770" s="4">
        <v>4300</v>
      </c>
      <c r="M770" s="4">
        <v>4300</v>
      </c>
      <c r="N770" s="4">
        <v>301</v>
      </c>
      <c r="O770" s="4"/>
      <c r="P770" s="4"/>
    </row>
    <row r="771" spans="1:17" hidden="1" x14ac:dyDescent="0.3">
      <c r="A771">
        <v>770</v>
      </c>
      <c r="C771" s="4" t="s">
        <v>336</v>
      </c>
      <c r="D771" s="4" t="s">
        <v>1467</v>
      </c>
      <c r="I771" s="4" t="s">
        <v>763</v>
      </c>
      <c r="J771" s="4" t="s">
        <v>214</v>
      </c>
      <c r="K771" s="4" t="s">
        <v>778</v>
      </c>
      <c r="L771" s="4">
        <v>6000</v>
      </c>
      <c r="M771" s="4">
        <v>6000</v>
      </c>
      <c r="N771" s="4">
        <v>420</v>
      </c>
      <c r="O771" s="4"/>
      <c r="P771" s="4"/>
    </row>
    <row r="772" spans="1:17" hidden="1" x14ac:dyDescent="0.3">
      <c r="A772">
        <v>771</v>
      </c>
      <c r="C772" s="4" t="s">
        <v>336</v>
      </c>
      <c r="D772" s="4" t="s">
        <v>1361</v>
      </c>
      <c r="I772" s="4" t="s">
        <v>763</v>
      </c>
      <c r="J772" s="4" t="s">
        <v>1185</v>
      </c>
      <c r="K772" s="4" t="s">
        <v>779</v>
      </c>
      <c r="L772" s="4">
        <v>21280</v>
      </c>
      <c r="M772" s="4">
        <v>21280</v>
      </c>
      <c r="N772" s="4">
        <v>1489</v>
      </c>
      <c r="O772" s="4">
        <v>4</v>
      </c>
      <c r="P772" s="4"/>
    </row>
    <row r="773" spans="1:17" hidden="1" x14ac:dyDescent="0.3">
      <c r="A773">
        <v>772</v>
      </c>
      <c r="C773" s="4" t="s">
        <v>268</v>
      </c>
      <c r="D773" s="4" t="s">
        <v>1595</v>
      </c>
      <c r="I773" s="4" t="s">
        <v>763</v>
      </c>
      <c r="J773" s="4" t="s">
        <v>1185</v>
      </c>
      <c r="K773" s="4" t="s">
        <v>780</v>
      </c>
      <c r="L773" s="11">
        <f>M773-L774</f>
        <v>83480</v>
      </c>
      <c r="M773" s="7">
        <v>158080</v>
      </c>
      <c r="N773" s="7">
        <v>11065</v>
      </c>
      <c r="O773" s="7">
        <v>4</v>
      </c>
    </row>
    <row r="774" spans="1:17" hidden="1" x14ac:dyDescent="0.3">
      <c r="A774">
        <v>773</v>
      </c>
      <c r="D774" s="4" t="s">
        <v>1595</v>
      </c>
      <c r="J774" s="4" t="s">
        <v>214</v>
      </c>
      <c r="K774" s="4" t="s">
        <v>781</v>
      </c>
      <c r="L774" s="11">
        <v>74600</v>
      </c>
      <c r="Q774" s="3" t="s">
        <v>782</v>
      </c>
    </row>
    <row r="775" spans="1:17" hidden="1" x14ac:dyDescent="0.3">
      <c r="A775">
        <v>774</v>
      </c>
      <c r="D775" s="4" t="s">
        <v>1393</v>
      </c>
      <c r="I775" s="4" t="s">
        <v>783</v>
      </c>
      <c r="J775" s="4" t="s">
        <v>214</v>
      </c>
      <c r="K775" s="4" t="s">
        <v>327</v>
      </c>
      <c r="L775" s="4">
        <v>20000</v>
      </c>
      <c r="M775" s="4">
        <v>20000</v>
      </c>
      <c r="N775" s="4">
        <v>1400</v>
      </c>
      <c r="O775" s="4"/>
      <c r="P775" s="4"/>
    </row>
    <row r="776" spans="1:17" hidden="1" x14ac:dyDescent="0.3">
      <c r="A776">
        <v>775</v>
      </c>
      <c r="D776" s="4" t="s">
        <v>1399</v>
      </c>
      <c r="I776" s="4" t="s">
        <v>783</v>
      </c>
      <c r="J776" s="4" t="s">
        <v>214</v>
      </c>
      <c r="K776" s="4" t="s">
        <v>523</v>
      </c>
      <c r="L776" s="4">
        <v>10000</v>
      </c>
      <c r="M776" s="4">
        <v>10000</v>
      </c>
      <c r="N776" s="4">
        <v>700</v>
      </c>
      <c r="O776" s="4"/>
      <c r="P776" s="4"/>
    </row>
    <row r="777" spans="1:17" hidden="1" x14ac:dyDescent="0.3">
      <c r="A777">
        <v>776</v>
      </c>
      <c r="D777" s="4" t="s">
        <v>1426</v>
      </c>
      <c r="I777" s="4" t="s">
        <v>783</v>
      </c>
      <c r="J777" s="4" t="s">
        <v>214</v>
      </c>
      <c r="K777" s="4" t="s">
        <v>784</v>
      </c>
      <c r="L777" s="7">
        <v>5000</v>
      </c>
      <c r="M777" s="7">
        <v>5080</v>
      </c>
      <c r="N777" s="7">
        <v>355</v>
      </c>
      <c r="O777" s="7">
        <v>5</v>
      </c>
    </row>
    <row r="778" spans="1:17" hidden="1" x14ac:dyDescent="0.3">
      <c r="A778">
        <v>777</v>
      </c>
      <c r="D778" s="4" t="s">
        <v>1426</v>
      </c>
      <c r="J778" s="4" t="s">
        <v>1649</v>
      </c>
      <c r="K778" s="4" t="s">
        <v>785</v>
      </c>
      <c r="L778" s="7">
        <v>80</v>
      </c>
    </row>
    <row r="779" spans="1:17" ht="28.8" hidden="1" x14ac:dyDescent="0.3">
      <c r="A779">
        <v>778</v>
      </c>
      <c r="D779" s="5" t="s">
        <v>1396</v>
      </c>
      <c r="E779" s="5" t="s">
        <v>1458</v>
      </c>
      <c r="F779" s="5"/>
      <c r="G779" s="5"/>
      <c r="H779" s="5"/>
      <c r="I779" s="4" t="s">
        <v>783</v>
      </c>
      <c r="J779" s="4" t="s">
        <v>1185</v>
      </c>
      <c r="K779" s="4" t="s">
        <v>786</v>
      </c>
      <c r="L779" s="11">
        <f>1361*8+4</f>
        <v>10892</v>
      </c>
      <c r="M779" s="7">
        <v>26956</v>
      </c>
      <c r="N779" s="7">
        <v>1886</v>
      </c>
      <c r="O779" s="7">
        <v>7</v>
      </c>
    </row>
    <row r="780" spans="1:17" ht="28.8" hidden="1" x14ac:dyDescent="0.3">
      <c r="A780">
        <v>779</v>
      </c>
      <c r="D780" s="5" t="s">
        <v>1396</v>
      </c>
      <c r="E780" s="5" t="s">
        <v>1458</v>
      </c>
      <c r="F780" s="5"/>
      <c r="J780" s="4" t="s">
        <v>214</v>
      </c>
      <c r="K780" s="4" t="s">
        <v>611</v>
      </c>
      <c r="L780" s="11">
        <f>2500*6</f>
        <v>15000</v>
      </c>
    </row>
    <row r="781" spans="1:17" ht="28.8" hidden="1" x14ac:dyDescent="0.3">
      <c r="A781">
        <v>780</v>
      </c>
      <c r="D781" s="5" t="s">
        <v>1396</v>
      </c>
      <c r="E781" s="5" t="s">
        <v>1458</v>
      </c>
      <c r="F781" s="5"/>
      <c r="J781" s="4" t="s">
        <v>214</v>
      </c>
      <c r="K781" s="4" t="s">
        <v>141</v>
      </c>
      <c r="L781" s="11">
        <v>1000</v>
      </c>
    </row>
    <row r="782" spans="1:17" ht="28.8" hidden="1" x14ac:dyDescent="0.3">
      <c r="A782">
        <v>781</v>
      </c>
      <c r="D782" s="5" t="s">
        <v>1396</v>
      </c>
      <c r="E782" s="5" t="s">
        <v>1458</v>
      </c>
      <c r="F782" s="5"/>
      <c r="J782" s="4" t="s">
        <v>206</v>
      </c>
      <c r="K782" s="4" t="s">
        <v>787</v>
      </c>
      <c r="L782" s="11">
        <f>8*8</f>
        <v>64</v>
      </c>
    </row>
    <row r="783" spans="1:17" hidden="1" x14ac:dyDescent="0.3">
      <c r="A783">
        <v>782</v>
      </c>
      <c r="B783" s="4" t="s">
        <v>788</v>
      </c>
      <c r="C783" s="4" t="s">
        <v>268</v>
      </c>
      <c r="D783" s="4" t="s">
        <v>1584</v>
      </c>
      <c r="I783" s="4" t="s">
        <v>783</v>
      </c>
      <c r="J783" s="4" t="s">
        <v>214</v>
      </c>
      <c r="K783" s="4" t="s">
        <v>789</v>
      </c>
      <c r="L783" s="4">
        <v>750</v>
      </c>
      <c r="M783" s="4">
        <v>750</v>
      </c>
      <c r="N783" s="4">
        <v>52</v>
      </c>
      <c r="O783" s="4">
        <v>4</v>
      </c>
      <c r="P783" s="4"/>
    </row>
    <row r="784" spans="1:17" hidden="1" x14ac:dyDescent="0.3">
      <c r="A784">
        <v>783</v>
      </c>
      <c r="D784" s="4" t="s">
        <v>1430</v>
      </c>
      <c r="I784" s="4" t="s">
        <v>783</v>
      </c>
      <c r="J784" s="4" t="s">
        <v>1185</v>
      </c>
      <c r="K784" s="4" t="s">
        <v>790</v>
      </c>
      <c r="L784" s="11">
        <f>M784-L785</f>
        <v>9102</v>
      </c>
      <c r="M784" s="7">
        <v>14102</v>
      </c>
      <c r="N784" s="7">
        <v>987</v>
      </c>
      <c r="O784" s="7">
        <v>1</v>
      </c>
    </row>
    <row r="785" spans="1:16" hidden="1" x14ac:dyDescent="0.3">
      <c r="A785">
        <v>784</v>
      </c>
      <c r="D785" s="4" t="s">
        <v>1430</v>
      </c>
      <c r="J785" s="4" t="s">
        <v>214</v>
      </c>
      <c r="K785" s="4" t="s">
        <v>791</v>
      </c>
      <c r="L785" s="11">
        <v>5000</v>
      </c>
    </row>
    <row r="786" spans="1:16" hidden="1" x14ac:dyDescent="0.3">
      <c r="A786">
        <v>785</v>
      </c>
      <c r="D786" s="4" t="s">
        <v>1359</v>
      </c>
      <c r="I786" s="4" t="s">
        <v>783</v>
      </c>
      <c r="J786" s="4" t="s">
        <v>1185</v>
      </c>
      <c r="K786" s="4" t="s">
        <v>792</v>
      </c>
      <c r="L786" s="11">
        <f>681*8+1</f>
        <v>5449</v>
      </c>
      <c r="M786" s="7">
        <v>6625</v>
      </c>
      <c r="N786" s="7">
        <v>463</v>
      </c>
      <c r="O786" s="7">
        <v>6</v>
      </c>
    </row>
    <row r="787" spans="1:16" hidden="1" x14ac:dyDescent="0.3">
      <c r="A787">
        <v>786</v>
      </c>
      <c r="D787" s="4" t="s">
        <v>1359</v>
      </c>
      <c r="J787" s="4" t="s">
        <v>1185</v>
      </c>
      <c r="K787" s="4" t="s">
        <v>793</v>
      </c>
      <c r="L787" s="11">
        <f>168*7</f>
        <v>1176</v>
      </c>
    </row>
    <row r="788" spans="1:16" hidden="1" x14ac:dyDescent="0.3">
      <c r="A788">
        <v>787</v>
      </c>
      <c r="D788" s="4" t="s">
        <v>1377</v>
      </c>
      <c r="I788" s="4" t="s">
        <v>794</v>
      </c>
      <c r="J788" s="4" t="s">
        <v>214</v>
      </c>
      <c r="K788" s="4" t="s">
        <v>795</v>
      </c>
      <c r="L788" s="11">
        <v>25000</v>
      </c>
      <c r="M788" s="7">
        <v>26500</v>
      </c>
      <c r="N788" s="7">
        <v>1855</v>
      </c>
    </row>
    <row r="789" spans="1:16" hidden="1" x14ac:dyDescent="0.3">
      <c r="A789">
        <v>788</v>
      </c>
      <c r="D789" s="4" t="s">
        <v>1377</v>
      </c>
      <c r="J789" s="4" t="s">
        <v>214</v>
      </c>
      <c r="K789" s="4" t="s">
        <v>796</v>
      </c>
      <c r="L789" s="11">
        <v>1500</v>
      </c>
    </row>
    <row r="790" spans="1:16" hidden="1" x14ac:dyDescent="0.3">
      <c r="A790">
        <v>789</v>
      </c>
      <c r="D790" s="4" t="s">
        <v>1585</v>
      </c>
      <c r="I790" s="4" t="s">
        <v>794</v>
      </c>
      <c r="J790" s="4" t="s">
        <v>214</v>
      </c>
      <c r="K790" s="4" t="s">
        <v>210</v>
      </c>
      <c r="L790" s="4">
        <v>2500</v>
      </c>
      <c r="M790" s="4">
        <v>2500</v>
      </c>
      <c r="N790" s="4">
        <v>175</v>
      </c>
      <c r="O790" s="4"/>
      <c r="P790" s="4"/>
    </row>
    <row r="791" spans="1:16" hidden="1" x14ac:dyDescent="0.3">
      <c r="A791">
        <v>790</v>
      </c>
      <c r="C791" s="4" t="s">
        <v>286</v>
      </c>
      <c r="D791" s="5" t="s">
        <v>1306</v>
      </c>
      <c r="E791" s="5" t="s">
        <v>1301</v>
      </c>
      <c r="F791" s="5" t="s">
        <v>1302</v>
      </c>
      <c r="G791" s="5"/>
      <c r="H791" s="5"/>
      <c r="I791" s="4" t="s">
        <v>794</v>
      </c>
      <c r="J791" s="4" t="s">
        <v>214</v>
      </c>
      <c r="K791" s="4" t="s">
        <v>797</v>
      </c>
      <c r="L791" s="11">
        <v>8035</v>
      </c>
      <c r="M791" s="7">
        <v>8195</v>
      </c>
      <c r="N791" s="7">
        <v>573</v>
      </c>
      <c r="O791" s="7">
        <v>5</v>
      </c>
    </row>
    <row r="792" spans="1:16" hidden="1" x14ac:dyDescent="0.3">
      <c r="A792">
        <v>791</v>
      </c>
      <c r="D792" s="5" t="s">
        <v>1306</v>
      </c>
      <c r="E792" s="5" t="s">
        <v>1301</v>
      </c>
      <c r="F792" s="5" t="s">
        <v>1302</v>
      </c>
      <c r="J792" s="4" t="s">
        <v>206</v>
      </c>
      <c r="K792" s="4" t="s">
        <v>479</v>
      </c>
      <c r="L792" s="11">
        <f>20*8</f>
        <v>160</v>
      </c>
    </row>
    <row r="793" spans="1:16" ht="28.8" hidden="1" x14ac:dyDescent="0.3">
      <c r="A793">
        <v>792</v>
      </c>
      <c r="D793" s="5" t="s">
        <v>1305</v>
      </c>
      <c r="E793" s="5" t="s">
        <v>1303</v>
      </c>
      <c r="F793" s="5" t="s">
        <v>1304</v>
      </c>
      <c r="G793" s="5"/>
      <c r="H793" s="5"/>
      <c r="I793" s="4" t="s">
        <v>794</v>
      </c>
      <c r="J793" s="4" t="s">
        <v>214</v>
      </c>
      <c r="K793" s="4" t="s">
        <v>798</v>
      </c>
      <c r="L793" s="4">
        <v>2800</v>
      </c>
      <c r="M793" s="4">
        <v>2800</v>
      </c>
      <c r="N793" s="4">
        <v>196</v>
      </c>
      <c r="O793" s="4"/>
      <c r="P793" s="4"/>
    </row>
    <row r="794" spans="1:16" hidden="1" x14ac:dyDescent="0.3">
      <c r="A794">
        <v>793</v>
      </c>
      <c r="D794" s="4" t="s">
        <v>1402</v>
      </c>
      <c r="I794" s="4" t="s">
        <v>794</v>
      </c>
      <c r="J794" s="4" t="s">
        <v>1185</v>
      </c>
      <c r="K794" s="4" t="s">
        <v>758</v>
      </c>
      <c r="L794" s="4">
        <v>5276</v>
      </c>
      <c r="M794" s="4">
        <v>5276</v>
      </c>
      <c r="N794" s="4">
        <v>369</v>
      </c>
      <c r="O794" s="4">
        <v>2</v>
      </c>
      <c r="P794" s="4"/>
    </row>
    <row r="795" spans="1:16" hidden="1" x14ac:dyDescent="0.3">
      <c r="A795">
        <v>794</v>
      </c>
      <c r="C795" s="4" t="s">
        <v>270</v>
      </c>
      <c r="D795" s="4" t="s">
        <v>1595</v>
      </c>
      <c r="I795" s="4" t="s">
        <v>799</v>
      </c>
      <c r="J795" s="4" t="s">
        <v>1185</v>
      </c>
      <c r="K795" s="4" t="s">
        <v>800</v>
      </c>
      <c r="L795" s="11">
        <f>462*8+2</f>
        <v>3698</v>
      </c>
      <c r="M795" s="7">
        <v>7978</v>
      </c>
      <c r="N795" s="7">
        <v>558</v>
      </c>
      <c r="O795" s="7">
        <v>4</v>
      </c>
    </row>
    <row r="796" spans="1:16" hidden="1" x14ac:dyDescent="0.3">
      <c r="A796">
        <v>795</v>
      </c>
      <c r="D796" s="4" t="s">
        <v>1595</v>
      </c>
      <c r="J796" s="4" t="s">
        <v>214</v>
      </c>
      <c r="K796" s="4" t="s">
        <v>801</v>
      </c>
      <c r="L796" s="11">
        <v>4280</v>
      </c>
    </row>
    <row r="797" spans="1:16" hidden="1" x14ac:dyDescent="0.3">
      <c r="A797">
        <v>796</v>
      </c>
      <c r="D797" s="4" t="s">
        <v>1398</v>
      </c>
      <c r="I797" s="4" t="s">
        <v>799</v>
      </c>
      <c r="J797" s="4" t="s">
        <v>214</v>
      </c>
      <c r="K797" s="4" t="s">
        <v>802</v>
      </c>
      <c r="L797" s="11">
        <v>5000</v>
      </c>
      <c r="M797" s="7">
        <v>5352</v>
      </c>
      <c r="N797" s="7">
        <v>374</v>
      </c>
      <c r="O797" s="7">
        <v>5</v>
      </c>
    </row>
    <row r="798" spans="1:16" hidden="1" x14ac:dyDescent="0.3">
      <c r="A798">
        <v>797</v>
      </c>
      <c r="D798" s="4" t="s">
        <v>1398</v>
      </c>
      <c r="J798" s="4" t="s">
        <v>206</v>
      </c>
      <c r="K798" s="4" t="s">
        <v>803</v>
      </c>
      <c r="L798" s="11">
        <v>352</v>
      </c>
    </row>
    <row r="799" spans="1:16" hidden="1" x14ac:dyDescent="0.3">
      <c r="A799">
        <v>798</v>
      </c>
      <c r="C799" s="4" t="s">
        <v>270</v>
      </c>
      <c r="D799" s="4" t="s">
        <v>1438</v>
      </c>
      <c r="I799" s="4" t="s">
        <v>761</v>
      </c>
      <c r="J799" s="4" t="s">
        <v>1185</v>
      </c>
      <c r="K799" s="4" t="s">
        <v>804</v>
      </c>
      <c r="L799" s="11">
        <f>1619*8+1</f>
        <v>12953</v>
      </c>
      <c r="M799" s="7">
        <v>30753</v>
      </c>
      <c r="N799" s="7">
        <v>2152</v>
      </c>
      <c r="O799" s="7">
        <v>6</v>
      </c>
    </row>
    <row r="800" spans="1:16" hidden="1" x14ac:dyDescent="0.3">
      <c r="A800">
        <v>799</v>
      </c>
      <c r="C800" s="4" t="s">
        <v>272</v>
      </c>
      <c r="D800" s="4" t="s">
        <v>1438</v>
      </c>
      <c r="J800" s="4" t="s">
        <v>214</v>
      </c>
      <c r="K800" s="4" t="s">
        <v>805</v>
      </c>
      <c r="L800" s="11">
        <v>15000</v>
      </c>
    </row>
    <row r="801" spans="1:16" hidden="1" x14ac:dyDescent="0.3">
      <c r="A801">
        <v>800</v>
      </c>
      <c r="C801" s="4" t="s">
        <v>272</v>
      </c>
      <c r="D801" s="4" t="s">
        <v>1438</v>
      </c>
      <c r="J801" s="4" t="s">
        <v>206</v>
      </c>
      <c r="K801" s="4" t="s">
        <v>512</v>
      </c>
      <c r="L801" s="11">
        <v>800</v>
      </c>
    </row>
    <row r="802" spans="1:16" hidden="1" x14ac:dyDescent="0.3">
      <c r="A802">
        <v>801</v>
      </c>
      <c r="C802" s="4" t="s">
        <v>272</v>
      </c>
      <c r="D802" s="4" t="s">
        <v>1438</v>
      </c>
      <c r="J802" s="4" t="s">
        <v>214</v>
      </c>
      <c r="K802" s="4" t="s">
        <v>806</v>
      </c>
      <c r="L802" s="11">
        <v>2000</v>
      </c>
    </row>
    <row r="803" spans="1:16" hidden="1" x14ac:dyDescent="0.3">
      <c r="A803">
        <v>802</v>
      </c>
      <c r="B803" s="4" t="s">
        <v>807</v>
      </c>
      <c r="D803" s="4" t="s">
        <v>1477</v>
      </c>
      <c r="I803" s="4" t="s">
        <v>799</v>
      </c>
      <c r="J803" s="4" t="s">
        <v>1185</v>
      </c>
      <c r="K803" s="4" t="s">
        <v>809</v>
      </c>
      <c r="L803" s="11">
        <v>21933</v>
      </c>
      <c r="M803" s="7">
        <v>51933</v>
      </c>
      <c r="N803" s="7">
        <v>3635</v>
      </c>
    </row>
    <row r="804" spans="1:16" hidden="1" x14ac:dyDescent="0.3">
      <c r="A804">
        <v>803</v>
      </c>
      <c r="D804" s="4" t="s">
        <v>1477</v>
      </c>
      <c r="J804" s="4" t="s">
        <v>214</v>
      </c>
      <c r="K804" s="4" t="s">
        <v>810</v>
      </c>
      <c r="L804" s="11">
        <f>2500*12</f>
        <v>30000</v>
      </c>
    </row>
    <row r="805" spans="1:16" ht="28.8" hidden="1" x14ac:dyDescent="0.3">
      <c r="A805">
        <v>804</v>
      </c>
      <c r="D805" s="4" t="s">
        <v>1455</v>
      </c>
      <c r="I805" s="4" t="s">
        <v>811</v>
      </c>
      <c r="J805" s="4" t="s">
        <v>1185</v>
      </c>
      <c r="K805" s="5" t="s">
        <v>812</v>
      </c>
      <c r="L805" s="11">
        <f>M805-L806</f>
        <v>6413</v>
      </c>
      <c r="M805" s="7">
        <v>21413</v>
      </c>
      <c r="N805" s="7">
        <v>1498</v>
      </c>
      <c r="O805" s="7">
        <v>7</v>
      </c>
    </row>
    <row r="806" spans="1:16" hidden="1" x14ac:dyDescent="0.3">
      <c r="A806">
        <v>805</v>
      </c>
      <c r="D806" s="4" t="s">
        <v>1455</v>
      </c>
      <c r="J806" s="4" t="s">
        <v>214</v>
      </c>
      <c r="K806" s="4" t="s">
        <v>611</v>
      </c>
      <c r="L806" s="11">
        <f>6*2500</f>
        <v>15000</v>
      </c>
    </row>
    <row r="807" spans="1:16" hidden="1" x14ac:dyDescent="0.3">
      <c r="A807">
        <v>806</v>
      </c>
      <c r="D807" s="4" t="s">
        <v>1455</v>
      </c>
      <c r="I807" s="4" t="s">
        <v>811</v>
      </c>
      <c r="J807" s="4" t="s">
        <v>206</v>
      </c>
      <c r="K807" s="4" t="s">
        <v>813</v>
      </c>
      <c r="L807" s="4">
        <v>10592</v>
      </c>
      <c r="M807" s="4">
        <v>10592</v>
      </c>
      <c r="N807" s="4">
        <v>741</v>
      </c>
      <c r="O807" s="4">
        <v>3</v>
      </c>
      <c r="P807" s="4"/>
    </row>
    <row r="808" spans="1:16" hidden="1" x14ac:dyDescent="0.3">
      <c r="A808">
        <v>807</v>
      </c>
      <c r="C808" s="4" t="s">
        <v>268</v>
      </c>
      <c r="D808" s="4" t="s">
        <v>1520</v>
      </c>
      <c r="I808" s="4" t="s">
        <v>811</v>
      </c>
      <c r="J808" s="4" t="s">
        <v>214</v>
      </c>
      <c r="K808" s="4" t="s">
        <v>814</v>
      </c>
      <c r="L808" s="11">
        <v>7500</v>
      </c>
      <c r="M808" s="7">
        <v>8530</v>
      </c>
      <c r="N808" s="7">
        <v>597</v>
      </c>
      <c r="O808" s="7">
        <v>1</v>
      </c>
    </row>
    <row r="809" spans="1:16" hidden="1" x14ac:dyDescent="0.3">
      <c r="A809">
        <v>808</v>
      </c>
      <c r="D809" s="4" t="s">
        <v>1520</v>
      </c>
      <c r="J809" s="4" t="s">
        <v>206</v>
      </c>
      <c r="K809" s="4" t="s">
        <v>1239</v>
      </c>
      <c r="L809" s="14">
        <f>110*8+150</f>
        <v>1030</v>
      </c>
    </row>
    <row r="810" spans="1:16" hidden="1" x14ac:dyDescent="0.3">
      <c r="A810">
        <v>809</v>
      </c>
      <c r="C810" s="4" t="s">
        <v>268</v>
      </c>
      <c r="D810" s="4" t="s">
        <v>1520</v>
      </c>
      <c r="I810" s="4" t="s">
        <v>811</v>
      </c>
      <c r="J810" s="4" t="s">
        <v>214</v>
      </c>
      <c r="K810" s="4" t="s">
        <v>626</v>
      </c>
      <c r="L810" s="11">
        <v>2500</v>
      </c>
      <c r="M810" s="7">
        <v>3200</v>
      </c>
      <c r="N810" s="7">
        <v>224</v>
      </c>
    </row>
    <row r="811" spans="1:16" hidden="1" x14ac:dyDescent="0.3">
      <c r="A811">
        <v>810</v>
      </c>
      <c r="D811" s="4" t="s">
        <v>1520</v>
      </c>
      <c r="J811" s="4" t="s">
        <v>214</v>
      </c>
      <c r="K811" s="4" t="s">
        <v>815</v>
      </c>
      <c r="L811" s="11">
        <v>700</v>
      </c>
    </row>
    <row r="812" spans="1:16" hidden="1" x14ac:dyDescent="0.3">
      <c r="A812">
        <v>811</v>
      </c>
      <c r="D812" s="4" t="s">
        <v>1638</v>
      </c>
      <c r="I812" s="4" t="s">
        <v>811</v>
      </c>
      <c r="J812" s="4" t="s">
        <v>206</v>
      </c>
      <c r="K812" s="4" t="s">
        <v>691</v>
      </c>
      <c r="L812" s="4">
        <v>8000</v>
      </c>
      <c r="M812" s="4">
        <v>8000</v>
      </c>
      <c r="N812" s="4">
        <v>560</v>
      </c>
      <c r="O812" s="4"/>
      <c r="P812" s="4"/>
    </row>
    <row r="813" spans="1:16" hidden="1" x14ac:dyDescent="0.3">
      <c r="A813">
        <v>812</v>
      </c>
      <c r="C813" s="4" t="s">
        <v>816</v>
      </c>
      <c r="D813" s="4" t="s">
        <v>1512</v>
      </c>
      <c r="I813" s="4" t="s">
        <v>811</v>
      </c>
      <c r="J813" s="4" t="s">
        <v>214</v>
      </c>
      <c r="K813" s="4" t="s">
        <v>791</v>
      </c>
      <c r="L813" s="4">
        <v>5000</v>
      </c>
      <c r="M813" s="4">
        <v>5000</v>
      </c>
      <c r="N813" s="4">
        <v>350</v>
      </c>
      <c r="O813" s="4"/>
      <c r="P813" s="4"/>
    </row>
    <row r="814" spans="1:16" hidden="1" x14ac:dyDescent="0.3">
      <c r="A814">
        <v>813</v>
      </c>
      <c r="C814" s="4" t="s">
        <v>268</v>
      </c>
      <c r="D814" s="4" t="s">
        <v>1595</v>
      </c>
      <c r="I814" s="4" t="s">
        <v>811</v>
      </c>
      <c r="J814" s="4" t="s">
        <v>214</v>
      </c>
      <c r="K814" s="4" t="s">
        <v>249</v>
      </c>
      <c r="L814" s="4">
        <v>4000</v>
      </c>
      <c r="M814" s="7">
        <v>7600</v>
      </c>
      <c r="N814" s="4">
        <v>532</v>
      </c>
      <c r="O814" s="4"/>
      <c r="P814" s="4"/>
    </row>
    <row r="815" spans="1:16" hidden="1" x14ac:dyDescent="0.3">
      <c r="A815">
        <v>814</v>
      </c>
      <c r="D815" s="4" t="s">
        <v>1595</v>
      </c>
      <c r="J815" s="4" t="s">
        <v>206</v>
      </c>
      <c r="K815" s="4" t="s">
        <v>817</v>
      </c>
      <c r="L815" s="4">
        <f>450*8</f>
        <v>3600</v>
      </c>
      <c r="N815" s="4"/>
      <c r="O815" s="4"/>
      <c r="P815" s="4"/>
    </row>
    <row r="816" spans="1:16" hidden="1" x14ac:dyDescent="0.3">
      <c r="A816">
        <v>815</v>
      </c>
      <c r="D816" s="4" t="s">
        <v>1669</v>
      </c>
      <c r="I816" s="4" t="s">
        <v>811</v>
      </c>
      <c r="J816" s="4" t="s">
        <v>1185</v>
      </c>
      <c r="K816" s="4" t="s">
        <v>818</v>
      </c>
      <c r="L816" s="11">
        <f>M816-L817</f>
        <v>2194</v>
      </c>
      <c r="M816" s="7">
        <v>4794</v>
      </c>
      <c r="N816" s="7">
        <v>335</v>
      </c>
      <c r="O816" s="7">
        <v>4</v>
      </c>
    </row>
    <row r="817" spans="1:16" hidden="1" x14ac:dyDescent="0.3">
      <c r="A817">
        <v>816</v>
      </c>
      <c r="D817" s="4" t="s">
        <v>1669</v>
      </c>
      <c r="J817" s="4" t="s">
        <v>214</v>
      </c>
      <c r="K817" s="4" t="s">
        <v>819</v>
      </c>
      <c r="L817" s="11">
        <v>2600</v>
      </c>
    </row>
    <row r="818" spans="1:16" hidden="1" x14ac:dyDescent="0.3">
      <c r="A818">
        <v>817</v>
      </c>
      <c r="B818" s="4" t="s">
        <v>820</v>
      </c>
      <c r="D818" s="4" t="s">
        <v>1426</v>
      </c>
      <c r="I818" s="4" t="s">
        <v>811</v>
      </c>
      <c r="J818" s="4" t="s">
        <v>214</v>
      </c>
      <c r="K818" s="4" t="s">
        <v>821</v>
      </c>
      <c r="L818" s="4">
        <v>300</v>
      </c>
      <c r="M818" s="4">
        <v>300</v>
      </c>
      <c r="N818" s="4">
        <v>21</v>
      </c>
      <c r="O818" s="4"/>
      <c r="P818" s="4"/>
    </row>
    <row r="819" spans="1:16" hidden="1" x14ac:dyDescent="0.3">
      <c r="A819">
        <v>818</v>
      </c>
      <c r="D819" s="4" t="s">
        <v>1380</v>
      </c>
      <c r="I819" s="4" t="s">
        <v>822</v>
      </c>
      <c r="J819" s="4" t="s">
        <v>214</v>
      </c>
      <c r="K819" s="4" t="s">
        <v>819</v>
      </c>
      <c r="L819" s="4">
        <v>2600</v>
      </c>
      <c r="M819" s="4">
        <v>2600</v>
      </c>
      <c r="N819" s="4">
        <v>182</v>
      </c>
      <c r="O819" s="4"/>
      <c r="P819" s="4"/>
    </row>
    <row r="820" spans="1:16" hidden="1" x14ac:dyDescent="0.3">
      <c r="A820">
        <v>819</v>
      </c>
      <c r="D820" s="4" t="s">
        <v>1569</v>
      </c>
      <c r="I820" s="4" t="s">
        <v>822</v>
      </c>
      <c r="J820" s="4" t="s">
        <v>214</v>
      </c>
      <c r="K820" s="4" t="s">
        <v>626</v>
      </c>
      <c r="L820" s="4">
        <v>2500</v>
      </c>
      <c r="M820" s="4">
        <v>2500</v>
      </c>
      <c r="N820" s="4">
        <v>175</v>
      </c>
      <c r="O820" s="4"/>
      <c r="P820" s="4"/>
    </row>
    <row r="821" spans="1:16" hidden="1" x14ac:dyDescent="0.3">
      <c r="A821">
        <v>820</v>
      </c>
      <c r="D821" s="4" t="s">
        <v>1587</v>
      </c>
      <c r="I821" s="4" t="s">
        <v>822</v>
      </c>
      <c r="J821" s="4" t="s">
        <v>214</v>
      </c>
      <c r="K821" s="4" t="s">
        <v>823</v>
      </c>
      <c r="L821" s="11">
        <v>3500</v>
      </c>
      <c r="M821" s="7">
        <v>5020</v>
      </c>
      <c r="N821" s="7">
        <v>351</v>
      </c>
      <c r="O821" s="7">
        <v>3</v>
      </c>
    </row>
    <row r="822" spans="1:16" hidden="1" x14ac:dyDescent="0.3">
      <c r="A822">
        <v>821</v>
      </c>
      <c r="D822" s="4" t="s">
        <v>1587</v>
      </c>
      <c r="J822" s="4" t="s">
        <v>206</v>
      </c>
      <c r="K822" s="4" t="s">
        <v>824</v>
      </c>
      <c r="L822" s="11">
        <f>190*8</f>
        <v>1520</v>
      </c>
    </row>
    <row r="823" spans="1:16" hidden="1" x14ac:dyDescent="0.3">
      <c r="A823">
        <v>822</v>
      </c>
      <c r="D823" s="5" t="s">
        <v>1308</v>
      </c>
      <c r="E823" s="5" t="s">
        <v>1307</v>
      </c>
      <c r="F823" s="5"/>
      <c r="G823" s="5"/>
      <c r="H823" s="5"/>
      <c r="I823" s="4" t="s">
        <v>822</v>
      </c>
      <c r="J823" s="4" t="s">
        <v>1185</v>
      </c>
      <c r="K823" s="4" t="s">
        <v>825</v>
      </c>
      <c r="L823" s="11">
        <f>M823-L824</f>
        <v>10777</v>
      </c>
      <c r="M823" s="7">
        <v>20777</v>
      </c>
      <c r="N823" s="7">
        <v>1454</v>
      </c>
      <c r="O823" s="7">
        <v>3</v>
      </c>
    </row>
    <row r="824" spans="1:16" hidden="1" x14ac:dyDescent="0.3">
      <c r="A824">
        <v>823</v>
      </c>
      <c r="D824" s="5" t="s">
        <v>1308</v>
      </c>
      <c r="E824" s="5" t="s">
        <v>1307</v>
      </c>
      <c r="J824" s="4" t="s">
        <v>214</v>
      </c>
      <c r="K824" s="4" t="s">
        <v>826</v>
      </c>
      <c r="L824" s="11">
        <v>10000</v>
      </c>
    </row>
    <row r="825" spans="1:16" hidden="1" x14ac:dyDescent="0.3">
      <c r="A825">
        <v>824</v>
      </c>
      <c r="C825" s="4" t="s">
        <v>268</v>
      </c>
      <c r="D825" s="4" t="s">
        <v>1574</v>
      </c>
      <c r="I825" s="4" t="s">
        <v>822</v>
      </c>
      <c r="J825" s="4" t="s">
        <v>1185</v>
      </c>
      <c r="K825" s="4" t="s">
        <v>827</v>
      </c>
      <c r="L825" s="11">
        <f>461*8</f>
        <v>3688</v>
      </c>
      <c r="M825" s="7">
        <v>5128</v>
      </c>
      <c r="N825" s="7">
        <v>359</v>
      </c>
    </row>
    <row r="826" spans="1:16" hidden="1" x14ac:dyDescent="0.3">
      <c r="A826">
        <v>825</v>
      </c>
      <c r="D826" s="4" t="s">
        <v>1574</v>
      </c>
      <c r="J826" s="4" t="s">
        <v>206</v>
      </c>
      <c r="K826" s="4" t="s">
        <v>743</v>
      </c>
      <c r="L826" s="11">
        <f>M825-L825</f>
        <v>1440</v>
      </c>
    </row>
    <row r="827" spans="1:16" hidden="1" x14ac:dyDescent="0.3">
      <c r="A827">
        <v>826</v>
      </c>
      <c r="D827" s="4" t="s">
        <v>1379</v>
      </c>
      <c r="I827" s="4" t="s">
        <v>822</v>
      </c>
      <c r="J827" s="4" t="s">
        <v>1185</v>
      </c>
      <c r="K827" s="4" t="s">
        <v>828</v>
      </c>
      <c r="L827" s="4">
        <v>9039</v>
      </c>
      <c r="M827" s="4">
        <v>9039</v>
      </c>
      <c r="N827" s="4">
        <v>632</v>
      </c>
      <c r="O827" s="4">
        <v>6</v>
      </c>
      <c r="P827" s="4"/>
    </row>
    <row r="828" spans="1:16" hidden="1" x14ac:dyDescent="0.3">
      <c r="A828">
        <v>827</v>
      </c>
      <c r="C828" s="4" t="s">
        <v>816</v>
      </c>
      <c r="D828" s="4" t="s">
        <v>1475</v>
      </c>
      <c r="I828" s="4" t="s">
        <v>822</v>
      </c>
      <c r="J828" s="4" t="s">
        <v>214</v>
      </c>
      <c r="K828" s="4" t="s">
        <v>829</v>
      </c>
      <c r="L828" s="4">
        <v>3750</v>
      </c>
      <c r="M828" s="4">
        <v>3750</v>
      </c>
      <c r="N828" s="4">
        <v>262</v>
      </c>
      <c r="O828" s="4">
        <v>4</v>
      </c>
      <c r="P828" s="4"/>
    </row>
    <row r="829" spans="1:16" hidden="1" x14ac:dyDescent="0.3">
      <c r="A829">
        <v>828</v>
      </c>
      <c r="D829" s="4" t="s">
        <v>1466</v>
      </c>
      <c r="I829" s="4" t="s">
        <v>822</v>
      </c>
      <c r="J829" s="4" t="s">
        <v>214</v>
      </c>
      <c r="K829" s="4" t="s">
        <v>739</v>
      </c>
      <c r="L829" s="4">
        <v>700</v>
      </c>
      <c r="M829" s="4">
        <v>700</v>
      </c>
      <c r="N829" s="4">
        <v>49</v>
      </c>
      <c r="O829" s="4"/>
      <c r="P829" s="4"/>
    </row>
    <row r="830" spans="1:16" hidden="1" x14ac:dyDescent="0.3">
      <c r="A830">
        <v>829</v>
      </c>
      <c r="D830" s="4" t="s">
        <v>1427</v>
      </c>
      <c r="I830" s="4" t="s">
        <v>830</v>
      </c>
      <c r="J830" s="4" t="s">
        <v>1185</v>
      </c>
      <c r="K830" s="4" t="s">
        <v>831</v>
      </c>
      <c r="L830" s="7">
        <f>377*8</f>
        <v>3016</v>
      </c>
      <c r="M830" s="7">
        <v>9316</v>
      </c>
      <c r="N830" s="7">
        <v>652</v>
      </c>
      <c r="O830" s="7">
        <v>1</v>
      </c>
    </row>
    <row r="831" spans="1:16" hidden="1" x14ac:dyDescent="0.3">
      <c r="A831">
        <v>830</v>
      </c>
      <c r="D831" s="4" t="s">
        <v>1427</v>
      </c>
      <c r="J831" s="4" t="s">
        <v>214</v>
      </c>
      <c r="K831" s="4" t="s">
        <v>832</v>
      </c>
      <c r="L831" s="7">
        <v>6300</v>
      </c>
    </row>
    <row r="832" spans="1:16" hidden="1" x14ac:dyDescent="0.3">
      <c r="A832">
        <v>831</v>
      </c>
      <c r="B832" s="4" t="s">
        <v>833</v>
      </c>
      <c r="D832" s="4" t="s">
        <v>1336</v>
      </c>
      <c r="I832" s="4" t="s">
        <v>834</v>
      </c>
      <c r="J832" s="4" t="s">
        <v>1185</v>
      </c>
      <c r="K832" s="4" t="s">
        <v>835</v>
      </c>
      <c r="L832" s="11">
        <f>151*8+3</f>
        <v>1211</v>
      </c>
      <c r="M832" s="11">
        <v>31324</v>
      </c>
      <c r="N832" s="7">
        <v>2192</v>
      </c>
      <c r="O832" s="7">
        <v>5</v>
      </c>
    </row>
    <row r="833" spans="1:16" hidden="1" x14ac:dyDescent="0.3">
      <c r="A833">
        <v>832</v>
      </c>
      <c r="D833" s="4" t="s">
        <v>1336</v>
      </c>
      <c r="J833" s="4" t="s">
        <v>214</v>
      </c>
      <c r="K833" s="4" t="s">
        <v>264</v>
      </c>
      <c r="L833" s="11">
        <f>2500*11</f>
        <v>27500</v>
      </c>
      <c r="M833" s="11"/>
    </row>
    <row r="834" spans="1:16" hidden="1" x14ac:dyDescent="0.3">
      <c r="A834">
        <v>833</v>
      </c>
      <c r="D834" s="4" t="s">
        <v>1336</v>
      </c>
      <c r="J834" s="4" t="s">
        <v>214</v>
      </c>
      <c r="K834" s="4" t="s">
        <v>836</v>
      </c>
      <c r="L834" s="11">
        <v>2500</v>
      </c>
      <c r="M834" s="11"/>
    </row>
    <row r="835" spans="1:16" hidden="1" x14ac:dyDescent="0.3">
      <c r="A835">
        <v>834</v>
      </c>
      <c r="D835" s="4" t="s">
        <v>1336</v>
      </c>
      <c r="J835" s="4" t="s">
        <v>1649</v>
      </c>
      <c r="K835" s="4" t="s">
        <v>1240</v>
      </c>
      <c r="L835" s="11">
        <v>113</v>
      </c>
      <c r="M835" s="11"/>
    </row>
    <row r="836" spans="1:16" hidden="1" x14ac:dyDescent="0.3">
      <c r="A836">
        <v>835</v>
      </c>
      <c r="D836" s="4" t="s">
        <v>1462</v>
      </c>
      <c r="I836" s="4" t="s">
        <v>834</v>
      </c>
      <c r="J836" s="4" t="s">
        <v>206</v>
      </c>
      <c r="K836" s="4" t="s">
        <v>479</v>
      </c>
      <c r="L836" s="4">
        <v>160</v>
      </c>
      <c r="M836" s="4">
        <v>160</v>
      </c>
      <c r="N836" s="4">
        <v>11</v>
      </c>
      <c r="O836" s="4">
        <v>2</v>
      </c>
      <c r="P836" s="4"/>
    </row>
    <row r="837" spans="1:16" hidden="1" x14ac:dyDescent="0.3">
      <c r="A837">
        <v>836</v>
      </c>
      <c r="D837" s="4" t="s">
        <v>1567</v>
      </c>
      <c r="I837" s="4" t="s">
        <v>837</v>
      </c>
      <c r="J837" s="4" t="s">
        <v>214</v>
      </c>
      <c r="K837" s="4" t="s">
        <v>838</v>
      </c>
      <c r="L837" s="4">
        <v>6650</v>
      </c>
      <c r="M837" s="4">
        <v>6650</v>
      </c>
      <c r="N837" s="4">
        <v>465</v>
      </c>
      <c r="O837" s="4">
        <v>4</v>
      </c>
      <c r="P837" s="4"/>
    </row>
    <row r="838" spans="1:16" hidden="1" x14ac:dyDescent="0.3">
      <c r="A838">
        <v>837</v>
      </c>
      <c r="C838" s="4" t="s">
        <v>268</v>
      </c>
      <c r="D838" s="5" t="s">
        <v>1311</v>
      </c>
      <c r="E838" s="5" t="s">
        <v>1309</v>
      </c>
      <c r="F838" s="5" t="s">
        <v>1310</v>
      </c>
      <c r="G838" s="5"/>
      <c r="H838" s="5"/>
      <c r="I838" s="4" t="s">
        <v>839</v>
      </c>
      <c r="J838" s="4" t="s">
        <v>214</v>
      </c>
      <c r="K838" s="4" t="s">
        <v>840</v>
      </c>
      <c r="L838" s="11">
        <v>6000</v>
      </c>
      <c r="M838" s="7">
        <v>10034</v>
      </c>
      <c r="N838" s="7">
        <v>702</v>
      </c>
      <c r="O838" s="7">
        <v>3</v>
      </c>
    </row>
    <row r="839" spans="1:16" hidden="1" x14ac:dyDescent="0.3">
      <c r="A839">
        <v>838</v>
      </c>
      <c r="D839" s="5" t="s">
        <v>1311</v>
      </c>
      <c r="E839" s="5" t="s">
        <v>1309</v>
      </c>
      <c r="F839" s="5" t="s">
        <v>1310</v>
      </c>
      <c r="J839" s="4" t="s">
        <v>1185</v>
      </c>
      <c r="K839" s="4" t="s">
        <v>841</v>
      </c>
      <c r="L839" s="11">
        <f>170*8</f>
        <v>1360</v>
      </c>
    </row>
    <row r="840" spans="1:16" hidden="1" x14ac:dyDescent="0.3">
      <c r="A840">
        <v>839</v>
      </c>
      <c r="D840" s="5" t="s">
        <v>1311</v>
      </c>
      <c r="E840" s="5" t="s">
        <v>1309</v>
      </c>
      <c r="F840" s="5" t="s">
        <v>1310</v>
      </c>
      <c r="J840" s="4" t="s">
        <v>206</v>
      </c>
      <c r="K840" s="4" t="s">
        <v>842</v>
      </c>
      <c r="L840" s="11">
        <f>334*8+2</f>
        <v>2674</v>
      </c>
    </row>
    <row r="841" spans="1:16" ht="28.8" hidden="1" x14ac:dyDescent="0.3">
      <c r="A841">
        <v>840</v>
      </c>
      <c r="C841" s="4" t="s">
        <v>268</v>
      </c>
      <c r="D841" s="5" t="s">
        <v>1313</v>
      </c>
      <c r="E841" s="5" t="s">
        <v>1312</v>
      </c>
      <c r="F841" s="5"/>
      <c r="G841" s="5"/>
      <c r="H841" s="5"/>
      <c r="I841" s="4" t="s">
        <v>839</v>
      </c>
      <c r="J841" s="4" t="s">
        <v>214</v>
      </c>
      <c r="K841" s="4" t="s">
        <v>116</v>
      </c>
      <c r="L841" s="11">
        <v>12500</v>
      </c>
      <c r="M841" s="7">
        <v>14400</v>
      </c>
      <c r="N841" s="7">
        <v>1008</v>
      </c>
    </row>
    <row r="842" spans="1:16" ht="28.8" hidden="1" x14ac:dyDescent="0.3">
      <c r="A842">
        <v>841</v>
      </c>
      <c r="D842" s="5" t="s">
        <v>1313</v>
      </c>
      <c r="E842" s="5" t="s">
        <v>1312</v>
      </c>
      <c r="J842" s="4" t="s">
        <v>1185</v>
      </c>
      <c r="K842" s="4" t="s">
        <v>843</v>
      </c>
      <c r="L842" s="11">
        <f>137*8</f>
        <v>1096</v>
      </c>
    </row>
    <row r="843" spans="1:16" ht="28.8" hidden="1" x14ac:dyDescent="0.3">
      <c r="A843">
        <v>842</v>
      </c>
      <c r="D843" s="5" t="s">
        <v>1313</v>
      </c>
      <c r="E843" s="5" t="s">
        <v>1312</v>
      </c>
      <c r="J843" s="4" t="s">
        <v>214</v>
      </c>
      <c r="K843" s="4" t="s">
        <v>844</v>
      </c>
      <c r="L843" s="11">
        <v>804</v>
      </c>
    </row>
    <row r="844" spans="1:16" hidden="1" x14ac:dyDescent="0.3">
      <c r="A844">
        <v>843</v>
      </c>
      <c r="D844" s="4" t="s">
        <v>1453</v>
      </c>
      <c r="I844" s="4" t="s">
        <v>845</v>
      </c>
      <c r="J844" s="4" t="s">
        <v>214</v>
      </c>
      <c r="K844" s="4" t="s">
        <v>791</v>
      </c>
      <c r="L844" s="11">
        <v>5000</v>
      </c>
      <c r="M844" s="7">
        <v>6272</v>
      </c>
      <c r="N844" s="7">
        <v>439</v>
      </c>
    </row>
    <row r="845" spans="1:16" hidden="1" x14ac:dyDescent="0.3">
      <c r="A845">
        <v>844</v>
      </c>
      <c r="D845" s="4" t="s">
        <v>1453</v>
      </c>
      <c r="J845" s="4" t="s">
        <v>206</v>
      </c>
      <c r="K845" s="4" t="s">
        <v>846</v>
      </c>
      <c r="L845" s="11">
        <f>159*8</f>
        <v>1272</v>
      </c>
    </row>
    <row r="846" spans="1:16" hidden="1" x14ac:dyDescent="0.3">
      <c r="A846">
        <v>845</v>
      </c>
      <c r="D846" s="4" t="s">
        <v>1402</v>
      </c>
      <c r="I846" s="4" t="s">
        <v>845</v>
      </c>
      <c r="J846" s="4" t="s">
        <v>214</v>
      </c>
      <c r="K846" s="4" t="s">
        <v>655</v>
      </c>
      <c r="L846" s="4">
        <v>20000</v>
      </c>
      <c r="M846" s="4">
        <v>20000</v>
      </c>
      <c r="N846" s="4">
        <v>1400</v>
      </c>
      <c r="O846" s="4"/>
      <c r="P846" s="4"/>
    </row>
    <row r="847" spans="1:16" hidden="1" x14ac:dyDescent="0.3">
      <c r="A847">
        <v>846</v>
      </c>
      <c r="C847" s="4" t="s">
        <v>268</v>
      </c>
      <c r="D847" s="4" t="s">
        <v>1315</v>
      </c>
      <c r="E847" s="4" t="s">
        <v>1314</v>
      </c>
      <c r="I847" s="4" t="s">
        <v>845</v>
      </c>
      <c r="J847" s="4" t="s">
        <v>214</v>
      </c>
      <c r="K847" s="4" t="s">
        <v>847</v>
      </c>
      <c r="L847" s="4">
        <v>12000</v>
      </c>
      <c r="M847" s="4">
        <v>12000</v>
      </c>
      <c r="N847" s="4">
        <v>840</v>
      </c>
      <c r="O847" s="4"/>
      <c r="P847" s="4"/>
    </row>
    <row r="848" spans="1:16" hidden="1" x14ac:dyDescent="0.3">
      <c r="A848">
        <v>847</v>
      </c>
      <c r="C848" s="4" t="s">
        <v>268</v>
      </c>
      <c r="D848" s="5" t="s">
        <v>1318</v>
      </c>
      <c r="E848" s="5" t="s">
        <v>1316</v>
      </c>
      <c r="F848" s="5" t="s">
        <v>1317</v>
      </c>
      <c r="G848" s="5"/>
      <c r="H848" s="5"/>
      <c r="I848" s="4" t="s">
        <v>845</v>
      </c>
      <c r="J848" s="4" t="s">
        <v>214</v>
      </c>
      <c r="K848" s="4" t="s">
        <v>848</v>
      </c>
      <c r="L848" s="4">
        <v>4400</v>
      </c>
      <c r="M848" s="4">
        <v>4400</v>
      </c>
      <c r="N848" s="4">
        <v>308</v>
      </c>
      <c r="O848" s="4"/>
      <c r="P848" s="4"/>
    </row>
    <row r="849" spans="1:16" hidden="1" x14ac:dyDescent="0.3">
      <c r="A849">
        <v>848</v>
      </c>
      <c r="B849" s="4" t="s">
        <v>849</v>
      </c>
      <c r="C849" s="4" t="s">
        <v>268</v>
      </c>
      <c r="D849" s="4" t="s">
        <v>1478</v>
      </c>
      <c r="I849" s="4" t="s">
        <v>845</v>
      </c>
      <c r="J849" s="4" t="s">
        <v>1185</v>
      </c>
      <c r="K849" s="4" t="s">
        <v>850</v>
      </c>
      <c r="L849" s="11">
        <f>550*8+2</f>
        <v>4402</v>
      </c>
      <c r="M849" s="7">
        <v>5842</v>
      </c>
      <c r="N849" s="7">
        <v>409</v>
      </c>
    </row>
    <row r="850" spans="1:16" hidden="1" x14ac:dyDescent="0.3">
      <c r="A850">
        <v>849</v>
      </c>
      <c r="D850" s="4" t="s">
        <v>1478</v>
      </c>
      <c r="J850" s="4" t="s">
        <v>214</v>
      </c>
      <c r="K850" s="4" t="s">
        <v>442</v>
      </c>
      <c r="L850" s="11">
        <v>1200</v>
      </c>
    </row>
    <row r="851" spans="1:16" hidden="1" x14ac:dyDescent="0.3">
      <c r="A851">
        <v>850</v>
      </c>
      <c r="D851" s="4" t="s">
        <v>1478</v>
      </c>
      <c r="J851" s="4" t="s">
        <v>206</v>
      </c>
      <c r="K851" s="4" t="s">
        <v>113</v>
      </c>
      <c r="L851" s="11">
        <f>30*8</f>
        <v>240</v>
      </c>
    </row>
    <row r="852" spans="1:16" hidden="1" x14ac:dyDescent="0.3">
      <c r="A852">
        <v>851</v>
      </c>
      <c r="D852" s="4" t="s">
        <v>1429</v>
      </c>
      <c r="I852" s="4" t="s">
        <v>851</v>
      </c>
      <c r="J852" s="4" t="s">
        <v>1185</v>
      </c>
      <c r="K852" s="4" t="s">
        <v>852</v>
      </c>
      <c r="L852" s="4">
        <v>26391</v>
      </c>
      <c r="M852" s="4">
        <v>26391</v>
      </c>
      <c r="N852" s="4">
        <v>1847</v>
      </c>
      <c r="O852" s="4"/>
      <c r="P852" s="4"/>
    </row>
    <row r="853" spans="1:16" ht="28.8" hidden="1" x14ac:dyDescent="0.3">
      <c r="A853">
        <v>852</v>
      </c>
      <c r="D853" s="5" t="s">
        <v>1545</v>
      </c>
      <c r="E853" s="5" t="s">
        <v>1546</v>
      </c>
      <c r="F853" s="5"/>
      <c r="G853" s="5"/>
      <c r="H853" s="5"/>
      <c r="I853" s="4" t="s">
        <v>851</v>
      </c>
      <c r="J853" s="4" t="s">
        <v>214</v>
      </c>
      <c r="K853" s="4" t="s">
        <v>853</v>
      </c>
      <c r="L853" s="11">
        <f>5*2500</f>
        <v>12500</v>
      </c>
      <c r="M853" s="7">
        <v>14116</v>
      </c>
      <c r="N853" s="7">
        <v>988</v>
      </c>
      <c r="O853" s="7">
        <v>1</v>
      </c>
    </row>
    <row r="854" spans="1:16" ht="28.8" hidden="1" x14ac:dyDescent="0.3">
      <c r="A854">
        <v>853</v>
      </c>
      <c r="D854" s="5" t="s">
        <v>1545</v>
      </c>
      <c r="E854" s="5" t="s">
        <v>1546</v>
      </c>
      <c r="J854" s="4" t="s">
        <v>214</v>
      </c>
      <c r="K854" s="4" t="s">
        <v>854</v>
      </c>
      <c r="L854" s="11">
        <v>1100</v>
      </c>
    </row>
    <row r="855" spans="1:16" ht="28.8" hidden="1" x14ac:dyDescent="0.3">
      <c r="A855">
        <v>854</v>
      </c>
      <c r="D855" s="5" t="s">
        <v>1545</v>
      </c>
      <c r="E855" s="5" t="s">
        <v>1546</v>
      </c>
      <c r="J855" s="4" t="s">
        <v>206</v>
      </c>
      <c r="K855" s="4" t="s">
        <v>855</v>
      </c>
      <c r="L855" s="11">
        <f>12*8</f>
        <v>96</v>
      </c>
    </row>
    <row r="856" spans="1:16" ht="28.8" hidden="1" x14ac:dyDescent="0.3">
      <c r="A856">
        <v>855</v>
      </c>
      <c r="D856" s="5" t="s">
        <v>1545</v>
      </c>
      <c r="E856" s="5" t="s">
        <v>1546</v>
      </c>
      <c r="J856" s="4" t="s">
        <v>214</v>
      </c>
      <c r="K856" s="4" t="s">
        <v>856</v>
      </c>
      <c r="L856" s="11">
        <f>560*6/8</f>
        <v>420</v>
      </c>
    </row>
    <row r="857" spans="1:16" hidden="1" x14ac:dyDescent="0.3">
      <c r="A857">
        <v>856</v>
      </c>
      <c r="D857" s="4" t="s">
        <v>1671</v>
      </c>
      <c r="I857" s="4" t="s">
        <v>857</v>
      </c>
      <c r="J857" s="4" t="s">
        <v>1185</v>
      </c>
      <c r="K857" s="4" t="s">
        <v>858</v>
      </c>
      <c r="L857" s="7">
        <f>178*8+2</f>
        <v>1426</v>
      </c>
      <c r="M857" s="7">
        <v>9890</v>
      </c>
      <c r="N857" s="7">
        <v>692</v>
      </c>
      <c r="O857" s="7">
        <v>2</v>
      </c>
    </row>
    <row r="858" spans="1:16" hidden="1" x14ac:dyDescent="0.3">
      <c r="A858">
        <v>857</v>
      </c>
      <c r="D858" s="4" t="s">
        <v>1671</v>
      </c>
      <c r="J858" s="4" t="s">
        <v>206</v>
      </c>
      <c r="K858" s="4" t="s">
        <v>859</v>
      </c>
      <c r="L858" s="7">
        <f>1058*8</f>
        <v>8464</v>
      </c>
    </row>
    <row r="859" spans="1:16" hidden="1" x14ac:dyDescent="0.3">
      <c r="A859">
        <v>858</v>
      </c>
      <c r="C859" s="4" t="s">
        <v>268</v>
      </c>
      <c r="D859" s="4" t="s">
        <v>1501</v>
      </c>
      <c r="I859" s="4" t="s">
        <v>857</v>
      </c>
      <c r="J859" s="4" t="s">
        <v>214</v>
      </c>
      <c r="K859" s="4" t="s">
        <v>802</v>
      </c>
      <c r="L859" s="4">
        <v>5000</v>
      </c>
      <c r="M859" s="4">
        <v>5000</v>
      </c>
      <c r="N859" s="4">
        <v>350</v>
      </c>
      <c r="O859" s="4"/>
      <c r="P859" s="4"/>
    </row>
    <row r="860" spans="1:16" hidden="1" x14ac:dyDescent="0.3">
      <c r="A860">
        <v>859</v>
      </c>
      <c r="D860" s="4" t="s">
        <v>1615</v>
      </c>
      <c r="I860" s="4" t="s">
        <v>857</v>
      </c>
      <c r="J860" s="4" t="s">
        <v>214</v>
      </c>
      <c r="K860" s="4" t="s">
        <v>860</v>
      </c>
      <c r="L860" s="4">
        <v>2500</v>
      </c>
      <c r="M860" s="4">
        <v>2500</v>
      </c>
      <c r="N860" s="4">
        <v>175</v>
      </c>
      <c r="O860" s="4"/>
      <c r="P860" s="4"/>
    </row>
    <row r="861" spans="1:16" hidden="1" x14ac:dyDescent="0.3">
      <c r="A861">
        <v>860</v>
      </c>
      <c r="D861" s="4" t="s">
        <v>1619</v>
      </c>
      <c r="I861" s="4" t="s">
        <v>857</v>
      </c>
      <c r="J861" s="4" t="s">
        <v>1185</v>
      </c>
      <c r="K861" s="4" t="s">
        <v>861</v>
      </c>
      <c r="L861" s="11">
        <f>5252*8-1</f>
        <v>42015</v>
      </c>
      <c r="M861" s="7">
        <v>66704</v>
      </c>
      <c r="N861" s="7">
        <v>4669</v>
      </c>
      <c r="O861" s="7">
        <v>2</v>
      </c>
    </row>
    <row r="862" spans="1:16" hidden="1" x14ac:dyDescent="0.3">
      <c r="A862">
        <v>861</v>
      </c>
      <c r="D862" s="4" t="s">
        <v>1619</v>
      </c>
      <c r="J862" s="4" t="s">
        <v>206</v>
      </c>
      <c r="K862" s="4" t="s">
        <v>1241</v>
      </c>
      <c r="L862" s="11">
        <f>M861-L863-L861</f>
        <v>4689</v>
      </c>
    </row>
    <row r="863" spans="1:16" hidden="1" x14ac:dyDescent="0.3">
      <c r="A863">
        <v>862</v>
      </c>
      <c r="D863" s="4" t="s">
        <v>1619</v>
      </c>
      <c r="J863" s="4" t="s">
        <v>214</v>
      </c>
      <c r="K863" s="4" t="s">
        <v>145</v>
      </c>
      <c r="L863" s="11">
        <f>8*2500</f>
        <v>20000</v>
      </c>
    </row>
    <row r="864" spans="1:16" hidden="1" x14ac:dyDescent="0.3">
      <c r="A864">
        <v>863</v>
      </c>
      <c r="D864" s="4" t="s">
        <v>1619</v>
      </c>
      <c r="J864" s="4" t="s">
        <v>206</v>
      </c>
      <c r="K864" s="4" t="s">
        <v>862</v>
      </c>
      <c r="L864" s="11">
        <v>0</v>
      </c>
    </row>
    <row r="865" spans="1:16" hidden="1" x14ac:dyDescent="0.3">
      <c r="A865">
        <v>864</v>
      </c>
      <c r="D865" s="4" t="s">
        <v>1619</v>
      </c>
      <c r="I865" s="4" t="s">
        <v>863</v>
      </c>
      <c r="J865" s="4" t="s">
        <v>1185</v>
      </c>
      <c r="K865" s="4" t="s">
        <v>864</v>
      </c>
      <c r="L865" s="11">
        <f>1185*8+7</f>
        <v>9487</v>
      </c>
      <c r="M865" s="7">
        <v>31987</v>
      </c>
      <c r="N865" s="7">
        <v>2239</v>
      </c>
    </row>
    <row r="866" spans="1:16" hidden="1" x14ac:dyDescent="0.3">
      <c r="A866">
        <v>865</v>
      </c>
      <c r="D866" s="4" t="s">
        <v>1619</v>
      </c>
      <c r="J866" s="4" t="s">
        <v>214</v>
      </c>
      <c r="K866" s="4" t="s">
        <v>865</v>
      </c>
      <c r="L866" s="11">
        <v>22500</v>
      </c>
    </row>
    <row r="867" spans="1:16" hidden="1" x14ac:dyDescent="0.3">
      <c r="A867">
        <v>866</v>
      </c>
      <c r="D867" s="4" t="s">
        <v>1585</v>
      </c>
      <c r="I867" s="4" t="s">
        <v>863</v>
      </c>
      <c r="J867" s="4" t="s">
        <v>214</v>
      </c>
      <c r="K867" s="4" t="s">
        <v>15</v>
      </c>
      <c r="L867" s="4">
        <v>1500</v>
      </c>
      <c r="M867" s="4">
        <v>1500</v>
      </c>
      <c r="N867" s="4">
        <v>105</v>
      </c>
      <c r="O867" s="4"/>
      <c r="P867" s="4"/>
    </row>
    <row r="868" spans="1:16" hidden="1" x14ac:dyDescent="0.3">
      <c r="A868">
        <v>867</v>
      </c>
      <c r="B868" s="4" t="s">
        <v>866</v>
      </c>
      <c r="C868" s="4" t="s">
        <v>678</v>
      </c>
      <c r="D868" s="4" t="s">
        <v>1362</v>
      </c>
      <c r="I868" s="4" t="s">
        <v>863</v>
      </c>
      <c r="J868" s="4" t="s">
        <v>214</v>
      </c>
      <c r="K868" s="4" t="s">
        <v>867</v>
      </c>
      <c r="L868" s="11">
        <v>7500</v>
      </c>
      <c r="M868" s="7">
        <v>10118</v>
      </c>
      <c r="N868" s="7">
        <v>708</v>
      </c>
      <c r="O868" s="7">
        <v>2</v>
      </c>
    </row>
    <row r="869" spans="1:16" hidden="1" x14ac:dyDescent="0.3">
      <c r="A869">
        <v>868</v>
      </c>
      <c r="D869" s="4" t="s">
        <v>1362</v>
      </c>
      <c r="J869" s="4" t="s">
        <v>214</v>
      </c>
      <c r="K869" s="13" t="s">
        <v>868</v>
      </c>
      <c r="L869" s="11">
        <v>1818</v>
      </c>
    </row>
    <row r="870" spans="1:16" hidden="1" x14ac:dyDescent="0.3">
      <c r="A870">
        <v>869</v>
      </c>
      <c r="D870" s="4" t="s">
        <v>1362</v>
      </c>
      <c r="J870" s="4" t="s">
        <v>206</v>
      </c>
      <c r="K870" s="4" t="s">
        <v>512</v>
      </c>
      <c r="L870" s="11">
        <v>800</v>
      </c>
    </row>
    <row r="871" spans="1:16" hidden="1" x14ac:dyDescent="0.3">
      <c r="A871">
        <v>870</v>
      </c>
      <c r="D871" s="4" t="s">
        <v>1436</v>
      </c>
      <c r="I871" s="4" t="s">
        <v>863</v>
      </c>
      <c r="J871" s="4" t="s">
        <v>214</v>
      </c>
      <c r="K871" s="4" t="s">
        <v>288</v>
      </c>
      <c r="L871" s="4">
        <v>4600</v>
      </c>
      <c r="M871" s="4">
        <v>4600</v>
      </c>
      <c r="N871" s="4">
        <v>322</v>
      </c>
      <c r="O871" s="4"/>
      <c r="P871" s="4"/>
    </row>
    <row r="872" spans="1:16" hidden="1" x14ac:dyDescent="0.3">
      <c r="A872">
        <v>871</v>
      </c>
      <c r="D872" s="4" t="s">
        <v>1373</v>
      </c>
      <c r="I872" s="4" t="s">
        <v>863</v>
      </c>
      <c r="J872" s="4" t="s">
        <v>214</v>
      </c>
      <c r="K872" s="4" t="s">
        <v>869</v>
      </c>
      <c r="L872" s="4">
        <v>2700</v>
      </c>
      <c r="M872" s="4">
        <v>2700</v>
      </c>
      <c r="N872" s="4">
        <v>189</v>
      </c>
      <c r="O872" s="4"/>
      <c r="P872" s="4"/>
    </row>
    <row r="873" spans="1:16" hidden="1" x14ac:dyDescent="0.3">
      <c r="A873">
        <v>872</v>
      </c>
      <c r="C873" s="4" t="s">
        <v>816</v>
      </c>
      <c r="D873" s="4" t="s">
        <v>1626</v>
      </c>
      <c r="I873" s="4" t="s">
        <v>863</v>
      </c>
      <c r="J873" s="4" t="s">
        <v>214</v>
      </c>
      <c r="K873" s="4" t="s">
        <v>523</v>
      </c>
      <c r="L873" s="4">
        <v>10000</v>
      </c>
      <c r="M873" s="4">
        <v>10000</v>
      </c>
      <c r="N873" s="4">
        <v>700</v>
      </c>
      <c r="O873" s="4"/>
      <c r="P873" s="4"/>
    </row>
    <row r="874" spans="1:16" hidden="1" x14ac:dyDescent="0.3">
      <c r="A874">
        <v>873</v>
      </c>
      <c r="D874" s="4" t="s">
        <v>1348</v>
      </c>
      <c r="I874" s="4" t="s">
        <v>863</v>
      </c>
      <c r="J874" s="4" t="s">
        <v>214</v>
      </c>
      <c r="K874" s="4" t="s">
        <v>1235</v>
      </c>
      <c r="L874" s="11">
        <v>1000</v>
      </c>
      <c r="M874" s="7">
        <v>1683</v>
      </c>
      <c r="N874" s="7">
        <v>118</v>
      </c>
    </row>
    <row r="875" spans="1:16" hidden="1" x14ac:dyDescent="0.3">
      <c r="A875">
        <v>874</v>
      </c>
      <c r="D875" s="4" t="s">
        <v>1348</v>
      </c>
      <c r="J875" s="4" t="s">
        <v>214</v>
      </c>
      <c r="K875" s="4" t="s">
        <v>870</v>
      </c>
      <c r="L875" s="11">
        <v>683</v>
      </c>
    </row>
    <row r="876" spans="1:16" hidden="1" x14ac:dyDescent="0.3">
      <c r="A876">
        <v>875</v>
      </c>
      <c r="D876" s="4" t="s">
        <v>1380</v>
      </c>
      <c r="I876" s="4" t="s">
        <v>863</v>
      </c>
      <c r="J876" s="4" t="s">
        <v>206</v>
      </c>
      <c r="K876" s="4" t="s">
        <v>871</v>
      </c>
      <c r="L876" s="7">
        <f>196*8</f>
        <v>1568</v>
      </c>
      <c r="M876" s="7">
        <v>3903</v>
      </c>
      <c r="N876" s="7">
        <v>273</v>
      </c>
      <c r="O876" s="7">
        <v>2</v>
      </c>
    </row>
    <row r="877" spans="1:16" hidden="1" x14ac:dyDescent="0.3">
      <c r="A877">
        <v>876</v>
      </c>
      <c r="D877" s="4" t="s">
        <v>1380</v>
      </c>
      <c r="J877" s="4" t="s">
        <v>214</v>
      </c>
      <c r="K877" s="4" t="s">
        <v>1645</v>
      </c>
      <c r="L877" s="7">
        <v>2335</v>
      </c>
    </row>
    <row r="878" spans="1:16" hidden="1" x14ac:dyDescent="0.3">
      <c r="A878">
        <v>877</v>
      </c>
      <c r="D878" s="4" t="s">
        <v>1376</v>
      </c>
      <c r="I878" s="4" t="s">
        <v>863</v>
      </c>
      <c r="J878" s="4" t="s">
        <v>214</v>
      </c>
      <c r="K878" s="4" t="s">
        <v>872</v>
      </c>
      <c r="L878" s="4">
        <v>4001</v>
      </c>
      <c r="M878" s="4">
        <v>4001</v>
      </c>
      <c r="N878" s="4">
        <v>280</v>
      </c>
      <c r="O878" s="4"/>
      <c r="P878" s="4"/>
    </row>
    <row r="879" spans="1:16" hidden="1" x14ac:dyDescent="0.3">
      <c r="A879">
        <v>878</v>
      </c>
      <c r="C879" s="4" t="s">
        <v>816</v>
      </c>
      <c r="D879" s="4" t="s">
        <v>1383</v>
      </c>
      <c r="I879" s="4" t="s">
        <v>863</v>
      </c>
      <c r="J879" s="4" t="s">
        <v>214</v>
      </c>
      <c r="K879" s="4" t="s">
        <v>873</v>
      </c>
      <c r="L879" s="11">
        <v>4659</v>
      </c>
      <c r="M879" s="7">
        <v>4875</v>
      </c>
      <c r="N879" s="7">
        <v>341</v>
      </c>
      <c r="O879" s="7">
        <v>2</v>
      </c>
    </row>
    <row r="880" spans="1:16" hidden="1" x14ac:dyDescent="0.3">
      <c r="A880">
        <v>879</v>
      </c>
      <c r="D880" s="4" t="s">
        <v>1383</v>
      </c>
      <c r="J880" s="4" t="s">
        <v>206</v>
      </c>
      <c r="K880" s="4" t="s">
        <v>874</v>
      </c>
      <c r="L880" s="11">
        <f>27*8</f>
        <v>216</v>
      </c>
    </row>
    <row r="881" spans="1:17" hidden="1" x14ac:dyDescent="0.3">
      <c r="A881">
        <v>880</v>
      </c>
      <c r="D881" s="4" t="s">
        <v>1455</v>
      </c>
      <c r="I881" s="4" t="s">
        <v>863</v>
      </c>
      <c r="J881" s="4" t="s">
        <v>1185</v>
      </c>
      <c r="K881" s="4" t="s">
        <v>875</v>
      </c>
      <c r="L881" s="11">
        <f>293*8+4</f>
        <v>2348</v>
      </c>
      <c r="M881" s="7">
        <v>2828</v>
      </c>
      <c r="N881" s="7">
        <v>198</v>
      </c>
    </row>
    <row r="882" spans="1:17" hidden="1" x14ac:dyDescent="0.3">
      <c r="A882">
        <v>881</v>
      </c>
      <c r="D882" s="4" t="s">
        <v>1455</v>
      </c>
      <c r="J882" s="4" t="s">
        <v>206</v>
      </c>
      <c r="K882" s="4" t="s">
        <v>876</v>
      </c>
      <c r="L882" s="11">
        <f>60*8</f>
        <v>480</v>
      </c>
    </row>
    <row r="883" spans="1:17" hidden="1" x14ac:dyDescent="0.3">
      <c r="A883">
        <v>882</v>
      </c>
      <c r="B883" s="4" t="s">
        <v>877</v>
      </c>
      <c r="D883" s="4" t="s">
        <v>1460</v>
      </c>
      <c r="I883" s="4" t="s">
        <v>863</v>
      </c>
      <c r="J883" s="4" t="s">
        <v>214</v>
      </c>
      <c r="K883" s="4" t="s">
        <v>187</v>
      </c>
      <c r="L883" s="11">
        <v>7500</v>
      </c>
      <c r="M883" s="7">
        <v>8000</v>
      </c>
      <c r="N883" s="7">
        <v>560</v>
      </c>
      <c r="Q883" s="2"/>
    </row>
    <row r="884" spans="1:17" hidden="1" x14ac:dyDescent="0.3">
      <c r="A884">
        <v>883</v>
      </c>
      <c r="D884" s="4" t="s">
        <v>1460</v>
      </c>
      <c r="J884" s="4" t="s">
        <v>214</v>
      </c>
      <c r="K884" s="4" t="s">
        <v>878</v>
      </c>
      <c r="L884" s="11">
        <v>500</v>
      </c>
      <c r="Q884" s="2"/>
    </row>
    <row r="885" spans="1:17" hidden="1" x14ac:dyDescent="0.3">
      <c r="A885">
        <v>884</v>
      </c>
      <c r="C885" s="4" t="s">
        <v>816</v>
      </c>
      <c r="D885" s="4" t="s">
        <v>1512</v>
      </c>
      <c r="E885" s="5" t="s">
        <v>1268</v>
      </c>
      <c r="F885" s="5"/>
      <c r="G885" s="5"/>
      <c r="H885" s="5"/>
      <c r="I885" s="4" t="s">
        <v>863</v>
      </c>
      <c r="J885" s="4" t="s">
        <v>214</v>
      </c>
      <c r="K885" s="4" t="s">
        <v>791</v>
      </c>
      <c r="L885" s="11">
        <v>5000</v>
      </c>
      <c r="M885" s="7">
        <v>5550</v>
      </c>
      <c r="N885" s="7">
        <v>388</v>
      </c>
      <c r="O885" s="7">
        <v>4</v>
      </c>
      <c r="Q885" s="2"/>
    </row>
    <row r="886" spans="1:17" hidden="1" x14ac:dyDescent="0.3">
      <c r="A886">
        <v>885</v>
      </c>
      <c r="D886" s="4" t="s">
        <v>1512</v>
      </c>
      <c r="E886" s="5" t="s">
        <v>1268</v>
      </c>
      <c r="J886" s="4" t="s">
        <v>214</v>
      </c>
      <c r="K886" s="4" t="s">
        <v>879</v>
      </c>
      <c r="L886" s="11">
        <v>550</v>
      </c>
      <c r="Q886" s="2"/>
    </row>
    <row r="887" spans="1:17" hidden="1" x14ac:dyDescent="0.3">
      <c r="A887">
        <v>886</v>
      </c>
      <c r="C887" s="4" t="s">
        <v>268</v>
      </c>
      <c r="D887" s="4" t="s">
        <v>1487</v>
      </c>
      <c r="I887" s="4" t="s">
        <v>863</v>
      </c>
      <c r="J887" s="4" t="s">
        <v>214</v>
      </c>
      <c r="K887" s="4" t="s">
        <v>212</v>
      </c>
      <c r="L887" s="11">
        <v>900</v>
      </c>
      <c r="M887" s="7">
        <v>1124</v>
      </c>
      <c r="N887" s="7">
        <v>78</v>
      </c>
      <c r="O887" s="7">
        <v>5</v>
      </c>
      <c r="Q887" s="2"/>
    </row>
    <row r="888" spans="1:17" hidden="1" x14ac:dyDescent="0.3">
      <c r="A888">
        <v>887</v>
      </c>
      <c r="D888" s="4" t="s">
        <v>1487</v>
      </c>
      <c r="J888" s="4" t="s">
        <v>206</v>
      </c>
      <c r="K888" s="4" t="s">
        <v>731</v>
      </c>
      <c r="L888" s="11">
        <v>224</v>
      </c>
      <c r="Q888" s="2"/>
    </row>
    <row r="889" spans="1:17" hidden="1" x14ac:dyDescent="0.3">
      <c r="A889">
        <v>888</v>
      </c>
      <c r="D889" s="4" t="s">
        <v>1543</v>
      </c>
      <c r="I889" s="4" t="s">
        <v>880</v>
      </c>
      <c r="J889" s="4" t="s">
        <v>214</v>
      </c>
      <c r="K889" s="4" t="s">
        <v>881</v>
      </c>
      <c r="L889" s="4">
        <v>8500</v>
      </c>
      <c r="M889" s="4">
        <v>8500</v>
      </c>
      <c r="N889" s="4">
        <v>595</v>
      </c>
      <c r="O889" s="4"/>
      <c r="P889" s="4"/>
      <c r="Q889" s="2"/>
    </row>
    <row r="890" spans="1:17" hidden="1" x14ac:dyDescent="0.3">
      <c r="A890">
        <v>889</v>
      </c>
      <c r="C890" s="4" t="s">
        <v>286</v>
      </c>
      <c r="D890" s="4" t="s">
        <v>1449</v>
      </c>
      <c r="I890" s="4" t="s">
        <v>880</v>
      </c>
      <c r="J890" s="4" t="s">
        <v>214</v>
      </c>
      <c r="K890" s="4" t="s">
        <v>626</v>
      </c>
      <c r="L890" s="4">
        <v>2500</v>
      </c>
      <c r="M890" s="4">
        <v>2500</v>
      </c>
      <c r="N890" s="4">
        <v>175</v>
      </c>
      <c r="O890" s="4"/>
      <c r="P890" s="4"/>
      <c r="Q890" s="2"/>
    </row>
    <row r="891" spans="1:17" hidden="1" x14ac:dyDescent="0.3">
      <c r="A891">
        <v>890</v>
      </c>
      <c r="D891" s="4" t="s">
        <v>1541</v>
      </c>
      <c r="I891" s="4" t="s">
        <v>880</v>
      </c>
      <c r="J891" s="4" t="s">
        <v>214</v>
      </c>
      <c r="K891" s="4" t="s">
        <v>883</v>
      </c>
      <c r="L891" s="4">
        <v>10000</v>
      </c>
      <c r="M891" s="4">
        <v>10000</v>
      </c>
      <c r="N891" s="4">
        <v>700</v>
      </c>
      <c r="O891" s="4"/>
      <c r="P891" s="4"/>
      <c r="Q891" s="2" t="s">
        <v>884</v>
      </c>
    </row>
    <row r="892" spans="1:17" hidden="1" x14ac:dyDescent="0.3">
      <c r="A892">
        <v>891</v>
      </c>
      <c r="D892" s="2" t="s">
        <v>1606</v>
      </c>
      <c r="E892" s="2"/>
      <c r="F892" s="2"/>
      <c r="G892" s="2"/>
      <c r="H892" s="2"/>
      <c r="I892" s="4" t="s">
        <v>880</v>
      </c>
      <c r="J892" s="4" t="s">
        <v>214</v>
      </c>
      <c r="K892" s="4" t="s">
        <v>798</v>
      </c>
      <c r="L892" s="4">
        <v>2800</v>
      </c>
      <c r="M892" s="4">
        <v>2800</v>
      </c>
      <c r="N892" s="4">
        <v>196</v>
      </c>
      <c r="O892" s="4"/>
      <c r="P892" s="4"/>
      <c r="Q892" s="2"/>
    </row>
    <row r="893" spans="1:17" hidden="1" x14ac:dyDescent="0.3">
      <c r="A893">
        <v>892</v>
      </c>
      <c r="D893" s="2" t="s">
        <v>1539</v>
      </c>
      <c r="E893" s="2"/>
      <c r="F893" s="2"/>
      <c r="G893" s="2"/>
      <c r="H893" s="2"/>
      <c r="I893" s="4" t="s">
        <v>880</v>
      </c>
      <c r="J893" s="4" t="s">
        <v>214</v>
      </c>
      <c r="K893" s="4" t="s">
        <v>885</v>
      </c>
      <c r="L893" s="4">
        <v>4640</v>
      </c>
      <c r="M893" s="4">
        <v>4640</v>
      </c>
      <c r="N893" s="4">
        <v>324</v>
      </c>
      <c r="O893" s="4">
        <v>7</v>
      </c>
      <c r="P893" s="4"/>
      <c r="Q893" s="2"/>
    </row>
    <row r="894" spans="1:17" hidden="1" x14ac:dyDescent="0.3">
      <c r="A894">
        <v>893</v>
      </c>
      <c r="C894" s="4" t="s">
        <v>21</v>
      </c>
      <c r="D894" s="4" t="s">
        <v>1547</v>
      </c>
      <c r="I894" s="4" t="s">
        <v>880</v>
      </c>
      <c r="J894" s="4" t="s">
        <v>214</v>
      </c>
      <c r="K894" s="4" t="s">
        <v>886</v>
      </c>
      <c r="L894" s="13">
        <f>2500*6</f>
        <v>15000</v>
      </c>
      <c r="M894" s="7">
        <v>15400</v>
      </c>
      <c r="N894" s="7">
        <v>1078</v>
      </c>
      <c r="O894" s="4"/>
      <c r="P894" s="4"/>
      <c r="Q894" s="2"/>
    </row>
    <row r="895" spans="1:17" hidden="1" x14ac:dyDescent="0.3">
      <c r="A895">
        <v>894</v>
      </c>
      <c r="D895" s="4" t="s">
        <v>1547</v>
      </c>
      <c r="J895" s="4" t="s">
        <v>214</v>
      </c>
      <c r="K895" s="4" t="s">
        <v>887</v>
      </c>
      <c r="L895" s="13">
        <v>400</v>
      </c>
      <c r="O895" s="4"/>
      <c r="P895" s="4"/>
      <c r="Q895" s="2"/>
    </row>
    <row r="896" spans="1:17" hidden="1" x14ac:dyDescent="0.3">
      <c r="A896">
        <v>895</v>
      </c>
      <c r="C896" s="4" t="s">
        <v>21</v>
      </c>
      <c r="D896" s="4" t="s">
        <v>1575</v>
      </c>
      <c r="I896" s="4" t="s">
        <v>880</v>
      </c>
      <c r="J896" s="4" t="s">
        <v>214</v>
      </c>
      <c r="K896" s="4" t="s">
        <v>888</v>
      </c>
      <c r="L896" s="4">
        <v>5000</v>
      </c>
      <c r="M896" s="4">
        <v>5000</v>
      </c>
      <c r="N896" s="4">
        <v>350</v>
      </c>
      <c r="O896" s="4"/>
      <c r="P896" s="4"/>
      <c r="Q896" s="2"/>
    </row>
    <row r="897" spans="1:17" hidden="1" x14ac:dyDescent="0.3">
      <c r="A897">
        <v>896</v>
      </c>
      <c r="B897" s="4" t="s">
        <v>889</v>
      </c>
      <c r="D897" s="5" t="s">
        <v>1553</v>
      </c>
      <c r="E897" s="5" t="s">
        <v>1554</v>
      </c>
      <c r="F897" s="5"/>
      <c r="G897" s="5"/>
      <c r="H897" s="5"/>
      <c r="I897" s="4" t="s">
        <v>880</v>
      </c>
      <c r="J897" s="4" t="s">
        <v>214</v>
      </c>
      <c r="K897" s="4" t="s">
        <v>802</v>
      </c>
      <c r="L897" s="4">
        <v>5000</v>
      </c>
      <c r="M897" s="4">
        <v>5000</v>
      </c>
      <c r="N897" s="4">
        <v>350</v>
      </c>
      <c r="O897" s="4"/>
      <c r="P897" s="4"/>
      <c r="Q897" s="2"/>
    </row>
    <row r="898" spans="1:17" ht="28.8" hidden="1" x14ac:dyDescent="0.3">
      <c r="A898">
        <v>897</v>
      </c>
      <c r="C898" s="4" t="s">
        <v>21</v>
      </c>
      <c r="D898" s="4" t="s">
        <v>1520</v>
      </c>
      <c r="I898" s="4" t="s">
        <v>880</v>
      </c>
      <c r="J898" s="4" t="s">
        <v>1185</v>
      </c>
      <c r="K898" s="5" t="s">
        <v>890</v>
      </c>
      <c r="L898" s="13">
        <f>2866*8+3</f>
        <v>22931</v>
      </c>
      <c r="M898" s="7">
        <v>37412</v>
      </c>
      <c r="N898" s="7">
        <v>2618</v>
      </c>
      <c r="O898" s="4"/>
      <c r="P898" s="4"/>
      <c r="Q898" s="2"/>
    </row>
    <row r="899" spans="1:17" hidden="1" x14ac:dyDescent="0.3">
      <c r="A899">
        <v>898</v>
      </c>
      <c r="D899" s="4" t="s">
        <v>1520</v>
      </c>
      <c r="J899" s="4" t="s">
        <v>1185</v>
      </c>
      <c r="K899" s="4" t="s">
        <v>891</v>
      </c>
      <c r="L899" s="13">
        <f>1654*7+3</f>
        <v>11581</v>
      </c>
      <c r="O899" s="4"/>
      <c r="P899" s="4"/>
      <c r="Q899" s="2"/>
    </row>
    <row r="900" spans="1:17" hidden="1" x14ac:dyDescent="0.3">
      <c r="A900">
        <v>899</v>
      </c>
      <c r="D900" s="4" t="s">
        <v>1520</v>
      </c>
      <c r="J900" s="4" t="s">
        <v>214</v>
      </c>
      <c r="K900" s="4" t="s">
        <v>1242</v>
      </c>
      <c r="L900" s="13">
        <v>2900</v>
      </c>
      <c r="O900" s="4"/>
      <c r="P900" s="4"/>
      <c r="Q900" s="2"/>
    </row>
    <row r="901" spans="1:17" hidden="1" x14ac:dyDescent="0.3">
      <c r="A901">
        <v>900</v>
      </c>
      <c r="C901" s="4" t="s">
        <v>21</v>
      </c>
      <c r="D901" s="4" t="s">
        <v>1520</v>
      </c>
      <c r="I901" s="4" t="s">
        <v>880</v>
      </c>
      <c r="J901" s="4" t="s">
        <v>214</v>
      </c>
      <c r="K901" s="4" t="s">
        <v>892</v>
      </c>
      <c r="L901" s="4">
        <v>500</v>
      </c>
      <c r="M901" s="4">
        <v>500</v>
      </c>
      <c r="N901" s="4">
        <v>35</v>
      </c>
      <c r="O901" s="4"/>
      <c r="P901" s="4"/>
      <c r="Q901" s="2"/>
    </row>
    <row r="902" spans="1:17" hidden="1" x14ac:dyDescent="0.3">
      <c r="A902">
        <v>901</v>
      </c>
      <c r="C902" s="4" t="s">
        <v>183</v>
      </c>
      <c r="D902" s="4" t="s">
        <v>1452</v>
      </c>
      <c r="I902" s="4" t="s">
        <v>880</v>
      </c>
      <c r="J902" s="4" t="s">
        <v>214</v>
      </c>
      <c r="K902" s="4" t="s">
        <v>893</v>
      </c>
      <c r="L902" s="4">
        <v>900</v>
      </c>
      <c r="M902" s="4">
        <v>900</v>
      </c>
      <c r="N902" s="4">
        <v>63</v>
      </c>
      <c r="O902" s="4"/>
      <c r="P902" s="4"/>
      <c r="Q902" s="2"/>
    </row>
    <row r="903" spans="1:17" s="2" customFormat="1" hidden="1" x14ac:dyDescent="0.3">
      <c r="A903">
        <v>902</v>
      </c>
      <c r="B903" s="4"/>
      <c r="C903" s="4"/>
      <c r="D903" s="4" t="s">
        <v>1497</v>
      </c>
      <c r="E903" s="4" t="s">
        <v>1498</v>
      </c>
      <c r="F903" s="4"/>
      <c r="G903" s="4"/>
      <c r="H903" s="4"/>
      <c r="I903" s="4" t="s">
        <v>880</v>
      </c>
      <c r="J903" s="4" t="s">
        <v>1185</v>
      </c>
      <c r="K903" s="4" t="s">
        <v>894</v>
      </c>
      <c r="L903" s="13">
        <f>121*7</f>
        <v>847</v>
      </c>
      <c r="M903" s="7">
        <v>4247</v>
      </c>
      <c r="N903" s="7">
        <v>297</v>
      </c>
      <c r="O903" s="7">
        <v>2</v>
      </c>
      <c r="P903" s="7"/>
    </row>
    <row r="904" spans="1:17" s="2" customFormat="1" hidden="1" x14ac:dyDescent="0.3">
      <c r="A904">
        <v>903</v>
      </c>
      <c r="B904" s="4"/>
      <c r="C904" s="4"/>
      <c r="D904" s="4" t="s">
        <v>1497</v>
      </c>
      <c r="E904" s="4" t="s">
        <v>1498</v>
      </c>
      <c r="F904" s="4"/>
      <c r="G904" s="4"/>
      <c r="H904" s="4"/>
      <c r="I904" s="4"/>
      <c r="J904" s="4" t="s">
        <v>214</v>
      </c>
      <c r="K904" s="4" t="s">
        <v>895</v>
      </c>
      <c r="L904" s="13">
        <v>3400</v>
      </c>
      <c r="M904" s="7"/>
      <c r="N904" s="7"/>
      <c r="O904" s="7"/>
      <c r="P904" s="7"/>
    </row>
    <row r="905" spans="1:17" s="2" customFormat="1" hidden="1" x14ac:dyDescent="0.3">
      <c r="A905">
        <v>904</v>
      </c>
      <c r="B905" s="4"/>
      <c r="C905" s="4" t="s">
        <v>183</v>
      </c>
      <c r="D905" s="4" t="s">
        <v>1419</v>
      </c>
      <c r="E905" s="4"/>
      <c r="F905" s="4"/>
      <c r="G905" s="4"/>
      <c r="H905" s="4"/>
      <c r="I905" s="4" t="s">
        <v>896</v>
      </c>
      <c r="J905" s="4" t="s">
        <v>1185</v>
      </c>
      <c r="K905" s="4" t="s">
        <v>897</v>
      </c>
      <c r="L905" s="13">
        <f>2589*8+6</f>
        <v>20718</v>
      </c>
      <c r="M905" s="7">
        <v>27678</v>
      </c>
      <c r="N905" s="7">
        <v>1937</v>
      </c>
      <c r="O905" s="7">
        <v>4</v>
      </c>
      <c r="P905" s="7"/>
    </row>
    <row r="906" spans="1:17" s="2" customFormat="1" hidden="1" x14ac:dyDescent="0.3">
      <c r="A906">
        <v>905</v>
      </c>
      <c r="B906" s="4"/>
      <c r="C906" s="4"/>
      <c r="D906" s="4" t="s">
        <v>1419</v>
      </c>
      <c r="E906" s="4"/>
      <c r="F906" s="4"/>
      <c r="G906" s="4"/>
      <c r="H906" s="4"/>
      <c r="I906" s="4"/>
      <c r="J906" s="4" t="s">
        <v>206</v>
      </c>
      <c r="K906" s="4" t="s">
        <v>898</v>
      </c>
      <c r="L906" s="13">
        <f>870*8</f>
        <v>6960</v>
      </c>
      <c r="M906" s="7"/>
      <c r="N906" s="7"/>
      <c r="O906" s="7"/>
      <c r="P906" s="7"/>
    </row>
    <row r="907" spans="1:17" s="2" customFormat="1" hidden="1" x14ac:dyDescent="0.3">
      <c r="A907">
        <v>906</v>
      </c>
      <c r="B907" s="4"/>
      <c r="C907" s="4"/>
      <c r="D907" s="4" t="s">
        <v>1581</v>
      </c>
      <c r="E907" s="4"/>
      <c r="F907" s="4"/>
      <c r="G907" s="4"/>
      <c r="H907" s="4"/>
      <c r="I907" s="4" t="s">
        <v>896</v>
      </c>
      <c r="J907" s="4" t="s">
        <v>214</v>
      </c>
      <c r="K907" s="4" t="s">
        <v>899</v>
      </c>
      <c r="L907" s="4">
        <v>3000</v>
      </c>
      <c r="M907" s="4">
        <v>3000</v>
      </c>
      <c r="N907" s="4">
        <v>210</v>
      </c>
      <c r="O907" s="4"/>
      <c r="P907" s="4"/>
    </row>
    <row r="908" spans="1:17" s="2" customFormat="1" hidden="1" x14ac:dyDescent="0.3">
      <c r="A908">
        <v>907</v>
      </c>
      <c r="B908" s="4"/>
      <c r="C908" s="4"/>
      <c r="D908" s="4" t="s">
        <v>1542</v>
      </c>
      <c r="E908" s="4"/>
      <c r="F908" s="4"/>
      <c r="G908" s="4"/>
      <c r="H908" s="4"/>
      <c r="I908" s="4" t="s">
        <v>896</v>
      </c>
      <c r="J908" s="4" t="s">
        <v>214</v>
      </c>
      <c r="K908" s="4" t="s">
        <v>900</v>
      </c>
      <c r="L908" s="4">
        <v>400</v>
      </c>
      <c r="M908" s="4">
        <v>400</v>
      </c>
      <c r="N908" s="4">
        <v>28</v>
      </c>
      <c r="O908" s="4"/>
      <c r="P908" s="4"/>
    </row>
    <row r="909" spans="1:17" s="2" customFormat="1" hidden="1" x14ac:dyDescent="0.3">
      <c r="A909">
        <v>908</v>
      </c>
      <c r="B909" s="4"/>
      <c r="C909" s="4"/>
      <c r="D909" s="4" t="s">
        <v>1579</v>
      </c>
      <c r="E909" s="4"/>
      <c r="F909" s="4"/>
      <c r="G909" s="4"/>
      <c r="H909" s="4"/>
      <c r="I909" s="4" t="s">
        <v>896</v>
      </c>
      <c r="J909" s="4" t="s">
        <v>206</v>
      </c>
      <c r="K909" s="4" t="s">
        <v>700</v>
      </c>
      <c r="L909" s="4">
        <v>400</v>
      </c>
      <c r="M909" s="4">
        <v>400</v>
      </c>
      <c r="N909" s="4">
        <v>28</v>
      </c>
      <c r="O909" s="4"/>
      <c r="P909" s="4"/>
    </row>
    <row r="910" spans="1:17" s="2" customFormat="1" hidden="1" x14ac:dyDescent="0.3">
      <c r="A910">
        <v>909</v>
      </c>
      <c r="B910" s="4"/>
      <c r="C910" s="4"/>
      <c r="D910" s="7" t="s">
        <v>1507</v>
      </c>
      <c r="E910" s="4"/>
      <c r="F910" s="4"/>
      <c r="G910" s="4"/>
      <c r="H910" s="4"/>
      <c r="I910" s="4" t="s">
        <v>834</v>
      </c>
      <c r="J910" s="4" t="s">
        <v>1649</v>
      </c>
      <c r="K910" s="4" t="s">
        <v>17</v>
      </c>
      <c r="L910" s="4">
        <v>2100</v>
      </c>
      <c r="M910" s="4">
        <v>2100</v>
      </c>
      <c r="N910" s="4">
        <v>147</v>
      </c>
      <c r="O910" s="4"/>
      <c r="P910" s="4"/>
    </row>
    <row r="911" spans="1:17" s="2" customFormat="1" hidden="1" x14ac:dyDescent="0.3">
      <c r="A911">
        <v>910</v>
      </c>
      <c r="B911" s="4" t="s">
        <v>901</v>
      </c>
      <c r="C911" s="4" t="s">
        <v>183</v>
      </c>
      <c r="D911" s="4" t="s">
        <v>1339</v>
      </c>
      <c r="E911" s="4"/>
      <c r="F911" s="4"/>
      <c r="G911" s="4"/>
      <c r="H911" s="4"/>
      <c r="I911" s="4" t="s">
        <v>902</v>
      </c>
      <c r="J911" s="4" t="s">
        <v>1184</v>
      </c>
      <c r="K911" s="4" t="s">
        <v>903</v>
      </c>
      <c r="L911" s="4">
        <v>360</v>
      </c>
      <c r="M911" s="4">
        <v>360</v>
      </c>
      <c r="N911" s="4">
        <v>25</v>
      </c>
      <c r="O911" s="4">
        <v>1</v>
      </c>
      <c r="P911" s="4"/>
    </row>
    <row r="912" spans="1:17" s="2" customFormat="1" hidden="1" x14ac:dyDescent="0.3">
      <c r="A912">
        <v>911</v>
      </c>
      <c r="B912" s="4"/>
      <c r="C912" s="4"/>
      <c r="D912" s="4" t="s">
        <v>1524</v>
      </c>
      <c r="E912" s="4"/>
      <c r="F912" s="4"/>
      <c r="G912" s="4"/>
      <c r="H912" s="4"/>
      <c r="I912" s="4" t="s">
        <v>902</v>
      </c>
      <c r="J912" s="4" t="s">
        <v>214</v>
      </c>
      <c r="K912" s="4" t="s">
        <v>904</v>
      </c>
      <c r="L912" s="4">
        <v>700</v>
      </c>
      <c r="M912" s="4">
        <v>700</v>
      </c>
      <c r="N912" s="4">
        <v>49</v>
      </c>
      <c r="O912" s="4"/>
      <c r="P912" s="4"/>
    </row>
    <row r="913" spans="1:17" s="2" customFormat="1" hidden="1" x14ac:dyDescent="0.3">
      <c r="A913">
        <v>912</v>
      </c>
      <c r="B913" s="4"/>
      <c r="C913" s="4"/>
      <c r="D913" s="4" t="s">
        <v>1535</v>
      </c>
      <c r="E913" s="4"/>
      <c r="F913" s="4"/>
      <c r="G913" s="4"/>
      <c r="H913" s="4"/>
      <c r="I913" s="4" t="s">
        <v>902</v>
      </c>
      <c r="J913" s="4" t="s">
        <v>214</v>
      </c>
      <c r="K913" s="4" t="s">
        <v>141</v>
      </c>
      <c r="L913" s="4">
        <v>1000</v>
      </c>
      <c r="M913" s="4">
        <v>1000</v>
      </c>
      <c r="N913" s="4">
        <v>70</v>
      </c>
      <c r="O913" s="4"/>
      <c r="P913" s="4"/>
    </row>
    <row r="914" spans="1:17" s="2" customFormat="1" hidden="1" x14ac:dyDescent="0.3">
      <c r="A914">
        <v>913</v>
      </c>
      <c r="B914" s="4"/>
      <c r="C914" s="4" t="s">
        <v>905</v>
      </c>
      <c r="D914" s="4" t="s">
        <v>1590</v>
      </c>
      <c r="E914" s="4"/>
      <c r="F914" s="4"/>
      <c r="G914" s="4"/>
      <c r="H914" s="4"/>
      <c r="I914" s="4" t="s">
        <v>906</v>
      </c>
      <c r="J914" s="4" t="s">
        <v>214</v>
      </c>
      <c r="K914" s="4" t="s">
        <v>907</v>
      </c>
      <c r="L914" s="4">
        <v>4088</v>
      </c>
      <c r="M914" s="4">
        <v>4088</v>
      </c>
      <c r="N914" s="4">
        <v>286</v>
      </c>
      <c r="O914" s="4">
        <v>1</v>
      </c>
      <c r="P914" s="4"/>
    </row>
    <row r="915" spans="1:17" s="2" customFormat="1" hidden="1" x14ac:dyDescent="0.3">
      <c r="A915">
        <v>914</v>
      </c>
      <c r="B915" s="4"/>
      <c r="C915" s="4"/>
      <c r="D915" s="4" t="s">
        <v>1464</v>
      </c>
      <c r="E915" s="4"/>
      <c r="F915" s="4"/>
      <c r="G915" s="4"/>
      <c r="H915" s="4"/>
      <c r="I915" s="4" t="s">
        <v>906</v>
      </c>
      <c r="J915" s="4" t="s">
        <v>214</v>
      </c>
      <c r="K915" s="4" t="s">
        <v>908</v>
      </c>
      <c r="L915" s="4">
        <v>4600</v>
      </c>
      <c r="M915" s="4">
        <v>4600</v>
      </c>
      <c r="N915" s="4">
        <v>322</v>
      </c>
      <c r="O915" s="4"/>
      <c r="P915" s="4"/>
    </row>
    <row r="916" spans="1:17" s="2" customFormat="1" hidden="1" x14ac:dyDescent="0.3">
      <c r="A916">
        <v>915</v>
      </c>
      <c r="B916" s="4"/>
      <c r="C916" s="4"/>
      <c r="D916" s="4" t="s">
        <v>1351</v>
      </c>
      <c r="E916" s="4"/>
      <c r="F916" s="4"/>
      <c r="G916" s="4"/>
      <c r="H916" s="4"/>
      <c r="I916" s="4" t="s">
        <v>906</v>
      </c>
      <c r="J916" s="4" t="s">
        <v>214</v>
      </c>
      <c r="K916" s="4" t="s">
        <v>909</v>
      </c>
      <c r="L916" s="4">
        <v>3768</v>
      </c>
      <c r="M916" s="4">
        <v>3768</v>
      </c>
      <c r="N916" s="4">
        <v>263</v>
      </c>
      <c r="O916" s="4">
        <v>6</v>
      </c>
      <c r="P916" s="4"/>
    </row>
    <row r="917" spans="1:17" s="2" customFormat="1" hidden="1" x14ac:dyDescent="0.3">
      <c r="A917">
        <v>916</v>
      </c>
      <c r="B917" s="4"/>
      <c r="C917" s="4"/>
      <c r="D917" s="4" t="s">
        <v>1667</v>
      </c>
      <c r="E917" s="4"/>
      <c r="F917" s="4"/>
      <c r="G917" s="4"/>
      <c r="H917" s="4"/>
      <c r="I917" s="4" t="s">
        <v>906</v>
      </c>
      <c r="J917" s="4" t="s">
        <v>214</v>
      </c>
      <c r="K917" s="4" t="s">
        <v>910</v>
      </c>
      <c r="L917" s="13">
        <f>3181*8+7+800</f>
        <v>26255</v>
      </c>
      <c r="M917" s="7">
        <v>41155</v>
      </c>
      <c r="N917" s="7">
        <v>2880</v>
      </c>
      <c r="O917" s="7">
        <v>6</v>
      </c>
      <c r="P917" s="7"/>
    </row>
    <row r="918" spans="1:17" s="2" customFormat="1" hidden="1" x14ac:dyDescent="0.3">
      <c r="A918">
        <v>917</v>
      </c>
      <c r="B918" s="4"/>
      <c r="C918" s="4"/>
      <c r="D918" s="4" t="s">
        <v>1667</v>
      </c>
      <c r="E918" s="4"/>
      <c r="F918" s="4"/>
      <c r="G918" s="4"/>
      <c r="H918" s="4"/>
      <c r="I918" s="4"/>
      <c r="J918" s="4" t="s">
        <v>214</v>
      </c>
      <c r="K918" s="4" t="s">
        <v>911</v>
      </c>
      <c r="L918" s="13">
        <v>12000</v>
      </c>
      <c r="M918" s="7"/>
      <c r="N918" s="7"/>
      <c r="O918" s="7"/>
      <c r="P918" s="7"/>
    </row>
    <row r="919" spans="1:17" s="2" customFormat="1" hidden="1" x14ac:dyDescent="0.3">
      <c r="A919">
        <v>918</v>
      </c>
      <c r="B919" s="4"/>
      <c r="C919" s="4"/>
      <c r="D919" s="4" t="s">
        <v>1667</v>
      </c>
      <c r="E919" s="4"/>
      <c r="F919" s="4"/>
      <c r="G919" s="4"/>
      <c r="H919" s="4"/>
      <c r="I919" s="4"/>
      <c r="J919" s="4" t="s">
        <v>214</v>
      </c>
      <c r="K919" s="4" t="s">
        <v>912</v>
      </c>
      <c r="L919" s="13">
        <v>2900</v>
      </c>
      <c r="M919" s="7"/>
      <c r="N919" s="7"/>
      <c r="O919" s="7"/>
      <c r="P919" s="7"/>
    </row>
    <row r="920" spans="1:17" s="2" customFormat="1" hidden="1" x14ac:dyDescent="0.3">
      <c r="A920">
        <v>919</v>
      </c>
      <c r="B920" s="4"/>
      <c r="C920" s="4"/>
      <c r="D920" s="4" t="s">
        <v>1394</v>
      </c>
      <c r="E920" s="4"/>
      <c r="F920" s="4"/>
      <c r="G920" s="4"/>
      <c r="H920" s="4"/>
      <c r="I920" s="4" t="s">
        <v>906</v>
      </c>
      <c r="J920" s="4" t="s">
        <v>214</v>
      </c>
      <c r="K920" s="4" t="s">
        <v>15</v>
      </c>
      <c r="L920" s="4">
        <v>3000</v>
      </c>
      <c r="M920" s="4">
        <v>3000</v>
      </c>
      <c r="N920" s="4">
        <v>210</v>
      </c>
      <c r="O920" s="4"/>
      <c r="P920" s="4"/>
    </row>
    <row r="921" spans="1:17" s="2" customFormat="1" hidden="1" x14ac:dyDescent="0.3">
      <c r="A921">
        <v>920</v>
      </c>
      <c r="B921" s="4"/>
      <c r="C921" s="4"/>
      <c r="D921" s="4" t="s">
        <v>1428</v>
      </c>
      <c r="E921" s="4"/>
      <c r="F921" s="4"/>
      <c r="G921" s="4"/>
      <c r="H921" s="4"/>
      <c r="I921" s="4" t="s">
        <v>906</v>
      </c>
      <c r="J921" s="4" t="s">
        <v>214</v>
      </c>
      <c r="K921" s="4" t="s">
        <v>913</v>
      </c>
      <c r="L921" s="13">
        <v>10200</v>
      </c>
      <c r="M921" s="7">
        <v>12360</v>
      </c>
      <c r="N921" s="7">
        <v>865</v>
      </c>
      <c r="O921" s="7">
        <v>1</v>
      </c>
      <c r="P921" s="7"/>
    </row>
    <row r="922" spans="1:17" s="2" customFormat="1" hidden="1" x14ac:dyDescent="0.3">
      <c r="A922">
        <v>921</v>
      </c>
      <c r="B922" s="4"/>
      <c r="C922" s="4"/>
      <c r="D922" s="4" t="s">
        <v>1428</v>
      </c>
      <c r="E922" s="4"/>
      <c r="F922" s="4"/>
      <c r="G922" s="4"/>
      <c r="H922" s="4"/>
      <c r="I922" s="4"/>
      <c r="J922" s="4" t="s">
        <v>214</v>
      </c>
      <c r="K922" s="4" t="s">
        <v>914</v>
      </c>
      <c r="L922" s="13">
        <v>2000</v>
      </c>
      <c r="M922" s="7"/>
      <c r="N922" s="7"/>
      <c r="O922" s="7"/>
      <c r="P922" s="7"/>
    </row>
    <row r="923" spans="1:17" s="2" customFormat="1" hidden="1" x14ac:dyDescent="0.3">
      <c r="A923">
        <v>922</v>
      </c>
      <c r="B923" s="4"/>
      <c r="C923" s="4"/>
      <c r="D923" s="4" t="s">
        <v>1428</v>
      </c>
      <c r="E923" s="4"/>
      <c r="F923" s="4"/>
      <c r="G923" s="4"/>
      <c r="H923" s="4"/>
      <c r="I923" s="4"/>
      <c r="J923" s="4" t="s">
        <v>206</v>
      </c>
      <c r="K923" s="4" t="s">
        <v>479</v>
      </c>
      <c r="L923" s="13">
        <f>20*8</f>
        <v>160</v>
      </c>
      <c r="M923" s="7"/>
      <c r="N923" s="7"/>
      <c r="O923" s="7"/>
      <c r="P923" s="7"/>
    </row>
    <row r="924" spans="1:17" s="2" customFormat="1" hidden="1" x14ac:dyDescent="0.3">
      <c r="A924">
        <v>923</v>
      </c>
      <c r="B924" s="4"/>
      <c r="C924" s="4"/>
      <c r="D924" s="4" t="s">
        <v>1621</v>
      </c>
      <c r="E924" s="4"/>
      <c r="F924" s="4"/>
      <c r="G924" s="4"/>
      <c r="H924" s="4"/>
      <c r="I924" s="4" t="s">
        <v>906</v>
      </c>
      <c r="J924" s="4" t="s">
        <v>214</v>
      </c>
      <c r="K924" s="4" t="s">
        <v>915</v>
      </c>
      <c r="L924" s="13">
        <f>1072*8</f>
        <v>8576</v>
      </c>
      <c r="M924" s="7">
        <v>8976</v>
      </c>
      <c r="N924" s="7">
        <v>628</v>
      </c>
      <c r="O924" s="7">
        <v>3</v>
      </c>
      <c r="P924" s="7"/>
    </row>
    <row r="925" spans="1:17" s="2" customFormat="1" hidden="1" x14ac:dyDescent="0.3">
      <c r="A925">
        <v>924</v>
      </c>
      <c r="B925" s="4"/>
      <c r="C925" s="4"/>
      <c r="D925" s="4" t="s">
        <v>1621</v>
      </c>
      <c r="E925" s="4"/>
      <c r="F925" s="4"/>
      <c r="G925" s="4"/>
      <c r="H925" s="4"/>
      <c r="I925" s="4"/>
      <c r="J925" s="4" t="s">
        <v>214</v>
      </c>
      <c r="K925" s="5" t="s">
        <v>916</v>
      </c>
      <c r="L925" s="13">
        <v>400</v>
      </c>
      <c r="M925" s="7"/>
      <c r="N925" s="7"/>
      <c r="O925" s="7"/>
      <c r="P925" s="7"/>
    </row>
    <row r="926" spans="1:17" s="2" customFormat="1" hidden="1" x14ac:dyDescent="0.3">
      <c r="A926">
        <v>925</v>
      </c>
      <c r="B926" s="4"/>
      <c r="C926" s="4"/>
      <c r="D926" s="4" t="s">
        <v>1639</v>
      </c>
      <c r="E926" s="4"/>
      <c r="F926" s="4"/>
      <c r="G926" s="4"/>
      <c r="H926" s="4"/>
      <c r="I926" s="4" t="s">
        <v>906</v>
      </c>
      <c r="J926" s="4" t="s">
        <v>214</v>
      </c>
      <c r="K926" s="4" t="s">
        <v>917</v>
      </c>
      <c r="L926" s="4">
        <v>4419</v>
      </c>
      <c r="M926" s="4">
        <v>4419</v>
      </c>
      <c r="N926" s="4">
        <v>309</v>
      </c>
      <c r="O926" s="4">
        <v>3</v>
      </c>
      <c r="P926" s="4"/>
    </row>
    <row r="927" spans="1:17" s="2" customFormat="1" hidden="1" x14ac:dyDescent="0.3">
      <c r="A927">
        <v>926</v>
      </c>
      <c r="B927" s="4" t="s">
        <v>918</v>
      </c>
      <c r="C927" s="4" t="s">
        <v>21</v>
      </c>
      <c r="D927" s="4" t="s">
        <v>1344</v>
      </c>
      <c r="E927" s="4"/>
      <c r="F927" s="4"/>
      <c r="G927" s="4"/>
      <c r="H927" s="4"/>
      <c r="I927" s="4" t="s">
        <v>919</v>
      </c>
      <c r="J927" s="4" t="s">
        <v>214</v>
      </c>
      <c r="K927" s="4" t="s">
        <v>141</v>
      </c>
      <c r="L927" s="4">
        <v>1000</v>
      </c>
      <c r="M927" s="4">
        <v>1000</v>
      </c>
      <c r="N927" s="4">
        <v>70</v>
      </c>
      <c r="O927" s="4"/>
      <c r="P927" s="4"/>
    </row>
    <row r="928" spans="1:17" s="2" customFormat="1" hidden="1" x14ac:dyDescent="0.3">
      <c r="A928">
        <v>927</v>
      </c>
      <c r="B928" s="4"/>
      <c r="C928" s="4"/>
      <c r="D928" s="4" t="s">
        <v>1639</v>
      </c>
      <c r="E928" s="4"/>
      <c r="F928" s="4"/>
      <c r="G928" s="4"/>
      <c r="H928" s="4"/>
      <c r="I928" s="4" t="s">
        <v>906</v>
      </c>
      <c r="J928" s="4" t="s">
        <v>206</v>
      </c>
      <c r="K928" s="4" t="s">
        <v>921</v>
      </c>
      <c r="L928" s="13">
        <f>609*8+5</f>
        <v>4877</v>
      </c>
      <c r="M928" s="7">
        <v>6189</v>
      </c>
      <c r="N928" s="7">
        <v>433</v>
      </c>
      <c r="O928" s="7">
        <v>1</v>
      </c>
      <c r="P928" s="7"/>
      <c r="Q928" t="s">
        <v>920</v>
      </c>
    </row>
    <row r="929" spans="1:17" s="2" customFormat="1" hidden="1" x14ac:dyDescent="0.3">
      <c r="A929">
        <v>928</v>
      </c>
      <c r="B929" s="4"/>
      <c r="C929" s="4"/>
      <c r="D929" s="4" t="s">
        <v>1639</v>
      </c>
      <c r="E929" s="4"/>
      <c r="F929" s="4"/>
      <c r="G929" s="4"/>
      <c r="H929" s="4"/>
      <c r="I929" s="4"/>
      <c r="J929" s="4" t="s">
        <v>1185</v>
      </c>
      <c r="K929" s="4" t="s">
        <v>922</v>
      </c>
      <c r="L929" s="13">
        <f>164*8</f>
        <v>1312</v>
      </c>
      <c r="M929" s="7"/>
      <c r="N929" s="7"/>
      <c r="O929" s="7"/>
      <c r="P929" s="7"/>
      <c r="Q929"/>
    </row>
    <row r="930" spans="1:17" s="2" customFormat="1" hidden="1" x14ac:dyDescent="0.3">
      <c r="A930">
        <v>929</v>
      </c>
      <c r="B930" s="4"/>
      <c r="C930" s="4"/>
      <c r="D930" s="4" t="s">
        <v>1378</v>
      </c>
      <c r="E930" s="4"/>
      <c r="F930" s="4"/>
      <c r="G930" s="4"/>
      <c r="H930" s="4"/>
      <c r="I930" s="4" t="s">
        <v>906</v>
      </c>
      <c r="J930" s="4" t="s">
        <v>1184</v>
      </c>
      <c r="K930" s="4" t="s">
        <v>923</v>
      </c>
      <c r="L930" s="4">
        <v>270</v>
      </c>
      <c r="M930" s="4">
        <v>270</v>
      </c>
      <c r="N930" s="4">
        <v>19</v>
      </c>
      <c r="O930" s="4"/>
      <c r="P930" s="4"/>
    </row>
    <row r="931" spans="1:17" s="2" customFormat="1" hidden="1" x14ac:dyDescent="0.3">
      <c r="A931">
        <v>930</v>
      </c>
      <c r="B931" s="4"/>
      <c r="C931" s="4"/>
      <c r="D931" s="4" t="s">
        <v>1608</v>
      </c>
      <c r="E931" s="4"/>
      <c r="F931" s="4"/>
      <c r="G931" s="4"/>
      <c r="H931" s="4"/>
      <c r="I931" s="4" t="s">
        <v>924</v>
      </c>
      <c r="J931" s="4" t="s">
        <v>214</v>
      </c>
      <c r="K931" s="4" t="s">
        <v>925</v>
      </c>
      <c r="L931" s="4">
        <v>430</v>
      </c>
      <c r="M931" s="4">
        <v>430</v>
      </c>
      <c r="N931" s="4">
        <v>30</v>
      </c>
      <c r="O931" s="4"/>
      <c r="P931" s="4"/>
    </row>
    <row r="932" spans="1:17" s="2" customFormat="1" hidden="1" x14ac:dyDescent="0.3">
      <c r="A932">
        <v>931</v>
      </c>
      <c r="B932" s="4"/>
      <c r="C932" s="4"/>
      <c r="D932" s="4" t="s">
        <v>1334</v>
      </c>
      <c r="E932" s="4"/>
      <c r="F932" s="4"/>
      <c r="G932" s="4"/>
      <c r="H932" s="4"/>
      <c r="I932" s="4" t="s">
        <v>924</v>
      </c>
      <c r="J932" s="4" t="s">
        <v>214</v>
      </c>
      <c r="K932" s="4" t="s">
        <v>926</v>
      </c>
      <c r="L932" s="4">
        <v>100</v>
      </c>
      <c r="M932" s="4">
        <v>100</v>
      </c>
      <c r="N932" s="4">
        <v>7</v>
      </c>
      <c r="O932" s="4"/>
      <c r="P932" s="4"/>
    </row>
    <row r="933" spans="1:17" s="2" customFormat="1" hidden="1" x14ac:dyDescent="0.3">
      <c r="A933">
        <v>932</v>
      </c>
      <c r="B933" s="4"/>
      <c r="C933" s="4"/>
      <c r="D933" s="4" t="s">
        <v>1423</v>
      </c>
      <c r="E933" s="4" t="s">
        <v>1424</v>
      </c>
      <c r="F933" s="4"/>
      <c r="G933" s="4"/>
      <c r="H933" s="4"/>
      <c r="I933" s="4" t="s">
        <v>924</v>
      </c>
      <c r="J933" s="4" t="s">
        <v>214</v>
      </c>
      <c r="K933" s="4" t="s">
        <v>927</v>
      </c>
      <c r="L933" s="13">
        <v>1650</v>
      </c>
      <c r="M933" s="7">
        <v>2210</v>
      </c>
      <c r="N933" s="7">
        <v>154</v>
      </c>
      <c r="O933" s="7">
        <v>6</v>
      </c>
      <c r="P933" s="7"/>
    </row>
    <row r="934" spans="1:17" s="2" customFormat="1" hidden="1" x14ac:dyDescent="0.3">
      <c r="A934">
        <v>933</v>
      </c>
      <c r="B934" s="4"/>
      <c r="C934" s="4"/>
      <c r="D934" s="4" t="s">
        <v>1423</v>
      </c>
      <c r="E934" s="4" t="s">
        <v>1424</v>
      </c>
      <c r="F934" s="4"/>
      <c r="G934" s="4"/>
      <c r="H934" s="4"/>
      <c r="I934" s="4"/>
      <c r="J934" s="4" t="s">
        <v>214</v>
      </c>
      <c r="K934" s="4" t="s">
        <v>928</v>
      </c>
      <c r="L934" s="13">
        <f>70*8</f>
        <v>560</v>
      </c>
      <c r="M934" s="7"/>
      <c r="N934" s="7"/>
      <c r="O934" s="7"/>
      <c r="P934" s="7"/>
    </row>
    <row r="935" spans="1:17" s="2" customFormat="1" hidden="1" x14ac:dyDescent="0.3">
      <c r="A935">
        <v>934</v>
      </c>
      <c r="B935" s="4"/>
      <c r="C935" s="4"/>
      <c r="D935" s="4" t="s">
        <v>1602</v>
      </c>
      <c r="E935" s="4"/>
      <c r="F935" s="4"/>
      <c r="G935" s="4"/>
      <c r="H935" s="4"/>
      <c r="I935" s="4" t="s">
        <v>924</v>
      </c>
      <c r="J935" s="4" t="s">
        <v>214</v>
      </c>
      <c r="K935" s="4" t="s">
        <v>929</v>
      </c>
      <c r="L935" s="4">
        <v>5000</v>
      </c>
      <c r="M935" s="4">
        <v>5000</v>
      </c>
      <c r="N935" s="4">
        <v>350</v>
      </c>
      <c r="O935" s="4"/>
      <c r="P935" s="4"/>
    </row>
    <row r="936" spans="1:17" s="2" customFormat="1" hidden="1" x14ac:dyDescent="0.3">
      <c r="A936">
        <v>935</v>
      </c>
      <c r="B936" s="4"/>
      <c r="C936" s="4" t="s">
        <v>21</v>
      </c>
      <c r="D936" s="4" t="s">
        <v>1294</v>
      </c>
      <c r="E936" s="4"/>
      <c r="F936" s="4"/>
      <c r="G936" s="4"/>
      <c r="H936" s="4"/>
      <c r="I936" s="4" t="s">
        <v>924</v>
      </c>
      <c r="J936" s="4" t="s">
        <v>206</v>
      </c>
      <c r="K936" s="4" t="s">
        <v>930</v>
      </c>
      <c r="L936" s="13">
        <f>2959*8+7</f>
        <v>23679</v>
      </c>
      <c r="M936" s="7">
        <v>108259</v>
      </c>
      <c r="N936" s="7">
        <v>7578</v>
      </c>
      <c r="O936" s="7">
        <v>1</v>
      </c>
      <c r="P936" s="7"/>
    </row>
    <row r="937" spans="1:17" s="2" customFormat="1" hidden="1" x14ac:dyDescent="0.3">
      <c r="A937">
        <v>936</v>
      </c>
      <c r="B937" s="4"/>
      <c r="C937" s="4"/>
      <c r="D937" s="4" t="s">
        <v>1294</v>
      </c>
      <c r="E937" s="4"/>
      <c r="F937" s="4"/>
      <c r="G937" s="4"/>
      <c r="H937" s="4"/>
      <c r="I937" s="4"/>
      <c r="J937" s="4" t="s">
        <v>214</v>
      </c>
      <c r="K937" s="4" t="s">
        <v>676</v>
      </c>
      <c r="L937" s="13">
        <v>2600</v>
      </c>
      <c r="M937" s="7"/>
      <c r="N937" s="7"/>
      <c r="O937" s="7"/>
      <c r="P937" s="7"/>
    </row>
    <row r="938" spans="1:17" s="2" customFormat="1" hidden="1" x14ac:dyDescent="0.3">
      <c r="A938">
        <v>937</v>
      </c>
      <c r="B938" s="4"/>
      <c r="C938" s="4"/>
      <c r="D938" s="4" t="s">
        <v>1294</v>
      </c>
      <c r="E938" s="4"/>
      <c r="F938" s="4"/>
      <c r="G938" s="4"/>
      <c r="H938" s="4"/>
      <c r="I938" s="4"/>
      <c r="J938" s="4" t="s">
        <v>214</v>
      </c>
      <c r="K938" s="4" t="s">
        <v>931</v>
      </c>
      <c r="L938" s="13">
        <v>62500</v>
      </c>
      <c r="M938" s="7"/>
      <c r="N938" s="7"/>
      <c r="O938" s="7"/>
      <c r="P938" s="7"/>
    </row>
    <row r="939" spans="1:17" s="2" customFormat="1" hidden="1" x14ac:dyDescent="0.3">
      <c r="A939">
        <v>938</v>
      </c>
      <c r="B939" s="4"/>
      <c r="C939" s="4"/>
      <c r="D939" s="4" t="s">
        <v>1294</v>
      </c>
      <c r="E939" s="4"/>
      <c r="F939" s="4"/>
      <c r="G939" s="4"/>
      <c r="H939" s="4"/>
      <c r="I939" s="4"/>
      <c r="J939" s="4" t="s">
        <v>1185</v>
      </c>
      <c r="K939" s="4" t="s">
        <v>932</v>
      </c>
      <c r="L939" s="13">
        <f>2435*8</f>
        <v>19480</v>
      </c>
      <c r="M939" s="7"/>
      <c r="N939" s="7"/>
      <c r="O939" s="7"/>
      <c r="P939" s="7"/>
    </row>
    <row r="940" spans="1:17" s="2" customFormat="1" hidden="1" x14ac:dyDescent="0.3">
      <c r="A940">
        <v>939</v>
      </c>
      <c r="B940" s="4"/>
      <c r="C940" s="4"/>
      <c r="D940" s="4" t="s">
        <v>1495</v>
      </c>
      <c r="E940" s="4"/>
      <c r="F940" s="4"/>
      <c r="G940" s="4"/>
      <c r="H940" s="4"/>
      <c r="I940" s="4" t="s">
        <v>933</v>
      </c>
      <c r="J940" s="4" t="s">
        <v>1649</v>
      </c>
      <c r="K940" s="4" t="s">
        <v>934</v>
      </c>
      <c r="L940" s="4">
        <v>4950</v>
      </c>
      <c r="M940" s="4">
        <v>4950</v>
      </c>
      <c r="N940" s="4">
        <v>346</v>
      </c>
      <c r="O940" s="4">
        <v>4</v>
      </c>
      <c r="P940" s="4"/>
    </row>
    <row r="941" spans="1:17" s="2" customFormat="1" hidden="1" x14ac:dyDescent="0.3">
      <c r="A941">
        <v>940</v>
      </c>
      <c r="B941" s="4" t="s">
        <v>935</v>
      </c>
      <c r="C941" s="4" t="s">
        <v>21</v>
      </c>
      <c r="D941" s="4" t="s">
        <v>1502</v>
      </c>
      <c r="E941" s="4"/>
      <c r="F941" s="4"/>
      <c r="G941" s="4"/>
      <c r="H941" s="4"/>
      <c r="I941" s="4" t="s">
        <v>924</v>
      </c>
      <c r="J941" s="4" t="s">
        <v>206</v>
      </c>
      <c r="K941" s="4" t="s">
        <v>936</v>
      </c>
      <c r="L941" s="13">
        <f>4168*8+3+4</f>
        <v>33351</v>
      </c>
      <c r="M941" s="7">
        <v>42605</v>
      </c>
      <c r="N941" s="7">
        <v>2982</v>
      </c>
      <c r="O941" s="7"/>
      <c r="P941" s="7"/>
    </row>
    <row r="942" spans="1:17" s="2" customFormat="1" hidden="1" x14ac:dyDescent="0.3">
      <c r="A942">
        <v>941</v>
      </c>
      <c r="B942" s="4"/>
      <c r="C942" s="4"/>
      <c r="D942" s="4" t="s">
        <v>1502</v>
      </c>
      <c r="E942" s="4"/>
      <c r="F942" s="4"/>
      <c r="G942" s="4"/>
      <c r="H942" s="4"/>
      <c r="I942" s="4"/>
      <c r="J942" s="4" t="s">
        <v>1185</v>
      </c>
      <c r="K942" s="4" t="s">
        <v>937</v>
      </c>
      <c r="L942" s="13">
        <f>1156*8+6</f>
        <v>9254</v>
      </c>
      <c r="M942" s="7"/>
      <c r="N942" s="7"/>
      <c r="O942" s="7"/>
      <c r="P942" s="7"/>
    </row>
    <row r="943" spans="1:17" s="2" customFormat="1" hidden="1" x14ac:dyDescent="0.3">
      <c r="A943">
        <v>942</v>
      </c>
      <c r="B943" s="4"/>
      <c r="C943" s="4" t="s">
        <v>21</v>
      </c>
      <c r="D943" s="4" t="s">
        <v>1630</v>
      </c>
      <c r="E943" s="4"/>
      <c r="F943" s="4"/>
      <c r="G943" s="4"/>
      <c r="H943" s="4"/>
      <c r="I943" s="4" t="s">
        <v>924</v>
      </c>
      <c r="J943" s="4" t="s">
        <v>1184</v>
      </c>
      <c r="K943" s="4" t="s">
        <v>938</v>
      </c>
      <c r="L943" s="4">
        <v>882</v>
      </c>
      <c r="M943" s="4">
        <v>882</v>
      </c>
      <c r="N943" s="4">
        <v>61</v>
      </c>
      <c r="O943" s="4">
        <v>6</v>
      </c>
      <c r="P943" s="4"/>
    </row>
    <row r="944" spans="1:17" s="2" customFormat="1" hidden="1" x14ac:dyDescent="0.3">
      <c r="A944">
        <v>943</v>
      </c>
      <c r="B944" s="4"/>
      <c r="C944" s="4" t="s">
        <v>21</v>
      </c>
      <c r="D944" s="4" t="s">
        <v>1538</v>
      </c>
      <c r="E944" s="4"/>
      <c r="F944" s="4"/>
      <c r="G944" s="4"/>
      <c r="H944" s="4"/>
      <c r="I944" s="4" t="s">
        <v>939</v>
      </c>
      <c r="J944" s="4" t="s">
        <v>206</v>
      </c>
      <c r="K944" s="4" t="s">
        <v>940</v>
      </c>
      <c r="L944" s="4">
        <v>2400</v>
      </c>
      <c r="M944" s="4">
        <v>2400</v>
      </c>
      <c r="N944" s="4">
        <v>168</v>
      </c>
      <c r="O944" s="4"/>
      <c r="P944" s="4"/>
    </row>
    <row r="945" spans="1:17" s="2" customFormat="1" hidden="1" x14ac:dyDescent="0.3">
      <c r="A945">
        <v>944</v>
      </c>
      <c r="B945" s="4"/>
      <c r="C945" s="4"/>
      <c r="D945" s="4" t="s">
        <v>1367</v>
      </c>
      <c r="E945" s="4"/>
      <c r="F945" s="4"/>
      <c r="G945" s="4"/>
      <c r="H945" s="4"/>
      <c r="I945" s="4" t="s">
        <v>939</v>
      </c>
      <c r="J945" s="4" t="s">
        <v>1185</v>
      </c>
      <c r="K945" s="4" t="s">
        <v>941</v>
      </c>
      <c r="L945" s="13">
        <f>2727*8+6</f>
        <v>21822</v>
      </c>
      <c r="M945" s="7">
        <v>37222</v>
      </c>
      <c r="N945" s="7">
        <v>2605</v>
      </c>
      <c r="O945" s="7">
        <v>4</v>
      </c>
      <c r="P945" s="7"/>
    </row>
    <row r="946" spans="1:17" s="2" customFormat="1" hidden="1" x14ac:dyDescent="0.3">
      <c r="A946">
        <v>945</v>
      </c>
      <c r="B946" s="4"/>
      <c r="C946" s="4"/>
      <c r="D946" s="4" t="s">
        <v>1367</v>
      </c>
      <c r="E946" s="4"/>
      <c r="F946" s="4"/>
      <c r="G946" s="4"/>
      <c r="H946" s="4"/>
      <c r="I946" s="4"/>
      <c r="J946" s="4" t="s">
        <v>214</v>
      </c>
      <c r="K946" s="4" t="s">
        <v>942</v>
      </c>
      <c r="L946" s="13">
        <f>2500*6</f>
        <v>15000</v>
      </c>
      <c r="M946" s="7"/>
      <c r="N946" s="7"/>
      <c r="O946" s="7"/>
      <c r="P946" s="7"/>
    </row>
    <row r="947" spans="1:17" s="2" customFormat="1" hidden="1" x14ac:dyDescent="0.3">
      <c r="A947">
        <v>946</v>
      </c>
      <c r="B947" s="4"/>
      <c r="C947" s="4"/>
      <c r="D947" s="4" t="s">
        <v>1367</v>
      </c>
      <c r="E947" s="4"/>
      <c r="F947" s="4"/>
      <c r="G947" s="4"/>
      <c r="H947" s="4"/>
      <c r="I947" s="4"/>
      <c r="J947" s="4" t="s">
        <v>206</v>
      </c>
      <c r="K947" s="4" t="s">
        <v>700</v>
      </c>
      <c r="L947" s="13">
        <f>50*8</f>
        <v>400</v>
      </c>
      <c r="M947" s="7"/>
      <c r="N947" s="7"/>
      <c r="O947" s="7"/>
      <c r="P947" s="7"/>
    </row>
    <row r="948" spans="1:17" s="2" customFormat="1" hidden="1" x14ac:dyDescent="0.3">
      <c r="A948">
        <v>947</v>
      </c>
      <c r="B948" s="4"/>
      <c r="C948" s="4" t="s">
        <v>21</v>
      </c>
      <c r="D948" s="4" t="s">
        <v>1364</v>
      </c>
      <c r="E948" s="4"/>
      <c r="F948" s="4"/>
      <c r="G948" s="4"/>
      <c r="H948" s="4"/>
      <c r="I948" s="4" t="s">
        <v>939</v>
      </c>
      <c r="J948" s="4" t="s">
        <v>214</v>
      </c>
      <c r="K948" s="4" t="s">
        <v>943</v>
      </c>
      <c r="L948" s="4">
        <v>22500</v>
      </c>
      <c r="M948" s="4">
        <v>22500</v>
      </c>
      <c r="N948" s="4">
        <v>1575</v>
      </c>
      <c r="O948" s="4"/>
      <c r="P948" s="4"/>
    </row>
    <row r="949" spans="1:17" s="2" customFormat="1" hidden="1" x14ac:dyDescent="0.3">
      <c r="A949">
        <v>948</v>
      </c>
      <c r="B949" s="4"/>
      <c r="C949" s="4"/>
      <c r="D949" s="4" t="s">
        <v>1635</v>
      </c>
      <c r="E949" s="4"/>
      <c r="F949" s="4"/>
      <c r="G949" s="4"/>
      <c r="H949" s="4"/>
      <c r="I949" s="4" t="s">
        <v>939</v>
      </c>
      <c r="J949" s="4" t="s">
        <v>214</v>
      </c>
      <c r="K949" s="4" t="s">
        <v>15</v>
      </c>
      <c r="L949" s="4">
        <v>1000</v>
      </c>
      <c r="M949" s="4">
        <v>1000</v>
      </c>
      <c r="N949" s="4">
        <v>70</v>
      </c>
      <c r="O949" s="4"/>
      <c r="P949" s="4"/>
    </row>
    <row r="950" spans="1:17" s="2" customFormat="1" hidden="1" x14ac:dyDescent="0.3">
      <c r="A950">
        <v>949</v>
      </c>
      <c r="B950" s="4"/>
      <c r="C950" s="4"/>
      <c r="D950" s="4" t="s">
        <v>1551</v>
      </c>
      <c r="E950" s="4"/>
      <c r="F950" s="4"/>
      <c r="G950" s="4"/>
      <c r="H950" s="4"/>
      <c r="I950" s="4" t="s">
        <v>939</v>
      </c>
      <c r="J950" s="4" t="s">
        <v>214</v>
      </c>
      <c r="K950" s="4" t="s">
        <v>15</v>
      </c>
      <c r="L950" s="4">
        <v>400</v>
      </c>
      <c r="M950" s="4">
        <v>400</v>
      </c>
      <c r="N950" s="4">
        <v>28</v>
      </c>
      <c r="O950" s="4"/>
      <c r="P950" s="4"/>
    </row>
    <row r="951" spans="1:17" s="2" customFormat="1" hidden="1" x14ac:dyDescent="0.3">
      <c r="A951">
        <v>950</v>
      </c>
      <c r="B951" s="4"/>
      <c r="C951" s="4"/>
      <c r="D951" s="4" t="s">
        <v>1343</v>
      </c>
      <c r="E951" s="4"/>
      <c r="F951" s="4"/>
      <c r="G951" s="4"/>
      <c r="H951" s="4"/>
      <c r="I951" s="4" t="s">
        <v>939</v>
      </c>
      <c r="J951" s="4" t="s">
        <v>214</v>
      </c>
      <c r="K951" s="4" t="s">
        <v>240</v>
      </c>
      <c r="L951" s="13">
        <v>600</v>
      </c>
      <c r="M951" s="7">
        <v>1160</v>
      </c>
      <c r="N951" s="7">
        <v>81</v>
      </c>
      <c r="O951" s="7">
        <v>1</v>
      </c>
      <c r="P951" s="7"/>
    </row>
    <row r="952" spans="1:17" s="2" customFormat="1" hidden="1" x14ac:dyDescent="0.3">
      <c r="A952">
        <v>951</v>
      </c>
      <c r="B952" s="4"/>
      <c r="C952" s="4"/>
      <c r="D952" s="4" t="s">
        <v>1343</v>
      </c>
      <c r="E952" s="4"/>
      <c r="F952" s="4"/>
      <c r="G952" s="4"/>
      <c r="H952" s="4"/>
      <c r="I952" s="4"/>
      <c r="J952" s="4" t="s">
        <v>206</v>
      </c>
      <c r="K952" s="4" t="s">
        <v>944</v>
      </c>
      <c r="L952" s="13">
        <f>70*8</f>
        <v>560</v>
      </c>
      <c r="M952" s="7"/>
      <c r="N952" s="7"/>
      <c r="O952" s="7"/>
      <c r="P952" s="7"/>
    </row>
    <row r="953" spans="1:17" s="2" customFormat="1" hidden="1" x14ac:dyDescent="0.3">
      <c r="A953">
        <v>952</v>
      </c>
      <c r="B953" s="4"/>
      <c r="C953" s="4"/>
      <c r="D953" s="4" t="s">
        <v>1448</v>
      </c>
      <c r="E953" s="4"/>
      <c r="F953" s="4"/>
      <c r="G953" s="4"/>
      <c r="H953" s="4"/>
      <c r="I953" s="4" t="s">
        <v>945</v>
      </c>
      <c r="J953" s="4" t="s">
        <v>214</v>
      </c>
      <c r="K953" s="4" t="s">
        <v>946</v>
      </c>
      <c r="L953" s="4">
        <v>2500</v>
      </c>
      <c r="M953" s="4">
        <v>2500</v>
      </c>
      <c r="N953" s="4">
        <v>175</v>
      </c>
      <c r="O953" s="4"/>
      <c r="P953" s="4"/>
    </row>
    <row r="954" spans="1:17" s="2" customFormat="1" hidden="1" x14ac:dyDescent="0.3">
      <c r="A954">
        <v>953</v>
      </c>
      <c r="B954" s="4"/>
      <c r="C954" s="4"/>
      <c r="D954" s="4" t="s">
        <v>1601</v>
      </c>
      <c r="E954" s="4"/>
      <c r="F954" s="4"/>
      <c r="G954" s="4"/>
      <c r="H954" s="4"/>
      <c r="I954" s="4" t="s">
        <v>761</v>
      </c>
      <c r="J954" s="4" t="s">
        <v>1184</v>
      </c>
      <c r="K954" s="4" t="s">
        <v>947</v>
      </c>
      <c r="L954" s="4">
        <v>270</v>
      </c>
      <c r="M954" s="4">
        <v>270</v>
      </c>
      <c r="N954" s="4">
        <v>19</v>
      </c>
      <c r="O954" s="4"/>
      <c r="P954" s="4"/>
    </row>
    <row r="955" spans="1:17" s="2" customFormat="1" ht="43.2" hidden="1" x14ac:dyDescent="0.3">
      <c r="A955">
        <v>954</v>
      </c>
      <c r="B955" s="4"/>
      <c r="C955" s="5" t="s">
        <v>948</v>
      </c>
      <c r="D955" s="4" t="s">
        <v>1513</v>
      </c>
      <c r="E955" s="4"/>
      <c r="F955" s="4"/>
      <c r="G955" s="4"/>
      <c r="H955" s="4"/>
      <c r="I955" s="4" t="s">
        <v>945</v>
      </c>
      <c r="J955" s="4" t="s">
        <v>1185</v>
      </c>
      <c r="K955" s="4" t="s">
        <v>950</v>
      </c>
      <c r="L955" s="13">
        <f>7680*8</f>
        <v>61440</v>
      </c>
      <c r="M955" s="7">
        <v>100140</v>
      </c>
      <c r="N955" s="7">
        <v>7009</v>
      </c>
      <c r="O955" s="4"/>
      <c r="P955" s="4"/>
      <c r="Q955" s="2" t="s">
        <v>949</v>
      </c>
    </row>
    <row r="956" spans="1:17" s="2" customFormat="1" hidden="1" x14ac:dyDescent="0.3">
      <c r="A956">
        <v>955</v>
      </c>
      <c r="B956" s="4"/>
      <c r="C956" s="4"/>
      <c r="D956" s="4" t="s">
        <v>1513</v>
      </c>
      <c r="E956" s="4"/>
      <c r="F956" s="4"/>
      <c r="G956" s="4"/>
      <c r="H956" s="4"/>
      <c r="I956" s="4"/>
      <c r="J956" s="4" t="s">
        <v>214</v>
      </c>
      <c r="K956" s="4" t="s">
        <v>951</v>
      </c>
      <c r="L956" s="13">
        <f>19*2000</f>
        <v>38000</v>
      </c>
      <c r="M956" s="7"/>
      <c r="N956" s="7"/>
      <c r="O956" s="4"/>
      <c r="P956" s="4"/>
    </row>
    <row r="957" spans="1:17" s="2" customFormat="1" hidden="1" x14ac:dyDescent="0.3">
      <c r="A957">
        <v>956</v>
      </c>
      <c r="B957" s="4"/>
      <c r="C957" s="4"/>
      <c r="D957" s="4" t="s">
        <v>1513</v>
      </c>
      <c r="E957" s="4"/>
      <c r="F957" s="4"/>
      <c r="G957" s="4"/>
      <c r="H957" s="4"/>
      <c r="I957" s="4"/>
      <c r="J957" s="4" t="s">
        <v>214</v>
      </c>
      <c r="K957" s="4" t="s">
        <v>952</v>
      </c>
      <c r="L957" s="13">
        <v>700</v>
      </c>
      <c r="M957" s="7"/>
      <c r="N957" s="7"/>
      <c r="O957" s="4"/>
      <c r="P957" s="4"/>
    </row>
    <row r="958" spans="1:17" s="2" customFormat="1" hidden="1" x14ac:dyDescent="0.3">
      <c r="A958">
        <v>957</v>
      </c>
      <c r="B958" s="4" t="s">
        <v>953</v>
      </c>
      <c r="C958" s="4"/>
      <c r="D958" s="4" t="s">
        <v>1348</v>
      </c>
      <c r="E958" s="4"/>
      <c r="F958" s="4"/>
      <c r="G958" s="4"/>
      <c r="H958" s="4"/>
      <c r="I958" s="4" t="s">
        <v>954</v>
      </c>
      <c r="J958" s="4" t="s">
        <v>214</v>
      </c>
      <c r="K958" s="4" t="s">
        <v>955</v>
      </c>
      <c r="L958" s="4">
        <v>2500</v>
      </c>
      <c r="M958" s="4">
        <v>2500</v>
      </c>
      <c r="N958" s="4">
        <v>175</v>
      </c>
      <c r="O958" s="4"/>
      <c r="P958" s="4"/>
    </row>
    <row r="959" spans="1:17" s="2" customFormat="1" hidden="1" x14ac:dyDescent="0.3">
      <c r="A959">
        <v>958</v>
      </c>
      <c r="B959" s="4"/>
      <c r="C959" s="4"/>
      <c r="D959" s="4" t="s">
        <v>1577</v>
      </c>
      <c r="E959" s="4"/>
      <c r="F959" s="4"/>
      <c r="G959" s="4"/>
      <c r="H959" s="4"/>
      <c r="I959" s="4" t="s">
        <v>954</v>
      </c>
      <c r="J959" s="4" t="s">
        <v>1185</v>
      </c>
      <c r="K959" s="4" t="s">
        <v>956</v>
      </c>
      <c r="L959" s="4">
        <v>5120</v>
      </c>
      <c r="M959" s="4">
        <v>5120</v>
      </c>
      <c r="N959" s="4">
        <v>358</v>
      </c>
      <c r="O959" s="4">
        <v>4</v>
      </c>
      <c r="P959" s="4"/>
    </row>
    <row r="960" spans="1:17" s="2" customFormat="1" hidden="1" x14ac:dyDescent="0.3">
      <c r="A960">
        <v>959</v>
      </c>
      <c r="B960" s="4"/>
      <c r="C960" s="4" t="s">
        <v>678</v>
      </c>
      <c r="D960" s="4" t="s">
        <v>1341</v>
      </c>
      <c r="E960" s="4" t="s">
        <v>1338</v>
      </c>
      <c r="F960" s="4"/>
      <c r="G960" s="4"/>
      <c r="H960" s="4"/>
      <c r="I960" s="4" t="s">
        <v>954</v>
      </c>
      <c r="J960" s="4" t="s">
        <v>214</v>
      </c>
      <c r="K960" s="4" t="s">
        <v>15</v>
      </c>
      <c r="L960" s="4">
        <v>2800</v>
      </c>
      <c r="M960" s="4">
        <v>2800</v>
      </c>
      <c r="N960" s="4">
        <v>196</v>
      </c>
      <c r="O960" s="4"/>
      <c r="P960" s="4"/>
    </row>
    <row r="961" spans="1:17" s="2" customFormat="1" hidden="1" x14ac:dyDescent="0.3">
      <c r="A961">
        <v>960</v>
      </c>
      <c r="B961" s="4"/>
      <c r="C961" s="4"/>
      <c r="D961" s="4" t="s">
        <v>1367</v>
      </c>
      <c r="E961" s="4"/>
      <c r="F961" s="4"/>
      <c r="G961" s="4"/>
      <c r="H961" s="4"/>
      <c r="I961" s="4" t="s">
        <v>957</v>
      </c>
      <c r="J961" s="4" t="s">
        <v>214</v>
      </c>
      <c r="K961" s="4" t="s">
        <v>958</v>
      </c>
      <c r="L961" s="13">
        <f>2500*6</f>
        <v>15000</v>
      </c>
      <c r="M961" s="7">
        <v>16200</v>
      </c>
      <c r="N961" s="7">
        <v>1134</v>
      </c>
      <c r="O961" s="4"/>
      <c r="P961" s="4"/>
    </row>
    <row r="962" spans="1:17" s="2" customFormat="1" hidden="1" x14ac:dyDescent="0.3">
      <c r="A962">
        <v>961</v>
      </c>
      <c r="B962" s="4"/>
      <c r="C962" s="4"/>
      <c r="D962" s="4" t="s">
        <v>1367</v>
      </c>
      <c r="E962" s="4"/>
      <c r="F962" s="4"/>
      <c r="G962" s="4"/>
      <c r="H962" s="4"/>
      <c r="I962" s="4"/>
      <c r="J962" s="4" t="s">
        <v>206</v>
      </c>
      <c r="K962" s="4" t="s">
        <v>959</v>
      </c>
      <c r="L962" s="13">
        <v>1200</v>
      </c>
      <c r="M962" s="7"/>
      <c r="N962" s="7"/>
      <c r="O962" s="4"/>
      <c r="P962" s="4"/>
    </row>
    <row r="963" spans="1:17" s="2" customFormat="1" hidden="1" x14ac:dyDescent="0.3">
      <c r="A963">
        <v>962</v>
      </c>
      <c r="B963" s="4"/>
      <c r="C963" s="4"/>
      <c r="D963" s="4" t="s">
        <v>1541</v>
      </c>
      <c r="E963" s="4"/>
      <c r="F963" s="4"/>
      <c r="G963" s="4"/>
      <c r="H963" s="4"/>
      <c r="I963" s="4" t="s">
        <v>957</v>
      </c>
      <c r="J963" s="4" t="s">
        <v>214</v>
      </c>
      <c r="K963" s="4" t="s">
        <v>15</v>
      </c>
      <c r="L963" s="4">
        <v>1000</v>
      </c>
      <c r="M963" s="4">
        <v>1000</v>
      </c>
      <c r="N963" s="4">
        <v>70</v>
      </c>
      <c r="O963" s="4"/>
      <c r="P963" s="4"/>
    </row>
    <row r="964" spans="1:17" s="2" customFormat="1" hidden="1" x14ac:dyDescent="0.3">
      <c r="A964">
        <v>963</v>
      </c>
      <c r="B964" s="4"/>
      <c r="C964" s="4"/>
      <c r="D964" s="4" t="s">
        <v>1541</v>
      </c>
      <c r="E964" s="4"/>
      <c r="F964" s="4"/>
      <c r="G964" s="4"/>
      <c r="H964" s="4"/>
      <c r="I964" s="4" t="s">
        <v>957</v>
      </c>
      <c r="J964" s="4" t="s">
        <v>214</v>
      </c>
      <c r="K964" s="4" t="s">
        <v>960</v>
      </c>
      <c r="L964" s="4">
        <v>10000</v>
      </c>
      <c r="M964" s="4">
        <v>10000</v>
      </c>
      <c r="N964" s="4">
        <v>700</v>
      </c>
      <c r="O964" s="4"/>
      <c r="P964" s="4"/>
    </row>
    <row r="965" spans="1:17" s="2" customFormat="1" hidden="1" x14ac:dyDescent="0.3">
      <c r="A965">
        <v>964</v>
      </c>
      <c r="B965" s="4"/>
      <c r="C965" s="4" t="s">
        <v>21</v>
      </c>
      <c r="D965" s="4" t="s">
        <v>1570</v>
      </c>
      <c r="E965" s="4"/>
      <c r="F965" s="4"/>
      <c r="G965" s="4"/>
      <c r="H965" s="4"/>
      <c r="I965" s="4" t="s">
        <v>957</v>
      </c>
      <c r="J965" s="4" t="s">
        <v>1185</v>
      </c>
      <c r="K965" s="4" t="s">
        <v>961</v>
      </c>
      <c r="L965" s="4">
        <v>1860</v>
      </c>
      <c r="M965" s="4">
        <v>1860</v>
      </c>
      <c r="N965" s="4">
        <v>130</v>
      </c>
      <c r="O965" s="4">
        <v>4</v>
      </c>
      <c r="P965" s="4"/>
    </row>
    <row r="966" spans="1:17" s="2" customFormat="1" hidden="1" x14ac:dyDescent="0.3">
      <c r="A966">
        <v>965</v>
      </c>
      <c r="B966" s="4"/>
      <c r="C966" s="4"/>
      <c r="D966" s="4" t="s">
        <v>1433</v>
      </c>
      <c r="E966" s="4"/>
      <c r="F966" s="4"/>
      <c r="G966" s="4"/>
      <c r="H966" s="4"/>
      <c r="I966" s="4" t="s">
        <v>962</v>
      </c>
      <c r="J966" s="4" t="s">
        <v>214</v>
      </c>
      <c r="K966" s="4" t="s">
        <v>15</v>
      </c>
      <c r="L966" s="4">
        <v>400</v>
      </c>
      <c r="M966" s="4">
        <v>400</v>
      </c>
      <c r="N966" s="4">
        <v>28</v>
      </c>
      <c r="O966" s="4"/>
      <c r="P966" s="4"/>
    </row>
    <row r="967" spans="1:17" s="2" customFormat="1" hidden="1" x14ac:dyDescent="0.3">
      <c r="A967">
        <v>966</v>
      </c>
      <c r="B967" s="4"/>
      <c r="C967" s="4"/>
      <c r="D967" s="4" t="s">
        <v>1443</v>
      </c>
      <c r="E967" s="4"/>
      <c r="F967" s="4"/>
      <c r="G967" s="4"/>
      <c r="H967" s="4"/>
      <c r="I967" s="4" t="s">
        <v>962</v>
      </c>
      <c r="J967" s="4" t="s">
        <v>214</v>
      </c>
      <c r="K967" s="4" t="s">
        <v>900</v>
      </c>
      <c r="L967" s="4">
        <v>400</v>
      </c>
      <c r="M967" s="4">
        <v>400</v>
      </c>
      <c r="N967" s="4">
        <v>28</v>
      </c>
      <c r="O967" s="4"/>
      <c r="P967" s="4"/>
      <c r="Q967" s="2" t="s">
        <v>963</v>
      </c>
    </row>
    <row r="968" spans="1:17" s="2" customFormat="1" hidden="1" x14ac:dyDescent="0.3">
      <c r="A968">
        <v>967</v>
      </c>
      <c r="B968" s="4"/>
      <c r="C968" s="4" t="s">
        <v>964</v>
      </c>
      <c r="D968" s="4" t="s">
        <v>1668</v>
      </c>
      <c r="E968" s="4"/>
      <c r="F968" s="4"/>
      <c r="G968" s="4"/>
      <c r="H968" s="4"/>
      <c r="I968" s="4" t="s">
        <v>962</v>
      </c>
      <c r="J968" s="4" t="s">
        <v>214</v>
      </c>
      <c r="K968" s="4" t="s">
        <v>965</v>
      </c>
      <c r="L968" s="13">
        <f>3200*14</f>
        <v>44800</v>
      </c>
      <c r="M968" s="7">
        <v>55398</v>
      </c>
      <c r="N968" s="7">
        <v>3877</v>
      </c>
      <c r="O968" s="7">
        <v>4</v>
      </c>
      <c r="P968" s="7"/>
    </row>
    <row r="969" spans="1:17" s="2" customFormat="1" hidden="1" x14ac:dyDescent="0.3">
      <c r="A969">
        <v>968</v>
      </c>
      <c r="B969" s="4"/>
      <c r="C969" s="4"/>
      <c r="D969" s="4" t="s">
        <v>1668</v>
      </c>
      <c r="E969" s="4"/>
      <c r="F969" s="4"/>
      <c r="G969" s="4"/>
      <c r="H969" s="4"/>
      <c r="I969" s="4"/>
      <c r="J969" s="4" t="s">
        <v>206</v>
      </c>
      <c r="K969" s="4" t="s">
        <v>966</v>
      </c>
      <c r="L969" s="13">
        <f>300*8</f>
        <v>2400</v>
      </c>
      <c r="M969" s="7"/>
      <c r="N969" s="7"/>
      <c r="O969" s="7"/>
      <c r="P969" s="7"/>
    </row>
    <row r="970" spans="1:17" s="2" customFormat="1" hidden="1" x14ac:dyDescent="0.3">
      <c r="A970">
        <v>969</v>
      </c>
      <c r="B970" s="4"/>
      <c r="C970" s="4"/>
      <c r="D970" s="4" t="s">
        <v>1668</v>
      </c>
      <c r="E970" s="4"/>
      <c r="F970" s="4"/>
      <c r="G970" s="4"/>
      <c r="H970" s="4"/>
      <c r="I970" s="4"/>
      <c r="J970" s="4" t="s">
        <v>1185</v>
      </c>
      <c r="K970" s="4" t="s">
        <v>967</v>
      </c>
      <c r="L970" s="13">
        <f>M968-L968-L969</f>
        <v>8198</v>
      </c>
      <c r="M970" s="7"/>
      <c r="N970" s="7"/>
      <c r="O970" s="7"/>
      <c r="P970" s="7"/>
    </row>
    <row r="971" spans="1:17" s="2" customFormat="1" hidden="1" x14ac:dyDescent="0.3">
      <c r="A971">
        <v>970</v>
      </c>
      <c r="B971" s="4"/>
      <c r="C971" s="4"/>
      <c r="D971" s="4" t="s">
        <v>1632</v>
      </c>
      <c r="E971" s="4"/>
      <c r="F971" s="4"/>
      <c r="G971" s="4"/>
      <c r="H971" s="4"/>
      <c r="I971" s="4" t="s">
        <v>962</v>
      </c>
      <c r="J971" s="4" t="s">
        <v>1185</v>
      </c>
      <c r="K971" s="4" t="s">
        <v>968</v>
      </c>
      <c r="L971" s="13">
        <f>1216*8+2</f>
        <v>9730</v>
      </c>
      <c r="M971" s="7">
        <v>19430</v>
      </c>
      <c r="N971" s="7">
        <v>1360</v>
      </c>
      <c r="O971" s="4"/>
      <c r="P971" s="4"/>
    </row>
    <row r="972" spans="1:17" s="2" customFormat="1" hidden="1" x14ac:dyDescent="0.3">
      <c r="A972">
        <v>971</v>
      </c>
      <c r="B972" s="4"/>
      <c r="C972" s="4"/>
      <c r="D972" s="4" t="s">
        <v>1632</v>
      </c>
      <c r="E972" s="4"/>
      <c r="F972" s="4"/>
      <c r="G972" s="4"/>
      <c r="H972" s="4"/>
      <c r="I972" s="4"/>
      <c r="J972" s="4" t="s">
        <v>214</v>
      </c>
      <c r="K972" s="4" t="s">
        <v>969</v>
      </c>
      <c r="L972" s="13">
        <v>7500</v>
      </c>
      <c r="M972" s="7"/>
      <c r="N972" s="7"/>
      <c r="O972" s="4"/>
      <c r="P972" s="4"/>
    </row>
    <row r="973" spans="1:17" s="2" customFormat="1" hidden="1" x14ac:dyDescent="0.3">
      <c r="A973">
        <v>972</v>
      </c>
      <c r="B973" s="4"/>
      <c r="C973" s="4"/>
      <c r="D973" s="4" t="s">
        <v>1632</v>
      </c>
      <c r="E973" s="4"/>
      <c r="F973" s="4"/>
      <c r="G973" s="4"/>
      <c r="H973" s="4"/>
      <c r="I973" s="4"/>
      <c r="J973" s="4" t="s">
        <v>214</v>
      </c>
      <c r="K973" s="4" t="s">
        <v>1186</v>
      </c>
      <c r="L973" s="13">
        <v>1400</v>
      </c>
      <c r="M973" s="7"/>
      <c r="N973" s="7"/>
      <c r="O973" s="4"/>
      <c r="P973" s="4"/>
    </row>
    <row r="974" spans="1:17" s="2" customFormat="1" hidden="1" x14ac:dyDescent="0.3">
      <c r="A974">
        <v>973</v>
      </c>
      <c r="B974" s="4"/>
      <c r="C974" s="4"/>
      <c r="D974" s="4" t="s">
        <v>1632</v>
      </c>
      <c r="E974" s="4"/>
      <c r="F974" s="4"/>
      <c r="G974" s="4"/>
      <c r="H974" s="4"/>
      <c r="I974" s="4"/>
      <c r="J974" s="4" t="s">
        <v>206</v>
      </c>
      <c r="K974" s="4" t="s">
        <v>512</v>
      </c>
      <c r="L974" s="13">
        <v>800</v>
      </c>
      <c r="M974" s="7"/>
      <c r="N974" s="7"/>
      <c r="O974" s="4"/>
      <c r="P974" s="4"/>
    </row>
    <row r="975" spans="1:17" s="2" customFormat="1" hidden="1" x14ac:dyDescent="0.3">
      <c r="A975">
        <v>974</v>
      </c>
      <c r="B975" s="4" t="s">
        <v>970</v>
      </c>
      <c r="C975" s="4" t="s">
        <v>21</v>
      </c>
      <c r="D975" s="4" t="s">
        <v>1574</v>
      </c>
      <c r="E975" s="4"/>
      <c r="F975" s="4"/>
      <c r="G975" s="4"/>
      <c r="H975" s="4"/>
      <c r="I975" s="4" t="s">
        <v>971</v>
      </c>
      <c r="J975" s="4" t="s">
        <v>214</v>
      </c>
      <c r="K975" s="4" t="s">
        <v>969</v>
      </c>
      <c r="L975" s="4">
        <v>7500</v>
      </c>
      <c r="M975" s="4">
        <v>7500</v>
      </c>
      <c r="N975" s="4">
        <v>525</v>
      </c>
      <c r="O975" s="4"/>
      <c r="P975" s="4"/>
    </row>
    <row r="976" spans="1:17" s="2" customFormat="1" hidden="1" x14ac:dyDescent="0.3">
      <c r="A976">
        <v>975</v>
      </c>
      <c r="B976" s="4"/>
      <c r="C976" s="4" t="s">
        <v>21</v>
      </c>
      <c r="D976" s="4" t="s">
        <v>1505</v>
      </c>
      <c r="E976" s="4"/>
      <c r="F976" s="4"/>
      <c r="G976" s="4"/>
      <c r="H976" s="4"/>
      <c r="I976" s="4" t="s">
        <v>972</v>
      </c>
      <c r="J976" s="4" t="s">
        <v>214</v>
      </c>
      <c r="K976" s="5" t="s">
        <v>1243</v>
      </c>
      <c r="L976" s="16">
        <f>M976-L977</f>
        <v>2069</v>
      </c>
      <c r="M976" s="7">
        <v>2554</v>
      </c>
      <c r="N976" s="7">
        <v>178</v>
      </c>
      <c r="O976" s="7">
        <v>6</v>
      </c>
      <c r="P976" s="7"/>
    </row>
    <row r="977" spans="1:17" hidden="1" x14ac:dyDescent="0.3">
      <c r="A977">
        <v>976</v>
      </c>
      <c r="D977" s="4" t="s">
        <v>1505</v>
      </c>
      <c r="J977" s="4" t="s">
        <v>206</v>
      </c>
      <c r="K977" s="4" t="s">
        <v>532</v>
      </c>
      <c r="L977" s="11">
        <f>60*8+5</f>
        <v>485</v>
      </c>
      <c r="Q977" s="2"/>
    </row>
    <row r="978" spans="1:17" s="2" customFormat="1" hidden="1" x14ac:dyDescent="0.3">
      <c r="A978">
        <v>977</v>
      </c>
      <c r="B978" s="4"/>
      <c r="C978" s="4"/>
      <c r="D978" s="4" t="s">
        <v>1537</v>
      </c>
      <c r="E978" s="4"/>
      <c r="F978" s="4"/>
      <c r="G978" s="4"/>
      <c r="H978" s="4"/>
      <c r="I978" s="4" t="s">
        <v>972</v>
      </c>
      <c r="J978" s="4" t="s">
        <v>214</v>
      </c>
      <c r="K978" s="4" t="s">
        <v>973</v>
      </c>
      <c r="L978" s="4">
        <v>4070</v>
      </c>
      <c r="M978" s="4">
        <v>4070</v>
      </c>
      <c r="N978" s="4">
        <v>285</v>
      </c>
      <c r="O978" s="4"/>
      <c r="P978" s="4"/>
    </row>
    <row r="979" spans="1:17" s="2" customFormat="1" hidden="1" x14ac:dyDescent="0.3">
      <c r="A979">
        <v>978</v>
      </c>
      <c r="B979" s="4"/>
      <c r="C979" s="4"/>
      <c r="D979" s="4" t="s">
        <v>1450</v>
      </c>
      <c r="E979" s="4"/>
      <c r="F979" s="4"/>
      <c r="G979" s="4"/>
      <c r="H979" s="4"/>
      <c r="I979" s="4" t="s">
        <v>972</v>
      </c>
      <c r="J979" s="4" t="s">
        <v>214</v>
      </c>
      <c r="K979" s="4" t="s">
        <v>41</v>
      </c>
      <c r="L979" s="4">
        <v>7500</v>
      </c>
      <c r="M979" s="4">
        <v>7500</v>
      </c>
      <c r="N979" s="4">
        <v>525</v>
      </c>
      <c r="O979" s="4"/>
      <c r="P979" s="4"/>
    </row>
    <row r="980" spans="1:17" s="2" customFormat="1" hidden="1" x14ac:dyDescent="0.3">
      <c r="A980">
        <v>979</v>
      </c>
      <c r="B980" s="4"/>
      <c r="C980" s="4" t="s">
        <v>21</v>
      </c>
      <c r="D980" s="4" t="s">
        <v>1668</v>
      </c>
      <c r="E980" s="4"/>
      <c r="F980" s="4"/>
      <c r="G980" s="4"/>
      <c r="H980" s="4"/>
      <c r="I980" s="4" t="s">
        <v>972</v>
      </c>
      <c r="J980" s="4" t="s">
        <v>206</v>
      </c>
      <c r="K980" s="4" t="s">
        <v>974</v>
      </c>
      <c r="L980" s="4">
        <v>31570</v>
      </c>
      <c r="M980" s="4">
        <v>31570</v>
      </c>
      <c r="N980" s="4">
        <v>2210</v>
      </c>
      <c r="O980" s="4"/>
      <c r="P980" s="4"/>
    </row>
    <row r="981" spans="1:17" s="2" customFormat="1" hidden="1" x14ac:dyDescent="0.3">
      <c r="A981">
        <v>980</v>
      </c>
      <c r="B981" s="4"/>
      <c r="C981" s="4"/>
      <c r="D981" s="4" t="s">
        <v>1250</v>
      </c>
      <c r="E981" s="4"/>
      <c r="F981" s="4"/>
      <c r="G981" s="4"/>
      <c r="H981" s="4"/>
      <c r="I981" s="4" t="s">
        <v>972</v>
      </c>
      <c r="J981" s="4" t="s">
        <v>214</v>
      </c>
      <c r="K981" s="4" t="s">
        <v>975</v>
      </c>
      <c r="L981" s="4">
        <v>19200</v>
      </c>
      <c r="M981" s="4">
        <v>19200</v>
      </c>
      <c r="N981" s="4">
        <v>1344</v>
      </c>
      <c r="O981" s="4"/>
      <c r="P981" s="4"/>
    </row>
    <row r="982" spans="1:17" s="2" customFormat="1" hidden="1" x14ac:dyDescent="0.3">
      <c r="A982">
        <v>981</v>
      </c>
      <c r="B982" s="4"/>
      <c r="C982" s="4"/>
      <c r="D982" s="4" t="s">
        <v>1607</v>
      </c>
      <c r="E982" s="4"/>
      <c r="F982" s="4"/>
      <c r="G982" s="4"/>
      <c r="H982" s="4"/>
      <c r="I982" s="4" t="s">
        <v>972</v>
      </c>
      <c r="J982" s="4" t="s">
        <v>1185</v>
      </c>
      <c r="K982" s="4" t="s">
        <v>976</v>
      </c>
      <c r="L982" s="13">
        <f>528*8+3</f>
        <v>4227</v>
      </c>
      <c r="M982" s="7">
        <v>8227</v>
      </c>
      <c r="N982" s="7">
        <v>575</v>
      </c>
      <c r="O982" s="4">
        <v>6</v>
      </c>
      <c r="P982" s="4"/>
    </row>
    <row r="983" spans="1:17" s="2" customFormat="1" hidden="1" x14ac:dyDescent="0.3">
      <c r="A983">
        <v>982</v>
      </c>
      <c r="B983" s="4"/>
      <c r="C983" s="4"/>
      <c r="D983" s="4" t="s">
        <v>1607</v>
      </c>
      <c r="E983" s="4"/>
      <c r="F983" s="4"/>
      <c r="G983" s="4"/>
      <c r="H983" s="4"/>
      <c r="I983" s="4"/>
      <c r="J983" s="4" t="s">
        <v>214</v>
      </c>
      <c r="K983" s="4" t="s">
        <v>977</v>
      </c>
      <c r="L983" s="13">
        <v>4000</v>
      </c>
      <c r="M983" s="7"/>
      <c r="N983" s="7"/>
      <c r="O983" s="4"/>
      <c r="P983" s="4"/>
    </row>
    <row r="984" spans="1:17" s="2" customFormat="1" ht="28.8" hidden="1" x14ac:dyDescent="0.3">
      <c r="A984">
        <v>983</v>
      </c>
      <c r="B984" s="4"/>
      <c r="C984" s="4"/>
      <c r="D984" s="5" t="s">
        <v>1406</v>
      </c>
      <c r="E984" s="5" t="s">
        <v>1408</v>
      </c>
      <c r="F984" s="5" t="s">
        <v>1409</v>
      </c>
      <c r="G984" s="5"/>
      <c r="H984" s="5"/>
      <c r="I984" s="4" t="s">
        <v>978</v>
      </c>
      <c r="J984" s="4" t="s">
        <v>214</v>
      </c>
      <c r="K984" s="4" t="s">
        <v>979</v>
      </c>
      <c r="L984" s="4">
        <v>700</v>
      </c>
      <c r="M984" s="4">
        <v>700</v>
      </c>
      <c r="N984" s="4">
        <v>49</v>
      </c>
      <c r="O984" s="4"/>
      <c r="P984" s="4"/>
    </row>
    <row r="985" spans="1:17" s="2" customFormat="1" hidden="1" x14ac:dyDescent="0.3">
      <c r="A985">
        <v>984</v>
      </c>
      <c r="B985" s="4"/>
      <c r="C985" s="4"/>
      <c r="D985" s="2" t="s">
        <v>1404</v>
      </c>
      <c r="I985" s="2" t="s">
        <v>978</v>
      </c>
      <c r="J985" s="2" t="s">
        <v>214</v>
      </c>
      <c r="K985" s="2" t="s">
        <v>77</v>
      </c>
      <c r="L985" s="2">
        <v>10000</v>
      </c>
      <c r="M985" s="2">
        <v>10000</v>
      </c>
      <c r="N985" s="2">
        <v>700</v>
      </c>
    </row>
    <row r="986" spans="1:17" s="2" customFormat="1" hidden="1" x14ac:dyDescent="0.3">
      <c r="A986">
        <v>985</v>
      </c>
      <c r="B986" s="4"/>
      <c r="C986" s="4"/>
      <c r="D986" s="4" t="s">
        <v>1396</v>
      </c>
      <c r="E986" s="4"/>
      <c r="F986" s="4"/>
      <c r="G986" s="4"/>
      <c r="H986" s="4"/>
      <c r="I986" s="4" t="s">
        <v>978</v>
      </c>
      <c r="J986" s="4" t="s">
        <v>1184</v>
      </c>
      <c r="K986" s="4" t="s">
        <v>980</v>
      </c>
      <c r="L986" s="4">
        <v>288</v>
      </c>
      <c r="M986" s="4">
        <v>288</v>
      </c>
      <c r="N986" s="4">
        <v>20</v>
      </c>
      <c r="O986" s="4"/>
      <c r="P986" s="4"/>
    </row>
    <row r="987" spans="1:17" s="2" customFormat="1" hidden="1" x14ac:dyDescent="0.3">
      <c r="A987">
        <v>986</v>
      </c>
      <c r="B987" s="4"/>
      <c r="C987" s="4"/>
      <c r="D987" s="4" t="s">
        <v>1342</v>
      </c>
      <c r="E987" s="4"/>
      <c r="F987" s="4"/>
      <c r="G987" s="4"/>
      <c r="H987" s="4"/>
      <c r="I987" s="4" t="s">
        <v>978</v>
      </c>
      <c r="J987" s="4" t="s">
        <v>1185</v>
      </c>
      <c r="K987" s="4" t="s">
        <v>1247</v>
      </c>
      <c r="L987" s="13">
        <f>315*8+6</f>
        <v>2526</v>
      </c>
      <c r="M987" s="7">
        <v>13526</v>
      </c>
      <c r="N987" s="7">
        <v>946</v>
      </c>
      <c r="O987" s="4">
        <v>6</v>
      </c>
      <c r="P987" s="4"/>
    </row>
    <row r="988" spans="1:17" s="2" customFormat="1" hidden="1" x14ac:dyDescent="0.3">
      <c r="A988">
        <v>987</v>
      </c>
      <c r="B988" s="4"/>
      <c r="C988" s="4"/>
      <c r="D988" s="4" t="s">
        <v>1342</v>
      </c>
      <c r="E988" s="4"/>
      <c r="F988" s="4"/>
      <c r="G988" s="4"/>
      <c r="H988" s="4"/>
      <c r="I988" s="4"/>
      <c r="J988" s="4" t="s">
        <v>214</v>
      </c>
      <c r="K988" s="4" t="s">
        <v>981</v>
      </c>
      <c r="L988" s="13">
        <v>11000</v>
      </c>
      <c r="M988" s="7"/>
      <c r="N988" s="7"/>
      <c r="O988" s="4"/>
      <c r="P988" s="4"/>
    </row>
    <row r="989" spans="1:17" s="2" customFormat="1" hidden="1" x14ac:dyDescent="0.3">
      <c r="A989">
        <v>988</v>
      </c>
      <c r="B989" s="4" t="s">
        <v>982</v>
      </c>
      <c r="C989" s="4"/>
      <c r="D989" s="4" t="s">
        <v>1537</v>
      </c>
      <c r="E989" s="4"/>
      <c r="F989" s="4"/>
      <c r="G989" s="4"/>
      <c r="H989" s="4"/>
      <c r="I989" s="4" t="s">
        <v>978</v>
      </c>
      <c r="J989" s="4" t="s">
        <v>1185</v>
      </c>
      <c r="K989" s="4" t="s">
        <v>984</v>
      </c>
      <c r="L989" s="4">
        <v>11712</v>
      </c>
      <c r="M989" s="4">
        <v>11712</v>
      </c>
      <c r="N989" s="4">
        <v>819</v>
      </c>
      <c r="O989" s="4">
        <v>4</v>
      </c>
      <c r="P989" s="4"/>
      <c r="Q989" s="2" t="s">
        <v>983</v>
      </c>
    </row>
    <row r="990" spans="1:17" s="2" customFormat="1" hidden="1" x14ac:dyDescent="0.3">
      <c r="A990">
        <v>989</v>
      </c>
      <c r="B990" s="4"/>
      <c r="C990" s="4"/>
      <c r="D990" s="4" t="s">
        <v>1250</v>
      </c>
      <c r="E990" s="4"/>
      <c r="F990" s="4"/>
      <c r="G990" s="4"/>
      <c r="H990" s="4"/>
      <c r="I990" s="4" t="s">
        <v>985</v>
      </c>
      <c r="J990" s="4" t="s">
        <v>214</v>
      </c>
      <c r="K990" s="4" t="s">
        <v>85</v>
      </c>
      <c r="L990" s="4">
        <v>2510</v>
      </c>
      <c r="M990" s="4">
        <v>2510</v>
      </c>
      <c r="N990" s="4">
        <v>175</v>
      </c>
      <c r="O990" s="4">
        <v>6</v>
      </c>
      <c r="P990" s="4"/>
    </row>
    <row r="991" spans="1:17" s="2" customFormat="1" hidden="1" x14ac:dyDescent="0.3">
      <c r="A991">
        <v>990</v>
      </c>
      <c r="B991" s="4"/>
      <c r="C991" s="4"/>
      <c r="D991" s="4" t="s">
        <v>1522</v>
      </c>
      <c r="E991" s="4"/>
      <c r="F991" s="4"/>
      <c r="G991" s="4"/>
      <c r="H991" s="4"/>
      <c r="I991" s="4" t="s">
        <v>985</v>
      </c>
      <c r="J991" s="4" t="s">
        <v>214</v>
      </c>
      <c r="K991" s="4" t="s">
        <v>958</v>
      </c>
      <c r="L991" s="11">
        <f>2500*6</f>
        <v>15000</v>
      </c>
      <c r="M991" s="7">
        <v>19352</v>
      </c>
      <c r="N991" s="7">
        <v>1354</v>
      </c>
      <c r="O991" s="7">
        <v>4</v>
      </c>
      <c r="P991" s="7"/>
      <c r="Q991" s="2" t="s">
        <v>986</v>
      </c>
    </row>
    <row r="992" spans="1:17" s="2" customFormat="1" hidden="1" x14ac:dyDescent="0.3">
      <c r="A992">
        <v>991</v>
      </c>
      <c r="B992" s="4"/>
      <c r="C992" s="4"/>
      <c r="D992" s="4" t="s">
        <v>1522</v>
      </c>
      <c r="E992" s="4"/>
      <c r="F992" s="4"/>
      <c r="G992" s="4"/>
      <c r="H992" s="4"/>
      <c r="I992" s="4"/>
      <c r="J992" s="4" t="s">
        <v>214</v>
      </c>
      <c r="K992" s="4" t="s">
        <v>987</v>
      </c>
      <c r="L992" s="11">
        <v>3320</v>
      </c>
      <c r="M992" s="7"/>
      <c r="N992" s="7"/>
      <c r="O992" s="7"/>
      <c r="P992" s="7"/>
    </row>
    <row r="993" spans="1:17" hidden="1" x14ac:dyDescent="0.3">
      <c r="A993">
        <v>992</v>
      </c>
      <c r="D993" s="4" t="s">
        <v>1522</v>
      </c>
      <c r="J993" s="4" t="s">
        <v>206</v>
      </c>
      <c r="K993" s="4" t="s">
        <v>1248</v>
      </c>
      <c r="L993" s="13">
        <f>129*8</f>
        <v>1032</v>
      </c>
      <c r="M993" s="4"/>
      <c r="N993" s="4"/>
      <c r="O993" s="4"/>
      <c r="P993" s="4"/>
      <c r="Q993" s="2"/>
    </row>
    <row r="994" spans="1:17" s="2" customFormat="1" hidden="1" x14ac:dyDescent="0.3">
      <c r="A994">
        <v>993</v>
      </c>
      <c r="B994" s="4"/>
      <c r="C994" s="4" t="s">
        <v>21</v>
      </c>
      <c r="D994" s="4" t="s">
        <v>1630</v>
      </c>
      <c r="E994" s="4"/>
      <c r="F994" s="4"/>
      <c r="G994" s="4"/>
      <c r="H994" s="4"/>
      <c r="I994" s="4" t="s">
        <v>985</v>
      </c>
      <c r="J994" s="4" t="s">
        <v>1184</v>
      </c>
      <c r="K994" s="4" t="s">
        <v>988</v>
      </c>
      <c r="L994" s="4">
        <v>432</v>
      </c>
      <c r="M994" s="4">
        <v>432</v>
      </c>
      <c r="N994" s="4">
        <v>30</v>
      </c>
      <c r="O994" s="4">
        <v>2</v>
      </c>
      <c r="P994" s="4"/>
    </row>
    <row r="995" spans="1:17" s="2" customFormat="1" hidden="1" x14ac:dyDescent="0.3">
      <c r="A995">
        <v>994</v>
      </c>
      <c r="B995" s="4"/>
      <c r="C995" s="4"/>
      <c r="D995" s="4" t="s">
        <v>1451</v>
      </c>
      <c r="E995" s="4"/>
      <c r="F995" s="4"/>
      <c r="G995" s="4"/>
      <c r="H995" s="4"/>
      <c r="I995" s="4" t="s">
        <v>985</v>
      </c>
      <c r="J995" s="4" t="s">
        <v>214</v>
      </c>
      <c r="K995" s="4" t="s">
        <v>989</v>
      </c>
      <c r="L995" s="4">
        <v>5600</v>
      </c>
      <c r="M995" s="4">
        <v>5600</v>
      </c>
      <c r="N995" s="4">
        <v>392</v>
      </c>
      <c r="O995" s="4"/>
      <c r="P995" s="4"/>
    </row>
    <row r="996" spans="1:17" s="2" customFormat="1" hidden="1" x14ac:dyDescent="0.3">
      <c r="A996">
        <v>995</v>
      </c>
      <c r="B996" s="4"/>
      <c r="C996" s="4" t="s">
        <v>21</v>
      </c>
      <c r="D996" s="4" t="s">
        <v>1668</v>
      </c>
      <c r="E996" s="4"/>
      <c r="F996" s="4"/>
      <c r="G996" s="4"/>
      <c r="H996" s="4"/>
      <c r="I996" s="4" t="s">
        <v>985</v>
      </c>
      <c r="J996" s="4" t="s">
        <v>1185</v>
      </c>
      <c r="K996" s="4" t="s">
        <v>991</v>
      </c>
      <c r="L996" s="13">
        <f>312*8+6</f>
        <v>2502</v>
      </c>
      <c r="M996" s="7">
        <v>5802</v>
      </c>
      <c r="N996" s="7">
        <v>406</v>
      </c>
      <c r="O996" s="4"/>
      <c r="P996" s="4"/>
      <c r="Q996" s="2" t="s">
        <v>990</v>
      </c>
    </row>
    <row r="997" spans="1:17" s="2" customFormat="1" hidden="1" x14ac:dyDescent="0.3">
      <c r="A997">
        <v>996</v>
      </c>
      <c r="B997" s="4"/>
      <c r="C997" s="4"/>
      <c r="D997" s="4" t="s">
        <v>1668</v>
      </c>
      <c r="E997" s="4"/>
      <c r="F997" s="4"/>
      <c r="G997" s="4"/>
      <c r="H997" s="4"/>
      <c r="I997" s="4"/>
      <c r="J997" s="4" t="s">
        <v>214</v>
      </c>
      <c r="K997" s="4" t="s">
        <v>992</v>
      </c>
      <c r="L997" s="13">
        <v>3300</v>
      </c>
      <c r="M997" s="7"/>
      <c r="N997" s="7"/>
      <c r="O997" s="4"/>
      <c r="P997" s="4"/>
    </row>
    <row r="998" spans="1:17" s="2" customFormat="1" hidden="1" x14ac:dyDescent="0.3">
      <c r="A998">
        <v>997</v>
      </c>
      <c r="B998" s="4"/>
      <c r="C998" s="4"/>
      <c r="D998" s="4" t="s">
        <v>1251</v>
      </c>
      <c r="E998" s="4"/>
      <c r="F998" s="4"/>
      <c r="G998" s="4"/>
      <c r="H998" s="4"/>
      <c r="I998" s="4" t="s">
        <v>985</v>
      </c>
      <c r="J998" s="4" t="s">
        <v>206</v>
      </c>
      <c r="K998" s="4" t="s">
        <v>944</v>
      </c>
      <c r="L998" s="4">
        <v>560</v>
      </c>
      <c r="M998" s="4">
        <v>560</v>
      </c>
      <c r="N998" s="4">
        <v>39</v>
      </c>
      <c r="O998" s="4"/>
      <c r="P998" s="4"/>
    </row>
    <row r="999" spans="1:17" s="2" customFormat="1" hidden="1" x14ac:dyDescent="0.3">
      <c r="A999">
        <v>998</v>
      </c>
      <c r="B999" s="4"/>
      <c r="C999" s="4"/>
      <c r="D999" s="4" t="s">
        <v>1378</v>
      </c>
      <c r="E999" s="4"/>
      <c r="F999" s="4"/>
      <c r="G999" s="4"/>
      <c r="H999" s="4"/>
      <c r="I999" s="4" t="s">
        <v>993</v>
      </c>
      <c r="J999" s="4" t="s">
        <v>1184</v>
      </c>
      <c r="K999" s="4" t="s">
        <v>994</v>
      </c>
      <c r="L999" s="4">
        <v>144</v>
      </c>
      <c r="M999" s="4">
        <v>144</v>
      </c>
      <c r="N999" s="4">
        <v>10</v>
      </c>
      <c r="O999" s="4"/>
      <c r="P999" s="4"/>
    </row>
    <row r="1000" spans="1:17" s="2" customFormat="1" hidden="1" x14ac:dyDescent="0.3">
      <c r="A1000">
        <v>999</v>
      </c>
      <c r="B1000" s="4"/>
      <c r="C1000" s="4"/>
      <c r="D1000" s="4" t="s">
        <v>1527</v>
      </c>
      <c r="E1000" s="4"/>
      <c r="F1000" s="4"/>
      <c r="G1000" s="4"/>
      <c r="H1000" s="4"/>
      <c r="I1000" s="4" t="s">
        <v>993</v>
      </c>
      <c r="J1000" s="4" t="s">
        <v>214</v>
      </c>
      <c r="K1000" s="4" t="s">
        <v>995</v>
      </c>
      <c r="L1000" s="13">
        <v>12500</v>
      </c>
      <c r="M1000" s="7">
        <v>16152</v>
      </c>
      <c r="N1000" s="7">
        <v>1130</v>
      </c>
      <c r="O1000" s="4"/>
      <c r="P1000" s="4"/>
    </row>
    <row r="1001" spans="1:17" s="2" customFormat="1" hidden="1" x14ac:dyDescent="0.3">
      <c r="A1001">
        <v>1000</v>
      </c>
      <c r="B1001" s="4"/>
      <c r="C1001" s="4"/>
      <c r="D1001" s="4" t="s">
        <v>1527</v>
      </c>
      <c r="E1001" s="4"/>
      <c r="F1001" s="4"/>
      <c r="G1001" s="4"/>
      <c r="H1001" s="4"/>
      <c r="I1001" s="4"/>
      <c r="J1001" s="4" t="s">
        <v>1185</v>
      </c>
      <c r="K1001" s="4" t="s">
        <v>996</v>
      </c>
      <c r="L1001" s="13">
        <f>456*8+4</f>
        <v>3652</v>
      </c>
      <c r="M1001" s="7"/>
      <c r="N1001" s="7"/>
      <c r="O1001" s="4"/>
      <c r="P1001" s="4"/>
    </row>
    <row r="1002" spans="1:17" s="2" customFormat="1" hidden="1" x14ac:dyDescent="0.3">
      <c r="A1002">
        <v>1001</v>
      </c>
      <c r="B1002" s="4"/>
      <c r="C1002" s="4" t="s">
        <v>964</v>
      </c>
      <c r="D1002" s="4" t="s">
        <v>1568</v>
      </c>
      <c r="E1002" s="4"/>
      <c r="F1002" s="4"/>
      <c r="G1002" s="4"/>
      <c r="H1002" s="4"/>
      <c r="I1002" s="4" t="s">
        <v>906</v>
      </c>
      <c r="J1002" s="4" t="s">
        <v>1185</v>
      </c>
      <c r="K1002" s="4" t="s">
        <v>998</v>
      </c>
      <c r="L1002" s="4">
        <v>3575</v>
      </c>
      <c r="M1002" s="4">
        <v>3575</v>
      </c>
      <c r="N1002" s="4">
        <v>250</v>
      </c>
      <c r="O1002" s="4">
        <v>2</v>
      </c>
      <c r="P1002" s="4"/>
      <c r="Q1002" s="2" t="s">
        <v>997</v>
      </c>
    </row>
    <row r="1003" spans="1:17" s="2" customFormat="1" hidden="1" x14ac:dyDescent="0.3">
      <c r="A1003">
        <v>1002</v>
      </c>
      <c r="B1003" s="4" t="s">
        <v>1004</v>
      </c>
      <c r="C1003" s="4"/>
      <c r="D1003" s="4" t="s">
        <v>1348</v>
      </c>
      <c r="E1003" s="4"/>
      <c r="F1003" s="4"/>
      <c r="G1003" s="4"/>
      <c r="H1003" s="4"/>
      <c r="I1003" s="4" t="s">
        <v>999</v>
      </c>
      <c r="J1003" s="4" t="s">
        <v>214</v>
      </c>
      <c r="K1003" s="4" t="s">
        <v>1000</v>
      </c>
      <c r="L1003" s="4">
        <v>2500</v>
      </c>
      <c r="M1003" s="4">
        <v>2500</v>
      </c>
      <c r="N1003" s="4">
        <v>175</v>
      </c>
      <c r="O1003" s="4"/>
      <c r="P1003" s="4"/>
    </row>
    <row r="1004" spans="1:17" s="2" customFormat="1" hidden="1" x14ac:dyDescent="0.3">
      <c r="A1004">
        <v>1003</v>
      </c>
      <c r="B1004" s="4"/>
      <c r="C1004" s="4" t="s">
        <v>183</v>
      </c>
      <c r="D1004" s="4" t="s">
        <v>1475</v>
      </c>
      <c r="E1004" s="4"/>
      <c r="F1004" s="4"/>
      <c r="G1004" s="4"/>
      <c r="H1004" s="4"/>
      <c r="I1004" s="4" t="s">
        <v>1001</v>
      </c>
      <c r="J1004" s="4" t="s">
        <v>214</v>
      </c>
      <c r="K1004" s="4" t="s">
        <v>1002</v>
      </c>
      <c r="L1004" s="4">
        <v>550</v>
      </c>
      <c r="M1004" s="4">
        <v>550</v>
      </c>
      <c r="N1004" s="4">
        <v>38</v>
      </c>
      <c r="O1004" s="4">
        <v>4</v>
      </c>
      <c r="P1004" s="4"/>
      <c r="Q1004" s="2" t="s">
        <v>1003</v>
      </c>
    </row>
    <row r="1005" spans="1:17" s="2" customFormat="1" hidden="1" x14ac:dyDescent="0.3">
      <c r="A1005">
        <v>1004</v>
      </c>
      <c r="B1005" s="4"/>
      <c r="C1005" s="4"/>
      <c r="D1005" s="2" t="s">
        <v>1404</v>
      </c>
      <c r="E1005" s="4"/>
      <c r="F1005" s="4"/>
      <c r="G1005" s="4"/>
      <c r="H1005" s="4"/>
      <c r="I1005" s="4" t="s">
        <v>1007</v>
      </c>
      <c r="J1005" s="4" t="s">
        <v>214</v>
      </c>
      <c r="K1005" s="4" t="s">
        <v>1006</v>
      </c>
      <c r="L1005" s="4">
        <v>2500</v>
      </c>
      <c r="M1005" s="4">
        <v>2500</v>
      </c>
      <c r="N1005" s="4">
        <v>175</v>
      </c>
      <c r="O1005" s="4"/>
      <c r="P1005" s="4"/>
      <c r="Q1005" s="2" t="s">
        <v>1005</v>
      </c>
    </row>
    <row r="1006" spans="1:17" s="2" customFormat="1" hidden="1" x14ac:dyDescent="0.3">
      <c r="A1006">
        <v>1005</v>
      </c>
      <c r="B1006" s="4"/>
      <c r="C1006" s="4"/>
      <c r="D1006" s="4" t="s">
        <v>1505</v>
      </c>
      <c r="E1006" s="4"/>
      <c r="F1006" s="4"/>
      <c r="G1006" s="4"/>
      <c r="H1006" s="4"/>
      <c r="I1006" s="4" t="s">
        <v>1007</v>
      </c>
      <c r="J1006" s="4" t="s">
        <v>214</v>
      </c>
      <c r="K1006" s="4" t="s">
        <v>1008</v>
      </c>
      <c r="L1006" s="4">
        <v>3485</v>
      </c>
      <c r="M1006" s="4">
        <v>3485</v>
      </c>
      <c r="N1006" s="4">
        <v>244</v>
      </c>
      <c r="O1006" s="4"/>
      <c r="P1006" s="4"/>
      <c r="Q1006" s="2" t="s">
        <v>1009</v>
      </c>
    </row>
    <row r="1007" spans="1:17" s="2" customFormat="1" hidden="1" x14ac:dyDescent="0.3">
      <c r="A1007">
        <v>1006</v>
      </c>
      <c r="B1007" s="4"/>
      <c r="C1007" s="4" t="s">
        <v>964</v>
      </c>
      <c r="D1007" s="4" t="s">
        <v>1631</v>
      </c>
      <c r="E1007" s="4"/>
      <c r="F1007" s="4"/>
      <c r="G1007" s="4"/>
      <c r="H1007" s="4"/>
      <c r="I1007" s="4" t="s">
        <v>1010</v>
      </c>
      <c r="J1007" s="4" t="s">
        <v>1185</v>
      </c>
      <c r="K1007" s="4" t="s">
        <v>1011</v>
      </c>
      <c r="L1007" s="13">
        <f>502*8+7</f>
        <v>4023</v>
      </c>
      <c r="M1007" s="7">
        <v>4223</v>
      </c>
      <c r="N1007" s="7">
        <v>295</v>
      </c>
      <c r="O1007" s="4">
        <v>6</v>
      </c>
      <c r="P1007" s="4"/>
    </row>
    <row r="1008" spans="1:17" s="2" customFormat="1" hidden="1" x14ac:dyDescent="0.3">
      <c r="A1008">
        <v>1007</v>
      </c>
      <c r="B1008" s="4"/>
      <c r="C1008" s="4"/>
      <c r="D1008" s="4" t="s">
        <v>1631</v>
      </c>
      <c r="E1008" s="4"/>
      <c r="F1008" s="4"/>
      <c r="G1008" s="4"/>
      <c r="H1008" s="4"/>
      <c r="I1008" s="4"/>
      <c r="J1008" s="4" t="s">
        <v>214</v>
      </c>
      <c r="K1008" s="4" t="s">
        <v>493</v>
      </c>
      <c r="L1008" s="13">
        <v>200</v>
      </c>
      <c r="M1008" s="7"/>
      <c r="N1008" s="7"/>
      <c r="O1008" s="4"/>
      <c r="P1008" s="4"/>
    </row>
    <row r="1009" spans="1:17" s="2" customFormat="1" ht="28.8" hidden="1" x14ac:dyDescent="0.3">
      <c r="A1009">
        <v>1008</v>
      </c>
      <c r="B1009" s="4"/>
      <c r="C1009" s="4"/>
      <c r="D1009" s="4" t="s">
        <v>1410</v>
      </c>
      <c r="E1009" s="4"/>
      <c r="F1009" s="4"/>
      <c r="G1009" s="4"/>
      <c r="H1009" s="4"/>
      <c r="I1009" s="5" t="s">
        <v>1012</v>
      </c>
      <c r="J1009" s="4" t="s">
        <v>1184</v>
      </c>
      <c r="K1009" s="4" t="s">
        <v>1013</v>
      </c>
      <c r="L1009" s="4">
        <v>6597</v>
      </c>
      <c r="M1009" s="4">
        <v>6597</v>
      </c>
      <c r="N1009" s="4">
        <v>461</v>
      </c>
      <c r="O1009" s="4">
        <v>3</v>
      </c>
      <c r="P1009" s="4"/>
    </row>
    <row r="1010" spans="1:17" s="2" customFormat="1" hidden="1" x14ac:dyDescent="0.3">
      <c r="A1010">
        <v>1009</v>
      </c>
      <c r="B1010" s="4"/>
      <c r="C1010" s="4"/>
      <c r="D1010" s="4" t="s">
        <v>1378</v>
      </c>
      <c r="E1010" s="4"/>
      <c r="F1010" s="4"/>
      <c r="G1010" s="4"/>
      <c r="H1010" s="4"/>
      <c r="I1010" s="4" t="s">
        <v>1010</v>
      </c>
      <c r="J1010" s="4" t="s">
        <v>1185</v>
      </c>
      <c r="K1010" s="4" t="s">
        <v>1014</v>
      </c>
      <c r="L1010" s="4">
        <v>2303</v>
      </c>
      <c r="M1010" s="4">
        <v>2303</v>
      </c>
      <c r="N1010" s="4">
        <v>161</v>
      </c>
      <c r="O1010" s="4">
        <v>2</v>
      </c>
      <c r="P1010" s="4"/>
    </row>
    <row r="1011" spans="1:17" s="2" customFormat="1" hidden="1" x14ac:dyDescent="0.3">
      <c r="A1011">
        <v>1010</v>
      </c>
      <c r="B1011" s="4"/>
      <c r="C1011" s="4"/>
      <c r="D1011" s="4" t="s">
        <v>1558</v>
      </c>
      <c r="E1011" s="4"/>
      <c r="F1011" s="4"/>
      <c r="G1011" s="4"/>
      <c r="H1011" s="4"/>
      <c r="I1011" s="4" t="s">
        <v>1015</v>
      </c>
      <c r="J1011" s="4" t="s">
        <v>214</v>
      </c>
      <c r="K1011" s="4" t="s">
        <v>1016</v>
      </c>
      <c r="L1011" s="4">
        <v>1400</v>
      </c>
      <c r="M1011" s="4">
        <v>1400</v>
      </c>
      <c r="N1011" s="4">
        <v>98</v>
      </c>
      <c r="O1011" s="4"/>
      <c r="P1011" s="4"/>
    </row>
    <row r="1012" spans="1:17" s="2" customFormat="1" hidden="1" x14ac:dyDescent="0.3">
      <c r="A1012">
        <v>1011</v>
      </c>
      <c r="B1012" s="4"/>
      <c r="C1012" s="4"/>
      <c r="D1012" s="4" t="s">
        <v>1270</v>
      </c>
      <c r="E1012" s="4"/>
      <c r="F1012" s="4"/>
      <c r="G1012" s="4"/>
      <c r="H1012" s="4"/>
      <c r="I1012" s="4" t="s">
        <v>1017</v>
      </c>
      <c r="J1012" s="4" t="s">
        <v>214</v>
      </c>
      <c r="K1012" s="4" t="s">
        <v>1018</v>
      </c>
      <c r="L1012" s="4">
        <v>1800</v>
      </c>
      <c r="M1012" s="4">
        <v>1800</v>
      </c>
      <c r="N1012" s="4">
        <v>126</v>
      </c>
      <c r="O1012" s="4"/>
      <c r="P1012" s="4"/>
    </row>
    <row r="1013" spans="1:17" s="2" customFormat="1" hidden="1" x14ac:dyDescent="0.3">
      <c r="A1013">
        <v>1012</v>
      </c>
      <c r="B1013" s="4"/>
      <c r="C1013" s="4"/>
      <c r="D1013" s="4" t="s">
        <v>1378</v>
      </c>
      <c r="E1013" s="4"/>
      <c r="F1013" s="4"/>
      <c r="G1013" s="4"/>
      <c r="H1013" s="4"/>
      <c r="I1013" s="4" t="s">
        <v>1019</v>
      </c>
      <c r="J1013" s="4" t="s">
        <v>1184</v>
      </c>
      <c r="K1013" s="4" t="s">
        <v>1020</v>
      </c>
      <c r="L1013" s="4">
        <v>306</v>
      </c>
      <c r="M1013" s="4">
        <v>306</v>
      </c>
      <c r="N1013" s="4">
        <v>21</v>
      </c>
      <c r="O1013" s="4">
        <v>4</v>
      </c>
      <c r="P1013" s="4"/>
    </row>
    <row r="1014" spans="1:17" s="2" customFormat="1" hidden="1" x14ac:dyDescent="0.3">
      <c r="A1014">
        <v>1013</v>
      </c>
      <c r="B1014" s="4"/>
      <c r="C1014" s="4"/>
      <c r="D1014" s="4" t="s">
        <v>1348</v>
      </c>
      <c r="E1014" s="4"/>
      <c r="F1014" s="4"/>
      <c r="G1014" s="4"/>
      <c r="H1014" s="4"/>
      <c r="I1014" s="4" t="s">
        <v>1021</v>
      </c>
      <c r="J1014" s="4" t="s">
        <v>214</v>
      </c>
      <c r="K1014" s="4" t="s">
        <v>1022</v>
      </c>
      <c r="L1014" s="4">
        <v>9400</v>
      </c>
      <c r="M1014" s="4">
        <v>9400</v>
      </c>
      <c r="N1014" s="4">
        <v>658</v>
      </c>
      <c r="O1014" s="4"/>
      <c r="P1014" s="4"/>
    </row>
    <row r="1015" spans="1:17" s="2" customFormat="1" hidden="1" x14ac:dyDescent="0.3">
      <c r="A1015">
        <v>1014</v>
      </c>
      <c r="B1015" s="4" t="s">
        <v>1023</v>
      </c>
      <c r="C1015" s="4" t="s">
        <v>1244</v>
      </c>
      <c r="D1015" s="5"/>
      <c r="E1015" s="5"/>
      <c r="F1015" s="5"/>
      <c r="G1015" s="5"/>
      <c r="H1015" s="5"/>
      <c r="I1015" s="4" t="s">
        <v>1019</v>
      </c>
      <c r="J1015" s="4" t="s">
        <v>214</v>
      </c>
      <c r="K1015" s="4" t="s">
        <v>85</v>
      </c>
      <c r="L1015" s="4"/>
      <c r="M1015" s="13">
        <v>146100</v>
      </c>
      <c r="N1015" s="4">
        <v>10227</v>
      </c>
      <c r="O1015" s="4"/>
      <c r="P1015" s="4" t="s">
        <v>1653</v>
      </c>
      <c r="Q1015" s="2" t="s">
        <v>1245</v>
      </c>
    </row>
    <row r="1016" spans="1:17" s="2" customFormat="1" hidden="1" x14ac:dyDescent="0.3">
      <c r="A1016">
        <v>1015</v>
      </c>
      <c r="B1016" s="4"/>
      <c r="C1016" s="4" t="s">
        <v>1024</v>
      </c>
      <c r="D1016" s="4" t="s">
        <v>1415</v>
      </c>
      <c r="E1016" s="4"/>
      <c r="F1016" s="4"/>
      <c r="G1016" s="4"/>
      <c r="H1016" s="4"/>
      <c r="I1016" s="4" t="s">
        <v>79</v>
      </c>
      <c r="J1016" s="4" t="s">
        <v>1185</v>
      </c>
      <c r="K1016" s="4" t="s">
        <v>1025</v>
      </c>
      <c r="L1016" s="4">
        <v>4118</v>
      </c>
      <c r="M1016" s="4">
        <v>4118</v>
      </c>
      <c r="N1016" s="4">
        <v>288</v>
      </c>
      <c r="O1016" s="4"/>
      <c r="P1016" s="4"/>
      <c r="Q1016" s="2" t="s">
        <v>1026</v>
      </c>
    </row>
    <row r="1017" spans="1:17" s="2" customFormat="1" hidden="1" x14ac:dyDescent="0.3">
      <c r="A1017">
        <v>1016</v>
      </c>
      <c r="B1017" s="4"/>
      <c r="C1017" s="4"/>
      <c r="D1017" s="4" t="s">
        <v>1372</v>
      </c>
      <c r="E1017" s="4"/>
      <c r="F1017" s="4"/>
      <c r="G1017" s="4"/>
      <c r="H1017" s="4"/>
      <c r="I1017" s="4"/>
      <c r="J1017" s="4" t="s">
        <v>1246</v>
      </c>
      <c r="K1017" s="4" t="s">
        <v>1027</v>
      </c>
      <c r="L1017" s="4">
        <v>800</v>
      </c>
      <c r="M1017" s="4">
        <v>800</v>
      </c>
      <c r="N1017" s="4">
        <v>56</v>
      </c>
      <c r="O1017" s="4"/>
      <c r="P1017" s="4"/>
      <c r="Q1017" s="2" t="s">
        <v>1028</v>
      </c>
    </row>
    <row r="1018" spans="1:17" s="2" customFormat="1" hidden="1" x14ac:dyDescent="0.3">
      <c r="A1018">
        <v>1017</v>
      </c>
      <c r="B1018" s="4"/>
      <c r="C1018" s="4" t="s">
        <v>21</v>
      </c>
      <c r="D1018" s="4" t="s">
        <v>1337</v>
      </c>
      <c r="E1018" s="4"/>
      <c r="F1018" s="4"/>
      <c r="G1018" s="4"/>
      <c r="H1018" s="4"/>
      <c r="I1018" s="4"/>
      <c r="J1018" s="4" t="s">
        <v>1184</v>
      </c>
      <c r="K1018" s="4" t="s">
        <v>1030</v>
      </c>
      <c r="L1018" s="4">
        <v>660</v>
      </c>
      <c r="M1018" s="4">
        <v>660</v>
      </c>
      <c r="N1018" s="4">
        <v>46</v>
      </c>
      <c r="O1018" s="4">
        <v>4</v>
      </c>
      <c r="P1018" s="4"/>
      <c r="Q1018" s="2" t="s">
        <v>1029</v>
      </c>
    </row>
    <row r="1019" spans="1:17" s="2" customFormat="1" hidden="1" x14ac:dyDescent="0.3">
      <c r="A1019">
        <v>1018</v>
      </c>
      <c r="B1019" s="4"/>
      <c r="C1019" s="4" t="s">
        <v>231</v>
      </c>
      <c r="D1019" s="5" t="s">
        <v>1472</v>
      </c>
      <c r="E1019" s="5" t="s">
        <v>1319</v>
      </c>
      <c r="F1019" s="5"/>
      <c r="G1019" s="5"/>
      <c r="H1019" s="5"/>
      <c r="I1019" s="4"/>
      <c r="J1019" s="4" t="s">
        <v>214</v>
      </c>
      <c r="K1019" s="4" t="s">
        <v>85</v>
      </c>
      <c r="L1019" s="4">
        <v>8000</v>
      </c>
      <c r="M1019" s="4">
        <v>8000</v>
      </c>
      <c r="N1019" s="4">
        <v>560</v>
      </c>
      <c r="O1019" s="4"/>
      <c r="P1019" s="4"/>
    </row>
    <row r="1020" spans="1:17" s="2" customFormat="1" hidden="1" x14ac:dyDescent="0.3">
      <c r="A1020">
        <v>1019</v>
      </c>
      <c r="B1020" s="7" t="s">
        <v>1060</v>
      </c>
      <c r="C1020" s="7"/>
      <c r="D1020" s="7" t="s">
        <v>1507</v>
      </c>
      <c r="E1020" s="7"/>
      <c r="F1020" s="7"/>
      <c r="G1020" s="7"/>
      <c r="H1020" s="7"/>
      <c r="I1020" s="4" t="s">
        <v>172</v>
      </c>
      <c r="J1020" s="4" t="s">
        <v>1183</v>
      </c>
      <c r="K1020" s="7" t="s">
        <v>1061</v>
      </c>
      <c r="L1020" s="7">
        <v>2500</v>
      </c>
      <c r="M1020" s="7">
        <v>2500</v>
      </c>
      <c r="N1020" s="7"/>
      <c r="O1020" s="7"/>
      <c r="P1020" s="7"/>
      <c r="Q1020"/>
    </row>
    <row r="1021" spans="1:17" s="2" customFormat="1" hidden="1" x14ac:dyDescent="0.3">
      <c r="A1021">
        <v>1020</v>
      </c>
      <c r="B1021" s="4"/>
      <c r="C1021" s="4"/>
      <c r="D1021" s="4" t="s">
        <v>1589</v>
      </c>
      <c r="E1021" s="4"/>
      <c r="F1021" s="4"/>
      <c r="G1021" s="4"/>
      <c r="H1021" s="4"/>
      <c r="I1021" s="4" t="s">
        <v>172</v>
      </c>
      <c r="J1021" s="4" t="s">
        <v>1183</v>
      </c>
      <c r="K1021" s="4" t="s">
        <v>1062</v>
      </c>
      <c r="L1021" s="4">
        <v>4500</v>
      </c>
      <c r="M1021" s="4">
        <v>4500</v>
      </c>
      <c r="N1021" s="4"/>
      <c r="O1021" s="4"/>
      <c r="P1021" s="4"/>
    </row>
    <row r="1022" spans="1:17" s="2" customFormat="1" hidden="1" x14ac:dyDescent="0.3">
      <c r="A1022">
        <v>1021</v>
      </c>
      <c r="B1022" s="4"/>
      <c r="C1022" s="4"/>
      <c r="D1022" s="4" t="s">
        <v>1500</v>
      </c>
      <c r="E1022" s="4"/>
      <c r="F1022" s="4"/>
      <c r="G1022" s="4"/>
      <c r="H1022" s="4"/>
      <c r="I1022" s="4" t="s">
        <v>189</v>
      </c>
      <c r="J1022" s="4" t="s">
        <v>1183</v>
      </c>
      <c r="K1022" s="4" t="s">
        <v>1063</v>
      </c>
      <c r="L1022" s="13">
        <v>2026</v>
      </c>
      <c r="M1022" s="13">
        <v>2026</v>
      </c>
      <c r="N1022" s="4"/>
      <c r="O1022" s="4"/>
      <c r="P1022" s="4"/>
    </row>
    <row r="1023" spans="1:17" s="2" customFormat="1" hidden="1" x14ac:dyDescent="0.3">
      <c r="A1023">
        <v>1022</v>
      </c>
      <c r="B1023" s="4"/>
      <c r="C1023" s="4"/>
      <c r="D1023" s="4" t="s">
        <v>1494</v>
      </c>
      <c r="E1023" s="4"/>
      <c r="F1023" s="4"/>
      <c r="G1023" s="4"/>
      <c r="H1023" s="4"/>
      <c r="I1023" s="4" t="s">
        <v>409</v>
      </c>
      <c r="J1023" s="4" t="s">
        <v>1183</v>
      </c>
      <c r="K1023" s="4" t="s">
        <v>1064</v>
      </c>
      <c r="L1023" s="13">
        <v>3063</v>
      </c>
      <c r="M1023" s="13">
        <v>3063</v>
      </c>
      <c r="N1023" s="4"/>
      <c r="O1023" s="4"/>
      <c r="P1023" s="4"/>
    </row>
    <row r="1024" spans="1:17" s="2" customFormat="1" hidden="1" x14ac:dyDescent="0.3">
      <c r="A1024">
        <v>1023</v>
      </c>
      <c r="B1024" s="4"/>
      <c r="C1024" s="4"/>
      <c r="D1024" s="4" t="s">
        <v>1564</v>
      </c>
      <c r="E1024" s="4"/>
      <c r="F1024" s="4"/>
      <c r="G1024" s="4"/>
      <c r="H1024" s="4"/>
      <c r="I1024" s="4" t="s">
        <v>485</v>
      </c>
      <c r="J1024" s="4" t="s">
        <v>1183</v>
      </c>
      <c r="K1024" s="4" t="s">
        <v>1065</v>
      </c>
      <c r="L1024" s="13">
        <v>8461</v>
      </c>
      <c r="M1024" s="13">
        <v>8461</v>
      </c>
      <c r="N1024" s="4"/>
      <c r="O1024" s="4"/>
      <c r="P1024" s="4"/>
    </row>
    <row r="1025" spans="1:17" s="2" customFormat="1" hidden="1" x14ac:dyDescent="0.3">
      <c r="A1025">
        <v>1024</v>
      </c>
      <c r="B1025" s="4"/>
      <c r="C1025" s="4"/>
      <c r="D1025" s="4" t="s">
        <v>1593</v>
      </c>
      <c r="E1025" s="4"/>
      <c r="F1025" s="4"/>
      <c r="G1025" s="4"/>
      <c r="H1025" s="4"/>
      <c r="I1025" s="4" t="s">
        <v>488</v>
      </c>
      <c r="J1025" s="4" t="s">
        <v>1183</v>
      </c>
      <c r="K1025" s="4" t="s">
        <v>1066</v>
      </c>
      <c r="L1025" s="4">
        <v>38750</v>
      </c>
      <c r="M1025" s="4">
        <v>38750</v>
      </c>
      <c r="N1025" s="4"/>
      <c r="O1025" s="4"/>
      <c r="P1025" s="4"/>
    </row>
    <row r="1026" spans="1:17" s="2" customFormat="1" hidden="1" x14ac:dyDescent="0.3">
      <c r="A1026">
        <v>1025</v>
      </c>
      <c r="B1026" s="4"/>
      <c r="C1026" s="4"/>
      <c r="D1026" s="4" t="s">
        <v>1374</v>
      </c>
      <c r="E1026" s="4"/>
      <c r="F1026" s="4"/>
      <c r="G1026" s="4"/>
      <c r="H1026" s="4"/>
      <c r="I1026" s="4" t="s">
        <v>549</v>
      </c>
      <c r="J1026" s="4" t="s">
        <v>1183</v>
      </c>
      <c r="K1026" s="4" t="s">
        <v>1067</v>
      </c>
      <c r="L1026" s="4">
        <v>1015</v>
      </c>
      <c r="M1026" s="4">
        <v>1015</v>
      </c>
      <c r="N1026" s="4"/>
      <c r="O1026" s="4"/>
      <c r="P1026" s="4"/>
    </row>
    <row r="1027" spans="1:17" s="2" customFormat="1" hidden="1" x14ac:dyDescent="0.3">
      <c r="A1027">
        <v>1026</v>
      </c>
      <c r="B1027" s="4"/>
      <c r="C1027" s="4"/>
      <c r="D1027" s="4" t="s">
        <v>1620</v>
      </c>
      <c r="E1027" s="4"/>
      <c r="F1027" s="4"/>
      <c r="G1027" s="4"/>
      <c r="H1027" s="4"/>
      <c r="I1027" s="4" t="s">
        <v>570</v>
      </c>
      <c r="J1027" s="4" t="s">
        <v>1183</v>
      </c>
      <c r="K1027" s="4" t="s">
        <v>1068</v>
      </c>
      <c r="L1027" s="4">
        <v>1250</v>
      </c>
      <c r="M1027" s="4">
        <v>1250</v>
      </c>
      <c r="N1027" s="4"/>
      <c r="O1027" s="4"/>
      <c r="P1027" s="4"/>
    </row>
    <row r="1028" spans="1:17" s="2" customFormat="1" hidden="1" x14ac:dyDescent="0.3">
      <c r="A1028">
        <v>1027</v>
      </c>
      <c r="B1028" s="4"/>
      <c r="C1028" s="4"/>
      <c r="D1028" s="4" t="s">
        <v>1469</v>
      </c>
      <c r="E1028" s="4"/>
      <c r="F1028" s="4"/>
      <c r="G1028" s="4"/>
      <c r="H1028" s="4"/>
      <c r="I1028" s="4" t="s">
        <v>621</v>
      </c>
      <c r="J1028" s="4" t="s">
        <v>1183</v>
      </c>
      <c r="K1028" s="4" t="s">
        <v>1069</v>
      </c>
      <c r="L1028" s="4">
        <v>12940</v>
      </c>
      <c r="M1028" s="4">
        <v>12940</v>
      </c>
      <c r="N1028" s="4"/>
      <c r="O1028" s="4"/>
      <c r="P1028" s="4"/>
    </row>
    <row r="1029" spans="1:17" s="2" customFormat="1" hidden="1" x14ac:dyDescent="0.3">
      <c r="A1029">
        <v>1028</v>
      </c>
      <c r="B1029" s="4"/>
      <c r="C1029" s="4"/>
      <c r="D1029" s="4" t="s">
        <v>1598</v>
      </c>
      <c r="E1029" s="4"/>
      <c r="F1029" s="4"/>
      <c r="G1029" s="4"/>
      <c r="H1029" s="4"/>
      <c r="I1029" s="4" t="s">
        <v>621</v>
      </c>
      <c r="J1029" s="4" t="s">
        <v>1183</v>
      </c>
      <c r="K1029" s="4" t="s">
        <v>1070</v>
      </c>
      <c r="L1029" s="13">
        <v>11829</v>
      </c>
      <c r="M1029" s="13">
        <v>11829</v>
      </c>
      <c r="N1029" s="4"/>
      <c r="O1029" s="4"/>
      <c r="P1029" s="4"/>
    </row>
    <row r="1030" spans="1:17" s="2" customFormat="1" hidden="1" x14ac:dyDescent="0.3">
      <c r="A1030">
        <v>1029</v>
      </c>
      <c r="B1030" s="4"/>
      <c r="C1030" s="4"/>
      <c r="D1030" s="4" t="s">
        <v>1483</v>
      </c>
      <c r="E1030" s="4"/>
      <c r="F1030" s="4"/>
      <c r="G1030" s="4"/>
      <c r="H1030" s="4"/>
      <c r="I1030" s="4" t="s">
        <v>621</v>
      </c>
      <c r="J1030" s="4" t="s">
        <v>1183</v>
      </c>
      <c r="K1030" s="4" t="s">
        <v>1071</v>
      </c>
      <c r="L1030" s="13">
        <v>1933</v>
      </c>
      <c r="M1030" s="13">
        <v>1933</v>
      </c>
      <c r="N1030" s="4"/>
      <c r="O1030" s="4"/>
      <c r="P1030" s="4"/>
    </row>
    <row r="1031" spans="1:17" s="2" customFormat="1" hidden="1" x14ac:dyDescent="0.3">
      <c r="A1031">
        <v>1030</v>
      </c>
      <c r="B1031" s="4"/>
      <c r="C1031" s="4"/>
      <c r="D1031" s="4" t="s">
        <v>1447</v>
      </c>
      <c r="E1031" s="4"/>
      <c r="F1031" s="4"/>
      <c r="G1031" s="4"/>
      <c r="H1031" s="4"/>
      <c r="I1031" s="4" t="s">
        <v>637</v>
      </c>
      <c r="J1031" s="4" t="s">
        <v>1183</v>
      </c>
      <c r="K1031" s="4" t="s">
        <v>1072</v>
      </c>
      <c r="L1031" s="4">
        <v>6000</v>
      </c>
      <c r="M1031" s="4">
        <v>6000</v>
      </c>
      <c r="N1031" s="4"/>
      <c r="O1031" s="4"/>
      <c r="P1031" s="4"/>
    </row>
    <row r="1032" spans="1:17" s="2" customFormat="1" ht="28.8" hidden="1" x14ac:dyDescent="0.3">
      <c r="A1032">
        <v>1031</v>
      </c>
      <c r="B1032" s="4"/>
      <c r="C1032" s="4"/>
      <c r="D1032" s="5" t="s">
        <v>1270</v>
      </c>
      <c r="E1032" s="5" t="s">
        <v>1266</v>
      </c>
      <c r="F1032" s="5" t="s">
        <v>1267</v>
      </c>
      <c r="G1032" s="5" t="s">
        <v>1268</v>
      </c>
      <c r="H1032" s="5" t="s">
        <v>1320</v>
      </c>
      <c r="I1032" s="4" t="s">
        <v>637</v>
      </c>
      <c r="J1032" s="4" t="s">
        <v>1183</v>
      </c>
      <c r="K1032" s="4" t="s">
        <v>1073</v>
      </c>
      <c r="L1032" s="4">
        <v>3645</v>
      </c>
      <c r="M1032" s="4">
        <v>3645</v>
      </c>
      <c r="N1032" s="4"/>
      <c r="O1032" s="4"/>
      <c r="P1032" s="4"/>
    </row>
    <row r="1033" spans="1:17" s="2" customFormat="1" hidden="1" x14ac:dyDescent="0.3">
      <c r="A1033">
        <v>1032</v>
      </c>
      <c r="B1033" s="4"/>
      <c r="C1033" s="4"/>
      <c r="D1033" s="4" t="s">
        <v>1473</v>
      </c>
      <c r="E1033" s="4"/>
      <c r="F1033" s="4"/>
      <c r="G1033" s="4"/>
      <c r="H1033" s="4"/>
      <c r="I1033" s="4" t="s">
        <v>686</v>
      </c>
      <c r="J1033" s="4" t="s">
        <v>1183</v>
      </c>
      <c r="K1033" s="4" t="s">
        <v>1074</v>
      </c>
      <c r="L1033" s="13">
        <v>22983</v>
      </c>
      <c r="M1033" s="13">
        <v>22983</v>
      </c>
      <c r="N1033" s="4"/>
      <c r="O1033" s="4"/>
      <c r="P1033" s="4"/>
    </row>
    <row r="1034" spans="1:17" s="2" customFormat="1" hidden="1" x14ac:dyDescent="0.3">
      <c r="A1034">
        <v>1033</v>
      </c>
      <c r="B1034" s="4"/>
      <c r="C1034" s="4"/>
      <c r="D1034" s="4" t="s">
        <v>1506</v>
      </c>
      <c r="E1034" s="4"/>
      <c r="F1034" s="4"/>
      <c r="G1034" s="4"/>
      <c r="H1034" s="4"/>
      <c r="I1034" s="4" t="s">
        <v>686</v>
      </c>
      <c r="J1034" s="4" t="s">
        <v>1183</v>
      </c>
      <c r="K1034" s="4" t="s">
        <v>1075</v>
      </c>
      <c r="L1034" s="4">
        <v>4000</v>
      </c>
      <c r="M1034" s="4">
        <v>4000</v>
      </c>
      <c r="N1034" s="4"/>
      <c r="O1034" s="4"/>
      <c r="P1034" s="4"/>
    </row>
    <row r="1035" spans="1:17" hidden="1" x14ac:dyDescent="0.3">
      <c r="A1035">
        <v>1034</v>
      </c>
      <c r="D1035" s="4" t="s">
        <v>1297</v>
      </c>
      <c r="E1035" s="4" t="s">
        <v>1296</v>
      </c>
      <c r="I1035" s="4" t="s">
        <v>737</v>
      </c>
      <c r="J1035" s="4" t="s">
        <v>1183</v>
      </c>
      <c r="K1035" s="4" t="s">
        <v>1076</v>
      </c>
      <c r="L1035" s="4">
        <v>3590</v>
      </c>
      <c r="M1035" s="4">
        <v>3590</v>
      </c>
      <c r="N1035" s="4"/>
      <c r="O1035" s="4"/>
      <c r="P1035" s="4"/>
      <c r="Q1035" s="2"/>
    </row>
    <row r="1036" spans="1:17" hidden="1" x14ac:dyDescent="0.3">
      <c r="A1036">
        <v>1035</v>
      </c>
      <c r="C1036" s="4" t="s">
        <v>21</v>
      </c>
      <c r="D1036" s="4" t="s">
        <v>1668</v>
      </c>
      <c r="I1036" s="4" t="s">
        <v>748</v>
      </c>
      <c r="J1036" s="4" t="s">
        <v>1183</v>
      </c>
      <c r="K1036" s="4" t="s">
        <v>1077</v>
      </c>
      <c r="L1036" s="4">
        <v>6050</v>
      </c>
      <c r="M1036" s="4">
        <v>6050</v>
      </c>
      <c r="N1036" s="4"/>
      <c r="O1036" s="4"/>
      <c r="P1036" s="4"/>
      <c r="Q1036" s="2"/>
    </row>
    <row r="1037" spans="1:17" hidden="1" x14ac:dyDescent="0.3">
      <c r="A1037">
        <v>1036</v>
      </c>
      <c r="D1037" s="4" t="s">
        <v>1393</v>
      </c>
      <c r="I1037" s="4" t="s">
        <v>748</v>
      </c>
      <c r="J1037" s="4" t="s">
        <v>1183</v>
      </c>
      <c r="K1037" s="4" t="s">
        <v>1078</v>
      </c>
      <c r="L1037" s="4">
        <v>5855</v>
      </c>
      <c r="M1037" s="4">
        <v>5855</v>
      </c>
      <c r="N1037" s="4"/>
      <c r="O1037" s="4"/>
      <c r="P1037" s="4"/>
      <c r="Q1037" s="2"/>
    </row>
    <row r="1038" spans="1:17" hidden="1" x14ac:dyDescent="0.3">
      <c r="A1038">
        <v>1037</v>
      </c>
      <c r="D1038" s="4" t="s">
        <v>1398</v>
      </c>
      <c r="I1038" s="4" t="s">
        <v>799</v>
      </c>
      <c r="J1038" s="4" t="s">
        <v>1183</v>
      </c>
      <c r="K1038" s="4" t="s">
        <v>1079</v>
      </c>
      <c r="L1038" s="4">
        <v>1050</v>
      </c>
      <c r="M1038" s="4">
        <v>1050</v>
      </c>
      <c r="N1038" s="4"/>
      <c r="O1038" s="4"/>
      <c r="P1038" s="4"/>
      <c r="Q1038" s="2"/>
    </row>
    <row r="1039" spans="1:17" hidden="1" x14ac:dyDescent="0.3">
      <c r="A1039">
        <v>1038</v>
      </c>
      <c r="D1039" s="4" t="s">
        <v>1380</v>
      </c>
      <c r="I1039" s="4" t="s">
        <v>863</v>
      </c>
      <c r="J1039" s="4" t="s">
        <v>1183</v>
      </c>
      <c r="K1039" s="4" t="s">
        <v>1080</v>
      </c>
      <c r="L1039" s="4">
        <v>4200</v>
      </c>
      <c r="M1039" s="4">
        <v>4200</v>
      </c>
      <c r="N1039" s="4"/>
      <c r="O1039" s="4"/>
      <c r="P1039" s="4"/>
      <c r="Q1039" s="2"/>
    </row>
    <row r="1040" spans="1:17" hidden="1" x14ac:dyDescent="0.3">
      <c r="A1040">
        <v>1039</v>
      </c>
      <c r="C1040" s="4" t="s">
        <v>1081</v>
      </c>
      <c r="D1040" s="4" t="s">
        <v>1482</v>
      </c>
      <c r="I1040" s="4" t="s">
        <v>1001</v>
      </c>
      <c r="J1040" s="4" t="s">
        <v>1183</v>
      </c>
      <c r="K1040" s="4" t="s">
        <v>1082</v>
      </c>
      <c r="L1040" s="4">
        <v>1625</v>
      </c>
      <c r="M1040" s="4">
        <v>1625</v>
      </c>
      <c r="N1040" s="4"/>
      <c r="O1040" s="4"/>
      <c r="P1040" s="4"/>
      <c r="Q1040" s="2"/>
    </row>
    <row r="1041" spans="12:17" x14ac:dyDescent="0.3">
      <c r="L1041" s="4"/>
      <c r="M1041" s="4"/>
      <c r="N1041" s="4"/>
      <c r="O1041" s="4"/>
      <c r="P1041" s="4"/>
      <c r="Q1041" s="2"/>
    </row>
    <row r="1042" spans="12:17" x14ac:dyDescent="0.3">
      <c r="L1042" s="4"/>
      <c r="M1042" s="4"/>
      <c r="N1042" s="4"/>
      <c r="O1042" s="4"/>
      <c r="P1042" s="4"/>
      <c r="Q1042" s="2"/>
    </row>
    <row r="1043" spans="12:17" x14ac:dyDescent="0.3">
      <c r="L1043" s="4"/>
      <c r="M1043" s="4"/>
      <c r="N1043" s="4"/>
      <c r="O1043" s="4"/>
      <c r="P1043" s="4"/>
      <c r="Q1043" s="2"/>
    </row>
    <row r="1044" spans="12:17" x14ac:dyDescent="0.3">
      <c r="L1044" s="4"/>
      <c r="M1044" s="4"/>
      <c r="N1044" s="4"/>
      <c r="O1044" s="4"/>
      <c r="P1044" s="4"/>
      <c r="Q1044" s="2"/>
    </row>
    <row r="1143" spans="12:17" x14ac:dyDescent="0.3">
      <c r="L1143" s="4"/>
      <c r="M1143" s="4"/>
      <c r="N1143" s="4"/>
      <c r="O1143" s="4"/>
      <c r="P1143" s="4"/>
      <c r="Q1143" s="2"/>
    </row>
    <row r="1144" spans="12:17" x14ac:dyDescent="0.3">
      <c r="L1144" s="4"/>
      <c r="M1144" s="4"/>
      <c r="N1144" s="4"/>
      <c r="O1144" s="4"/>
      <c r="P1144" s="4"/>
      <c r="Q1144" s="2"/>
    </row>
    <row r="1145" spans="12:17" x14ac:dyDescent="0.3">
      <c r="L1145" s="4"/>
      <c r="M1145" s="4"/>
      <c r="N1145" s="4"/>
      <c r="O1145" s="4"/>
      <c r="P1145" s="4"/>
      <c r="Q1145" s="2"/>
    </row>
    <row r="1146" spans="12:17" x14ac:dyDescent="0.3">
      <c r="L1146" s="4"/>
      <c r="M1146" s="4"/>
      <c r="N1146" s="4"/>
      <c r="O1146" s="4"/>
      <c r="P1146" s="4"/>
      <c r="Q1146" s="2"/>
    </row>
    <row r="1147" spans="12:17" x14ac:dyDescent="0.3">
      <c r="L1147" s="4"/>
      <c r="M1147" s="4"/>
      <c r="N1147" s="4"/>
      <c r="O1147" s="4"/>
      <c r="P1147" s="4"/>
      <c r="Q1147" s="2"/>
    </row>
    <row r="1148" spans="12:17" x14ac:dyDescent="0.3">
      <c r="L1148" s="4"/>
      <c r="M1148" s="4"/>
      <c r="N1148" s="4"/>
      <c r="O1148" s="4"/>
      <c r="P1148" s="4"/>
      <c r="Q1148" s="2"/>
    </row>
    <row r="1149" spans="12:17" x14ac:dyDescent="0.3">
      <c r="L1149" s="4"/>
      <c r="M1149" s="4"/>
      <c r="N1149" s="4"/>
      <c r="O1149" s="4"/>
      <c r="P1149" s="4"/>
      <c r="Q1149" s="2"/>
    </row>
    <row r="1150" spans="12:17" x14ac:dyDescent="0.3">
      <c r="L1150" s="4"/>
      <c r="M1150" s="4"/>
      <c r="N1150" s="4"/>
      <c r="O1150" s="4"/>
      <c r="P1150" s="4"/>
      <c r="Q1150" s="2"/>
    </row>
    <row r="1151" spans="12:17" x14ac:dyDescent="0.3">
      <c r="L1151" s="4"/>
      <c r="M1151" s="4"/>
      <c r="N1151" s="4"/>
      <c r="O1151" s="4"/>
      <c r="P1151" s="4"/>
      <c r="Q1151" s="2"/>
    </row>
    <row r="1152" spans="12:17" x14ac:dyDescent="0.3">
      <c r="L1152" s="4"/>
      <c r="M1152" s="4"/>
      <c r="N1152" s="4"/>
      <c r="O1152" s="4"/>
      <c r="P1152" s="4"/>
      <c r="Q1152" s="2"/>
    </row>
    <row r="1153" spans="12:17" x14ac:dyDescent="0.3">
      <c r="L1153" s="4"/>
      <c r="M1153" s="4"/>
      <c r="N1153" s="4"/>
      <c r="O1153" s="4"/>
      <c r="P1153" s="4"/>
      <c r="Q1153" s="2"/>
    </row>
    <row r="1154" spans="12:17" x14ac:dyDescent="0.3">
      <c r="L1154" s="4"/>
      <c r="M1154" s="4"/>
      <c r="N1154" s="4"/>
      <c r="O1154" s="4"/>
      <c r="P1154" s="4"/>
      <c r="Q1154" s="2"/>
    </row>
    <row r="1155" spans="12:17" x14ac:dyDescent="0.3">
      <c r="L1155" s="4"/>
      <c r="M1155" s="4"/>
      <c r="N1155" s="4"/>
      <c r="O1155" s="4"/>
      <c r="P1155" s="4"/>
      <c r="Q1155" s="2"/>
    </row>
    <row r="1156" spans="12:17" x14ac:dyDescent="0.3">
      <c r="L1156" s="4"/>
      <c r="M1156" s="4"/>
      <c r="N1156" s="4"/>
      <c r="O1156" s="4"/>
      <c r="P1156" s="4"/>
      <c r="Q1156" s="2"/>
    </row>
    <row r="1157" spans="12:17" x14ac:dyDescent="0.3">
      <c r="L1157" s="4"/>
      <c r="M1157" s="4"/>
      <c r="N1157" s="4"/>
      <c r="O1157" s="4"/>
      <c r="P1157" s="4"/>
      <c r="Q1157" s="2"/>
    </row>
    <row r="1158" spans="12:17" x14ac:dyDescent="0.3">
      <c r="L1158" s="4"/>
      <c r="M1158" s="4"/>
      <c r="N1158" s="4"/>
      <c r="O1158" s="4"/>
      <c r="P1158" s="4"/>
      <c r="Q1158" s="2"/>
    </row>
    <row r="1159" spans="12:17" x14ac:dyDescent="0.3">
      <c r="L1159" s="4"/>
      <c r="M1159" s="4"/>
      <c r="N1159" s="4"/>
      <c r="O1159" s="4"/>
      <c r="P1159" s="4"/>
      <c r="Q1159" s="2"/>
    </row>
    <row r="1160" spans="12:17" x14ac:dyDescent="0.3">
      <c r="L1160" s="4"/>
      <c r="M1160" s="4"/>
      <c r="N1160" s="4"/>
      <c r="O1160" s="4"/>
      <c r="P1160" s="4"/>
      <c r="Q1160" s="2"/>
    </row>
    <row r="1161" spans="12:17" x14ac:dyDescent="0.3">
      <c r="L1161" s="4"/>
      <c r="M1161" s="4"/>
      <c r="N1161" s="4"/>
      <c r="O1161" s="4"/>
      <c r="P1161" s="4"/>
      <c r="Q1161" s="2"/>
    </row>
    <row r="1162" spans="12:17" x14ac:dyDescent="0.3">
      <c r="L1162" s="4"/>
      <c r="M1162" s="4"/>
      <c r="N1162" s="4"/>
      <c r="O1162" s="4"/>
      <c r="P1162" s="4"/>
      <c r="Q1162" s="2"/>
    </row>
    <row r="1163" spans="12:17" x14ac:dyDescent="0.3">
      <c r="L1163" s="4"/>
      <c r="M1163" s="4"/>
      <c r="N1163" s="4"/>
      <c r="O1163" s="4"/>
      <c r="P1163" s="4"/>
      <c r="Q1163" s="2"/>
    </row>
    <row r="1164" spans="12:17" x14ac:dyDescent="0.3">
      <c r="L1164" s="4"/>
      <c r="M1164" s="4"/>
      <c r="N1164" s="4"/>
      <c r="O1164" s="4"/>
      <c r="P1164" s="4"/>
      <c r="Q1164" s="2"/>
    </row>
    <row r="1165" spans="12:17" x14ac:dyDescent="0.3">
      <c r="L1165" s="4"/>
      <c r="M1165" s="4"/>
      <c r="N1165" s="4"/>
      <c r="O1165" s="4"/>
      <c r="P1165" s="4"/>
      <c r="Q1165" s="2"/>
    </row>
    <row r="1166" spans="12:17" x14ac:dyDescent="0.3">
      <c r="L1166" s="4"/>
      <c r="M1166" s="4"/>
      <c r="N1166" s="4"/>
      <c r="O1166" s="4"/>
      <c r="P1166" s="4"/>
      <c r="Q1166" s="2"/>
    </row>
    <row r="1167" spans="12:17" x14ac:dyDescent="0.3">
      <c r="L1167" s="4"/>
      <c r="M1167" s="4"/>
      <c r="N1167" s="4"/>
      <c r="O1167" s="4"/>
      <c r="P1167" s="4"/>
      <c r="Q1167" s="2"/>
    </row>
    <row r="1168" spans="12:17" x14ac:dyDescent="0.3">
      <c r="L1168" s="4"/>
      <c r="M1168" s="4"/>
      <c r="N1168" s="4"/>
      <c r="O1168" s="4"/>
      <c r="P1168" s="4"/>
      <c r="Q1168" s="2"/>
    </row>
    <row r="1169" spans="12:17" x14ac:dyDescent="0.3">
      <c r="L1169" s="4"/>
      <c r="M1169" s="4"/>
      <c r="N1169" s="4"/>
      <c r="O1169" s="4"/>
      <c r="P1169" s="4"/>
      <c r="Q1169" s="2"/>
    </row>
    <row r="1170" spans="12:17" x14ac:dyDescent="0.3">
      <c r="L1170" s="4"/>
      <c r="M1170" s="4"/>
      <c r="N1170" s="4"/>
      <c r="O1170" s="4"/>
      <c r="P1170" s="4"/>
      <c r="Q1170" s="2"/>
    </row>
    <row r="1171" spans="12:17" x14ac:dyDescent="0.3">
      <c r="L1171" s="4"/>
      <c r="M1171" s="4"/>
      <c r="N1171" s="4"/>
      <c r="O1171" s="4"/>
      <c r="P1171" s="4"/>
      <c r="Q1171" s="2"/>
    </row>
    <row r="1172" spans="12:17" x14ac:dyDescent="0.3">
      <c r="L1172" s="4"/>
      <c r="M1172" s="4"/>
      <c r="N1172" s="4"/>
      <c r="O1172" s="4"/>
      <c r="P1172" s="4"/>
      <c r="Q1172" s="2"/>
    </row>
    <row r="1173" spans="12:17" x14ac:dyDescent="0.3">
      <c r="L1173" s="4"/>
      <c r="M1173" s="4"/>
      <c r="N1173" s="4"/>
      <c r="O1173" s="4"/>
      <c r="P1173" s="4"/>
      <c r="Q1173" s="2"/>
    </row>
    <row r="1174" spans="12:17" x14ac:dyDescent="0.3">
      <c r="L1174" s="4"/>
      <c r="M1174" s="4"/>
      <c r="N1174" s="4"/>
      <c r="O1174" s="4"/>
      <c r="P1174" s="4"/>
      <c r="Q1174" s="2"/>
    </row>
    <row r="1175" spans="12:17" x14ac:dyDescent="0.3">
      <c r="L1175" s="4"/>
      <c r="M1175" s="4"/>
      <c r="N1175" s="4"/>
      <c r="O1175" s="4"/>
      <c r="P1175" s="4"/>
      <c r="Q1175" s="2"/>
    </row>
    <row r="1176" spans="12:17" x14ac:dyDescent="0.3">
      <c r="L1176" s="4"/>
      <c r="M1176" s="4"/>
      <c r="N1176" s="4"/>
      <c r="O1176" s="4"/>
      <c r="P1176" s="4"/>
      <c r="Q1176" s="2"/>
    </row>
    <row r="1177" spans="12:17" x14ac:dyDescent="0.3">
      <c r="L1177" s="4"/>
      <c r="M1177" s="4"/>
      <c r="N1177" s="4"/>
      <c r="O1177" s="4"/>
      <c r="P1177" s="4"/>
      <c r="Q1177" s="2"/>
    </row>
    <row r="1178" spans="12:17" x14ac:dyDescent="0.3">
      <c r="L1178" s="4"/>
      <c r="M1178" s="4"/>
      <c r="N1178" s="4"/>
      <c r="O1178" s="4"/>
      <c r="P1178" s="4"/>
      <c r="Q1178" s="2"/>
    </row>
    <row r="1179" spans="12:17" x14ac:dyDescent="0.3">
      <c r="L1179" s="4"/>
      <c r="M1179" s="4"/>
      <c r="N1179" s="4"/>
      <c r="O1179" s="4"/>
      <c r="P1179" s="4"/>
      <c r="Q1179" s="2"/>
    </row>
    <row r="1180" spans="12:17" x14ac:dyDescent="0.3">
      <c r="L1180" s="4"/>
      <c r="M1180" s="4"/>
      <c r="N1180" s="4"/>
      <c r="O1180" s="4"/>
      <c r="P1180" s="4"/>
      <c r="Q1180" s="2"/>
    </row>
    <row r="1181" spans="12:17" x14ac:dyDescent="0.3">
      <c r="L1181" s="4"/>
      <c r="M1181" s="4"/>
      <c r="N1181" s="4"/>
      <c r="O1181" s="4"/>
      <c r="P1181" s="4"/>
      <c r="Q1181" s="2"/>
    </row>
    <row r="1182" spans="12:17" x14ac:dyDescent="0.3">
      <c r="L1182" s="4"/>
      <c r="M1182" s="4"/>
      <c r="N1182" s="4"/>
      <c r="O1182" s="4"/>
      <c r="P1182" s="4"/>
      <c r="Q1182" s="2"/>
    </row>
    <row r="1183" spans="12:17" x14ac:dyDescent="0.3">
      <c r="L1183" s="4"/>
      <c r="M1183" s="4"/>
      <c r="N1183" s="4"/>
      <c r="O1183" s="4"/>
      <c r="P1183" s="4"/>
      <c r="Q1183" s="2"/>
    </row>
    <row r="1184" spans="12:17" x14ac:dyDescent="0.3">
      <c r="L1184" s="4"/>
      <c r="M1184" s="4"/>
      <c r="N1184" s="4"/>
      <c r="O1184" s="4"/>
      <c r="P1184" s="4"/>
      <c r="Q1184" s="2"/>
    </row>
    <row r="1185" spans="12:17" x14ac:dyDescent="0.3">
      <c r="L1185" s="4"/>
      <c r="M1185" s="4"/>
      <c r="N1185" s="4"/>
      <c r="O1185" s="4"/>
      <c r="P1185" s="4"/>
      <c r="Q1185" s="2"/>
    </row>
    <row r="1186" spans="12:17" x14ac:dyDescent="0.3">
      <c r="L1186" s="4"/>
      <c r="M1186" s="4"/>
      <c r="N1186" s="4"/>
      <c r="O1186" s="4"/>
      <c r="P1186" s="4"/>
      <c r="Q1186" s="2"/>
    </row>
    <row r="1187" spans="12:17" x14ac:dyDescent="0.3">
      <c r="L1187" s="4"/>
      <c r="M1187" s="4"/>
      <c r="N1187" s="4"/>
      <c r="O1187" s="4"/>
      <c r="P1187" s="4"/>
      <c r="Q1187" s="2"/>
    </row>
    <row r="1188" spans="12:17" x14ac:dyDescent="0.3">
      <c r="L1188" s="4"/>
      <c r="M1188" s="4"/>
      <c r="N1188" s="4"/>
      <c r="O1188" s="4"/>
      <c r="P1188" s="4"/>
      <c r="Q1188" s="2"/>
    </row>
    <row r="1189" spans="12:17" x14ac:dyDescent="0.3">
      <c r="L1189" s="4"/>
      <c r="M1189" s="4"/>
      <c r="N1189" s="4"/>
      <c r="O1189" s="4"/>
      <c r="P1189" s="4"/>
      <c r="Q1189" s="2"/>
    </row>
    <row r="1190" spans="12:17" x14ac:dyDescent="0.3">
      <c r="L1190" s="4"/>
      <c r="M1190" s="4"/>
      <c r="N1190" s="4"/>
      <c r="O1190" s="4"/>
      <c r="P1190" s="4"/>
      <c r="Q1190" s="2"/>
    </row>
    <row r="1191" spans="12:17" x14ac:dyDescent="0.3">
      <c r="L1191" s="4"/>
      <c r="M1191" s="4"/>
      <c r="N1191" s="4"/>
      <c r="O1191" s="4"/>
      <c r="P1191" s="4"/>
      <c r="Q1191" s="2"/>
    </row>
    <row r="1192" spans="12:17" x14ac:dyDescent="0.3">
      <c r="L1192" s="4"/>
      <c r="M1192" s="4"/>
      <c r="N1192" s="4"/>
      <c r="O1192" s="4"/>
      <c r="P1192" s="4"/>
      <c r="Q1192" s="2"/>
    </row>
    <row r="1193" spans="12:17" x14ac:dyDescent="0.3">
      <c r="L1193" s="4"/>
      <c r="M1193" s="4"/>
      <c r="N1193" s="4"/>
      <c r="O1193" s="4"/>
      <c r="P1193" s="4"/>
      <c r="Q1193" s="2"/>
    </row>
    <row r="1194" spans="12:17" x14ac:dyDescent="0.3">
      <c r="L1194" s="4"/>
      <c r="M1194" s="4"/>
      <c r="N1194" s="4"/>
      <c r="O1194" s="4"/>
      <c r="P1194" s="4"/>
      <c r="Q1194" s="2"/>
    </row>
    <row r="1195" spans="12:17" x14ac:dyDescent="0.3">
      <c r="L1195" s="4"/>
      <c r="M1195" s="4"/>
      <c r="N1195" s="4"/>
      <c r="O1195" s="4"/>
      <c r="P1195" s="4"/>
      <c r="Q1195" s="2"/>
    </row>
    <row r="1196" spans="12:17" x14ac:dyDescent="0.3">
      <c r="L1196" s="4"/>
      <c r="M1196" s="4"/>
      <c r="N1196" s="4"/>
      <c r="O1196" s="4"/>
      <c r="P1196" s="4"/>
      <c r="Q1196" s="2"/>
    </row>
    <row r="1197" spans="12:17" x14ac:dyDescent="0.3">
      <c r="L1197" s="4"/>
      <c r="M1197" s="4"/>
      <c r="N1197" s="4"/>
      <c r="O1197" s="4"/>
      <c r="P1197" s="4"/>
      <c r="Q1197" s="2"/>
    </row>
    <row r="1198" spans="12:17" x14ac:dyDescent="0.3">
      <c r="L1198" s="4"/>
      <c r="M1198" s="4"/>
      <c r="N1198" s="4"/>
      <c r="O1198" s="4"/>
      <c r="P1198" s="4"/>
      <c r="Q1198" s="2"/>
    </row>
    <row r="1199" spans="12:17" x14ac:dyDescent="0.3">
      <c r="L1199" s="4"/>
      <c r="M1199" s="4"/>
      <c r="N1199" s="4"/>
      <c r="O1199" s="4"/>
      <c r="P1199" s="4"/>
      <c r="Q1199" s="2"/>
    </row>
    <row r="1200" spans="12:17" x14ac:dyDescent="0.3">
      <c r="L1200" s="4"/>
      <c r="M1200" s="4"/>
      <c r="N1200" s="4"/>
      <c r="O1200" s="4"/>
      <c r="P1200" s="4"/>
      <c r="Q1200" s="2"/>
    </row>
    <row r="1201" spans="12:17" x14ac:dyDescent="0.3">
      <c r="L1201" s="4"/>
      <c r="M1201" s="4"/>
      <c r="N1201" s="4"/>
      <c r="O1201" s="4"/>
      <c r="P1201" s="4"/>
      <c r="Q1201" s="2"/>
    </row>
    <row r="1202" spans="12:17" x14ac:dyDescent="0.3">
      <c r="L1202" s="4"/>
      <c r="M1202" s="4"/>
      <c r="N1202" s="4"/>
      <c r="O1202" s="4"/>
      <c r="P1202" s="4"/>
      <c r="Q1202" s="2"/>
    </row>
    <row r="1203" spans="12:17" x14ac:dyDescent="0.3">
      <c r="L1203" s="4"/>
      <c r="M1203" s="4"/>
      <c r="N1203" s="4"/>
      <c r="O1203" s="4"/>
      <c r="P1203" s="4"/>
      <c r="Q1203" s="2"/>
    </row>
    <row r="1204" spans="12:17" x14ac:dyDescent="0.3">
      <c r="L1204" s="4"/>
      <c r="M1204" s="4"/>
      <c r="N1204" s="4"/>
      <c r="O1204" s="4"/>
      <c r="P1204" s="4"/>
      <c r="Q1204" s="2"/>
    </row>
    <row r="1205" spans="12:17" x14ac:dyDescent="0.3">
      <c r="L1205" s="4"/>
      <c r="M1205" s="4"/>
      <c r="N1205" s="4"/>
      <c r="O1205" s="4"/>
      <c r="P1205" s="4"/>
      <c r="Q1205" s="2"/>
    </row>
    <row r="1206" spans="12:17" x14ac:dyDescent="0.3">
      <c r="L1206" s="4"/>
      <c r="M1206" s="4"/>
      <c r="N1206" s="4"/>
      <c r="O1206" s="4"/>
      <c r="P1206" s="4"/>
      <c r="Q1206" s="2"/>
    </row>
    <row r="1207" spans="12:17" x14ac:dyDescent="0.3">
      <c r="L1207" s="4"/>
      <c r="M1207" s="4"/>
      <c r="N1207" s="4"/>
      <c r="O1207" s="4"/>
      <c r="P1207" s="4"/>
      <c r="Q1207" s="2"/>
    </row>
    <row r="1208" spans="12:17" x14ac:dyDescent="0.3">
      <c r="L1208" s="4"/>
      <c r="M1208" s="4"/>
      <c r="N1208" s="4"/>
      <c r="O1208" s="4"/>
      <c r="P1208" s="4"/>
      <c r="Q1208" s="2"/>
    </row>
    <row r="1209" spans="12:17" x14ac:dyDescent="0.3">
      <c r="L1209" s="4"/>
      <c r="M1209" s="4"/>
      <c r="N1209" s="4"/>
      <c r="O1209" s="4"/>
      <c r="P1209" s="4"/>
      <c r="Q1209" s="2"/>
    </row>
    <row r="1210" spans="12:17" x14ac:dyDescent="0.3">
      <c r="L1210" s="4"/>
      <c r="M1210" s="4"/>
      <c r="N1210" s="4"/>
      <c r="O1210" s="4"/>
      <c r="P1210" s="4"/>
      <c r="Q1210" s="2"/>
    </row>
    <row r="1211" spans="12:17" x14ac:dyDescent="0.3">
      <c r="L1211" s="4"/>
      <c r="M1211" s="4"/>
      <c r="N1211" s="4"/>
      <c r="O1211" s="4"/>
      <c r="P1211" s="4"/>
      <c r="Q1211" s="2"/>
    </row>
    <row r="1212" spans="12:17" x14ac:dyDescent="0.3">
      <c r="L1212" s="4"/>
      <c r="M1212" s="4"/>
      <c r="N1212" s="4"/>
      <c r="O1212" s="4"/>
      <c r="P1212" s="4"/>
      <c r="Q1212" s="2"/>
    </row>
    <row r="1213" spans="12:17" x14ac:dyDescent="0.3">
      <c r="L1213" s="4"/>
      <c r="M1213" s="4"/>
      <c r="N1213" s="4"/>
      <c r="O1213" s="4"/>
      <c r="P1213" s="4"/>
      <c r="Q1213" s="2"/>
    </row>
    <row r="1214" spans="12:17" x14ac:dyDescent="0.3">
      <c r="L1214" s="4"/>
      <c r="M1214" s="4"/>
      <c r="N1214" s="4"/>
      <c r="O1214" s="4"/>
      <c r="P1214" s="4"/>
      <c r="Q1214" s="2"/>
    </row>
    <row r="1215" spans="12:17" x14ac:dyDescent="0.3">
      <c r="L1215" s="4"/>
      <c r="M1215" s="4"/>
      <c r="N1215" s="4"/>
      <c r="O1215" s="4"/>
      <c r="P1215" s="4"/>
      <c r="Q1215" s="2"/>
    </row>
    <row r="1216" spans="12:17" x14ac:dyDescent="0.3">
      <c r="L1216" s="4"/>
      <c r="M1216" s="4"/>
      <c r="N1216" s="4"/>
      <c r="O1216" s="4"/>
      <c r="P1216" s="4"/>
      <c r="Q1216" s="2"/>
    </row>
    <row r="1217" spans="12:17" x14ac:dyDescent="0.3">
      <c r="L1217" s="4"/>
      <c r="M1217" s="4"/>
      <c r="N1217" s="4"/>
      <c r="O1217" s="4"/>
      <c r="P1217" s="4"/>
      <c r="Q1217" s="2"/>
    </row>
    <row r="1218" spans="12:17" x14ac:dyDescent="0.3">
      <c r="L1218" s="4"/>
      <c r="M1218" s="4"/>
      <c r="N1218" s="4"/>
      <c r="O1218" s="4"/>
      <c r="P1218" s="4"/>
      <c r="Q1218" s="2"/>
    </row>
    <row r="1219" spans="12:17" x14ac:dyDescent="0.3">
      <c r="L1219" s="4"/>
      <c r="M1219" s="4"/>
      <c r="N1219" s="4"/>
      <c r="O1219" s="4"/>
      <c r="P1219" s="4"/>
      <c r="Q1219" s="2"/>
    </row>
    <row r="1220" spans="12:17" x14ac:dyDescent="0.3">
      <c r="L1220" s="4"/>
      <c r="M1220" s="4"/>
      <c r="N1220" s="4"/>
      <c r="O1220" s="4"/>
      <c r="P1220" s="4"/>
      <c r="Q1220" s="2"/>
    </row>
    <row r="1221" spans="12:17" x14ac:dyDescent="0.3">
      <c r="L1221" s="4"/>
      <c r="M1221" s="4"/>
      <c r="N1221" s="4"/>
      <c r="O1221" s="4"/>
      <c r="P1221" s="4"/>
      <c r="Q1221" s="2"/>
    </row>
    <row r="1222" spans="12:17" x14ac:dyDescent="0.3">
      <c r="L1222" s="4"/>
      <c r="M1222" s="4"/>
      <c r="N1222" s="4"/>
      <c r="O1222" s="4"/>
      <c r="P1222" s="4"/>
      <c r="Q1222" s="2"/>
    </row>
    <row r="1223" spans="12:17" x14ac:dyDescent="0.3">
      <c r="L1223" s="4"/>
      <c r="M1223" s="4"/>
      <c r="N1223" s="4"/>
      <c r="O1223" s="4"/>
      <c r="P1223" s="4"/>
      <c r="Q1223" s="2"/>
    </row>
    <row r="1224" spans="12:17" x14ac:dyDescent="0.3">
      <c r="L1224" s="4"/>
      <c r="M1224" s="4"/>
      <c r="N1224" s="4"/>
      <c r="O1224" s="4"/>
      <c r="P1224" s="4"/>
      <c r="Q1224" s="2"/>
    </row>
    <row r="1225" spans="12:17" x14ac:dyDescent="0.3">
      <c r="L1225" s="4"/>
      <c r="M1225" s="4"/>
      <c r="N1225" s="4"/>
      <c r="O1225" s="4"/>
      <c r="P1225" s="4"/>
      <c r="Q1225" s="2"/>
    </row>
    <row r="1226" spans="12:17" x14ac:dyDescent="0.3">
      <c r="L1226" s="4"/>
      <c r="M1226" s="4"/>
      <c r="N1226" s="4"/>
      <c r="O1226" s="4"/>
      <c r="P1226" s="4"/>
      <c r="Q1226" s="2"/>
    </row>
    <row r="1227" spans="12:17" x14ac:dyDescent="0.3">
      <c r="L1227" s="4"/>
      <c r="M1227" s="4"/>
      <c r="N1227" s="4"/>
      <c r="O1227" s="4"/>
      <c r="P1227" s="4"/>
      <c r="Q1227" s="2"/>
    </row>
    <row r="1228" spans="12:17" x14ac:dyDescent="0.3">
      <c r="L1228" s="4"/>
      <c r="M1228" s="4"/>
      <c r="N1228" s="4"/>
      <c r="O1228" s="4"/>
      <c r="P1228" s="4"/>
      <c r="Q1228" s="2"/>
    </row>
    <row r="1229" spans="12:17" x14ac:dyDescent="0.3">
      <c r="L1229" s="4"/>
      <c r="M1229" s="4"/>
      <c r="N1229" s="4"/>
      <c r="O1229" s="4"/>
      <c r="P1229" s="4"/>
      <c r="Q1229" s="2"/>
    </row>
    <row r="1230" spans="12:17" x14ac:dyDescent="0.3">
      <c r="L1230" s="4"/>
      <c r="M1230" s="4"/>
      <c r="N1230" s="4"/>
      <c r="O1230" s="4"/>
      <c r="P1230" s="4"/>
      <c r="Q1230" s="2"/>
    </row>
    <row r="1231" spans="12:17" x14ac:dyDescent="0.3">
      <c r="L1231" s="4"/>
      <c r="M1231" s="4"/>
      <c r="N1231" s="4"/>
      <c r="O1231" s="4"/>
      <c r="P1231" s="4"/>
      <c r="Q1231" s="2"/>
    </row>
  </sheetData>
  <autoFilter ref="A1:Q1045" xr:uid="{29E839AF-5679-4107-B3DC-08BC82C33198}">
    <filterColumn colId="9">
      <filters blank="1"/>
    </filterColumn>
    <sortState xmlns:xlrd2="http://schemas.microsoft.com/office/spreadsheetml/2017/richdata2" ref="A2:Q1045">
      <sortCondition ref="A1:A1045"/>
    </sortState>
  </autoFilter>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01FEF-05B7-4691-8FC7-6C8C357933F7}">
  <dimension ref="A1:K135"/>
  <sheetViews>
    <sheetView topLeftCell="A43" workbookViewId="0">
      <selection activeCell="B42" sqref="B42"/>
    </sheetView>
  </sheetViews>
  <sheetFormatPr baseColWidth="10" defaultRowHeight="14.4" x14ac:dyDescent="0.3"/>
  <cols>
    <col min="3" max="3" width="53.88671875" customWidth="1"/>
  </cols>
  <sheetData>
    <row r="1" spans="1:11" x14ac:dyDescent="0.3">
      <c r="A1" s="4"/>
      <c r="B1" s="4"/>
      <c r="C1" s="4"/>
      <c r="D1" s="4"/>
      <c r="E1" s="4"/>
      <c r="F1" s="4"/>
      <c r="G1" s="4"/>
      <c r="H1" s="4"/>
      <c r="I1" s="4"/>
      <c r="J1" s="4"/>
      <c r="K1" s="2"/>
    </row>
    <row r="2" spans="1:11" x14ac:dyDescent="0.3">
      <c r="A2" s="37" t="s">
        <v>1031</v>
      </c>
      <c r="B2" s="37"/>
      <c r="C2" s="37"/>
      <c r="D2" s="37"/>
      <c r="E2" s="37"/>
      <c r="F2" s="37"/>
      <c r="G2" s="37"/>
      <c r="H2" s="37"/>
      <c r="I2" s="37"/>
      <c r="J2" s="37"/>
      <c r="K2" s="37"/>
    </row>
    <row r="3" spans="1:11" x14ac:dyDescent="0.3">
      <c r="A3" s="4"/>
      <c r="B3" s="4"/>
      <c r="C3" s="4"/>
      <c r="D3" s="4"/>
      <c r="E3" s="4"/>
      <c r="F3" s="4"/>
      <c r="G3" s="4"/>
      <c r="H3" s="4"/>
      <c r="I3" s="4"/>
      <c r="J3" s="4"/>
      <c r="K3" s="2"/>
    </row>
    <row r="4" spans="1:11" x14ac:dyDescent="0.3">
      <c r="A4" s="4"/>
      <c r="B4" s="4"/>
      <c r="C4" s="4" t="s">
        <v>1033</v>
      </c>
      <c r="D4" s="4">
        <v>93569</v>
      </c>
      <c r="E4" s="4">
        <v>121062</v>
      </c>
      <c r="F4" s="4"/>
      <c r="G4" s="4"/>
      <c r="H4" s="4"/>
      <c r="I4" s="4"/>
      <c r="J4" s="4"/>
      <c r="K4" s="2"/>
    </row>
    <row r="5" spans="1:11" x14ac:dyDescent="0.3">
      <c r="A5" s="4"/>
      <c r="B5" s="4"/>
      <c r="C5" s="4">
        <v>215197</v>
      </c>
      <c r="D5" s="4">
        <v>163626</v>
      </c>
      <c r="E5" s="4">
        <v>59130</v>
      </c>
      <c r="F5" s="4"/>
      <c r="G5" s="4"/>
      <c r="H5" s="4"/>
      <c r="I5" s="4"/>
      <c r="J5" s="4"/>
      <c r="K5" s="2"/>
    </row>
    <row r="6" spans="1:11" x14ac:dyDescent="0.3">
      <c r="A6" s="4"/>
      <c r="B6" s="4"/>
      <c r="C6" s="4" t="s">
        <v>1032</v>
      </c>
      <c r="D6" s="4" t="s">
        <v>1035</v>
      </c>
      <c r="E6" s="4" t="s">
        <v>1042</v>
      </c>
      <c r="F6" s="4"/>
      <c r="G6" s="4"/>
      <c r="H6" s="4"/>
      <c r="I6" s="4"/>
      <c r="J6" s="4"/>
      <c r="K6" s="2"/>
    </row>
    <row r="7" spans="1:11" x14ac:dyDescent="0.3">
      <c r="A7" s="4"/>
      <c r="B7" s="4"/>
      <c r="C7" s="4">
        <v>78451</v>
      </c>
      <c r="D7" s="4">
        <v>328737</v>
      </c>
      <c r="E7" s="4">
        <v>163930</v>
      </c>
      <c r="F7" s="4"/>
      <c r="G7" s="4"/>
      <c r="H7" s="7"/>
      <c r="I7" s="4"/>
      <c r="J7" s="4"/>
      <c r="K7" s="2"/>
    </row>
    <row r="8" spans="1:11" x14ac:dyDescent="0.3">
      <c r="A8" s="4"/>
      <c r="B8" s="4"/>
      <c r="C8" s="4">
        <v>562344</v>
      </c>
      <c r="D8" s="4" t="s">
        <v>1036</v>
      </c>
      <c r="E8" s="4">
        <v>44708</v>
      </c>
      <c r="F8" s="4"/>
      <c r="G8" s="4"/>
      <c r="H8" s="7"/>
      <c r="I8" s="4"/>
      <c r="J8" s="4"/>
      <c r="K8" s="2"/>
    </row>
    <row r="9" spans="1:11" x14ac:dyDescent="0.3">
      <c r="A9" s="4"/>
      <c r="B9" s="4"/>
      <c r="C9" s="4">
        <v>600180</v>
      </c>
      <c r="D9" s="4" t="s">
        <v>1037</v>
      </c>
      <c r="E9" s="4">
        <v>63514</v>
      </c>
      <c r="F9" s="4"/>
      <c r="G9" s="4"/>
      <c r="H9" s="7"/>
      <c r="I9" s="4"/>
      <c r="J9" s="4"/>
      <c r="K9" s="2"/>
    </row>
    <row r="10" spans="1:11" x14ac:dyDescent="0.3">
      <c r="A10" s="4"/>
      <c r="B10" s="4"/>
      <c r="C10" s="4">
        <v>471147</v>
      </c>
      <c r="D10" s="4">
        <v>290856</v>
      </c>
      <c r="E10" s="4">
        <v>81637</v>
      </c>
      <c r="F10" s="4"/>
      <c r="G10" s="4"/>
      <c r="H10" s="7"/>
      <c r="I10" s="4"/>
      <c r="J10" s="4"/>
      <c r="K10" s="2"/>
    </row>
    <row r="11" spans="1:11" x14ac:dyDescent="0.3">
      <c r="A11" s="4"/>
      <c r="B11" s="4"/>
      <c r="C11" s="4">
        <v>665250</v>
      </c>
      <c r="D11" s="4" t="s">
        <v>1038</v>
      </c>
      <c r="E11" s="4">
        <v>128408</v>
      </c>
      <c r="F11" s="4"/>
      <c r="G11" s="4"/>
      <c r="H11" s="7"/>
      <c r="I11" s="4"/>
      <c r="J11" s="4"/>
      <c r="K11" s="2"/>
    </row>
    <row r="12" spans="1:11" x14ac:dyDescent="0.3">
      <c r="A12" s="4"/>
      <c r="B12" s="4"/>
      <c r="C12" s="4">
        <v>345219</v>
      </c>
      <c r="D12" s="4" t="s">
        <v>1039</v>
      </c>
      <c r="E12" s="4">
        <v>211079</v>
      </c>
      <c r="F12" s="4"/>
      <c r="G12" s="4"/>
      <c r="H12" s="7"/>
      <c r="I12" s="4"/>
      <c r="J12" s="4"/>
      <c r="K12" s="2"/>
    </row>
    <row r="13" spans="1:11" x14ac:dyDescent="0.3">
      <c r="A13" s="4"/>
      <c r="B13" s="4"/>
      <c r="C13" s="4">
        <v>530222</v>
      </c>
      <c r="D13" s="4" t="s">
        <v>1040</v>
      </c>
      <c r="E13" s="4">
        <v>115108</v>
      </c>
      <c r="F13" s="4"/>
      <c r="G13" s="4"/>
      <c r="H13" s="7"/>
      <c r="I13" s="4"/>
      <c r="J13" s="4"/>
      <c r="K13" s="2"/>
    </row>
    <row r="14" spans="1:11" x14ac:dyDescent="0.3">
      <c r="A14" s="4"/>
      <c r="B14" s="4"/>
      <c r="C14" s="6" t="s">
        <v>1034</v>
      </c>
      <c r="D14" s="6" t="s">
        <v>1053</v>
      </c>
      <c r="E14" s="6" t="s">
        <v>1041</v>
      </c>
      <c r="F14" s="4"/>
      <c r="G14" s="4"/>
      <c r="H14" s="7"/>
      <c r="I14" s="4"/>
      <c r="J14" s="4"/>
      <c r="K14" s="2"/>
    </row>
    <row r="15" spans="1:11" x14ac:dyDescent="0.3">
      <c r="A15" s="4"/>
      <c r="B15" s="4"/>
      <c r="C15" s="4"/>
      <c r="D15" s="4"/>
      <c r="E15" s="4"/>
      <c r="F15" s="4"/>
      <c r="G15" s="4"/>
      <c r="H15" s="7"/>
      <c r="I15" s="4"/>
      <c r="J15" s="4"/>
      <c r="K15" s="2"/>
    </row>
    <row r="16" spans="1:11" x14ac:dyDescent="0.3">
      <c r="A16" s="4"/>
      <c r="B16" s="4"/>
      <c r="C16" s="4"/>
      <c r="D16" s="4"/>
      <c r="E16" s="4"/>
      <c r="F16" s="4"/>
      <c r="G16" s="4"/>
      <c r="H16" s="7"/>
      <c r="I16" s="4"/>
      <c r="J16" s="4"/>
      <c r="K16" s="2"/>
    </row>
    <row r="17" spans="1:11" x14ac:dyDescent="0.3">
      <c r="A17" s="4"/>
      <c r="B17" s="4"/>
      <c r="C17" s="4">
        <v>360886</v>
      </c>
      <c r="D17" s="4">
        <v>227723</v>
      </c>
      <c r="E17" s="4">
        <v>105135</v>
      </c>
      <c r="F17" s="4"/>
      <c r="G17" s="4"/>
      <c r="H17" s="7"/>
      <c r="I17" s="4"/>
      <c r="J17" s="4"/>
      <c r="K17" s="2"/>
    </row>
    <row r="18" spans="1:11" x14ac:dyDescent="0.3">
      <c r="A18" s="4"/>
      <c r="B18" s="4"/>
      <c r="C18" s="4" t="s">
        <v>1044</v>
      </c>
      <c r="D18" s="4" t="s">
        <v>1048</v>
      </c>
      <c r="E18" s="4">
        <v>65839</v>
      </c>
      <c r="F18" s="4"/>
      <c r="G18" s="4"/>
      <c r="H18" s="4"/>
      <c r="I18" s="4"/>
      <c r="J18" s="4"/>
      <c r="K18" s="2"/>
    </row>
    <row r="19" spans="1:11" x14ac:dyDescent="0.3">
      <c r="A19" s="4"/>
      <c r="B19" s="4"/>
      <c r="C19" s="4">
        <v>541833</v>
      </c>
      <c r="D19" s="4" t="s">
        <v>1049</v>
      </c>
      <c r="E19" s="4">
        <v>35064</v>
      </c>
      <c r="F19" s="4"/>
      <c r="G19" s="4"/>
      <c r="H19" s="4"/>
      <c r="I19" s="4"/>
      <c r="J19" s="4"/>
      <c r="K19" s="2"/>
    </row>
    <row r="20" spans="1:11" x14ac:dyDescent="0.3">
      <c r="A20" s="4"/>
      <c r="B20" s="4"/>
      <c r="C20" s="4">
        <v>530931</v>
      </c>
      <c r="D20" s="4">
        <v>91741</v>
      </c>
      <c r="E20" s="4">
        <v>159678</v>
      </c>
      <c r="F20" s="4"/>
      <c r="G20" s="4"/>
      <c r="H20" s="4"/>
      <c r="I20" s="4"/>
      <c r="J20" s="4"/>
      <c r="K20" s="2"/>
    </row>
    <row r="21" spans="1:11" x14ac:dyDescent="0.3">
      <c r="A21" s="4"/>
      <c r="B21" s="4"/>
      <c r="C21" s="4">
        <v>319288</v>
      </c>
      <c r="D21" s="4">
        <v>103512</v>
      </c>
      <c r="E21" s="6" t="s">
        <v>1050</v>
      </c>
      <c r="F21" s="4"/>
      <c r="G21" s="4"/>
      <c r="H21" s="4"/>
      <c r="I21" s="4"/>
      <c r="J21" s="4"/>
      <c r="K21" s="2"/>
    </row>
    <row r="22" spans="1:11" x14ac:dyDescent="0.3">
      <c r="A22" s="4"/>
      <c r="B22" s="4"/>
      <c r="C22" s="4">
        <v>415879</v>
      </c>
      <c r="D22" s="4">
        <v>139226</v>
      </c>
      <c r="E22" s="4"/>
      <c r="F22" s="4"/>
      <c r="G22" s="4"/>
      <c r="H22" s="4"/>
      <c r="I22" s="4"/>
      <c r="J22" s="4"/>
      <c r="K22" s="2"/>
    </row>
    <row r="23" spans="1:11" x14ac:dyDescent="0.3">
      <c r="A23" s="4"/>
      <c r="B23" s="4"/>
      <c r="C23" s="4" t="s">
        <v>1045</v>
      </c>
      <c r="D23" s="4">
        <v>210238</v>
      </c>
      <c r="E23" s="4"/>
      <c r="F23" s="4"/>
      <c r="G23" s="4"/>
      <c r="H23" s="4"/>
      <c r="I23" s="4"/>
      <c r="J23" s="4"/>
      <c r="K23" s="2"/>
    </row>
    <row r="24" spans="1:11" x14ac:dyDescent="0.3">
      <c r="A24" s="4"/>
      <c r="B24" s="4"/>
      <c r="C24" s="4">
        <v>331871</v>
      </c>
      <c r="D24" s="4">
        <v>91098</v>
      </c>
      <c r="E24" s="4"/>
      <c r="F24" s="4"/>
      <c r="G24" s="4"/>
      <c r="H24" s="4"/>
      <c r="I24" s="4"/>
      <c r="J24" s="4"/>
      <c r="K24" s="2"/>
    </row>
    <row r="25" spans="1:11" x14ac:dyDescent="0.3">
      <c r="A25" s="4"/>
      <c r="B25" s="4"/>
      <c r="C25" s="4" t="s">
        <v>1046</v>
      </c>
      <c r="D25" s="4">
        <v>262144</v>
      </c>
      <c r="E25" s="4"/>
      <c r="F25" s="4"/>
      <c r="G25" s="4"/>
      <c r="H25" s="4"/>
      <c r="I25" s="4"/>
      <c r="J25" s="4"/>
      <c r="K25" s="2"/>
    </row>
    <row r="26" spans="1:11" x14ac:dyDescent="0.3">
      <c r="A26" s="4"/>
      <c r="B26" s="4"/>
      <c r="C26" s="4">
        <v>297687</v>
      </c>
      <c r="D26" s="4">
        <v>110831</v>
      </c>
      <c r="E26" s="4"/>
      <c r="F26" s="4"/>
      <c r="G26" s="4"/>
      <c r="H26" s="4"/>
      <c r="I26" s="4"/>
      <c r="J26" s="4"/>
      <c r="K26" s="2"/>
    </row>
    <row r="27" spans="1:11" x14ac:dyDescent="0.3">
      <c r="A27" s="4"/>
      <c r="B27" s="4"/>
      <c r="C27" s="6" t="s">
        <v>1043</v>
      </c>
      <c r="D27" s="6" t="s">
        <v>1047</v>
      </c>
      <c r="E27" s="4"/>
      <c r="F27" s="4"/>
      <c r="G27" s="4"/>
      <c r="H27" s="4"/>
      <c r="I27" s="4"/>
      <c r="J27" s="4"/>
      <c r="K27" s="2"/>
    </row>
    <row r="28" spans="1:11" x14ac:dyDescent="0.3">
      <c r="A28" s="4"/>
      <c r="B28" s="4"/>
      <c r="C28" s="4"/>
      <c r="D28" s="4"/>
      <c r="E28" s="4"/>
      <c r="F28" s="4"/>
      <c r="G28" s="4"/>
      <c r="H28" s="4"/>
      <c r="I28" s="4"/>
      <c r="J28" s="4"/>
      <c r="K28" s="2"/>
    </row>
    <row r="29" spans="1:11" x14ac:dyDescent="0.3">
      <c r="A29" s="37" t="s">
        <v>1051</v>
      </c>
      <c r="B29" s="37"/>
      <c r="C29" s="37"/>
      <c r="D29" s="37"/>
      <c r="E29" s="37"/>
      <c r="F29" s="37"/>
      <c r="G29" s="37"/>
      <c r="H29" s="37"/>
      <c r="I29" s="37"/>
      <c r="J29" s="37"/>
      <c r="K29" s="37"/>
    </row>
    <row r="30" spans="1:11" x14ac:dyDescent="0.3">
      <c r="A30" s="4"/>
      <c r="B30" s="4"/>
      <c r="C30" s="4"/>
      <c r="D30" s="4"/>
      <c r="E30" s="4"/>
      <c r="F30" s="4"/>
      <c r="G30" s="4"/>
      <c r="H30" s="4"/>
      <c r="I30" s="4"/>
      <c r="J30" s="4"/>
      <c r="K30" s="2"/>
    </row>
    <row r="31" spans="1:11" x14ac:dyDescent="0.3">
      <c r="A31" s="4"/>
      <c r="B31" s="4"/>
      <c r="C31" s="4" t="s">
        <v>1052</v>
      </c>
      <c r="D31" s="4"/>
      <c r="E31" s="4"/>
      <c r="F31" s="4"/>
      <c r="G31" s="4"/>
      <c r="H31" s="4"/>
      <c r="I31" s="4"/>
      <c r="J31" s="4"/>
      <c r="K31" s="2"/>
    </row>
    <row r="32" spans="1:11" x14ac:dyDescent="0.3">
      <c r="A32" s="4"/>
      <c r="B32" s="4"/>
      <c r="C32" s="4" t="s">
        <v>1057</v>
      </c>
      <c r="D32" s="4"/>
      <c r="E32" s="4"/>
      <c r="F32" s="4"/>
      <c r="G32" s="4"/>
      <c r="H32" s="4"/>
      <c r="I32" s="4"/>
      <c r="J32" s="4"/>
      <c r="K32" s="2"/>
    </row>
    <row r="33" spans="1:11" x14ac:dyDescent="0.3">
      <c r="A33" s="4"/>
      <c r="B33" s="4"/>
      <c r="C33" s="4" t="s">
        <v>1058</v>
      </c>
      <c r="D33" s="4"/>
      <c r="E33" s="4"/>
      <c r="F33" s="4"/>
      <c r="G33" s="4"/>
      <c r="H33" s="4"/>
      <c r="I33" s="4"/>
      <c r="J33" s="4"/>
      <c r="K33" s="2"/>
    </row>
    <row r="34" spans="1:11" x14ac:dyDescent="0.3">
      <c r="A34" s="4"/>
      <c r="B34" s="4"/>
      <c r="C34" s="4" t="s">
        <v>1054</v>
      </c>
      <c r="D34" s="4"/>
      <c r="E34" s="4"/>
      <c r="F34" s="4"/>
      <c r="G34" s="4"/>
      <c r="H34" s="4"/>
      <c r="I34" s="4"/>
      <c r="J34" s="4"/>
      <c r="K34" s="2"/>
    </row>
    <row r="35" spans="1:11" x14ac:dyDescent="0.3">
      <c r="A35" s="4"/>
      <c r="B35" s="4"/>
      <c r="C35" s="4" t="s">
        <v>1059</v>
      </c>
      <c r="D35" s="4"/>
      <c r="E35" s="4"/>
      <c r="F35" s="4"/>
      <c r="G35" s="4"/>
      <c r="H35" s="4"/>
      <c r="I35" s="4"/>
      <c r="J35" s="4"/>
      <c r="K35" s="2"/>
    </row>
    <row r="36" spans="1:11" x14ac:dyDescent="0.3">
      <c r="A36" s="4"/>
      <c r="B36" s="4"/>
      <c r="C36" s="4" t="s">
        <v>1055</v>
      </c>
      <c r="D36" s="4"/>
      <c r="E36" s="4"/>
      <c r="F36" s="4"/>
      <c r="G36" s="4"/>
      <c r="H36" s="4"/>
      <c r="I36" s="4"/>
      <c r="J36" s="4"/>
      <c r="K36" s="2"/>
    </row>
    <row r="37" spans="1:11" x14ac:dyDescent="0.3">
      <c r="A37" s="4"/>
      <c r="B37" s="4"/>
      <c r="C37" s="6" t="s">
        <v>1056</v>
      </c>
      <c r="D37" s="4"/>
      <c r="E37" s="4"/>
      <c r="F37" s="4"/>
      <c r="G37" s="4"/>
      <c r="H37" s="4"/>
      <c r="I37" s="4"/>
      <c r="J37" s="4"/>
      <c r="K37" s="2"/>
    </row>
    <row r="38" spans="1:11" x14ac:dyDescent="0.3">
      <c r="A38" s="4"/>
      <c r="B38" s="4"/>
      <c r="C38" s="4"/>
      <c r="D38" s="4"/>
      <c r="E38" s="4"/>
      <c r="F38" s="4"/>
      <c r="G38" s="4"/>
      <c r="H38" s="4"/>
      <c r="I38" s="4"/>
      <c r="J38" s="4"/>
      <c r="K38" s="2"/>
    </row>
    <row r="39" spans="1:11" x14ac:dyDescent="0.3">
      <c r="A39" s="4"/>
      <c r="B39" s="4"/>
      <c r="C39" s="4"/>
      <c r="D39" s="4"/>
      <c r="E39" s="4"/>
      <c r="F39" s="4"/>
      <c r="G39" s="4"/>
      <c r="H39" s="4"/>
      <c r="I39" s="4"/>
      <c r="J39" s="4"/>
      <c r="K39" s="2"/>
    </row>
    <row r="40" spans="1:11" x14ac:dyDescent="0.3">
      <c r="A40" s="38" t="s">
        <v>1083</v>
      </c>
      <c r="B40" s="39"/>
      <c r="C40" s="39"/>
      <c r="D40" s="39"/>
      <c r="E40" s="39"/>
      <c r="F40" s="39"/>
      <c r="G40" s="39"/>
      <c r="H40" s="39"/>
      <c r="I40" s="39"/>
      <c r="J40" s="39"/>
      <c r="K40" s="39"/>
    </row>
    <row r="41" spans="1:11" x14ac:dyDescent="0.3">
      <c r="A41" s="4"/>
      <c r="B41" s="4"/>
      <c r="C41" s="4"/>
      <c r="D41" s="4"/>
      <c r="E41" s="4"/>
      <c r="F41" s="4"/>
      <c r="G41" s="4"/>
      <c r="H41" s="4"/>
      <c r="I41" s="4"/>
      <c r="J41" s="4"/>
      <c r="K41" s="2"/>
    </row>
    <row r="42" spans="1:11" ht="86.4" x14ac:dyDescent="0.3">
      <c r="A42" s="4" t="s">
        <v>1084</v>
      </c>
      <c r="B42" s="4"/>
      <c r="C42" s="5" t="s">
        <v>1085</v>
      </c>
      <c r="D42" s="4">
        <v>2061</v>
      </c>
      <c r="E42" s="4"/>
      <c r="F42" s="4"/>
      <c r="G42" s="4"/>
      <c r="H42" s="4"/>
      <c r="I42" s="4"/>
      <c r="J42" s="4"/>
      <c r="K42" s="2"/>
    </row>
    <row r="43" spans="1:11" x14ac:dyDescent="0.3">
      <c r="A43" s="4"/>
      <c r="B43" s="4"/>
      <c r="C43" s="5" t="s">
        <v>1086</v>
      </c>
      <c r="D43" s="4" t="s">
        <v>1087</v>
      </c>
      <c r="E43" s="4"/>
      <c r="F43" s="4"/>
      <c r="G43" s="4"/>
      <c r="H43" s="4"/>
      <c r="I43" s="4"/>
      <c r="J43" s="4"/>
      <c r="K43" s="2"/>
    </row>
    <row r="44" spans="1:11" x14ac:dyDescent="0.3">
      <c r="A44" s="4"/>
      <c r="B44" s="4"/>
      <c r="C44" s="5" t="s">
        <v>1088</v>
      </c>
      <c r="D44" s="4">
        <v>50</v>
      </c>
      <c r="E44" s="4"/>
      <c r="F44" s="4"/>
      <c r="G44" s="4"/>
      <c r="H44" s="4"/>
      <c r="I44" s="4"/>
      <c r="J44" s="4"/>
      <c r="K44" s="2"/>
    </row>
    <row r="45" spans="1:11" ht="57.6" x14ac:dyDescent="0.3">
      <c r="A45" s="4"/>
      <c r="B45" s="4"/>
      <c r="C45" s="5" t="s">
        <v>1089</v>
      </c>
      <c r="D45" s="4">
        <v>400</v>
      </c>
      <c r="E45" s="4"/>
      <c r="F45" s="4"/>
      <c r="G45" s="4"/>
      <c r="H45" s="4"/>
      <c r="I45" s="4"/>
      <c r="J45" s="4"/>
      <c r="K45" s="2"/>
    </row>
    <row r="46" spans="1:11" ht="43.2" x14ac:dyDescent="0.3">
      <c r="A46" s="4"/>
      <c r="B46" s="4"/>
      <c r="C46" s="5" t="s">
        <v>1090</v>
      </c>
      <c r="D46" s="4">
        <v>211</v>
      </c>
      <c r="E46" s="4"/>
      <c r="F46" s="4"/>
      <c r="G46" s="4"/>
      <c r="H46" s="4"/>
      <c r="I46" s="4"/>
      <c r="J46" s="4"/>
      <c r="K46" s="2"/>
    </row>
    <row r="47" spans="1:11" ht="57.6" x14ac:dyDescent="0.3">
      <c r="A47" s="4" t="s">
        <v>1091</v>
      </c>
      <c r="B47" s="4"/>
      <c r="C47" s="5" t="s">
        <v>1092</v>
      </c>
      <c r="D47" s="4">
        <v>2000</v>
      </c>
      <c r="E47" s="4"/>
      <c r="F47" s="4"/>
      <c r="G47" s="4"/>
      <c r="H47" s="4"/>
      <c r="I47" s="4"/>
      <c r="J47" s="4"/>
      <c r="K47" s="2"/>
    </row>
    <row r="48" spans="1:11" ht="57.6" x14ac:dyDescent="0.3">
      <c r="A48" s="4"/>
      <c r="B48" s="4"/>
      <c r="C48" s="5" t="s">
        <v>1093</v>
      </c>
      <c r="D48" s="4">
        <v>150</v>
      </c>
      <c r="E48" s="4"/>
      <c r="F48" s="4"/>
      <c r="G48" s="4"/>
      <c r="H48" s="4"/>
      <c r="I48" s="4"/>
      <c r="J48" s="4"/>
      <c r="K48" s="2"/>
    </row>
    <row r="49" spans="1:11" x14ac:dyDescent="0.3">
      <c r="A49" s="4"/>
      <c r="B49" s="4"/>
      <c r="C49" s="5" t="s">
        <v>1094</v>
      </c>
      <c r="D49" s="4">
        <v>125</v>
      </c>
      <c r="E49" s="4"/>
      <c r="F49" s="4"/>
      <c r="G49" s="4"/>
      <c r="H49" s="4"/>
      <c r="I49" s="4"/>
      <c r="J49" s="4"/>
      <c r="K49" s="2"/>
    </row>
    <row r="50" spans="1:11" ht="28.8" x14ac:dyDescent="0.3">
      <c r="A50" s="4"/>
      <c r="B50" s="4"/>
      <c r="C50" s="5" t="s">
        <v>1095</v>
      </c>
      <c r="D50" s="4">
        <v>200</v>
      </c>
      <c r="E50" s="4"/>
      <c r="F50" s="4"/>
      <c r="G50" s="4"/>
      <c r="H50" s="4"/>
      <c r="I50" s="4"/>
      <c r="J50" s="4"/>
      <c r="K50" s="2"/>
    </row>
    <row r="51" spans="1:11" ht="28.8" x14ac:dyDescent="0.3">
      <c r="A51" s="4"/>
      <c r="B51" s="4"/>
      <c r="C51" s="5" t="s">
        <v>1096</v>
      </c>
      <c r="D51" s="4">
        <v>300</v>
      </c>
      <c r="E51" s="4"/>
      <c r="F51" s="4"/>
      <c r="G51" s="4"/>
      <c r="H51" s="4"/>
      <c r="I51" s="4"/>
      <c r="J51" s="4"/>
      <c r="K51" s="2"/>
    </row>
    <row r="52" spans="1:11" ht="57.6" x14ac:dyDescent="0.3">
      <c r="A52" s="4"/>
      <c r="B52" s="4"/>
      <c r="C52" s="5" t="s">
        <v>1097</v>
      </c>
      <c r="D52" s="4">
        <v>500</v>
      </c>
      <c r="E52" s="4"/>
      <c r="F52" s="4"/>
      <c r="G52" s="4"/>
      <c r="H52" s="4"/>
      <c r="I52" s="4"/>
      <c r="J52" s="4"/>
      <c r="K52" s="2"/>
    </row>
    <row r="53" spans="1:11" ht="57.6" x14ac:dyDescent="0.3">
      <c r="A53" s="4"/>
      <c r="B53" s="4"/>
      <c r="C53" s="5" t="s">
        <v>1098</v>
      </c>
      <c r="D53" s="4">
        <v>200</v>
      </c>
      <c r="E53" s="4"/>
      <c r="F53" s="4"/>
      <c r="G53" s="4"/>
      <c r="H53" s="4"/>
      <c r="I53" s="4"/>
      <c r="J53" s="4"/>
      <c r="K53" s="2"/>
    </row>
    <row r="54" spans="1:11" ht="43.2" x14ac:dyDescent="0.3">
      <c r="A54" s="4" t="s">
        <v>1106</v>
      </c>
      <c r="B54" s="4"/>
      <c r="C54" s="5" t="s">
        <v>1099</v>
      </c>
      <c r="D54" s="4">
        <v>550</v>
      </c>
      <c r="E54" s="4"/>
      <c r="F54" s="4"/>
      <c r="G54" s="4"/>
      <c r="H54" s="4"/>
      <c r="I54" s="4"/>
      <c r="J54" s="4"/>
      <c r="K54" s="2"/>
    </row>
    <row r="55" spans="1:11" ht="57.6" x14ac:dyDescent="0.3">
      <c r="A55" s="4"/>
      <c r="B55" s="4"/>
      <c r="C55" s="5" t="s">
        <v>1100</v>
      </c>
      <c r="D55" s="4">
        <v>500</v>
      </c>
      <c r="E55" s="4"/>
      <c r="F55" s="4"/>
      <c r="G55" s="4"/>
      <c r="H55" s="4"/>
      <c r="I55" s="4"/>
      <c r="J55" s="4"/>
      <c r="K55" s="2"/>
    </row>
    <row r="56" spans="1:11" ht="43.2" x14ac:dyDescent="0.3">
      <c r="A56" s="4"/>
      <c r="B56" s="4"/>
      <c r="C56" s="5" t="s">
        <v>1101</v>
      </c>
      <c r="D56" s="4">
        <v>500</v>
      </c>
      <c r="E56" s="4"/>
      <c r="F56" s="4"/>
      <c r="G56" s="4"/>
      <c r="H56" s="4"/>
      <c r="I56" s="4"/>
      <c r="J56" s="4"/>
      <c r="K56" s="2"/>
    </row>
    <row r="57" spans="1:11" ht="43.2" x14ac:dyDescent="0.3">
      <c r="A57" s="4"/>
      <c r="B57" s="4"/>
      <c r="C57" s="5" t="s">
        <v>1102</v>
      </c>
      <c r="D57" s="4">
        <v>500</v>
      </c>
      <c r="E57" s="4"/>
      <c r="F57" s="4"/>
      <c r="G57" s="4"/>
      <c r="H57" s="4"/>
      <c r="I57" s="4"/>
      <c r="J57" s="4"/>
      <c r="K57" s="2"/>
    </row>
    <row r="58" spans="1:11" ht="43.2" x14ac:dyDescent="0.3">
      <c r="A58" s="4"/>
      <c r="B58" s="4"/>
      <c r="C58" s="5" t="s">
        <v>1103</v>
      </c>
      <c r="D58" s="4">
        <v>150</v>
      </c>
      <c r="E58" s="4"/>
      <c r="F58" s="4"/>
      <c r="G58" s="4"/>
      <c r="H58" s="4"/>
      <c r="I58" s="4"/>
      <c r="J58" s="4"/>
      <c r="K58" s="2"/>
    </row>
    <row r="59" spans="1:11" ht="57.6" x14ac:dyDescent="0.3">
      <c r="A59" s="4"/>
      <c r="B59" s="4"/>
      <c r="C59" s="5" t="s">
        <v>1104</v>
      </c>
      <c r="D59" s="4">
        <v>2000</v>
      </c>
      <c r="E59" s="4"/>
      <c r="F59" s="4"/>
      <c r="G59" s="4"/>
      <c r="H59" s="4"/>
      <c r="I59" s="4"/>
      <c r="J59" s="4"/>
      <c r="K59" s="2"/>
    </row>
    <row r="60" spans="1:11" ht="28.8" x14ac:dyDescent="0.3">
      <c r="A60" s="4"/>
      <c r="B60" s="4"/>
      <c r="C60" s="5" t="s">
        <v>1105</v>
      </c>
      <c r="D60" s="4">
        <v>500</v>
      </c>
      <c r="E60" s="4"/>
      <c r="F60" s="4"/>
      <c r="G60" s="4"/>
      <c r="H60" s="4"/>
      <c r="I60" s="4"/>
      <c r="J60" s="4"/>
      <c r="K60" s="2"/>
    </row>
    <row r="61" spans="1:11" ht="43.2" x14ac:dyDescent="0.3">
      <c r="A61" s="4" t="s">
        <v>1107</v>
      </c>
      <c r="B61" s="4"/>
      <c r="C61" s="5" t="s">
        <v>1108</v>
      </c>
      <c r="D61" s="4">
        <v>200</v>
      </c>
      <c r="E61" s="4"/>
      <c r="F61" s="4"/>
      <c r="G61" s="4"/>
      <c r="H61" s="4"/>
      <c r="I61" s="4"/>
      <c r="J61" s="4"/>
      <c r="K61" s="2"/>
    </row>
    <row r="62" spans="1:11" ht="43.2" x14ac:dyDescent="0.3">
      <c r="A62" s="4"/>
      <c r="B62" s="4"/>
      <c r="C62" s="5" t="s">
        <v>1109</v>
      </c>
      <c r="D62" s="4">
        <v>120</v>
      </c>
      <c r="E62" s="4"/>
      <c r="F62" s="4"/>
      <c r="G62" s="4"/>
      <c r="H62" s="4"/>
      <c r="I62" s="4"/>
      <c r="J62" s="4"/>
      <c r="K62" s="2"/>
    </row>
    <row r="63" spans="1:11" ht="43.2" x14ac:dyDescent="0.3">
      <c r="A63" s="4"/>
      <c r="B63" s="4"/>
      <c r="C63" s="5" t="s">
        <v>1110</v>
      </c>
      <c r="D63" s="4">
        <v>1000</v>
      </c>
      <c r="E63" s="4"/>
      <c r="F63" s="4"/>
      <c r="G63" s="4"/>
      <c r="H63" s="4"/>
      <c r="I63" s="4"/>
      <c r="J63" s="4"/>
      <c r="K63" s="2"/>
    </row>
    <row r="64" spans="1:11" ht="43.2" x14ac:dyDescent="0.3">
      <c r="A64" s="4"/>
      <c r="B64" s="4"/>
      <c r="C64" s="5" t="s">
        <v>1111</v>
      </c>
      <c r="D64" s="4">
        <v>1000</v>
      </c>
      <c r="E64" s="4"/>
      <c r="F64" s="4"/>
      <c r="G64" s="4"/>
      <c r="H64" s="4"/>
      <c r="I64" s="4"/>
      <c r="J64" s="4"/>
      <c r="K64" s="2"/>
    </row>
    <row r="65" spans="1:11" ht="28.8" x14ac:dyDescent="0.3">
      <c r="A65" s="4"/>
      <c r="B65" s="4"/>
      <c r="C65" s="5" t="s">
        <v>1112</v>
      </c>
      <c r="D65" s="4">
        <v>4947</v>
      </c>
      <c r="E65" s="4"/>
      <c r="F65" s="4"/>
      <c r="G65" s="4"/>
      <c r="H65" s="4"/>
      <c r="I65" s="4"/>
      <c r="J65" s="4"/>
      <c r="K65" s="2"/>
    </row>
    <row r="66" spans="1:11" ht="28.8" x14ac:dyDescent="0.3">
      <c r="A66" s="4"/>
      <c r="B66" s="4"/>
      <c r="C66" s="5" t="s">
        <v>1113</v>
      </c>
      <c r="D66" s="4">
        <v>300</v>
      </c>
      <c r="E66" s="4"/>
      <c r="F66" s="4"/>
      <c r="G66" s="4"/>
      <c r="H66" s="4"/>
      <c r="I66" s="4"/>
      <c r="J66" s="4"/>
      <c r="K66" s="2"/>
    </row>
    <row r="67" spans="1:11" ht="57.6" x14ac:dyDescent="0.3">
      <c r="A67" s="4"/>
      <c r="B67" s="4"/>
      <c r="C67" s="5" t="s">
        <v>1114</v>
      </c>
      <c r="D67" s="4">
        <v>800</v>
      </c>
      <c r="E67" s="4"/>
      <c r="F67" s="4"/>
      <c r="G67" s="4"/>
      <c r="H67" s="4"/>
      <c r="I67" s="4"/>
      <c r="J67" s="4"/>
      <c r="K67" s="2"/>
    </row>
    <row r="68" spans="1:11" ht="57.6" x14ac:dyDescent="0.3">
      <c r="A68" s="4"/>
      <c r="B68" s="4"/>
      <c r="C68" s="5" t="s">
        <v>1115</v>
      </c>
      <c r="D68" s="4">
        <v>350</v>
      </c>
      <c r="E68" s="4"/>
      <c r="F68" s="4"/>
      <c r="G68" s="4"/>
      <c r="H68" s="4"/>
      <c r="I68" s="4"/>
      <c r="J68" s="4"/>
      <c r="K68" s="2"/>
    </row>
    <row r="69" spans="1:11" ht="43.2" x14ac:dyDescent="0.3">
      <c r="A69" s="4" t="s">
        <v>1116</v>
      </c>
      <c r="B69" s="4"/>
      <c r="C69" s="5" t="s">
        <v>1117</v>
      </c>
      <c r="D69" s="4">
        <v>12</v>
      </c>
      <c r="E69" s="4"/>
      <c r="F69" s="4"/>
      <c r="G69" s="4"/>
      <c r="H69" s="4"/>
      <c r="I69" s="4"/>
      <c r="J69" s="4"/>
      <c r="K69" s="2"/>
    </row>
    <row r="70" spans="1:11" ht="43.2" x14ac:dyDescent="0.3">
      <c r="A70" s="4"/>
      <c r="B70" s="4"/>
      <c r="C70" s="5" t="s">
        <v>1118</v>
      </c>
      <c r="D70" s="4">
        <v>150</v>
      </c>
      <c r="E70" s="4"/>
      <c r="F70" s="4"/>
      <c r="G70" s="4"/>
      <c r="H70" s="4"/>
      <c r="I70" s="4"/>
      <c r="J70" s="4"/>
      <c r="K70" s="2"/>
    </row>
    <row r="71" spans="1:11" ht="72" x14ac:dyDescent="0.3">
      <c r="A71" s="4"/>
      <c r="B71" s="4"/>
      <c r="C71" s="5" t="s">
        <v>1119</v>
      </c>
      <c r="D71" s="4">
        <v>140</v>
      </c>
      <c r="E71" s="4"/>
      <c r="F71" s="4"/>
      <c r="G71" s="4"/>
      <c r="H71" s="4"/>
      <c r="I71" s="4"/>
      <c r="J71" s="4"/>
      <c r="K71" s="2"/>
    </row>
    <row r="72" spans="1:11" ht="43.2" x14ac:dyDescent="0.3">
      <c r="A72" s="4"/>
      <c r="B72" s="4"/>
      <c r="C72" s="5" t="s">
        <v>1120</v>
      </c>
      <c r="D72" s="4">
        <v>3848</v>
      </c>
      <c r="E72" s="4"/>
      <c r="F72" s="4"/>
      <c r="G72" s="4"/>
      <c r="H72" s="4"/>
      <c r="I72" s="4"/>
      <c r="J72" s="4"/>
      <c r="K72" s="2"/>
    </row>
    <row r="73" spans="1:11" ht="28.8" x14ac:dyDescent="0.3">
      <c r="A73" s="4"/>
      <c r="B73" s="4"/>
      <c r="C73" s="5" t="s">
        <v>1121</v>
      </c>
      <c r="D73" s="4">
        <v>1083</v>
      </c>
      <c r="E73" s="4"/>
      <c r="F73" s="4"/>
      <c r="G73" s="4"/>
      <c r="H73" s="4"/>
      <c r="I73" s="4"/>
      <c r="J73" s="4"/>
      <c r="K73" s="2"/>
    </row>
    <row r="74" spans="1:11" ht="28.8" x14ac:dyDescent="0.3">
      <c r="A74" s="4"/>
      <c r="B74" s="4"/>
      <c r="C74" s="5" t="s">
        <v>1122</v>
      </c>
      <c r="D74" s="4">
        <v>4084</v>
      </c>
      <c r="E74" s="4"/>
      <c r="F74" s="4"/>
      <c r="G74" s="4"/>
      <c r="H74" s="4"/>
      <c r="I74" s="4"/>
      <c r="J74" s="4"/>
      <c r="K74" s="2"/>
    </row>
    <row r="75" spans="1:11" ht="57.6" x14ac:dyDescent="0.3">
      <c r="A75" s="4"/>
      <c r="B75" s="4"/>
      <c r="C75" s="5" t="s">
        <v>1123</v>
      </c>
      <c r="D75" s="4">
        <v>350</v>
      </c>
      <c r="E75" s="4"/>
      <c r="F75" s="4"/>
      <c r="G75" s="4"/>
      <c r="H75" s="4"/>
      <c r="I75" s="4"/>
      <c r="J75" s="4"/>
      <c r="K75" s="2"/>
    </row>
    <row r="76" spans="1:11" ht="28.8" x14ac:dyDescent="0.3">
      <c r="A76" s="4" t="s">
        <v>1132</v>
      </c>
      <c r="B76" s="4"/>
      <c r="C76" s="5" t="s">
        <v>1124</v>
      </c>
      <c r="D76" s="4">
        <v>100</v>
      </c>
      <c r="E76" s="4"/>
      <c r="F76" s="4"/>
      <c r="G76" s="4"/>
      <c r="H76" s="4"/>
      <c r="I76" s="4"/>
      <c r="J76" s="4"/>
      <c r="K76" s="2"/>
    </row>
    <row r="77" spans="1:11" ht="43.2" x14ac:dyDescent="0.3">
      <c r="A77" s="4"/>
      <c r="B77" s="4"/>
      <c r="C77" s="5" t="s">
        <v>1125</v>
      </c>
      <c r="D77" s="4">
        <v>500</v>
      </c>
      <c r="E77" s="4"/>
      <c r="F77" s="4"/>
      <c r="G77" s="4"/>
      <c r="H77" s="4"/>
      <c r="I77" s="4"/>
      <c r="J77" s="4"/>
      <c r="K77" s="2"/>
    </row>
    <row r="78" spans="1:11" ht="43.2" x14ac:dyDescent="0.3">
      <c r="A78" s="4"/>
      <c r="B78" s="4"/>
      <c r="C78" s="5" t="s">
        <v>1126</v>
      </c>
      <c r="D78" s="4">
        <v>35</v>
      </c>
      <c r="E78" s="4"/>
      <c r="F78" s="4"/>
      <c r="G78" s="4"/>
      <c r="H78" s="4"/>
      <c r="I78" s="4"/>
      <c r="J78" s="4"/>
      <c r="K78" s="2"/>
    </row>
    <row r="79" spans="1:11" ht="43.2" x14ac:dyDescent="0.3">
      <c r="A79" s="4"/>
      <c r="B79" s="4"/>
      <c r="C79" s="5" t="s">
        <v>1127</v>
      </c>
      <c r="D79" s="4">
        <v>84</v>
      </c>
      <c r="E79" s="4"/>
      <c r="F79" s="4"/>
      <c r="G79" s="4"/>
      <c r="H79" s="4"/>
      <c r="I79" s="4"/>
      <c r="J79" s="4"/>
      <c r="K79" s="2"/>
    </row>
    <row r="80" spans="1:11" ht="57.6" x14ac:dyDescent="0.3">
      <c r="A80" s="4"/>
      <c r="B80" s="4"/>
      <c r="C80" s="5" t="s">
        <v>1128</v>
      </c>
      <c r="D80" s="4">
        <v>112</v>
      </c>
      <c r="E80" s="4"/>
      <c r="F80" s="4"/>
      <c r="G80" s="4"/>
      <c r="H80" s="4"/>
      <c r="I80" s="4"/>
      <c r="J80" s="4"/>
      <c r="K80" s="2"/>
    </row>
    <row r="81" spans="1:11" ht="43.2" x14ac:dyDescent="0.3">
      <c r="A81" s="4"/>
      <c r="B81" s="4"/>
      <c r="C81" s="5" t="s">
        <v>1129</v>
      </c>
      <c r="D81" s="4">
        <v>36</v>
      </c>
      <c r="E81" s="4"/>
      <c r="F81" s="4"/>
      <c r="G81" s="4"/>
      <c r="H81" s="4"/>
      <c r="I81" s="4"/>
      <c r="J81" s="4"/>
      <c r="K81" s="2"/>
    </row>
    <row r="82" spans="1:11" ht="28.8" x14ac:dyDescent="0.3">
      <c r="A82" s="4"/>
      <c r="B82" s="4"/>
      <c r="C82" s="5" t="s">
        <v>1130</v>
      </c>
      <c r="D82" s="4">
        <v>168</v>
      </c>
      <c r="E82" s="4"/>
      <c r="F82" s="4"/>
      <c r="G82" s="4"/>
      <c r="H82" s="4"/>
      <c r="I82" s="4"/>
      <c r="J82" s="4"/>
      <c r="K82" s="2"/>
    </row>
    <row r="83" spans="1:11" ht="43.2" x14ac:dyDescent="0.3">
      <c r="A83" s="4"/>
      <c r="B83" s="4"/>
      <c r="C83" s="5" t="s">
        <v>1131</v>
      </c>
      <c r="D83" s="4">
        <v>8</v>
      </c>
      <c r="E83" s="4"/>
      <c r="F83" s="4"/>
      <c r="G83" s="4"/>
      <c r="H83" s="4"/>
      <c r="I83" s="4"/>
      <c r="J83" s="4"/>
      <c r="K83" s="2"/>
    </row>
    <row r="84" spans="1:11" ht="43.2" x14ac:dyDescent="0.3">
      <c r="A84" s="4" t="s">
        <v>1133</v>
      </c>
      <c r="B84" s="4"/>
      <c r="C84" s="5" t="s">
        <v>1134</v>
      </c>
      <c r="D84" s="4">
        <v>32</v>
      </c>
      <c r="E84" s="4"/>
      <c r="F84" s="4"/>
      <c r="G84" s="4"/>
      <c r="H84" s="4"/>
      <c r="I84" s="4"/>
      <c r="J84" s="4"/>
      <c r="K84" s="2"/>
    </row>
    <row r="85" spans="1:11" ht="28.8" x14ac:dyDescent="0.3">
      <c r="A85" s="4"/>
      <c r="B85" s="4"/>
      <c r="C85" s="5" t="s">
        <v>1135</v>
      </c>
      <c r="D85" s="4">
        <v>7</v>
      </c>
      <c r="E85" s="4"/>
      <c r="F85" s="4"/>
      <c r="G85" s="4"/>
      <c r="H85" s="4"/>
      <c r="I85" s="4"/>
      <c r="J85" s="4"/>
      <c r="K85" s="2"/>
    </row>
    <row r="86" spans="1:11" ht="28.8" x14ac:dyDescent="0.3">
      <c r="A86" s="4"/>
      <c r="B86" s="4"/>
      <c r="C86" s="5" t="s">
        <v>1136</v>
      </c>
      <c r="D86" s="4">
        <v>13</v>
      </c>
      <c r="E86" s="4"/>
      <c r="F86" s="4"/>
      <c r="G86" s="4"/>
      <c r="H86" s="4"/>
      <c r="I86" s="4"/>
      <c r="J86" s="4"/>
      <c r="K86" s="2"/>
    </row>
    <row r="87" spans="1:11" ht="43.2" x14ac:dyDescent="0.3">
      <c r="A87" s="4"/>
      <c r="B87" s="4"/>
      <c r="C87" s="5" t="s">
        <v>1137</v>
      </c>
      <c r="D87" s="4">
        <v>60</v>
      </c>
      <c r="E87" s="4"/>
      <c r="F87" s="4"/>
      <c r="G87" s="4"/>
      <c r="H87" s="4"/>
      <c r="I87" s="4"/>
      <c r="J87" s="4"/>
      <c r="K87" s="2"/>
    </row>
    <row r="88" spans="1:11" ht="43.2" x14ac:dyDescent="0.3">
      <c r="A88" s="4"/>
      <c r="B88" s="4"/>
      <c r="C88" s="5" t="s">
        <v>1138</v>
      </c>
      <c r="D88" s="4">
        <v>21</v>
      </c>
      <c r="E88" s="4"/>
      <c r="F88" s="4"/>
      <c r="G88" s="4"/>
      <c r="H88" s="4"/>
      <c r="I88" s="4"/>
      <c r="J88" s="4"/>
      <c r="K88" s="2"/>
    </row>
    <row r="89" spans="1:11" ht="57.6" x14ac:dyDescent="0.3">
      <c r="A89" s="4"/>
      <c r="B89" s="4"/>
      <c r="C89" s="5" t="s">
        <v>1139</v>
      </c>
      <c r="D89" s="4">
        <v>695</v>
      </c>
      <c r="E89" s="4"/>
      <c r="F89" s="4"/>
      <c r="G89" s="4"/>
      <c r="H89" s="4"/>
      <c r="I89" s="4"/>
      <c r="J89" s="4"/>
      <c r="K89" s="2"/>
    </row>
    <row r="90" spans="1:11" ht="57.6" x14ac:dyDescent="0.3">
      <c r="A90" s="4"/>
      <c r="B90" s="4"/>
      <c r="C90" s="5" t="s">
        <v>1140</v>
      </c>
      <c r="D90" s="4">
        <v>1000</v>
      </c>
      <c r="E90" s="4"/>
      <c r="F90" s="4"/>
      <c r="G90" s="4"/>
      <c r="H90" s="4"/>
      <c r="I90" s="4"/>
      <c r="J90" s="4"/>
      <c r="K90" s="2"/>
    </row>
    <row r="91" spans="1:11" ht="57.6" x14ac:dyDescent="0.3">
      <c r="A91" s="4"/>
      <c r="B91" s="4"/>
      <c r="C91" s="5" t="s">
        <v>1141</v>
      </c>
      <c r="D91" s="4">
        <v>2000</v>
      </c>
      <c r="E91" s="4"/>
      <c r="F91" s="4"/>
      <c r="G91" s="4"/>
      <c r="H91" s="4"/>
      <c r="I91" s="4"/>
      <c r="J91" s="4"/>
      <c r="K91" s="2"/>
    </row>
    <row r="92" spans="1:11" ht="86.4" x14ac:dyDescent="0.3">
      <c r="A92" s="4" t="s">
        <v>1142</v>
      </c>
      <c r="B92" s="4"/>
      <c r="C92" s="5" t="s">
        <v>1143</v>
      </c>
      <c r="D92" s="4">
        <v>4000</v>
      </c>
      <c r="E92" s="4"/>
      <c r="F92" s="4"/>
      <c r="G92" s="4"/>
      <c r="H92" s="4"/>
      <c r="I92" s="4"/>
      <c r="J92" s="4"/>
      <c r="K92" s="2"/>
    </row>
    <row r="93" spans="1:11" ht="144" x14ac:dyDescent="0.3">
      <c r="A93" s="4"/>
      <c r="B93" s="4"/>
      <c r="C93" s="5" t="s">
        <v>1144</v>
      </c>
      <c r="D93" s="4">
        <v>4000</v>
      </c>
      <c r="E93" s="4"/>
      <c r="F93" s="4"/>
      <c r="G93" s="4"/>
      <c r="H93" s="4"/>
      <c r="I93" s="4"/>
      <c r="J93" s="4"/>
      <c r="K93" s="2"/>
    </row>
    <row r="94" spans="1:11" x14ac:dyDescent="0.3">
      <c r="A94" s="4"/>
      <c r="B94" s="4"/>
      <c r="C94" s="4" t="s">
        <v>6</v>
      </c>
      <c r="D94" s="4" t="s">
        <v>1151</v>
      </c>
      <c r="E94" s="4"/>
      <c r="F94" s="4"/>
      <c r="G94" s="4"/>
      <c r="H94" s="4"/>
      <c r="I94" s="4"/>
      <c r="J94" s="4"/>
      <c r="K94" s="2"/>
    </row>
    <row r="95" spans="1:11" x14ac:dyDescent="0.3">
      <c r="A95" s="4"/>
      <c r="B95" s="4"/>
      <c r="C95" s="4"/>
      <c r="D95" s="4"/>
      <c r="E95" s="4"/>
      <c r="F95" s="4"/>
      <c r="G95" s="4"/>
      <c r="H95" s="4"/>
      <c r="I95" s="4"/>
      <c r="J95" s="4"/>
      <c r="K95" s="2"/>
    </row>
    <row r="96" spans="1:11" x14ac:dyDescent="0.3">
      <c r="A96" s="4"/>
      <c r="B96" s="4"/>
      <c r="C96" s="4"/>
      <c r="D96" s="4"/>
      <c r="E96" s="4"/>
      <c r="F96" s="4"/>
      <c r="G96" s="4"/>
      <c r="H96" s="4"/>
      <c r="I96" s="4"/>
      <c r="J96" s="4"/>
      <c r="K96" s="2"/>
    </row>
    <row r="97" spans="1:11" ht="72" x14ac:dyDescent="0.3">
      <c r="A97" s="4"/>
      <c r="B97" s="4"/>
      <c r="C97" s="9" t="s">
        <v>1145</v>
      </c>
      <c r="D97" s="4"/>
      <c r="E97" s="4"/>
      <c r="F97" s="4"/>
      <c r="G97" s="4"/>
      <c r="H97" s="4"/>
      <c r="I97" s="4"/>
      <c r="J97" s="4"/>
      <c r="K97" s="2"/>
    </row>
    <row r="98" spans="1:11" x14ac:dyDescent="0.3">
      <c r="A98" s="4"/>
      <c r="B98" s="4"/>
      <c r="C98" s="4"/>
      <c r="D98" s="4"/>
      <c r="E98" s="4"/>
      <c r="F98" s="4"/>
      <c r="G98" s="4"/>
      <c r="H98" s="4"/>
      <c r="I98" s="4"/>
      <c r="J98" s="4"/>
      <c r="K98" s="2"/>
    </row>
    <row r="99" spans="1:11" ht="57.6" x14ac:dyDescent="0.3">
      <c r="A99" s="4"/>
      <c r="B99" s="4"/>
      <c r="C99" s="9" t="s">
        <v>1146</v>
      </c>
      <c r="D99" s="4"/>
      <c r="E99" s="4"/>
      <c r="F99" s="4"/>
      <c r="G99" s="4"/>
      <c r="H99" s="4"/>
      <c r="I99" s="4"/>
      <c r="J99" s="4"/>
      <c r="K99" s="2"/>
    </row>
    <row r="100" spans="1:11" x14ac:dyDescent="0.3">
      <c r="A100" s="4"/>
      <c r="B100" s="4"/>
      <c r="C100" s="4"/>
      <c r="D100" s="4"/>
      <c r="E100" s="4"/>
      <c r="F100" s="4"/>
      <c r="G100" s="4"/>
      <c r="H100" s="4"/>
      <c r="I100" s="4"/>
      <c r="J100" s="4"/>
      <c r="K100" s="2"/>
    </row>
    <row r="101" spans="1:11" x14ac:dyDescent="0.3">
      <c r="A101" s="4"/>
      <c r="B101" s="4"/>
      <c r="C101" s="6" t="s">
        <v>1147</v>
      </c>
      <c r="D101" s="4"/>
      <c r="E101" s="4"/>
      <c r="F101" s="4"/>
      <c r="G101" s="4"/>
      <c r="H101" s="4"/>
      <c r="I101" s="4"/>
      <c r="J101" s="4"/>
      <c r="K101" s="2"/>
    </row>
    <row r="102" spans="1:11" x14ac:dyDescent="0.3">
      <c r="A102" s="4"/>
      <c r="B102" s="4"/>
      <c r="C102" s="6" t="s">
        <v>1148</v>
      </c>
      <c r="D102" s="4"/>
      <c r="E102" s="4"/>
      <c r="F102" s="4"/>
      <c r="G102" s="4"/>
      <c r="H102" s="4"/>
      <c r="I102" s="4"/>
      <c r="J102" s="4"/>
      <c r="K102" s="2"/>
    </row>
    <row r="103" spans="1:11" x14ac:dyDescent="0.3">
      <c r="A103" s="4"/>
      <c r="B103" s="4"/>
      <c r="C103" s="6" t="s">
        <v>1149</v>
      </c>
      <c r="D103" s="4"/>
      <c r="E103" s="4"/>
      <c r="F103" s="4"/>
      <c r="G103" s="4"/>
      <c r="H103" s="4"/>
      <c r="I103" s="4"/>
      <c r="J103" s="4"/>
      <c r="K103" s="2"/>
    </row>
    <row r="104" spans="1:11" x14ac:dyDescent="0.3">
      <c r="A104" s="4"/>
      <c r="B104" s="4"/>
      <c r="C104" s="4"/>
      <c r="D104" s="4"/>
      <c r="E104" s="4"/>
      <c r="F104" s="4"/>
      <c r="G104" s="4"/>
      <c r="H104" s="4"/>
      <c r="I104" s="4"/>
      <c r="J104" s="4"/>
      <c r="K104" s="2"/>
    </row>
    <row r="105" spans="1:11" ht="72" x14ac:dyDescent="0.3">
      <c r="A105" s="4"/>
      <c r="B105" s="5" t="s">
        <v>1150</v>
      </c>
      <c r="C105" s="5" t="s">
        <v>1152</v>
      </c>
      <c r="D105" s="4">
        <v>20</v>
      </c>
      <c r="E105" s="4"/>
      <c r="F105" s="4"/>
      <c r="G105" s="4"/>
      <c r="H105" s="4"/>
      <c r="I105" s="4"/>
      <c r="J105" s="4"/>
      <c r="K105" s="2"/>
    </row>
    <row r="106" spans="1:11" x14ac:dyDescent="0.3">
      <c r="A106" s="4"/>
      <c r="B106" s="4"/>
      <c r="C106" s="5" t="s">
        <v>1153</v>
      </c>
      <c r="D106" s="4">
        <v>4</v>
      </c>
      <c r="E106" s="4"/>
      <c r="F106" s="4"/>
      <c r="G106" s="4"/>
      <c r="H106" s="4"/>
      <c r="I106" s="4"/>
      <c r="J106" s="4"/>
      <c r="K106" s="2"/>
    </row>
    <row r="107" spans="1:11" ht="28.8" x14ac:dyDescent="0.3">
      <c r="A107" s="4"/>
      <c r="B107" s="4"/>
      <c r="C107" s="5" t="s">
        <v>1154</v>
      </c>
      <c r="D107" s="4" t="s">
        <v>1155</v>
      </c>
      <c r="E107" s="4"/>
      <c r="F107" s="4"/>
      <c r="G107" s="4"/>
      <c r="H107" s="4"/>
      <c r="I107" s="4"/>
      <c r="J107" s="4"/>
      <c r="K107" s="2"/>
    </row>
    <row r="108" spans="1:11" ht="28.8" x14ac:dyDescent="0.3">
      <c r="A108" s="4"/>
      <c r="B108" s="4"/>
      <c r="C108" s="5" t="s">
        <v>1156</v>
      </c>
      <c r="D108" s="4" t="s">
        <v>1157</v>
      </c>
      <c r="E108" s="4"/>
      <c r="F108" s="4"/>
      <c r="G108" s="4"/>
      <c r="H108" s="4"/>
      <c r="I108" s="4"/>
      <c r="J108" s="4"/>
      <c r="K108" s="2"/>
    </row>
    <row r="109" spans="1:11" x14ac:dyDescent="0.3">
      <c r="A109" s="4"/>
      <c r="B109" s="4"/>
      <c r="C109" s="5" t="s">
        <v>1158</v>
      </c>
      <c r="D109" s="4">
        <v>5</v>
      </c>
      <c r="E109" s="4"/>
      <c r="F109" s="4"/>
      <c r="G109" s="4"/>
      <c r="H109" s="4"/>
      <c r="I109" s="4"/>
      <c r="J109" s="4"/>
      <c r="K109" s="2"/>
    </row>
    <row r="110" spans="1:11" x14ac:dyDescent="0.3">
      <c r="A110" s="4"/>
      <c r="B110" s="4"/>
      <c r="C110" s="5" t="s">
        <v>1159</v>
      </c>
      <c r="D110" s="4">
        <v>49</v>
      </c>
      <c r="E110" s="4"/>
      <c r="F110" s="4"/>
      <c r="G110" s="4"/>
      <c r="H110" s="4"/>
      <c r="I110" s="4"/>
      <c r="J110" s="4"/>
      <c r="K110" s="2"/>
    </row>
    <row r="111" spans="1:11" x14ac:dyDescent="0.3">
      <c r="A111" s="4"/>
      <c r="B111" s="4"/>
      <c r="C111" s="5" t="s">
        <v>1160</v>
      </c>
      <c r="D111" s="4" t="s">
        <v>1161</v>
      </c>
      <c r="E111" s="4"/>
      <c r="F111" s="4"/>
      <c r="G111" s="4"/>
      <c r="H111" s="4"/>
      <c r="I111" s="4"/>
      <c r="J111" s="4"/>
      <c r="K111" s="2"/>
    </row>
    <row r="112" spans="1:11" x14ac:dyDescent="0.3">
      <c r="A112" s="4"/>
      <c r="B112" s="4"/>
      <c r="C112" s="5" t="s">
        <v>1162</v>
      </c>
      <c r="D112" s="4">
        <v>20</v>
      </c>
      <c r="E112" s="4"/>
      <c r="F112" s="4"/>
      <c r="G112" s="4"/>
      <c r="H112" s="4"/>
      <c r="I112" s="4"/>
      <c r="J112" s="4"/>
      <c r="K112" s="2"/>
    </row>
    <row r="113" spans="1:11" x14ac:dyDescent="0.3">
      <c r="A113" s="4"/>
      <c r="B113" s="4"/>
      <c r="C113" s="5" t="s">
        <v>1163</v>
      </c>
      <c r="D113" s="4">
        <v>40</v>
      </c>
      <c r="E113" s="4"/>
      <c r="F113" s="4"/>
      <c r="G113" s="4"/>
      <c r="H113" s="4"/>
      <c r="I113" s="4"/>
      <c r="J113" s="4"/>
      <c r="K113" s="2"/>
    </row>
    <row r="114" spans="1:11" x14ac:dyDescent="0.3">
      <c r="A114" s="4"/>
      <c r="B114" s="4"/>
      <c r="C114" s="6" t="s">
        <v>6</v>
      </c>
      <c r="D114" s="6">
        <v>227</v>
      </c>
      <c r="E114" s="4"/>
      <c r="F114" s="4"/>
      <c r="G114" s="4"/>
      <c r="H114" s="4"/>
      <c r="I114" s="4"/>
      <c r="J114" s="4"/>
      <c r="K114" s="2"/>
    </row>
    <row r="115" spans="1:11" x14ac:dyDescent="0.3">
      <c r="A115" s="4"/>
      <c r="B115" s="4"/>
      <c r="C115" s="4"/>
      <c r="D115" s="4"/>
      <c r="E115" s="4"/>
      <c r="F115" s="4"/>
      <c r="G115" s="4"/>
      <c r="H115" s="4"/>
      <c r="I115" s="4"/>
      <c r="J115" s="4"/>
      <c r="K115" s="2"/>
    </row>
    <row r="116" spans="1:11" x14ac:dyDescent="0.3">
      <c r="A116" s="4"/>
      <c r="B116" s="4"/>
      <c r="C116" s="4"/>
      <c r="D116" s="4"/>
      <c r="E116" s="4"/>
      <c r="F116" s="4"/>
      <c r="G116" s="4"/>
      <c r="H116" s="4"/>
      <c r="I116" s="4"/>
      <c r="J116" s="4"/>
      <c r="K116" s="2"/>
    </row>
    <row r="117" spans="1:11" x14ac:dyDescent="0.3">
      <c r="A117" s="4"/>
      <c r="B117" s="4"/>
      <c r="C117" s="6" t="s">
        <v>1164</v>
      </c>
      <c r="D117" s="4"/>
      <c r="E117" s="4"/>
      <c r="F117" s="4"/>
      <c r="G117" s="4"/>
      <c r="H117" s="4"/>
      <c r="I117" s="4"/>
      <c r="J117" s="4"/>
      <c r="K117" s="2"/>
    </row>
    <row r="118" spans="1:11" x14ac:dyDescent="0.3">
      <c r="A118" s="4"/>
      <c r="B118" s="4"/>
      <c r="C118" s="6" t="s">
        <v>1165</v>
      </c>
      <c r="D118" s="4"/>
      <c r="E118" s="4"/>
      <c r="F118" s="4"/>
      <c r="G118" s="4"/>
      <c r="H118" s="4"/>
      <c r="I118" s="4"/>
      <c r="J118" s="4"/>
      <c r="K118" s="2"/>
    </row>
    <row r="119" spans="1:11" x14ac:dyDescent="0.3">
      <c r="A119" s="4"/>
      <c r="B119" s="4"/>
      <c r="C119" s="6" t="s">
        <v>1166</v>
      </c>
      <c r="D119" s="4"/>
      <c r="E119" s="4"/>
      <c r="F119" s="4"/>
      <c r="G119" s="4"/>
      <c r="H119" s="4"/>
      <c r="I119" s="4"/>
      <c r="J119" s="4"/>
      <c r="K119" s="2"/>
    </row>
    <row r="120" spans="1:11" x14ac:dyDescent="0.3">
      <c r="A120" s="4"/>
      <c r="B120" s="4"/>
      <c r="C120" s="4"/>
      <c r="D120" s="4"/>
      <c r="E120" s="4"/>
      <c r="F120" s="4"/>
      <c r="G120" s="4"/>
      <c r="H120" s="4"/>
      <c r="I120" s="4"/>
      <c r="J120" s="4"/>
      <c r="K120" s="2"/>
    </row>
    <row r="121" spans="1:11" x14ac:dyDescent="0.3">
      <c r="A121" s="4"/>
      <c r="B121" s="4"/>
      <c r="C121" s="4"/>
      <c r="D121" s="4"/>
      <c r="E121" s="4"/>
      <c r="F121" s="4"/>
      <c r="G121" s="4"/>
      <c r="H121" s="4"/>
      <c r="I121" s="4"/>
      <c r="J121" s="4"/>
      <c r="K121" s="2"/>
    </row>
    <row r="122" spans="1:11" x14ac:dyDescent="0.3">
      <c r="A122" s="4"/>
      <c r="B122" s="4"/>
      <c r="C122" s="4"/>
      <c r="D122" s="4"/>
      <c r="E122" s="4"/>
      <c r="F122" s="4"/>
      <c r="G122" s="4"/>
      <c r="H122" s="4"/>
      <c r="I122" s="4"/>
      <c r="J122" s="4"/>
      <c r="K122" s="2"/>
    </row>
    <row r="123" spans="1:11" ht="43.2" x14ac:dyDescent="0.3">
      <c r="A123" s="4"/>
      <c r="B123" s="4"/>
      <c r="C123" s="5" t="s">
        <v>1167</v>
      </c>
      <c r="D123" s="4" t="s">
        <v>1171</v>
      </c>
      <c r="E123" s="4"/>
      <c r="F123" s="4"/>
      <c r="G123" s="4"/>
      <c r="H123" s="4"/>
      <c r="I123" s="4"/>
      <c r="J123" s="4"/>
      <c r="K123" s="2"/>
    </row>
    <row r="124" spans="1:11" ht="28.8" x14ac:dyDescent="0.3">
      <c r="A124" s="4"/>
      <c r="B124" s="4"/>
      <c r="C124" s="5" t="s">
        <v>1168</v>
      </c>
      <c r="D124" s="4" t="s">
        <v>1172</v>
      </c>
      <c r="E124" s="4"/>
      <c r="F124" s="4"/>
      <c r="G124" s="4"/>
      <c r="H124" s="4"/>
      <c r="I124" s="4"/>
      <c r="J124" s="4"/>
      <c r="K124" s="2"/>
    </row>
    <row r="125" spans="1:11" ht="28.8" x14ac:dyDescent="0.3">
      <c r="A125" s="4"/>
      <c r="B125" s="4"/>
      <c r="C125" s="5" t="s">
        <v>1169</v>
      </c>
      <c r="D125" s="4" t="s">
        <v>1173</v>
      </c>
      <c r="E125" s="4"/>
      <c r="F125" s="4"/>
      <c r="G125" s="4"/>
      <c r="H125" s="4"/>
      <c r="I125" s="4"/>
      <c r="J125" s="4"/>
      <c r="K125" s="2"/>
    </row>
    <row r="126" spans="1:11" ht="43.2" x14ac:dyDescent="0.3">
      <c r="A126" s="4"/>
      <c r="B126" s="4"/>
      <c r="C126" s="5" t="s">
        <v>1170</v>
      </c>
      <c r="D126" s="4" t="s">
        <v>1174</v>
      </c>
      <c r="E126" s="4"/>
      <c r="F126" s="4"/>
      <c r="G126" s="4"/>
      <c r="H126" s="4"/>
      <c r="I126" s="4"/>
      <c r="J126" s="4"/>
      <c r="K126" s="2"/>
    </row>
    <row r="127" spans="1:11" x14ac:dyDescent="0.3">
      <c r="A127" s="4"/>
      <c r="B127" s="4"/>
      <c r="C127" s="6" t="s">
        <v>1175</v>
      </c>
      <c r="D127" s="6" t="s">
        <v>1176</v>
      </c>
      <c r="E127" s="4"/>
      <c r="F127" s="4"/>
      <c r="G127" s="4"/>
      <c r="H127" s="4"/>
      <c r="I127" s="4"/>
      <c r="J127" s="4"/>
      <c r="K127" s="2"/>
    </row>
    <row r="128" spans="1:11" x14ac:dyDescent="0.3">
      <c r="A128" s="4"/>
      <c r="B128" s="4"/>
      <c r="C128" s="4"/>
      <c r="D128" s="4"/>
      <c r="E128" s="4"/>
      <c r="F128" s="4"/>
      <c r="G128" s="4"/>
      <c r="H128" s="4"/>
      <c r="I128" s="4"/>
      <c r="J128" s="4"/>
      <c r="K128" s="2"/>
    </row>
    <row r="129" spans="1:11" x14ac:dyDescent="0.3">
      <c r="A129" s="4"/>
      <c r="B129" s="4"/>
      <c r="C129" s="4"/>
      <c r="D129" s="4"/>
      <c r="E129" s="4"/>
      <c r="F129" s="4"/>
      <c r="G129" s="4"/>
      <c r="H129" s="4"/>
      <c r="I129" s="4"/>
      <c r="J129" s="4"/>
      <c r="K129" s="2"/>
    </row>
    <row r="130" spans="1:11" x14ac:dyDescent="0.3">
      <c r="A130" s="4"/>
      <c r="B130" s="4"/>
      <c r="C130" s="6" t="s">
        <v>1177</v>
      </c>
      <c r="D130" s="6" t="s">
        <v>1176</v>
      </c>
      <c r="E130" s="6"/>
      <c r="F130" s="4"/>
      <c r="G130" s="4"/>
      <c r="H130" s="4"/>
      <c r="I130" s="4"/>
      <c r="J130" s="4"/>
      <c r="K130" s="2"/>
    </row>
    <row r="131" spans="1:11" x14ac:dyDescent="0.3">
      <c r="A131" s="4"/>
      <c r="B131" s="4"/>
      <c r="C131" s="6" t="s">
        <v>1178</v>
      </c>
      <c r="D131" s="6" t="s">
        <v>1179</v>
      </c>
      <c r="E131" s="6"/>
      <c r="F131" s="4"/>
      <c r="G131" s="4"/>
      <c r="H131" s="4"/>
      <c r="I131" s="4"/>
      <c r="J131" s="4"/>
      <c r="K131" s="2"/>
    </row>
    <row r="132" spans="1:11" x14ac:dyDescent="0.3">
      <c r="A132" s="4"/>
      <c r="B132" s="4"/>
      <c r="C132" s="6"/>
      <c r="D132" s="6" t="s">
        <v>1180</v>
      </c>
      <c r="E132" s="6" t="s">
        <v>1177</v>
      </c>
      <c r="F132" s="4"/>
      <c r="G132" s="4"/>
      <c r="H132" s="4"/>
      <c r="I132" s="4"/>
      <c r="J132" s="4"/>
      <c r="K132" s="2"/>
    </row>
    <row r="133" spans="1:11" x14ac:dyDescent="0.3">
      <c r="A133" s="4"/>
      <c r="B133" s="4"/>
      <c r="C133" s="4"/>
      <c r="D133" s="4"/>
      <c r="E133" s="4"/>
      <c r="F133" s="4"/>
      <c r="G133" s="4"/>
      <c r="H133" s="4"/>
      <c r="I133" s="4"/>
      <c r="J133" s="4"/>
      <c r="K133" s="2"/>
    </row>
    <row r="134" spans="1:11" x14ac:dyDescent="0.3">
      <c r="A134" s="4"/>
      <c r="B134" s="4"/>
      <c r="C134" s="4"/>
      <c r="D134" s="4"/>
      <c r="E134" s="4"/>
      <c r="F134" s="4"/>
      <c r="G134" s="4"/>
      <c r="H134" s="4"/>
      <c r="I134" s="4"/>
      <c r="J134" s="4"/>
      <c r="K134" s="2"/>
    </row>
    <row r="135" spans="1:11" ht="108" customHeight="1" x14ac:dyDescent="0.3">
      <c r="A135" s="4"/>
      <c r="B135" s="4"/>
      <c r="C135" s="40" t="s">
        <v>1181</v>
      </c>
      <c r="D135" s="40"/>
      <c r="E135" s="40"/>
      <c r="F135" s="40"/>
      <c r="G135" s="4"/>
      <c r="H135" s="4"/>
      <c r="I135" s="4"/>
      <c r="J135" s="4"/>
      <c r="K135" s="2"/>
    </row>
  </sheetData>
  <mergeCells count="4">
    <mergeCell ref="A2:K2"/>
    <mergeCell ref="A29:K29"/>
    <mergeCell ref="A40:K40"/>
    <mergeCell ref="C135:F1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D22F4-A672-4F78-B7A8-4840594EC553}">
  <dimension ref="A1:F13"/>
  <sheetViews>
    <sheetView workbookViewId="0">
      <selection activeCell="H11" sqref="H11"/>
    </sheetView>
  </sheetViews>
  <sheetFormatPr baseColWidth="10" defaultRowHeight="14.4" x14ac:dyDescent="0.3"/>
  <cols>
    <col min="1" max="1" width="12.5546875" customWidth="1"/>
    <col min="5" max="5" width="11.88671875" bestFit="1" customWidth="1"/>
  </cols>
  <sheetData>
    <row r="1" spans="1:6" x14ac:dyDescent="0.3">
      <c r="A1" s="42" t="s">
        <v>1662</v>
      </c>
      <c r="B1" s="42"/>
      <c r="C1" s="42"/>
      <c r="D1" s="42"/>
      <c r="E1" s="42"/>
      <c r="F1" s="42"/>
    </row>
    <row r="2" spans="1:6" x14ac:dyDescent="0.3">
      <c r="A2" s="41" t="s">
        <v>1661</v>
      </c>
      <c r="B2" s="41" t="s">
        <v>1647</v>
      </c>
      <c r="C2" s="32" t="s">
        <v>27</v>
      </c>
      <c r="D2" s="32">
        <f>SUMIF(Registro!$J$2:$J$1040,C2,Registro!$L$2:$L$1040)</f>
        <v>1358444</v>
      </c>
      <c r="E2" s="41">
        <f>SUM(D2:D4)</f>
        <v>12745447</v>
      </c>
      <c r="F2" s="41">
        <f>SUM(E2:E9)</f>
        <v>12973957</v>
      </c>
    </row>
    <row r="3" spans="1:6" x14ac:dyDescent="0.3">
      <c r="A3" s="41"/>
      <c r="B3" s="41"/>
      <c r="C3" s="32" t="s">
        <v>1185</v>
      </c>
      <c r="D3" s="32">
        <f>SUMIF(Registro!$J$2:$J$1040,C3,Registro!$L$2:$L$1040)</f>
        <v>6222004</v>
      </c>
      <c r="E3" s="41"/>
      <c r="F3" s="41"/>
    </row>
    <row r="4" spans="1:6" x14ac:dyDescent="0.3">
      <c r="A4" s="41"/>
      <c r="B4" s="41"/>
      <c r="C4" s="32" t="s">
        <v>214</v>
      </c>
      <c r="D4" s="32">
        <f>SUMIF(Registro!$J$2:$J$1040,C4,Registro!$L$2:$L$1040)</f>
        <v>5164999</v>
      </c>
      <c r="E4" s="41"/>
      <c r="F4" s="41"/>
    </row>
    <row r="5" spans="1:6" x14ac:dyDescent="0.3">
      <c r="A5" s="41"/>
      <c r="B5" s="36" t="s">
        <v>1651</v>
      </c>
      <c r="C5" s="32" t="s">
        <v>1648</v>
      </c>
      <c r="D5" s="32">
        <f>SUMIF(Registro!$J$2:$J$1040,C5,Registro!$L$2:$L$1040)</f>
        <v>147265</v>
      </c>
      <c r="E5" s="31">
        <f>D5</f>
        <v>147265</v>
      </c>
      <c r="F5" s="41"/>
    </row>
    <row r="6" spans="1:6" x14ac:dyDescent="0.3">
      <c r="A6" s="41"/>
      <c r="B6" s="41" t="s">
        <v>1650</v>
      </c>
      <c r="C6" s="32" t="s">
        <v>1246</v>
      </c>
      <c r="D6" s="32">
        <f>SUMIF(Registro!$J$2:$J$1040,C6,Registro!$L$2:$L$1040)</f>
        <v>6800</v>
      </c>
      <c r="E6" s="41">
        <f>SUM(D6:D10)</f>
        <v>81245</v>
      </c>
      <c r="F6" s="41"/>
    </row>
    <row r="7" spans="1:6" x14ac:dyDescent="0.3">
      <c r="A7" s="41"/>
      <c r="B7" s="41"/>
      <c r="C7" s="32" t="s">
        <v>1224</v>
      </c>
      <c r="D7" s="32">
        <f>SUMIF(Registro!$J$2:$J$1040,C7,Registro!$L$2:$L$1040)</f>
        <v>229</v>
      </c>
      <c r="E7" s="41"/>
      <c r="F7" s="41"/>
    </row>
    <row r="8" spans="1:6" x14ac:dyDescent="0.3">
      <c r="A8" s="41"/>
      <c r="B8" s="41"/>
      <c r="C8" s="32" t="s">
        <v>1649</v>
      </c>
      <c r="D8" s="32">
        <f>SUMIF(Registro!$J$2:$J$1040,C8,Registro!$L$2:$L$1040)</f>
        <v>63651</v>
      </c>
      <c r="E8" s="41"/>
      <c r="F8" s="41"/>
    </row>
    <row r="9" spans="1:6" x14ac:dyDescent="0.3">
      <c r="A9" s="41"/>
      <c r="B9" s="41"/>
      <c r="C9" s="32" t="s">
        <v>1184</v>
      </c>
      <c r="D9" s="32">
        <f>SUMIF(Registro!$J$2:$J$1040,C9,Registro!$L$2:$L$1040)</f>
        <v>10209</v>
      </c>
      <c r="E9" s="41"/>
      <c r="F9" s="41"/>
    </row>
    <row r="10" spans="1:6" x14ac:dyDescent="0.3">
      <c r="A10" s="41"/>
      <c r="B10" s="41"/>
      <c r="C10" s="32" t="s">
        <v>1188</v>
      </c>
      <c r="D10" s="32">
        <f>SUMIF(Registro!$J$2:$J$1040,C10,Registro!$L$2:$L$1040)</f>
        <v>356</v>
      </c>
      <c r="E10" s="41"/>
      <c r="F10" s="41"/>
    </row>
    <row r="13" spans="1:6" x14ac:dyDescent="0.3">
      <c r="A13" s="43" t="s">
        <v>1244</v>
      </c>
      <c r="B13" s="43"/>
      <c r="C13">
        <v>146100</v>
      </c>
    </row>
  </sheetData>
  <mergeCells count="8">
    <mergeCell ref="A2:A10"/>
    <mergeCell ref="A1:F1"/>
    <mergeCell ref="A13:B13"/>
    <mergeCell ref="E6:E10"/>
    <mergeCell ref="E2:E4"/>
    <mergeCell ref="F2:F10"/>
    <mergeCell ref="B2:B4"/>
    <mergeCell ref="B6: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151E-1E22-4721-BF58-4196467D9BC7}">
  <dimension ref="A1:I1038"/>
  <sheetViews>
    <sheetView topLeftCell="C1" workbookViewId="0">
      <selection activeCell="J4" sqref="J4"/>
    </sheetView>
  </sheetViews>
  <sheetFormatPr baseColWidth="10" defaultRowHeight="14.4" x14ac:dyDescent="0.3"/>
  <cols>
    <col min="1" max="1" width="24.44140625" customWidth="1"/>
    <col min="8" max="8" width="23" customWidth="1"/>
  </cols>
  <sheetData>
    <row r="1" spans="1:9" ht="15" thickBot="1" x14ac:dyDescent="0.35">
      <c r="A1" s="19" t="s">
        <v>1654</v>
      </c>
      <c r="B1" s="20" t="s">
        <v>1655</v>
      </c>
      <c r="C1" s="21" t="s">
        <v>1656</v>
      </c>
      <c r="D1" s="22" t="s">
        <v>1657</v>
      </c>
      <c r="G1" s="25" t="s">
        <v>1658</v>
      </c>
      <c r="H1" s="26" t="s">
        <v>1659</v>
      </c>
      <c r="I1" s="27" t="s">
        <v>1660</v>
      </c>
    </row>
    <row r="2" spans="1:9" x14ac:dyDescent="0.3">
      <c r="A2" s="33" t="s">
        <v>1387</v>
      </c>
      <c r="B2" cm="1">
        <f t="array" ref="B2">SUMPRODUCT((Registro!$D$2:$D$1040=A2)*Registro!$L$2:$L$1040)</f>
        <v>57412</v>
      </c>
      <c r="C2" s="23">
        <f t="shared" ref="C2:C65" si="0">B2+0.000001*ROW()</f>
        <v>57412.000002000001</v>
      </c>
      <c r="D2" s="24">
        <f>_xlfn.RANK.EQ(C2,$C$2:C$338)</f>
        <v>59</v>
      </c>
      <c r="G2" s="28">
        <v>1</v>
      </c>
      <c r="H2" s="29" t="str">
        <f t="shared" ref="H2:H65" si="1">INDEX($A$2:$A$478,MATCH(G2,$D$2:$D$478,0))</f>
        <v>Beingolea, Juan de</v>
      </c>
      <c r="I2" s="30">
        <f t="shared" ref="I2:I65" si="2">INDEX($B$2:$B$478,MATCH(G2,$D$2:$D$478,0))</f>
        <v>809937</v>
      </c>
    </row>
    <row r="3" spans="1:9" x14ac:dyDescent="0.3">
      <c r="A3" s="33" t="s">
        <v>1516</v>
      </c>
      <c r="B3" cm="1">
        <f t="array" ref="B3">SUMPRODUCT((Registro!$D$2:$D$1040=A3)*Registro!$L$2:$L$1040)</f>
        <v>2080</v>
      </c>
      <c r="C3" s="23">
        <f t="shared" si="0"/>
        <v>2080.0000030000001</v>
      </c>
      <c r="D3" s="24">
        <f>_xlfn.RANK.EQ(C3,$C$2:C$338)</f>
        <v>278</v>
      </c>
      <c r="G3" s="28">
        <v>2</v>
      </c>
      <c r="H3" s="29" t="str">
        <f t="shared" si="1"/>
        <v>Iturrain, Martín de</v>
      </c>
      <c r="I3" s="30">
        <f t="shared" si="2"/>
        <v>802693</v>
      </c>
    </row>
    <row r="4" spans="1:9" x14ac:dyDescent="0.3">
      <c r="A4" s="33" t="s">
        <v>1567</v>
      </c>
      <c r="B4" cm="1">
        <f t="array" ref="B4">SUMPRODUCT((Registro!$D$2:$D$1040=A4)*Registro!$L$2:$L$1040)</f>
        <v>9650</v>
      </c>
      <c r="C4" s="23">
        <f t="shared" si="0"/>
        <v>9650.0000039999995</v>
      </c>
      <c r="D4" s="24">
        <f>_xlfn.RANK.EQ(C4,$C$2:C$338)</f>
        <v>184</v>
      </c>
      <c r="G4" s="28">
        <v>3</v>
      </c>
      <c r="H4" s="29" t="str">
        <f t="shared" si="1"/>
        <v>Ruiz Lozano, Francisco</v>
      </c>
      <c r="I4" s="30">
        <f t="shared" si="2"/>
        <v>539650</v>
      </c>
    </row>
    <row r="5" spans="1:9" x14ac:dyDescent="0.3">
      <c r="A5" s="33" t="s">
        <v>1393</v>
      </c>
      <c r="B5" cm="1">
        <f t="array" ref="B5">SUMPRODUCT((Registro!$D$2:$D$1040=A5)*Registro!$L$2:$L$1040)</f>
        <v>156130</v>
      </c>
      <c r="C5" s="23">
        <f t="shared" si="0"/>
        <v>156130.00000500001</v>
      </c>
      <c r="D5" s="24">
        <f>_xlfn.RANK.EQ(C5,$C$2:C$338)</f>
        <v>17</v>
      </c>
      <c r="G5" s="28">
        <v>4</v>
      </c>
      <c r="H5" s="29" t="str">
        <f t="shared" si="1"/>
        <v>Angulo, Pedro de</v>
      </c>
      <c r="I5" s="30">
        <f t="shared" si="2"/>
        <v>365770</v>
      </c>
    </row>
    <row r="6" spans="1:9" x14ac:dyDescent="0.3">
      <c r="A6" s="33" t="s">
        <v>1605</v>
      </c>
      <c r="B6" cm="1">
        <f t="array" ref="B6">SUMPRODUCT((Registro!$D$2:$D$1040=A6)*Registro!$L$2:$L$1040)</f>
        <v>27817</v>
      </c>
      <c r="C6" s="23">
        <f t="shared" si="0"/>
        <v>27817.000005999998</v>
      </c>
      <c r="D6" s="24">
        <f>_xlfn.RANK.EQ(C6,$C$2:C$338)</f>
        <v>100</v>
      </c>
      <c r="G6" s="28">
        <v>5</v>
      </c>
      <c r="H6" s="29" t="str">
        <f t="shared" si="1"/>
        <v>Fernández Dávila, Francisco</v>
      </c>
      <c r="I6" s="30">
        <f t="shared" si="2"/>
        <v>350556</v>
      </c>
    </row>
    <row r="7" spans="1:9" x14ac:dyDescent="0.3">
      <c r="A7" s="33" t="s">
        <v>1668</v>
      </c>
      <c r="B7" cm="1">
        <f t="array" ref="B7">SUMPRODUCT((Registro!$D$2:$D$1040=A7)*Registro!$L$2:$L$1040)</f>
        <v>802693</v>
      </c>
      <c r="C7" s="23">
        <f t="shared" si="0"/>
        <v>802693.00000700005</v>
      </c>
      <c r="D7" s="24">
        <f>_xlfn.RANK.EQ(C7,$C$2:C$338)</f>
        <v>2</v>
      </c>
      <c r="G7" s="28">
        <v>6</v>
      </c>
      <c r="H7" s="29" t="str">
        <f t="shared" si="1"/>
        <v>Lucen, Pablo de</v>
      </c>
      <c r="I7" s="30">
        <f t="shared" si="2"/>
        <v>324232</v>
      </c>
    </row>
    <row r="8" spans="1:9" x14ac:dyDescent="0.3">
      <c r="A8" s="33" t="s">
        <v>1610</v>
      </c>
      <c r="B8" cm="1">
        <f t="array" ref="B8">SUMPRODUCT((Registro!$D$2:$D$1040=A8)*Registro!$L$2:$L$1040)</f>
        <v>750</v>
      </c>
      <c r="C8" s="23">
        <f t="shared" si="0"/>
        <v>750.00000799999998</v>
      </c>
      <c r="D8" s="24">
        <f>_xlfn.RANK.EQ(C8,$C$2:C$338)</f>
        <v>309</v>
      </c>
      <c r="G8" s="28">
        <v>7</v>
      </c>
      <c r="H8" s="29" t="str">
        <f t="shared" si="1"/>
        <v>Díaz de Durana, Juan</v>
      </c>
      <c r="I8" s="30">
        <f t="shared" si="2"/>
        <v>288234</v>
      </c>
    </row>
    <row r="9" spans="1:9" x14ac:dyDescent="0.3">
      <c r="A9" s="33" t="s">
        <v>1358</v>
      </c>
      <c r="B9" cm="1">
        <f t="array" ref="B9">SUMPRODUCT((Registro!$D$2:$D$1040=A9)*Registro!$L$2:$L$1040)</f>
        <v>1444</v>
      </c>
      <c r="C9" s="23">
        <f t="shared" si="0"/>
        <v>1444.0000090000001</v>
      </c>
      <c r="D9" s="24">
        <f>_xlfn.RANK.EQ(C9,$C$2:C$338)</f>
        <v>291</v>
      </c>
      <c r="G9" s="28">
        <v>8</v>
      </c>
      <c r="H9" s="29" t="str">
        <f t="shared" si="1"/>
        <v>López de la Peña, Antonio</v>
      </c>
      <c r="I9" s="30">
        <f t="shared" si="2"/>
        <v>281957</v>
      </c>
    </row>
    <row r="10" spans="1:9" x14ac:dyDescent="0.3">
      <c r="A10" s="33" t="s">
        <v>1327</v>
      </c>
      <c r="B10" cm="1">
        <f t="array" ref="B10">SUMPRODUCT((Registro!$D$2:$D$1040=A10)*Registro!$L$2:$L$1040)</f>
        <v>768</v>
      </c>
      <c r="C10" s="23">
        <f t="shared" si="0"/>
        <v>768.00000999999997</v>
      </c>
      <c r="D10" s="24">
        <f>_xlfn.RANK.EQ(C10,$C$2:C$338)</f>
        <v>306</v>
      </c>
      <c r="G10" s="28">
        <v>9</v>
      </c>
      <c r="H10" s="29" t="str">
        <f t="shared" si="1"/>
        <v>Noble Canelas, Manuel</v>
      </c>
      <c r="I10" s="30">
        <f t="shared" si="2"/>
        <v>247451</v>
      </c>
    </row>
    <row r="11" spans="1:9" x14ac:dyDescent="0.3">
      <c r="A11" s="33" t="s">
        <v>1437</v>
      </c>
      <c r="B11" cm="1">
        <f t="array" ref="B11">SUMPRODUCT((Registro!$D$2:$D$1040=A11)*Registro!$L$2:$L$1040)</f>
        <v>450</v>
      </c>
      <c r="C11" s="23">
        <f t="shared" si="0"/>
        <v>450.00001099999997</v>
      </c>
      <c r="D11" s="24">
        <f>_xlfn.RANK.EQ(C11,$C$2:C$338)</f>
        <v>319</v>
      </c>
      <c r="G11" s="28">
        <v>10</v>
      </c>
      <c r="H11" s="29" t="str">
        <f t="shared" si="1"/>
        <v>Zorrilla de la Gandara, Juan</v>
      </c>
      <c r="I11" s="30">
        <f t="shared" si="2"/>
        <v>241675</v>
      </c>
    </row>
    <row r="12" spans="1:9" x14ac:dyDescent="0.3">
      <c r="A12" s="33" t="s">
        <v>1548</v>
      </c>
      <c r="B12" cm="1">
        <f t="array" ref="B12">SUMPRODUCT((Registro!$D$2:$D$1040=A12)*Registro!$L$2:$L$1040)</f>
        <v>700</v>
      </c>
      <c r="C12" s="23">
        <f t="shared" si="0"/>
        <v>700.00001199999997</v>
      </c>
      <c r="D12" s="24">
        <f>_xlfn.RANK.EQ(C12,$C$2:C$338)</f>
        <v>313</v>
      </c>
      <c r="G12" s="28">
        <v>11</v>
      </c>
      <c r="H12" s="29" t="str">
        <f t="shared" si="1"/>
        <v>Besa, Juan de</v>
      </c>
      <c r="I12" s="30">
        <f t="shared" si="2"/>
        <v>239813</v>
      </c>
    </row>
    <row r="13" spans="1:9" x14ac:dyDescent="0.3">
      <c r="A13" s="33" t="s">
        <v>1642</v>
      </c>
      <c r="B13" cm="1">
        <f t="array" ref="B13">SUMPRODUCT((Registro!$D$2:$D$1040=A13)*Registro!$L$2:$L$1040)</f>
        <v>200</v>
      </c>
      <c r="C13" s="23">
        <f t="shared" si="0"/>
        <v>200.000013</v>
      </c>
      <c r="D13" s="24">
        <f>_xlfn.RANK.EQ(C13,$C$2:C$338)</f>
        <v>334</v>
      </c>
      <c r="G13" s="28">
        <v>12</v>
      </c>
      <c r="H13" s="29" t="str">
        <f t="shared" si="1"/>
        <v>Quiroz, Francisco de</v>
      </c>
      <c r="I13" s="30">
        <f t="shared" si="2"/>
        <v>234440</v>
      </c>
    </row>
    <row r="14" spans="1:9" x14ac:dyDescent="0.3">
      <c r="A14" s="33" t="s">
        <v>1630</v>
      </c>
      <c r="B14" cm="1">
        <f t="array" ref="B14">SUMPRODUCT((Registro!$D$2:$D$1040=A14)*Registro!$L$2:$L$1040)</f>
        <v>64869</v>
      </c>
      <c r="C14" s="23">
        <f t="shared" si="0"/>
        <v>64869.000013999997</v>
      </c>
      <c r="D14" s="24">
        <f>_xlfn.RANK.EQ(C14,$C$2:C$338)</f>
        <v>52</v>
      </c>
      <c r="G14" s="28">
        <v>13</v>
      </c>
      <c r="H14" s="29" t="str">
        <f t="shared" si="1"/>
        <v>Oláez, Esteban de</v>
      </c>
      <c r="I14" s="30">
        <f t="shared" si="2"/>
        <v>173687</v>
      </c>
    </row>
    <row r="15" spans="1:9" x14ac:dyDescent="0.3">
      <c r="A15" s="33" t="s">
        <v>1625</v>
      </c>
      <c r="B15" cm="1">
        <f t="array" ref="B15">SUMPRODUCT((Registro!$D$2:$D$1040=A15)*Registro!$L$2:$L$1040)</f>
        <v>5000</v>
      </c>
      <c r="C15" s="23">
        <f t="shared" si="0"/>
        <v>5000.0000149999996</v>
      </c>
      <c r="D15" s="24">
        <f>_xlfn.RANK.EQ(C15,$C$2:C$338)</f>
        <v>229</v>
      </c>
      <c r="G15" s="28">
        <v>14</v>
      </c>
      <c r="H15" s="29" t="str">
        <f t="shared" si="1"/>
        <v>Prieto, Pedro Alonso</v>
      </c>
      <c r="I15" s="30">
        <f t="shared" si="2"/>
        <v>169161</v>
      </c>
    </row>
    <row r="16" spans="1:9" x14ac:dyDescent="0.3">
      <c r="A16" s="33" t="s">
        <v>1521</v>
      </c>
      <c r="B16" cm="1">
        <f t="array" ref="B16">SUMPRODUCT((Registro!$D$2:$D$1040=A16)*Registro!$L$2:$L$1040)</f>
        <v>3320</v>
      </c>
      <c r="C16" s="23">
        <f t="shared" si="0"/>
        <v>3320.000016</v>
      </c>
      <c r="D16" s="24">
        <f>_xlfn.RANK.EQ(C16,$C$2:C$338)</f>
        <v>258</v>
      </c>
      <c r="G16" s="28">
        <v>15</v>
      </c>
      <c r="H16" s="29" t="str">
        <f t="shared" si="1"/>
        <v>Martínez de Sea, Jorge</v>
      </c>
      <c r="I16" s="30">
        <f t="shared" si="2"/>
        <v>159795</v>
      </c>
    </row>
    <row r="17" spans="1:9" x14ac:dyDescent="0.3">
      <c r="A17" s="33" t="s">
        <v>1555</v>
      </c>
      <c r="B17" cm="1">
        <f t="array" ref="B17">SUMPRODUCT((Registro!$D$2:$D$1040=A17)*Registro!$L$2:$L$1040)</f>
        <v>7500</v>
      </c>
      <c r="C17" s="23">
        <f t="shared" si="0"/>
        <v>7500.0000170000003</v>
      </c>
      <c r="D17" s="24">
        <f>_xlfn.RANK.EQ(C17,$C$2:C$338)</f>
        <v>206</v>
      </c>
      <c r="G17" s="28">
        <v>16</v>
      </c>
      <c r="H17" s="29" t="str">
        <f t="shared" si="1"/>
        <v>García de la Fuente, Juan</v>
      </c>
      <c r="I17" s="30">
        <f t="shared" si="2"/>
        <v>157544</v>
      </c>
    </row>
    <row r="18" spans="1:9" x14ac:dyDescent="0.3">
      <c r="A18" s="33" t="s">
        <v>1474</v>
      </c>
      <c r="B18" cm="1">
        <f t="array" ref="B18">SUMPRODUCT((Registro!$D$2:$D$1040=A18)*Registro!$L$2:$L$1040)</f>
        <v>64180</v>
      </c>
      <c r="C18" s="23">
        <f t="shared" si="0"/>
        <v>64180.000017999999</v>
      </c>
      <c r="D18" s="24">
        <f>_xlfn.RANK.EQ(C18,$C$2:C$338)</f>
        <v>54</v>
      </c>
      <c r="G18" s="28">
        <v>17</v>
      </c>
      <c r="H18" s="29" t="str">
        <f t="shared" si="1"/>
        <v>Rodríguez, Diego</v>
      </c>
      <c r="I18" s="30">
        <f t="shared" si="2"/>
        <v>156130</v>
      </c>
    </row>
    <row r="19" spans="1:9" x14ac:dyDescent="0.3">
      <c r="A19" s="33" t="s">
        <v>1470</v>
      </c>
      <c r="B19" cm="1">
        <f t="array" ref="B19">SUMPRODUCT((Registro!$D$2:$D$1040=A19)*Registro!$L$2:$L$1040)</f>
        <v>20247</v>
      </c>
      <c r="C19" s="23">
        <f t="shared" si="0"/>
        <v>20247.000018999999</v>
      </c>
      <c r="D19" s="24">
        <f>_xlfn.RANK.EQ(C19,$C$2:C$338)</f>
        <v>124</v>
      </c>
      <c r="G19" s="28">
        <v>18</v>
      </c>
      <c r="H19" s="29" t="str">
        <f t="shared" si="1"/>
        <v>Arce, Juan de</v>
      </c>
      <c r="I19" s="30">
        <f t="shared" si="2"/>
        <v>148133</v>
      </c>
    </row>
    <row r="20" spans="1:9" ht="27.6" x14ac:dyDescent="0.3">
      <c r="A20" s="33" t="s">
        <v>1594</v>
      </c>
      <c r="B20" cm="1">
        <f t="array" ref="B20">SUMPRODUCT((Registro!$D$2:$D$1040=A20)*Registro!$L$2:$L$1040)</f>
        <v>10000</v>
      </c>
      <c r="C20" s="23">
        <f t="shared" si="0"/>
        <v>10000.000019999999</v>
      </c>
      <c r="D20" s="24">
        <f>_xlfn.RANK.EQ(C20,$C$2:C$338)</f>
        <v>179</v>
      </c>
      <c r="G20" s="28">
        <v>19</v>
      </c>
      <c r="H20" s="29" t="str">
        <f t="shared" si="1"/>
        <v>Jiménez Vela de Lara, Alonso</v>
      </c>
      <c r="I20" s="30">
        <f t="shared" si="2"/>
        <v>137462</v>
      </c>
    </row>
    <row r="21" spans="1:9" x14ac:dyDescent="0.3">
      <c r="A21" s="33" t="s">
        <v>1564</v>
      </c>
      <c r="B21" cm="1">
        <f t="array" ref="B21">SUMPRODUCT((Registro!$D$2:$D$1040=A21)*Registro!$L$2:$L$1040)</f>
        <v>93646</v>
      </c>
      <c r="C21" s="23">
        <f t="shared" si="0"/>
        <v>93646.000021</v>
      </c>
      <c r="D21" s="24">
        <f>_xlfn.RANK.EQ(C21,$C$2:C$338)</f>
        <v>37</v>
      </c>
      <c r="G21" s="28">
        <v>20</v>
      </c>
      <c r="H21" s="29" t="str">
        <f t="shared" si="1"/>
        <v>Lizarriturri, Joseph</v>
      </c>
      <c r="I21" s="30">
        <f t="shared" si="2"/>
        <v>136504</v>
      </c>
    </row>
    <row r="22" spans="1:9" x14ac:dyDescent="0.3">
      <c r="A22" s="33" t="s">
        <v>1511</v>
      </c>
      <c r="B22" cm="1">
        <f t="array" ref="B22">SUMPRODUCT((Registro!$D$2:$D$1040=A22)*Registro!$L$2:$L$1040)</f>
        <v>6725</v>
      </c>
      <c r="C22" s="23">
        <f t="shared" si="0"/>
        <v>6725.0000220000002</v>
      </c>
      <c r="D22" s="24">
        <f>_xlfn.RANK.EQ(C22,$C$2:C$338)</f>
        <v>209</v>
      </c>
      <c r="G22" s="28">
        <v>21</v>
      </c>
      <c r="H22" s="29" t="str">
        <f t="shared" si="1"/>
        <v>Landa, Juan de</v>
      </c>
      <c r="I22" s="30">
        <f t="shared" si="2"/>
        <v>132581</v>
      </c>
    </row>
    <row r="23" spans="1:9" x14ac:dyDescent="0.3">
      <c r="A23" s="33" t="s">
        <v>1287</v>
      </c>
      <c r="B23" cm="1">
        <f t="array" ref="B23">SUMPRODUCT((Registro!$D$2:$D$1040=A23)*Registro!$L$2:$L$1040)</f>
        <v>28200</v>
      </c>
      <c r="C23" s="23">
        <f t="shared" si="0"/>
        <v>28200.000023000001</v>
      </c>
      <c r="D23" s="24">
        <f>_xlfn.RANK.EQ(C23,$C$2:C$338)</f>
        <v>98</v>
      </c>
      <c r="G23" s="28">
        <v>22</v>
      </c>
      <c r="H23" s="29" t="str">
        <f t="shared" si="1"/>
        <v>Luján, Antonio</v>
      </c>
      <c r="I23" s="30">
        <f t="shared" si="2"/>
        <v>128776</v>
      </c>
    </row>
    <row r="24" spans="1:9" x14ac:dyDescent="0.3">
      <c r="A24" s="33" t="s">
        <v>1345</v>
      </c>
      <c r="B24" cm="1">
        <f t="array" ref="B24">SUMPRODUCT((Registro!$D$2:$D$1040=A24)*Registro!$L$2:$L$1040)</f>
        <v>17952</v>
      </c>
      <c r="C24" s="23">
        <f t="shared" si="0"/>
        <v>17952.000024000001</v>
      </c>
      <c r="D24" s="24">
        <f>_xlfn.RANK.EQ(C24,$C$2:C$338)</f>
        <v>135</v>
      </c>
      <c r="G24" s="28">
        <v>23</v>
      </c>
      <c r="H24" s="29" t="str">
        <f t="shared" si="1"/>
        <v>Ramos de Azu, Juan</v>
      </c>
      <c r="I24" s="30">
        <f t="shared" si="2"/>
        <v>124376</v>
      </c>
    </row>
    <row r="25" spans="1:9" x14ac:dyDescent="0.3">
      <c r="A25" s="33" t="s">
        <v>1478</v>
      </c>
      <c r="B25" cm="1">
        <f t="array" ref="B25">SUMPRODUCT((Registro!$D$2:$D$1040=A25)*Registro!$L$2:$L$1040)</f>
        <v>67563</v>
      </c>
      <c r="C25" s="23">
        <f t="shared" si="0"/>
        <v>67563.000025000001</v>
      </c>
      <c r="D25" s="24">
        <f>_xlfn.RANK.EQ(C25,$C$2:C$338)</f>
        <v>49</v>
      </c>
      <c r="G25" s="28">
        <v>24</v>
      </c>
      <c r="H25" s="29" t="str">
        <f t="shared" si="1"/>
        <v>Romero, Juan Antonio</v>
      </c>
      <c r="I25" s="30">
        <f t="shared" si="2"/>
        <v>122034</v>
      </c>
    </row>
    <row r="26" spans="1:9" x14ac:dyDescent="0.3">
      <c r="A26" s="33" t="s">
        <v>1520</v>
      </c>
      <c r="B26" cm="1">
        <f t="array" ref="B26">SUMPRODUCT((Registro!$D$2:$D$1040=A26)*Registro!$L$2:$L$1040)</f>
        <v>239813</v>
      </c>
      <c r="C26" s="23">
        <f t="shared" si="0"/>
        <v>239813.00002599999</v>
      </c>
      <c r="D26" s="24">
        <f>_xlfn.RANK.EQ(C26,$C$2:C$338)</f>
        <v>11</v>
      </c>
      <c r="G26" s="28">
        <v>25</v>
      </c>
      <c r="H26" s="29" t="str">
        <f t="shared" si="1"/>
        <v>Mendoza, Toribio de</v>
      </c>
      <c r="I26" s="30">
        <f t="shared" si="2"/>
        <v>117557</v>
      </c>
    </row>
    <row r="27" spans="1:9" x14ac:dyDescent="0.3">
      <c r="A27" s="33" t="s">
        <v>1381</v>
      </c>
      <c r="B27" cm="1">
        <f t="array" ref="B27">SUMPRODUCT((Registro!$D$2:$D$1040=A27)*Registro!$L$2:$L$1040)</f>
        <v>17847</v>
      </c>
      <c r="C27" s="23">
        <f t="shared" si="0"/>
        <v>17847.000026999998</v>
      </c>
      <c r="D27" s="24">
        <f>_xlfn.RANK.EQ(C27,$C$2:C$338)</f>
        <v>137</v>
      </c>
      <c r="G27" s="28">
        <v>26</v>
      </c>
      <c r="H27" s="29" t="str">
        <f t="shared" si="1"/>
        <v>Alcedo, Santiago de</v>
      </c>
      <c r="I27" s="30">
        <f t="shared" si="2"/>
        <v>114846</v>
      </c>
    </row>
    <row r="28" spans="1:9" x14ac:dyDescent="0.3">
      <c r="A28" s="33" t="s">
        <v>1400</v>
      </c>
      <c r="B28" cm="1">
        <f t="array" ref="B28">SUMPRODUCT((Registro!$D$2:$D$1040=A28)*Registro!$L$2:$L$1040)</f>
        <v>23528</v>
      </c>
      <c r="C28" s="23">
        <f t="shared" si="0"/>
        <v>23528.000027999999</v>
      </c>
      <c r="D28" s="24">
        <f>_xlfn.RANK.EQ(C28,$C$2:C$338)</f>
        <v>112</v>
      </c>
      <c r="G28" s="28">
        <v>27</v>
      </c>
      <c r="H28" s="29" t="str">
        <f t="shared" si="1"/>
        <v>Valdés, Marques de</v>
      </c>
      <c r="I28" s="30">
        <f t="shared" si="2"/>
        <v>113997</v>
      </c>
    </row>
    <row r="29" spans="1:9" x14ac:dyDescent="0.3">
      <c r="A29" s="33" t="s">
        <v>1460</v>
      </c>
      <c r="B29" cm="1">
        <f t="array" ref="B29">SUMPRODUCT((Registro!$D$2:$D$1040=A29)*Registro!$L$2:$L$1040)</f>
        <v>12600</v>
      </c>
      <c r="C29" s="23">
        <f t="shared" si="0"/>
        <v>12600.000029000001</v>
      </c>
      <c r="D29" s="24">
        <f>_xlfn.RANK.EQ(C29,$C$2:C$338)</f>
        <v>154</v>
      </c>
      <c r="G29" s="28">
        <v>28</v>
      </c>
      <c r="H29" s="29" t="str">
        <f t="shared" si="1"/>
        <v>Sumalave, Santiago de</v>
      </c>
      <c r="I29" s="30">
        <f t="shared" si="2"/>
        <v>113418</v>
      </c>
    </row>
    <row r="30" spans="1:9" x14ac:dyDescent="0.3">
      <c r="A30" s="33" t="s">
        <v>1411</v>
      </c>
      <c r="B30" cm="1">
        <f t="array" ref="B30">SUMPRODUCT((Registro!$D$2:$D$1040=A30)*Registro!$L$2:$L$1040)</f>
        <v>2500</v>
      </c>
      <c r="C30" s="23">
        <f t="shared" si="0"/>
        <v>2500.0000300000002</v>
      </c>
      <c r="D30" s="24">
        <f>_xlfn.RANK.EQ(C30,$C$2:C$338)</f>
        <v>275</v>
      </c>
      <c r="G30" s="28">
        <v>29</v>
      </c>
      <c r="H30" s="29" t="str">
        <f t="shared" si="1"/>
        <v>Zorrilla, Juan</v>
      </c>
      <c r="I30" s="30">
        <f t="shared" si="2"/>
        <v>101369</v>
      </c>
    </row>
    <row r="31" spans="1:9" x14ac:dyDescent="0.3">
      <c r="A31" s="33" t="s">
        <v>1519</v>
      </c>
      <c r="B31" cm="1">
        <f t="array" ref="B31">SUMPRODUCT((Registro!$D$2:$D$1040=A31)*Registro!$L$2:$L$1040)</f>
        <v>809937</v>
      </c>
      <c r="C31" s="23">
        <f t="shared" si="0"/>
        <v>809937.000031</v>
      </c>
      <c r="D31" s="24">
        <f>_xlfn.RANK.EQ(C31,$C$2:C$338)</f>
        <v>1</v>
      </c>
      <c r="G31" s="28">
        <v>30</v>
      </c>
      <c r="H31" s="29" t="str">
        <f t="shared" si="1"/>
        <v>Saenz Tenorio, Francisco</v>
      </c>
      <c r="I31" s="30">
        <f t="shared" si="2"/>
        <v>100838</v>
      </c>
    </row>
    <row r="32" spans="1:9" ht="27.6" x14ac:dyDescent="0.3">
      <c r="A32" s="33" t="s">
        <v>1405</v>
      </c>
      <c r="B32" cm="1">
        <f t="array" ref="B32">SUMPRODUCT((Registro!$D$2:$D$1040=A32)*Registro!$L$2:$L$1040)</f>
        <v>2750</v>
      </c>
      <c r="C32" s="23">
        <f t="shared" si="0"/>
        <v>2750.0000319999999</v>
      </c>
      <c r="D32" s="24">
        <f>_xlfn.RANK.EQ(C32,$C$2:C$338)</f>
        <v>268</v>
      </c>
      <c r="G32" s="28">
        <v>31</v>
      </c>
      <c r="H32" s="29" t="str">
        <f t="shared" si="1"/>
        <v>Avello de Valdés, Juan Antonio</v>
      </c>
      <c r="I32" s="30">
        <f t="shared" si="2"/>
        <v>100140</v>
      </c>
    </row>
    <row r="33" spans="1:9" x14ac:dyDescent="0.3">
      <c r="A33" s="33" t="s">
        <v>1457</v>
      </c>
      <c r="B33" cm="1">
        <f t="array" ref="B33">SUMPRODUCT((Registro!$D$2:$D$1040=A33)*Registro!$L$2:$L$1040)</f>
        <v>600</v>
      </c>
      <c r="C33" s="23">
        <f t="shared" si="0"/>
        <v>600.00003300000003</v>
      </c>
      <c r="D33" s="24">
        <f>_xlfn.RANK.EQ(C33,$C$2:C$338)</f>
        <v>316</v>
      </c>
      <c r="G33" s="28">
        <v>32</v>
      </c>
      <c r="H33" s="29" t="str">
        <f t="shared" si="1"/>
        <v>Gómez Galán, Fernando</v>
      </c>
      <c r="I33" s="30">
        <f t="shared" si="2"/>
        <v>99561</v>
      </c>
    </row>
    <row r="34" spans="1:9" x14ac:dyDescent="0.3">
      <c r="A34" s="33" t="s">
        <v>1389</v>
      </c>
      <c r="B34" cm="1">
        <f t="array" ref="B34">SUMPRODUCT((Registro!$D$2:$D$1040=A34)*Registro!$L$2:$L$1040)</f>
        <v>4333</v>
      </c>
      <c r="C34" s="23">
        <f t="shared" si="0"/>
        <v>4333.0000339999997</v>
      </c>
      <c r="D34" s="24">
        <f>_xlfn.RANK.EQ(C34,$C$2:C$338)</f>
        <v>240</v>
      </c>
      <c r="G34" s="28">
        <v>33</v>
      </c>
      <c r="H34" s="29" t="str">
        <f t="shared" si="1"/>
        <v>Aranguren, Jacinto de</v>
      </c>
      <c r="I34" s="30">
        <f t="shared" si="2"/>
        <v>99174</v>
      </c>
    </row>
    <row r="35" spans="1:9" x14ac:dyDescent="0.3">
      <c r="A35" s="33" t="s">
        <v>1476</v>
      </c>
      <c r="B35" cm="1">
        <f t="array" ref="B35">SUMPRODUCT((Registro!$D$2:$D$1040=A35)*Registro!$L$2:$L$1040)</f>
        <v>400</v>
      </c>
      <c r="C35" s="23">
        <f t="shared" si="0"/>
        <v>400.00003500000003</v>
      </c>
      <c r="D35" s="24">
        <f>_xlfn.RANK.EQ(C35,$C$2:C$338)</f>
        <v>328</v>
      </c>
      <c r="G35" s="28">
        <v>34</v>
      </c>
      <c r="H35" s="29" t="str">
        <f t="shared" si="1"/>
        <v>Calderón, Rodrigo</v>
      </c>
      <c r="I35" s="30">
        <f t="shared" si="2"/>
        <v>98691</v>
      </c>
    </row>
    <row r="36" spans="1:9" x14ac:dyDescent="0.3">
      <c r="A36" s="33" t="s">
        <v>1531</v>
      </c>
      <c r="B36" cm="1">
        <f t="array" ref="B36">SUMPRODUCT((Registro!$D$2:$D$1040=A36)*Registro!$L$2:$L$1040)</f>
        <v>9740</v>
      </c>
      <c r="C36" s="23">
        <f t="shared" si="0"/>
        <v>9740.0000359999995</v>
      </c>
      <c r="D36" s="24">
        <f>_xlfn.RANK.EQ(C36,$C$2:C$338)</f>
        <v>182</v>
      </c>
      <c r="G36" s="28">
        <v>35</v>
      </c>
      <c r="H36" s="29" t="str">
        <f t="shared" si="1"/>
        <v>Ochoa de Urquizú, Joseph</v>
      </c>
      <c r="I36" s="30">
        <f t="shared" si="2"/>
        <v>97438</v>
      </c>
    </row>
    <row r="37" spans="1:9" x14ac:dyDescent="0.3">
      <c r="A37" s="33" t="s">
        <v>1517</v>
      </c>
      <c r="B37" cm="1">
        <f t="array" ref="B37">SUMPRODUCT((Registro!$D$2:$D$1040=A37)*Registro!$L$2:$L$1040)</f>
        <v>10100</v>
      </c>
      <c r="C37" s="23">
        <f t="shared" si="0"/>
        <v>10100.000037</v>
      </c>
      <c r="D37" s="24">
        <f>_xlfn.RANK.EQ(C37,$C$2:C$338)</f>
        <v>174</v>
      </c>
      <c r="G37" s="28">
        <v>36</v>
      </c>
      <c r="H37" s="29" t="str">
        <f t="shared" si="1"/>
        <v>Oreitia, Pedro de</v>
      </c>
      <c r="I37" s="30">
        <f t="shared" si="2"/>
        <v>93913</v>
      </c>
    </row>
    <row r="38" spans="1:9" x14ac:dyDescent="0.3">
      <c r="A38" s="33" t="s">
        <v>1549</v>
      </c>
      <c r="B38" cm="1">
        <f t="array" ref="B38">SUMPRODUCT((Registro!$D$2:$D$1040=A38)*Registro!$L$2:$L$1040)</f>
        <v>37900</v>
      </c>
      <c r="C38" s="23">
        <f t="shared" si="0"/>
        <v>37900.000037999998</v>
      </c>
      <c r="D38" s="24">
        <f>_xlfn.RANK.EQ(C38,$C$2:C$338)</f>
        <v>87</v>
      </c>
      <c r="G38" s="28">
        <v>37</v>
      </c>
      <c r="H38" s="29" t="str">
        <f t="shared" si="1"/>
        <v>Geldres, Laureano</v>
      </c>
      <c r="I38" s="30">
        <f t="shared" si="2"/>
        <v>93646</v>
      </c>
    </row>
    <row r="39" spans="1:9" x14ac:dyDescent="0.3">
      <c r="A39" s="33" t="s">
        <v>1490</v>
      </c>
      <c r="B39" cm="1">
        <f t="array" ref="B39">SUMPRODUCT((Registro!$D$2:$D$1040=A39)*Registro!$L$2:$L$1040)</f>
        <v>1000</v>
      </c>
      <c r="C39" s="23">
        <f t="shared" si="0"/>
        <v>1000.000039</v>
      </c>
      <c r="D39" s="24">
        <f>_xlfn.RANK.EQ(C39,$C$2:C$338)</f>
        <v>302</v>
      </c>
      <c r="G39" s="28">
        <v>38</v>
      </c>
      <c r="H39" s="29" t="str">
        <f t="shared" si="1"/>
        <v>Sotomayor, Pedro de</v>
      </c>
      <c r="I39" s="30">
        <f t="shared" si="2"/>
        <v>93364</v>
      </c>
    </row>
    <row r="40" spans="1:9" x14ac:dyDescent="0.3">
      <c r="A40" s="33" t="s">
        <v>1593</v>
      </c>
      <c r="B40" cm="1">
        <f t="array" ref="B40">SUMPRODUCT((Registro!$D$2:$D$1040=A40)*Registro!$L$2:$L$1040)</f>
        <v>169161</v>
      </c>
      <c r="C40" s="23">
        <f t="shared" si="0"/>
        <v>169161.00004000001</v>
      </c>
      <c r="D40" s="24">
        <f>_xlfn.RANK.EQ(C40,$C$2:C$338)</f>
        <v>14</v>
      </c>
      <c r="G40" s="28">
        <v>39</v>
      </c>
      <c r="H40" s="29" t="str">
        <f t="shared" si="1"/>
        <v>Basurto Vellosillo, Francisco</v>
      </c>
      <c r="I40" s="30">
        <f t="shared" si="2"/>
        <v>87947</v>
      </c>
    </row>
    <row r="41" spans="1:9" x14ac:dyDescent="0.3">
      <c r="A41" s="33" t="s">
        <v>1447</v>
      </c>
      <c r="B41" cm="1">
        <f t="array" ref="B41">SUMPRODUCT((Registro!$D$2:$D$1040=A41)*Registro!$L$2:$L$1040)</f>
        <v>350556</v>
      </c>
      <c r="C41" s="23">
        <f t="shared" si="0"/>
        <v>350556.00004100002</v>
      </c>
      <c r="D41" s="24">
        <f>_xlfn.RANK.EQ(C41,$C$2:C$338)</f>
        <v>5</v>
      </c>
      <c r="G41" s="28">
        <v>40</v>
      </c>
      <c r="H41" s="29" t="str">
        <f t="shared" si="1"/>
        <v>Orellana, Rodrigo de</v>
      </c>
      <c r="I41" s="30">
        <f t="shared" si="2"/>
        <v>79117</v>
      </c>
    </row>
    <row r="42" spans="1:9" x14ac:dyDescent="0.3">
      <c r="A42" s="33" t="s">
        <v>1357</v>
      </c>
      <c r="B42" cm="1">
        <f t="array" ref="B42">SUMPRODUCT((Registro!$D$2:$D$1040=A42)*Registro!$L$2:$L$1040)</f>
        <v>128776</v>
      </c>
      <c r="C42" s="23">
        <f t="shared" si="0"/>
        <v>128776.000042</v>
      </c>
      <c r="D42" s="24">
        <f>_xlfn.RANK.EQ(C42,$C$2:C$338)</f>
        <v>22</v>
      </c>
      <c r="G42" s="28">
        <v>41</v>
      </c>
      <c r="H42" s="29" t="str">
        <f t="shared" si="1"/>
        <v>Lizárraga, Antonio de</v>
      </c>
      <c r="I42" s="30">
        <f t="shared" si="2"/>
        <v>76600</v>
      </c>
    </row>
    <row r="43" spans="1:9" x14ac:dyDescent="0.3">
      <c r="A43" s="33" t="s">
        <v>1623</v>
      </c>
      <c r="B43" cm="1">
        <f t="array" ref="B43">SUMPRODUCT((Registro!$D$2:$D$1040=A43)*Registro!$L$2:$L$1040)</f>
        <v>22796</v>
      </c>
      <c r="C43" s="23">
        <f t="shared" si="0"/>
        <v>22796.000043</v>
      </c>
      <c r="D43" s="24">
        <f>_xlfn.RANK.EQ(C43,$C$2:C$338)</f>
        <v>114</v>
      </c>
      <c r="G43" s="28">
        <v>42</v>
      </c>
      <c r="H43" s="29" t="str">
        <f t="shared" si="1"/>
        <v>Velasco, Agustín de</v>
      </c>
      <c r="I43" s="30">
        <f t="shared" si="2"/>
        <v>73631</v>
      </c>
    </row>
    <row r="44" spans="1:9" x14ac:dyDescent="0.3">
      <c r="A44" s="33" t="s">
        <v>1628</v>
      </c>
      <c r="B44" cm="1">
        <f t="array" ref="B44">SUMPRODUCT((Registro!$D$2:$D$1040=A44)*Registro!$L$2:$L$1040)</f>
        <v>14548</v>
      </c>
      <c r="C44" s="23">
        <f t="shared" si="0"/>
        <v>14548.000044</v>
      </c>
      <c r="D44" s="24">
        <f>_xlfn.RANK.EQ(C44,$C$2:C$338)</f>
        <v>146</v>
      </c>
      <c r="G44" s="28">
        <v>43</v>
      </c>
      <c r="H44" s="29" t="str">
        <f t="shared" si="1"/>
        <v>García Baquero, Pedro</v>
      </c>
      <c r="I44" s="30">
        <f t="shared" si="2"/>
        <v>70328</v>
      </c>
    </row>
    <row r="45" spans="1:9" x14ac:dyDescent="0.3">
      <c r="A45" s="33" t="s">
        <v>1371</v>
      </c>
      <c r="B45" cm="1">
        <f t="array" ref="B45">SUMPRODUCT((Registro!$D$2:$D$1040=A45)*Registro!$L$2:$L$1040)</f>
        <v>12518</v>
      </c>
      <c r="C45" s="23">
        <f t="shared" si="0"/>
        <v>12518.000045000001</v>
      </c>
      <c r="D45" s="24">
        <f>_xlfn.RANK.EQ(C45,$C$2:C$338)</f>
        <v>155</v>
      </c>
      <c r="G45" s="28">
        <v>44</v>
      </c>
      <c r="H45" s="29" t="str">
        <f t="shared" si="1"/>
        <v>Navarro, Francisco</v>
      </c>
      <c r="I45" s="30">
        <f t="shared" si="2"/>
        <v>69146</v>
      </c>
    </row>
    <row r="46" spans="1:9" ht="27.6" x14ac:dyDescent="0.3">
      <c r="A46" s="33" t="s">
        <v>1492</v>
      </c>
      <c r="B46" cm="1">
        <f t="array" ref="B46">SUMPRODUCT((Registro!$D$2:$D$1040=A46)*Registro!$L$2:$L$1040)</f>
        <v>6000</v>
      </c>
      <c r="C46" s="23">
        <f t="shared" si="0"/>
        <v>6000.0000460000001</v>
      </c>
      <c r="D46" s="24">
        <f>_xlfn.RANK.EQ(C46,$C$2:C$338)</f>
        <v>219</v>
      </c>
      <c r="G46" s="28">
        <v>45</v>
      </c>
      <c r="H46" s="29" t="str">
        <f t="shared" si="1"/>
        <v>Fernández Barahona, Francisco</v>
      </c>
      <c r="I46" s="30">
        <f t="shared" si="2"/>
        <v>69006</v>
      </c>
    </row>
    <row r="47" spans="1:9" x14ac:dyDescent="0.3">
      <c r="A47" s="33" t="s">
        <v>1529</v>
      </c>
      <c r="B47" cm="1">
        <f t="array" ref="B47">SUMPRODUCT((Registro!$D$2:$D$1040=A47)*Registro!$L$2:$L$1040)</f>
        <v>132581</v>
      </c>
      <c r="C47" s="23">
        <f t="shared" si="0"/>
        <v>132581.00004700001</v>
      </c>
      <c r="D47" s="24">
        <f>_xlfn.RANK.EQ(C47,$C$2:C$338)</f>
        <v>21</v>
      </c>
      <c r="G47" s="28">
        <v>46</v>
      </c>
      <c r="H47" s="29" t="str">
        <f t="shared" si="1"/>
        <v>Pardo Arguello, Pedro</v>
      </c>
      <c r="I47" s="30">
        <f t="shared" si="2"/>
        <v>68871</v>
      </c>
    </row>
    <row r="48" spans="1:9" x14ac:dyDescent="0.3">
      <c r="A48" s="33" t="s">
        <v>1456</v>
      </c>
      <c r="B48" cm="1">
        <f t="array" ref="B48">SUMPRODUCT((Registro!$D$2:$D$1040=A48)*Registro!$L$2:$L$1040)</f>
        <v>1000</v>
      </c>
      <c r="C48" s="23">
        <f t="shared" si="0"/>
        <v>1000.000048</v>
      </c>
      <c r="D48" s="24">
        <f>_xlfn.RANK.EQ(C48,$C$2:C$338)</f>
        <v>301</v>
      </c>
      <c r="G48" s="28">
        <v>47</v>
      </c>
      <c r="H48" s="29" t="str">
        <f t="shared" si="1"/>
        <v>Ampuero, Martín de</v>
      </c>
      <c r="I48" s="30">
        <f t="shared" si="2"/>
        <v>68738</v>
      </c>
    </row>
    <row r="49" spans="1:9" ht="27.6" x14ac:dyDescent="0.3">
      <c r="A49" s="33" t="s">
        <v>1641</v>
      </c>
      <c r="B49" cm="1">
        <f t="array" ref="B49">SUMPRODUCT((Registro!$D$2:$D$1040=A49)*Registro!$L$2:$L$1040)</f>
        <v>46829</v>
      </c>
      <c r="C49" s="23">
        <f t="shared" si="0"/>
        <v>46829.000049000002</v>
      </c>
      <c r="D49" s="24">
        <f>_xlfn.RANK.EQ(C49,$C$2:C$338)</f>
        <v>73</v>
      </c>
      <c r="G49" s="28">
        <v>48</v>
      </c>
      <c r="H49" s="29" t="str">
        <f t="shared" si="1"/>
        <v>Gonzáles Galeano, Francisco</v>
      </c>
      <c r="I49" s="30">
        <f t="shared" si="2"/>
        <v>68680</v>
      </c>
    </row>
    <row r="50" spans="1:9" x14ac:dyDescent="0.3">
      <c r="A50" s="33" t="s">
        <v>1568</v>
      </c>
      <c r="B50" cm="1">
        <f t="array" ref="B50">SUMPRODUCT((Registro!$D$2:$D$1040=A50)*Registro!$L$2:$L$1040)</f>
        <v>324232</v>
      </c>
      <c r="C50" s="23">
        <f t="shared" si="0"/>
        <v>324232.00004999997</v>
      </c>
      <c r="D50" s="24">
        <f>_xlfn.RANK.EQ(C50,$C$2:C$338)</f>
        <v>6</v>
      </c>
      <c r="G50" s="28">
        <v>49</v>
      </c>
      <c r="H50" s="29" t="str">
        <f t="shared" si="1"/>
        <v>Saavedra, Gerónimo de</v>
      </c>
      <c r="I50" s="30">
        <f t="shared" si="2"/>
        <v>67563</v>
      </c>
    </row>
    <row r="51" spans="1:9" x14ac:dyDescent="0.3">
      <c r="A51" s="33" t="s">
        <v>1504</v>
      </c>
      <c r="B51" cm="1">
        <f t="array" ref="B51">SUMPRODUCT((Registro!$D$2:$D$1040=A51)*Registro!$L$2:$L$1040)</f>
        <v>1458</v>
      </c>
      <c r="C51" s="23">
        <f t="shared" si="0"/>
        <v>1458.000051</v>
      </c>
      <c r="D51" s="24">
        <f>_xlfn.RANK.EQ(C51,$C$2:C$338)</f>
        <v>290</v>
      </c>
      <c r="G51" s="28">
        <v>50</v>
      </c>
      <c r="H51" s="29" t="str">
        <f t="shared" si="1"/>
        <v>Álvarez, Gaspar</v>
      </c>
      <c r="I51" s="30">
        <f t="shared" si="2"/>
        <v>67482</v>
      </c>
    </row>
    <row r="52" spans="1:9" x14ac:dyDescent="0.3">
      <c r="A52" s="33" t="s">
        <v>1508</v>
      </c>
      <c r="B52" cm="1">
        <f t="array" ref="B52">SUMPRODUCT((Registro!$D$2:$D$1040=A52)*Registro!$L$2:$L$1040)</f>
        <v>9027</v>
      </c>
      <c r="C52" s="23">
        <f t="shared" si="0"/>
        <v>9027.0000519999994</v>
      </c>
      <c r="D52" s="24">
        <f>_xlfn.RANK.EQ(C52,$C$2:C$338)</f>
        <v>189</v>
      </c>
      <c r="G52" s="28">
        <v>51</v>
      </c>
      <c r="H52" s="29" t="str">
        <f t="shared" si="1"/>
        <v>Uriarte, Juan de</v>
      </c>
      <c r="I52" s="30">
        <f t="shared" si="2"/>
        <v>66124</v>
      </c>
    </row>
    <row r="53" spans="1:9" x14ac:dyDescent="0.3">
      <c r="A53" s="33" t="s">
        <v>1347</v>
      </c>
      <c r="B53" cm="1">
        <f t="array" ref="B53">SUMPRODUCT((Registro!$D$2:$D$1040=A53)*Registro!$L$2:$L$1040)</f>
        <v>19700</v>
      </c>
      <c r="C53" s="23">
        <f t="shared" si="0"/>
        <v>19700.000053</v>
      </c>
      <c r="D53" s="24">
        <f>_xlfn.RANK.EQ(C53,$C$2:C$338)</f>
        <v>127</v>
      </c>
      <c r="G53" s="28">
        <v>52</v>
      </c>
      <c r="H53" s="29" t="str">
        <f t="shared" si="1"/>
        <v>Bazán, Tomás</v>
      </c>
      <c r="I53" s="30">
        <f t="shared" si="2"/>
        <v>64869</v>
      </c>
    </row>
    <row r="54" spans="1:9" x14ac:dyDescent="0.3">
      <c r="A54" s="33" t="s">
        <v>1392</v>
      </c>
      <c r="B54" cm="1">
        <f t="array" ref="B54">SUMPRODUCT((Registro!$D$2:$D$1040=A54)*Registro!$L$2:$L$1040)</f>
        <v>27907</v>
      </c>
      <c r="C54" s="23">
        <f t="shared" si="0"/>
        <v>27907.000054</v>
      </c>
      <c r="D54" s="24">
        <f>_xlfn.RANK.EQ(C54,$C$2:C$338)</f>
        <v>99</v>
      </c>
      <c r="G54" s="28">
        <v>53</v>
      </c>
      <c r="H54" s="29" t="str">
        <f t="shared" si="1"/>
        <v>López de León, Gabriel</v>
      </c>
      <c r="I54" s="30">
        <f t="shared" si="2"/>
        <v>64624</v>
      </c>
    </row>
    <row r="55" spans="1:9" x14ac:dyDescent="0.3">
      <c r="A55" s="33" t="s">
        <v>1273</v>
      </c>
      <c r="B55" cm="1">
        <f t="array" ref="B55">SUMPRODUCT((Registro!$D$2:$D$1040=A55)*Registro!$L$2:$L$1040)</f>
        <v>73631</v>
      </c>
      <c r="C55" s="23">
        <f t="shared" si="0"/>
        <v>73631.000054999997</v>
      </c>
      <c r="D55" s="24">
        <f>_xlfn.RANK.EQ(C55,$C$2:C$338)</f>
        <v>42</v>
      </c>
      <c r="G55" s="28">
        <v>54</v>
      </c>
      <c r="H55" s="29" t="str">
        <f t="shared" si="1"/>
        <v>Reyes, Gaspar de los</v>
      </c>
      <c r="I55" s="30">
        <f t="shared" si="2"/>
        <v>64180</v>
      </c>
    </row>
    <row r="56" spans="1:9" x14ac:dyDescent="0.3">
      <c r="A56" s="33" t="s">
        <v>1267</v>
      </c>
      <c r="B56" cm="1">
        <f t="array" ref="B56">SUMPRODUCT((Registro!$D$2:$D$1040=A56)*Registro!$L$2:$L$1040)</f>
        <v>113418</v>
      </c>
      <c r="C56" s="23">
        <f t="shared" si="0"/>
        <v>113418.000056</v>
      </c>
      <c r="D56" s="24">
        <f>_xlfn.RANK.EQ(C56,$C$2:C$338)</f>
        <v>28</v>
      </c>
      <c r="G56" s="28">
        <v>55</v>
      </c>
      <c r="H56" s="29" t="str">
        <f t="shared" si="1"/>
        <v>Peralta, Antonio de</v>
      </c>
      <c r="I56" s="30">
        <f t="shared" si="2"/>
        <v>62525</v>
      </c>
    </row>
    <row r="57" spans="1:9" x14ac:dyDescent="0.3">
      <c r="A57" s="33" t="s">
        <v>1488</v>
      </c>
      <c r="B57" cm="1">
        <f t="array" ref="B57">SUMPRODUCT((Registro!$D$2:$D$1040=A57)*Registro!$L$2:$L$1040)</f>
        <v>99174</v>
      </c>
      <c r="C57" s="23">
        <f t="shared" si="0"/>
        <v>99174.000056999997</v>
      </c>
      <c r="D57" s="24">
        <f>_xlfn.RANK.EQ(C57,$C$2:C$338)</f>
        <v>33</v>
      </c>
      <c r="G57" s="28">
        <v>56</v>
      </c>
      <c r="H57" s="29" t="str">
        <f t="shared" si="1"/>
        <v>Espinosa, Pedro de</v>
      </c>
      <c r="I57" s="30">
        <f t="shared" si="2"/>
        <v>62041</v>
      </c>
    </row>
    <row r="58" spans="1:9" x14ac:dyDescent="0.3">
      <c r="A58" s="33" t="s">
        <v>1540</v>
      </c>
      <c r="B58" cm="1">
        <f t="array" ref="B58">SUMPRODUCT((Registro!$D$2:$D$1040=A58)*Registro!$L$2:$L$1040)</f>
        <v>288234</v>
      </c>
      <c r="C58" s="23">
        <f t="shared" si="0"/>
        <v>288234.00005799998</v>
      </c>
      <c r="D58" s="24">
        <f>_xlfn.RANK.EQ(C58,$C$2:C$338)</f>
        <v>7</v>
      </c>
      <c r="G58" s="28">
        <v>57</v>
      </c>
      <c r="H58" s="29" t="str">
        <f t="shared" si="1"/>
        <v>Zamudio, Inés de</v>
      </c>
      <c r="I58" s="30">
        <f t="shared" si="2"/>
        <v>61225</v>
      </c>
    </row>
    <row r="59" spans="1:9" x14ac:dyDescent="0.3">
      <c r="A59" s="33" t="s">
        <v>1461</v>
      </c>
      <c r="B59" cm="1">
        <f t="array" ref="B59">SUMPRODUCT((Registro!$D$2:$D$1040=A59)*Registro!$L$2:$L$1040)</f>
        <v>100838</v>
      </c>
      <c r="C59" s="23">
        <f t="shared" si="0"/>
        <v>100838.000059</v>
      </c>
      <c r="D59" s="24">
        <f>_xlfn.RANK.EQ(C59,$C$2:C$338)</f>
        <v>30</v>
      </c>
      <c r="G59" s="28">
        <v>58</v>
      </c>
      <c r="H59" s="29" t="str">
        <f t="shared" si="1"/>
        <v>Ruiz de Velásquez, Juan</v>
      </c>
      <c r="I59" s="30">
        <f t="shared" si="2"/>
        <v>57449</v>
      </c>
    </row>
    <row r="60" spans="1:9" x14ac:dyDescent="0.3">
      <c r="A60" s="33" t="s">
        <v>1368</v>
      </c>
      <c r="B60" cm="1">
        <f t="array" ref="B60">SUMPRODUCT((Registro!$D$2:$D$1040=A60)*Registro!$L$2:$L$1040)</f>
        <v>45356</v>
      </c>
      <c r="C60" s="23">
        <f t="shared" si="0"/>
        <v>45356.000059999998</v>
      </c>
      <c r="D60" s="24">
        <f>_xlfn.RANK.EQ(C60,$C$2:C$338)</f>
        <v>75</v>
      </c>
      <c r="G60" s="28">
        <v>59</v>
      </c>
      <c r="H60" s="29" t="str">
        <f t="shared" si="1"/>
        <v>Santiago Concha, Diego de</v>
      </c>
      <c r="I60" s="30">
        <f t="shared" si="2"/>
        <v>57412</v>
      </c>
    </row>
    <row r="61" spans="1:9" x14ac:dyDescent="0.3">
      <c r="A61" s="33" t="s">
        <v>1451</v>
      </c>
      <c r="B61" cm="1">
        <f t="array" ref="B61">SUMPRODUCT((Registro!$D$2:$D$1040=A61)*Registro!$L$2:$L$1040)</f>
        <v>68680</v>
      </c>
      <c r="C61" s="23">
        <f t="shared" si="0"/>
        <v>68680.000060999999</v>
      </c>
      <c r="D61" s="24">
        <f>_xlfn.RANK.EQ(C61,$C$2:C$338)</f>
        <v>48</v>
      </c>
      <c r="G61" s="28">
        <v>60</v>
      </c>
      <c r="H61" s="29" t="str">
        <f t="shared" si="1"/>
        <v>Salvatierra, Gregorio de</v>
      </c>
      <c r="I61" s="30">
        <f t="shared" si="2"/>
        <v>56591</v>
      </c>
    </row>
    <row r="62" spans="1:9" x14ac:dyDescent="0.3">
      <c r="A62" s="33" t="s">
        <v>1518</v>
      </c>
      <c r="B62" cm="1">
        <f t="array" ref="B62">SUMPRODUCT((Registro!$D$2:$D$1040=A62)*Registro!$L$2:$L$1040)</f>
        <v>148133</v>
      </c>
      <c r="C62" s="23">
        <f t="shared" si="0"/>
        <v>148133.00006200001</v>
      </c>
      <c r="D62" s="24">
        <f>_xlfn.RANK.EQ(C62,$C$2:C$338)</f>
        <v>18</v>
      </c>
      <c r="G62" s="28">
        <v>61</v>
      </c>
      <c r="H62" s="29" t="str">
        <f t="shared" si="1"/>
        <v>Pérez de Ujia, Fernando</v>
      </c>
      <c r="I62" s="30">
        <f t="shared" si="2"/>
        <v>55898</v>
      </c>
    </row>
    <row r="63" spans="1:9" x14ac:dyDescent="0.3">
      <c r="A63" s="33" t="s">
        <v>1507</v>
      </c>
      <c r="B63" cm="1">
        <f t="array" ref="B63">SUMPRODUCT((Registro!$D$2:$D$1040=A63)*Registro!$L$2:$L$1040)</f>
        <v>22646</v>
      </c>
      <c r="C63" s="23">
        <f t="shared" si="0"/>
        <v>22646.000062999999</v>
      </c>
      <c r="D63" s="24">
        <f>_xlfn.RANK.EQ(C63,$C$2:C$338)</f>
        <v>116</v>
      </c>
      <c r="G63" s="28">
        <v>62</v>
      </c>
      <c r="H63" s="29" t="str">
        <f t="shared" si="1"/>
        <v>Zumarraga, Pedro de</v>
      </c>
      <c r="I63" s="30">
        <f t="shared" si="2"/>
        <v>54841</v>
      </c>
    </row>
    <row r="64" spans="1:9" x14ac:dyDescent="0.3">
      <c r="A64" s="33" t="s">
        <v>1588</v>
      </c>
      <c r="B64" cm="1">
        <f t="array" ref="B64">SUMPRODUCT((Registro!$D$2:$D$1040=A64)*Registro!$L$2:$L$1040)</f>
        <v>1640</v>
      </c>
      <c r="C64" s="23">
        <f t="shared" si="0"/>
        <v>1640.0000640000001</v>
      </c>
      <c r="D64" s="24">
        <f>_xlfn.RANK.EQ(C64,$C$2:C$338)</f>
        <v>286</v>
      </c>
      <c r="G64" s="28">
        <v>63</v>
      </c>
      <c r="H64" s="29" t="str">
        <f t="shared" si="1"/>
        <v>Loayza, Francisco de</v>
      </c>
      <c r="I64" s="30">
        <f t="shared" si="2"/>
        <v>54758</v>
      </c>
    </row>
    <row r="65" spans="1:9" x14ac:dyDescent="0.3">
      <c r="A65" s="33" t="s">
        <v>1503</v>
      </c>
      <c r="B65" cm="1">
        <f t="array" ref="B65">SUMPRODUCT((Registro!$D$2:$D$1040=A65)*Registro!$L$2:$L$1040)</f>
        <v>48062</v>
      </c>
      <c r="C65" s="23">
        <f t="shared" si="0"/>
        <v>48062.000065</v>
      </c>
      <c r="D65" s="24">
        <f>_xlfn.RANK.EQ(C65,$C$2:C$338)</f>
        <v>71</v>
      </c>
      <c r="G65" s="28">
        <v>64</v>
      </c>
      <c r="H65" s="29" t="str">
        <f t="shared" si="1"/>
        <v>Montero de Avilés, Beatriz</v>
      </c>
      <c r="I65" s="30">
        <f t="shared" si="2"/>
        <v>53422</v>
      </c>
    </row>
    <row r="66" spans="1:9" x14ac:dyDescent="0.3">
      <c r="A66" s="33" t="s">
        <v>1566</v>
      </c>
      <c r="B66" cm="1">
        <f t="array" ref="B66">SUMPRODUCT((Registro!$D$2:$D$1040=A66)*Registro!$L$2:$L$1040)</f>
        <v>3840</v>
      </c>
      <c r="C66" s="23">
        <f t="shared" ref="C66:C129" si="3">B66+0.000001*ROW()</f>
        <v>3840.0000660000001</v>
      </c>
      <c r="D66" s="24">
        <f>_xlfn.RANK.EQ(C66,$C$2:C$338)</f>
        <v>251</v>
      </c>
      <c r="G66" s="28">
        <v>65</v>
      </c>
      <c r="H66" s="29" t="str">
        <f t="shared" ref="H66:H129" si="4">INDEX($A$2:$A$478,MATCH(G66,$D$2:$D$478,0))</f>
        <v>Ornachea, Roque de</v>
      </c>
      <c r="I66" s="30">
        <f t="shared" ref="I66:I129" si="5">INDEX($B$2:$B$478,MATCH(G66,$D$2:$D$478,0))</f>
        <v>52902</v>
      </c>
    </row>
    <row r="67" spans="1:9" x14ac:dyDescent="0.3">
      <c r="A67" s="33" t="s">
        <v>1484</v>
      </c>
      <c r="B67" cm="1">
        <f t="array" ref="B67">SUMPRODUCT((Registro!$D$2:$D$1040=A67)*Registro!$L$2:$L$1040)</f>
        <v>7500</v>
      </c>
      <c r="C67" s="23">
        <f t="shared" si="3"/>
        <v>7500.0000669999999</v>
      </c>
      <c r="D67" s="24">
        <f>_xlfn.RANK.EQ(C67,$C$2:C$338)</f>
        <v>205</v>
      </c>
      <c r="G67" s="28">
        <v>66</v>
      </c>
      <c r="H67" s="29" t="str">
        <f t="shared" si="4"/>
        <v>León, Francisco de</v>
      </c>
      <c r="I67" s="30">
        <f t="shared" si="5"/>
        <v>52847</v>
      </c>
    </row>
    <row r="68" spans="1:9" x14ac:dyDescent="0.3">
      <c r="A68" s="33" t="s">
        <v>1391</v>
      </c>
      <c r="B68" cm="1">
        <f t="array" ref="B68">SUMPRODUCT((Registro!$D$2:$D$1040=A68)*Registro!$L$2:$L$1040)</f>
        <v>5820</v>
      </c>
      <c r="C68" s="23">
        <f t="shared" si="3"/>
        <v>5820.0000680000003</v>
      </c>
      <c r="D68" s="24">
        <f>_xlfn.RANK.EQ(C68,$C$2:C$338)</f>
        <v>220</v>
      </c>
      <c r="G68" s="28">
        <v>67</v>
      </c>
      <c r="H68" s="29" t="str">
        <f t="shared" si="4"/>
        <v>Reyes, Gerónimo de</v>
      </c>
      <c r="I68" s="30">
        <f t="shared" si="5"/>
        <v>51933</v>
      </c>
    </row>
    <row r="69" spans="1:9" x14ac:dyDescent="0.3">
      <c r="A69" s="33" t="s">
        <v>1607</v>
      </c>
      <c r="B69" cm="1">
        <f t="array" ref="B69">SUMPRODUCT((Registro!$D$2:$D$1040=A69)*Registro!$L$2:$L$1040)</f>
        <v>70328</v>
      </c>
      <c r="C69" s="23">
        <f t="shared" si="3"/>
        <v>70328.000069000002</v>
      </c>
      <c r="D69" s="24">
        <f>_xlfn.RANK.EQ(C69,$C$2:C$338)</f>
        <v>43</v>
      </c>
      <c r="G69" s="28">
        <v>68</v>
      </c>
      <c r="H69" s="29" t="str">
        <f t="shared" si="4"/>
        <v>Medrano, García de</v>
      </c>
      <c r="I69" s="30">
        <f t="shared" si="5"/>
        <v>51338</v>
      </c>
    </row>
    <row r="70" spans="1:9" x14ac:dyDescent="0.3">
      <c r="A70" s="33" t="s">
        <v>1422</v>
      </c>
      <c r="B70" cm="1">
        <f t="array" ref="B70">SUMPRODUCT((Registro!$D$2:$D$1040=A70)*Registro!$L$2:$L$1040)</f>
        <v>45216</v>
      </c>
      <c r="C70" s="23">
        <f t="shared" si="3"/>
        <v>45216.000070000002</v>
      </c>
      <c r="D70" s="24">
        <f>_xlfn.RANK.EQ(C70,$C$2:C$338)</f>
        <v>76</v>
      </c>
      <c r="G70" s="28">
        <v>69</v>
      </c>
      <c r="H70" s="29" t="str">
        <f t="shared" si="4"/>
        <v>Moreno Lobocilla, Fernando</v>
      </c>
      <c r="I70" s="30">
        <f t="shared" si="5"/>
        <v>50116</v>
      </c>
    </row>
    <row r="71" spans="1:9" x14ac:dyDescent="0.3">
      <c r="A71" s="33" t="s">
        <v>1543</v>
      </c>
      <c r="B71" cm="1">
        <f t="array" ref="B71">SUMPRODUCT((Registro!$D$2:$D$1040=A71)*Registro!$L$2:$L$1040)</f>
        <v>157544</v>
      </c>
      <c r="C71" s="23">
        <f t="shared" si="3"/>
        <v>157544.00007099999</v>
      </c>
      <c r="D71" s="24">
        <f>_xlfn.RANK.EQ(C71,$C$2:C$338)</f>
        <v>16</v>
      </c>
      <c r="G71" s="28">
        <v>70</v>
      </c>
      <c r="H71" s="29" t="str">
        <f t="shared" si="4"/>
        <v>León Garavito, Francisco de</v>
      </c>
      <c r="I71" s="30">
        <f t="shared" si="5"/>
        <v>48270</v>
      </c>
    </row>
    <row r="72" spans="1:9" x14ac:dyDescent="0.3">
      <c r="A72" s="33" t="s">
        <v>1332</v>
      </c>
      <c r="B72" cm="1">
        <f t="array" ref="B72">SUMPRODUCT((Registro!$D$2:$D$1040=A72)*Registro!$L$2:$L$1040)</f>
        <v>35579</v>
      </c>
      <c r="C72" s="23">
        <f t="shared" si="3"/>
        <v>35579.000072000003</v>
      </c>
      <c r="D72" s="24">
        <f>_xlfn.RANK.EQ(C72,$C$2:C$338)</f>
        <v>90</v>
      </c>
      <c r="G72" s="28">
        <v>71</v>
      </c>
      <c r="H72" s="29" t="str">
        <f t="shared" si="4"/>
        <v>Portillo, Joseph de</v>
      </c>
      <c r="I72" s="30">
        <f t="shared" si="5"/>
        <v>48062</v>
      </c>
    </row>
    <row r="73" spans="1:9" x14ac:dyDescent="0.3">
      <c r="A73" s="33" t="s">
        <v>1670</v>
      </c>
      <c r="B73" cm="1">
        <f t="array" ref="B73">SUMPRODUCT((Registro!$D$2:$D$1040=A73)*Registro!$L$2:$L$1040)</f>
        <v>136504</v>
      </c>
      <c r="C73" s="23">
        <f t="shared" si="3"/>
        <v>136504.000073</v>
      </c>
      <c r="D73" s="24">
        <f>_xlfn.RANK.EQ(C73,$C$2:C$338)</f>
        <v>20</v>
      </c>
      <c r="G73" s="28">
        <v>72</v>
      </c>
      <c r="H73" s="29" t="str">
        <f t="shared" si="4"/>
        <v>Lozada, Julián de</v>
      </c>
      <c r="I73" s="30">
        <f t="shared" si="5"/>
        <v>47141</v>
      </c>
    </row>
    <row r="74" spans="1:9" x14ac:dyDescent="0.3">
      <c r="A74" s="33" t="s">
        <v>1335</v>
      </c>
      <c r="B74" cm="1">
        <f t="array" ref="B74">SUMPRODUCT((Registro!$D$2:$D$1040=A74)*Registro!$L$2:$L$1040)</f>
        <v>137462</v>
      </c>
      <c r="C74" s="23">
        <f t="shared" si="3"/>
        <v>137462.00007400001</v>
      </c>
      <c r="D74" s="24">
        <f>_xlfn.RANK.EQ(C74,$C$2:C$338)</f>
        <v>19</v>
      </c>
      <c r="G74" s="28">
        <v>73</v>
      </c>
      <c r="H74" s="29" t="str">
        <f t="shared" si="4"/>
        <v>Cortés, Diego de</v>
      </c>
      <c r="I74" s="30">
        <f t="shared" si="5"/>
        <v>46829</v>
      </c>
    </row>
    <row r="75" spans="1:9" x14ac:dyDescent="0.3">
      <c r="A75" s="33" t="s">
        <v>1500</v>
      </c>
      <c r="B75" cm="1">
        <f t="array" ref="B75">SUMPRODUCT((Registro!$D$2:$D$1040=A75)*Registro!$L$2:$L$1040)</f>
        <v>18014</v>
      </c>
      <c r="C75" s="23">
        <f t="shared" si="3"/>
        <v>18014.000075</v>
      </c>
      <c r="D75" s="24">
        <f>_xlfn.RANK.EQ(C75,$C$2:C$338)</f>
        <v>134</v>
      </c>
      <c r="G75" s="28">
        <v>74</v>
      </c>
      <c r="H75" s="29" t="str">
        <f t="shared" si="4"/>
        <v>Mujica, Joseph de</v>
      </c>
      <c r="I75" s="30">
        <f t="shared" si="5"/>
        <v>45925</v>
      </c>
    </row>
    <row r="76" spans="1:9" x14ac:dyDescent="0.3">
      <c r="A76" s="33" t="s">
        <v>1582</v>
      </c>
      <c r="B76" cm="1">
        <f t="array" ref="B76">SUMPRODUCT((Registro!$D$2:$D$1040=A76)*Registro!$L$2:$L$1040)</f>
        <v>2600</v>
      </c>
      <c r="C76" s="23">
        <f t="shared" si="3"/>
        <v>2600.0000759999998</v>
      </c>
      <c r="D76" s="24">
        <f>_xlfn.RANK.EQ(C76,$C$2:C$338)</f>
        <v>270</v>
      </c>
      <c r="G76" s="28">
        <v>75</v>
      </c>
      <c r="H76" s="29" t="str">
        <f t="shared" si="4"/>
        <v>Rivera, Benito de</v>
      </c>
      <c r="I76" s="30">
        <f t="shared" si="5"/>
        <v>45356</v>
      </c>
    </row>
    <row r="77" spans="1:9" x14ac:dyDescent="0.3">
      <c r="A77" s="33" t="s">
        <v>1483</v>
      </c>
      <c r="B77" cm="1">
        <f t="array" ref="B77">SUMPRODUCT((Registro!$D$2:$D$1040=A77)*Registro!$L$2:$L$1040)</f>
        <v>56591</v>
      </c>
      <c r="C77" s="23">
        <f t="shared" si="3"/>
        <v>56591.000076999997</v>
      </c>
      <c r="D77" s="24">
        <f>_xlfn.RANK.EQ(C77,$C$2:C$338)</f>
        <v>60</v>
      </c>
      <c r="G77" s="28">
        <v>76</v>
      </c>
      <c r="H77" s="29" t="str">
        <f t="shared" si="4"/>
        <v>Cerrao, Francisco</v>
      </c>
      <c r="I77" s="30">
        <f t="shared" si="5"/>
        <v>45216</v>
      </c>
    </row>
    <row r="78" spans="1:9" x14ac:dyDescent="0.3">
      <c r="A78" s="33" t="s">
        <v>1530</v>
      </c>
      <c r="B78" cm="1">
        <f t="array" ref="B78">SUMPRODUCT((Registro!$D$2:$D$1040=A78)*Registro!$L$2:$L$1040)</f>
        <v>300</v>
      </c>
      <c r="C78" s="23">
        <f t="shared" si="3"/>
        <v>300.00007799999997</v>
      </c>
      <c r="D78" s="24">
        <f>_xlfn.RANK.EQ(C78,$C$2:C$338)</f>
        <v>331</v>
      </c>
      <c r="G78" s="28">
        <v>77</v>
      </c>
      <c r="H78" s="29" t="str">
        <f t="shared" si="4"/>
        <v>López Franco, Francisco</v>
      </c>
      <c r="I78" s="30">
        <f t="shared" si="5"/>
        <v>44662</v>
      </c>
    </row>
    <row r="79" spans="1:9" x14ac:dyDescent="0.3">
      <c r="A79" s="33" t="s">
        <v>1622</v>
      </c>
      <c r="B79" cm="1">
        <f t="array" ref="B79">SUMPRODUCT((Registro!$D$2:$D$1040=A79)*Registro!$L$2:$L$1040)</f>
        <v>52902</v>
      </c>
      <c r="C79" s="23">
        <f t="shared" si="3"/>
        <v>52902.000078999998</v>
      </c>
      <c r="D79" s="24">
        <f>_xlfn.RANK.EQ(C79,$C$2:C$338)</f>
        <v>65</v>
      </c>
      <c r="G79" s="28">
        <v>78</v>
      </c>
      <c r="H79" s="29" t="str">
        <f t="shared" si="4"/>
        <v>Iramain, Nicolás de</v>
      </c>
      <c r="I79" s="30">
        <f t="shared" si="5"/>
        <v>43656</v>
      </c>
    </row>
    <row r="80" spans="1:9" x14ac:dyDescent="0.3">
      <c r="A80" s="33" t="s">
        <v>1402</v>
      </c>
      <c r="B80" cm="1">
        <f t="array" ref="B80">SUMPRODUCT((Registro!$D$2:$D$1040=A80)*Registro!$L$2:$L$1040)</f>
        <v>173687</v>
      </c>
      <c r="C80" s="23">
        <f t="shared" si="3"/>
        <v>173687.00008</v>
      </c>
      <c r="D80" s="24">
        <f>_xlfn.RANK.EQ(C80,$C$2:C$338)</f>
        <v>13</v>
      </c>
      <c r="G80" s="28">
        <v>79</v>
      </c>
      <c r="H80" s="29" t="str">
        <f t="shared" si="4"/>
        <v>Minos, Bartolomé</v>
      </c>
      <c r="I80" s="30">
        <f t="shared" si="5"/>
        <v>43333</v>
      </c>
    </row>
    <row r="81" spans="1:9" x14ac:dyDescent="0.3">
      <c r="A81" s="33" t="s">
        <v>1583</v>
      </c>
      <c r="B81" cm="1">
        <f t="array" ref="B81">SUMPRODUCT((Registro!$D$2:$D$1040=A81)*Registro!$L$2:$L$1040)</f>
        <v>16408</v>
      </c>
      <c r="C81" s="23">
        <f t="shared" si="3"/>
        <v>16408.000080999998</v>
      </c>
      <c r="D81" s="24">
        <f>_xlfn.RANK.EQ(C81,$C$2:C$338)</f>
        <v>140</v>
      </c>
      <c r="G81" s="28">
        <v>80</v>
      </c>
      <c r="H81" s="29" t="str">
        <f t="shared" si="4"/>
        <v>Esquivel, Joseph de</v>
      </c>
      <c r="I81" s="30">
        <f t="shared" si="5"/>
        <v>41889</v>
      </c>
    </row>
    <row r="82" spans="1:9" x14ac:dyDescent="0.3">
      <c r="A82" s="33" t="s">
        <v>1557</v>
      </c>
      <c r="B82" cm="1">
        <f t="array" ref="B82">SUMPRODUCT((Registro!$D$2:$D$1040=A82)*Registro!$L$2:$L$1040)</f>
        <v>57449</v>
      </c>
      <c r="C82" s="23">
        <f t="shared" si="3"/>
        <v>57449.000081999999</v>
      </c>
      <c r="D82" s="24">
        <f>_xlfn.RANK.EQ(C82,$C$2:C$338)</f>
        <v>58</v>
      </c>
      <c r="G82" s="28">
        <v>81</v>
      </c>
      <c r="H82" s="29" t="str">
        <f t="shared" si="4"/>
        <v>Copero de Praga, Joseph</v>
      </c>
      <c r="I82" s="30">
        <f t="shared" si="5"/>
        <v>41155</v>
      </c>
    </row>
    <row r="83" spans="1:9" x14ac:dyDescent="0.3">
      <c r="A83" s="33" t="s">
        <v>1412</v>
      </c>
      <c r="B83" cm="1">
        <f t="array" ref="B83">SUMPRODUCT((Registro!$D$2:$D$1040=A83)*Registro!$L$2:$L$1040)</f>
        <v>38892</v>
      </c>
      <c r="C83" s="23">
        <f t="shared" si="3"/>
        <v>38892.000082999999</v>
      </c>
      <c r="D83" s="24">
        <f>_xlfn.RANK.EQ(C83,$C$2:C$338)</f>
        <v>85</v>
      </c>
      <c r="G83" s="28">
        <v>82</v>
      </c>
      <c r="H83" s="29" t="str">
        <f t="shared" si="4"/>
        <v>Soto, Diego de</v>
      </c>
      <c r="I83" s="30">
        <f t="shared" si="5"/>
        <v>40927</v>
      </c>
    </row>
    <row r="84" spans="1:9" x14ac:dyDescent="0.3">
      <c r="A84" s="33" t="s">
        <v>1417</v>
      </c>
      <c r="B84" cm="1">
        <f t="array" ref="B84">SUMPRODUCT((Registro!$D$2:$D$1040=A84)*Registro!$L$2:$L$1040)</f>
        <v>50116</v>
      </c>
      <c r="C84" s="23">
        <f t="shared" si="3"/>
        <v>50116.000083999999</v>
      </c>
      <c r="D84" s="24">
        <f>_xlfn.RANK.EQ(C84,$C$2:C$338)</f>
        <v>69</v>
      </c>
      <c r="G84" s="28">
        <v>83</v>
      </c>
      <c r="H84" s="29" t="str">
        <f t="shared" si="4"/>
        <v>Jiménez, Juan</v>
      </c>
      <c r="I84" s="30">
        <f t="shared" si="5"/>
        <v>39363</v>
      </c>
    </row>
    <row r="85" spans="1:9" x14ac:dyDescent="0.3">
      <c r="A85" s="33" t="s">
        <v>257</v>
      </c>
      <c r="B85" cm="1">
        <f t="array" ref="B85">SUMPRODUCT((Registro!$D$2:$D$1040=A85)*Registro!$L$2:$L$1040)</f>
        <v>20561</v>
      </c>
      <c r="C85" s="23">
        <f t="shared" si="3"/>
        <v>20561.000085</v>
      </c>
      <c r="D85" s="24">
        <f>_xlfn.RANK.EQ(C85,$C$2:C$338)</f>
        <v>121</v>
      </c>
      <c r="G85" s="28">
        <v>84</v>
      </c>
      <c r="H85" s="29" t="str">
        <f t="shared" si="4"/>
        <v>Bolumburu, Pedro de</v>
      </c>
      <c r="I85" s="30">
        <f t="shared" si="5"/>
        <v>39146</v>
      </c>
    </row>
    <row r="86" spans="1:9" x14ac:dyDescent="0.3">
      <c r="A86" s="33" t="s">
        <v>1294</v>
      </c>
      <c r="B86" cm="1">
        <f t="array" ref="B86">SUMPRODUCT((Registro!$D$2:$D$1040=A86)*Registro!$L$2:$L$1040)</f>
        <v>539650</v>
      </c>
      <c r="C86" s="23">
        <f t="shared" si="3"/>
        <v>539650.00008599996</v>
      </c>
      <c r="D86" s="24">
        <f>_xlfn.RANK.EQ(C86,$C$2:C$338)</f>
        <v>3</v>
      </c>
      <c r="G86" s="28">
        <v>85</v>
      </c>
      <c r="H86" s="29" t="str">
        <f t="shared" si="4"/>
        <v>Luján, Felipe</v>
      </c>
      <c r="I86" s="30">
        <f t="shared" si="5"/>
        <v>38892</v>
      </c>
    </row>
    <row r="87" spans="1:9" ht="27.6" x14ac:dyDescent="0.3">
      <c r="A87" s="33" t="s">
        <v>1556</v>
      </c>
      <c r="B87" cm="1">
        <f t="array" ref="B87">SUMPRODUCT((Registro!$D$2:$D$1040=A87)*Registro!$L$2:$L$1040)</f>
        <v>3664</v>
      </c>
      <c r="C87" s="23">
        <f t="shared" si="3"/>
        <v>3664.0000869999999</v>
      </c>
      <c r="D87" s="24">
        <f>_xlfn.RANK.EQ(C87,$C$2:C$338)</f>
        <v>253</v>
      </c>
      <c r="G87" s="28">
        <v>86</v>
      </c>
      <c r="H87" s="29" t="str">
        <f t="shared" si="4"/>
        <v>Fernández de Córdova, Marcos</v>
      </c>
      <c r="I87" s="30">
        <f t="shared" si="5"/>
        <v>38802</v>
      </c>
    </row>
    <row r="88" spans="1:9" x14ac:dyDescent="0.3">
      <c r="A88" s="33" t="s">
        <v>1454</v>
      </c>
      <c r="B88" cm="1">
        <f t="array" ref="B88">SUMPRODUCT((Registro!$D$2:$D$1040=A88)*Registro!$L$2:$L$1040)</f>
        <v>1848</v>
      </c>
      <c r="C88" s="23">
        <f t="shared" si="3"/>
        <v>1848.000088</v>
      </c>
      <c r="D88" s="24">
        <f>_xlfn.RANK.EQ(C88,$C$2:C$338)</f>
        <v>282</v>
      </c>
      <c r="G88" s="28">
        <v>87</v>
      </c>
      <c r="H88" s="29" t="str">
        <f t="shared" si="4"/>
        <v>Núñez, Juan</v>
      </c>
      <c r="I88" s="30">
        <f t="shared" si="5"/>
        <v>37900</v>
      </c>
    </row>
    <row r="89" spans="1:9" x14ac:dyDescent="0.3">
      <c r="A89" s="34" t="s">
        <v>1636</v>
      </c>
      <c r="B89" cm="1">
        <f t="array" ref="B89">SUMPRODUCT((Registro!$D$2:$D$1040=A89)*Registro!$L$2:$L$1040)</f>
        <v>117557</v>
      </c>
      <c r="C89" s="23">
        <f t="shared" si="3"/>
        <v>117557.00008899999</v>
      </c>
      <c r="D89" s="24">
        <f>_xlfn.RANK.EQ(C89,$C$2:C$338)</f>
        <v>25</v>
      </c>
      <c r="G89" s="28">
        <v>88</v>
      </c>
      <c r="H89" s="29" t="str">
        <f t="shared" si="4"/>
        <v>Gómez Morera, Antonio</v>
      </c>
      <c r="I89" s="30">
        <f t="shared" si="5"/>
        <v>36572</v>
      </c>
    </row>
    <row r="90" spans="1:9" x14ac:dyDescent="0.3">
      <c r="A90" s="33" t="s">
        <v>1550</v>
      </c>
      <c r="B90" cm="1">
        <f t="array" ref="B90">SUMPRODUCT((Registro!$D$2:$D$1040=A90)*Registro!$L$2:$L$1040)</f>
        <v>27108</v>
      </c>
      <c r="C90" s="23">
        <f t="shared" si="3"/>
        <v>27108.000090000001</v>
      </c>
      <c r="D90" s="24">
        <f>_xlfn.RANK.EQ(C90,$C$2:C$338)</f>
        <v>103</v>
      </c>
      <c r="G90" s="28">
        <v>89</v>
      </c>
      <c r="H90" s="29" t="str">
        <f t="shared" si="4"/>
        <v>Tenorio, Juan</v>
      </c>
      <c r="I90" s="30">
        <f t="shared" si="5"/>
        <v>36059</v>
      </c>
    </row>
    <row r="91" spans="1:9" x14ac:dyDescent="0.3">
      <c r="A91" s="33" t="s">
        <v>1250</v>
      </c>
      <c r="B91" cm="1">
        <f t="array" ref="B91">SUMPRODUCT((Registro!$D$2:$D$1040=A91)*Registro!$L$2:$L$1040)</f>
        <v>114846</v>
      </c>
      <c r="C91" s="23">
        <f t="shared" si="3"/>
        <v>114846.00009099999</v>
      </c>
      <c r="D91" s="24">
        <f>_xlfn.RANK.EQ(C91,$C$2:C$338)</f>
        <v>26</v>
      </c>
      <c r="G91" s="28">
        <v>90</v>
      </c>
      <c r="H91" s="29" t="str">
        <f t="shared" si="4"/>
        <v>Salvatierra, Alonso de</v>
      </c>
      <c r="I91" s="30">
        <f t="shared" si="5"/>
        <v>35579</v>
      </c>
    </row>
    <row r="92" spans="1:9" x14ac:dyDescent="0.3">
      <c r="A92" s="33" t="s">
        <v>1499</v>
      </c>
      <c r="B92" cm="1">
        <f t="array" ref="B92">SUMPRODUCT((Registro!$D$2:$D$1040=A92)*Registro!$L$2:$L$1040)</f>
        <v>9638</v>
      </c>
      <c r="C92" s="23">
        <f t="shared" si="3"/>
        <v>9638.0000920000002</v>
      </c>
      <c r="D92" s="24">
        <f>_xlfn.RANK.EQ(C92,$C$2:C$338)</f>
        <v>185</v>
      </c>
      <c r="G92" s="28">
        <v>91</v>
      </c>
      <c r="H92" s="29" t="str">
        <f t="shared" si="4"/>
        <v>Casal, Mateo del</v>
      </c>
      <c r="I92" s="30">
        <f t="shared" si="5"/>
        <v>34272</v>
      </c>
    </row>
    <row r="93" spans="1:9" x14ac:dyDescent="0.3">
      <c r="A93" s="33" t="s">
        <v>1356</v>
      </c>
      <c r="B93" cm="1">
        <f t="array" ref="B93">SUMPRODUCT((Registro!$D$2:$D$1040=A93)*Registro!$L$2:$L$1040)</f>
        <v>281957</v>
      </c>
      <c r="C93" s="23">
        <f t="shared" si="3"/>
        <v>281957.00009300001</v>
      </c>
      <c r="D93" s="24">
        <f>_xlfn.RANK.EQ(C93,$C$2:C$338)</f>
        <v>8</v>
      </c>
      <c r="G93" s="28">
        <v>92</v>
      </c>
      <c r="H93" s="29" t="str">
        <f t="shared" si="4"/>
        <v>Galarreta, Juan de</v>
      </c>
      <c r="I93" s="30">
        <f t="shared" si="5"/>
        <v>33385</v>
      </c>
    </row>
    <row r="94" spans="1:9" x14ac:dyDescent="0.3">
      <c r="A94" s="33" t="s">
        <v>1600</v>
      </c>
      <c r="B94" cm="1">
        <f t="array" ref="B94">SUMPRODUCT((Registro!$D$2:$D$1040=A94)*Registro!$L$2:$L$1040)</f>
        <v>93913</v>
      </c>
      <c r="C94" s="23">
        <f t="shared" si="3"/>
        <v>93913.000094000003</v>
      </c>
      <c r="D94" s="24">
        <f>_xlfn.RANK.EQ(C94,$C$2:C$338)</f>
        <v>36</v>
      </c>
      <c r="G94" s="28">
        <v>93</v>
      </c>
      <c r="H94" s="29" t="str">
        <f t="shared" si="4"/>
        <v>Reina, Francisco de</v>
      </c>
      <c r="I94" s="30">
        <f t="shared" si="5"/>
        <v>32438</v>
      </c>
    </row>
    <row r="95" spans="1:9" x14ac:dyDescent="0.3">
      <c r="A95" s="33" t="s">
        <v>1552</v>
      </c>
      <c r="B95" cm="1">
        <f t="array" ref="B95">SUMPRODUCT((Registro!$D$2:$D$1040=A95)*Registro!$L$2:$L$1040)</f>
        <v>124376</v>
      </c>
      <c r="C95" s="23">
        <f t="shared" si="3"/>
        <v>124376.000095</v>
      </c>
      <c r="D95" s="24">
        <f>_xlfn.RANK.EQ(C95,$C$2:C$338)</f>
        <v>23</v>
      </c>
      <c r="G95" s="28">
        <v>94</v>
      </c>
      <c r="H95" s="29" t="str">
        <f t="shared" si="4"/>
        <v>Rodríguez, Alonso</v>
      </c>
      <c r="I95" s="30">
        <f t="shared" si="5"/>
        <v>31324</v>
      </c>
    </row>
    <row r="96" spans="1:9" x14ac:dyDescent="0.3">
      <c r="A96" s="33" t="s">
        <v>1354</v>
      </c>
      <c r="B96" cm="1">
        <f t="array" ref="B96">SUMPRODUCT((Registro!$D$2:$D$1040=A96)*Registro!$L$2:$L$1040)</f>
        <v>36572</v>
      </c>
      <c r="C96" s="23">
        <f t="shared" si="3"/>
        <v>36572.000096000003</v>
      </c>
      <c r="D96" s="24">
        <f>_xlfn.RANK.EQ(C96,$C$2:C$338)</f>
        <v>88</v>
      </c>
      <c r="G96" s="28">
        <v>95</v>
      </c>
      <c r="H96" s="29" t="str">
        <f t="shared" si="4"/>
        <v>Blanco de Vargas, Joseph</v>
      </c>
      <c r="I96" s="30">
        <f t="shared" si="5"/>
        <v>29618</v>
      </c>
    </row>
    <row r="97" spans="1:9" x14ac:dyDescent="0.3">
      <c r="A97" s="33" t="s">
        <v>1350</v>
      </c>
      <c r="B97" cm="1">
        <f t="array" ref="B97">SUMPRODUCT((Registro!$D$2:$D$1040=A97)*Registro!$L$2:$L$1040)</f>
        <v>76600</v>
      </c>
      <c r="C97" s="23">
        <f t="shared" si="3"/>
        <v>76600.000096999996</v>
      </c>
      <c r="D97" s="24">
        <f>_xlfn.RANK.EQ(C97,$C$2:C$338)</f>
        <v>41</v>
      </c>
      <c r="G97" s="28">
        <v>96</v>
      </c>
      <c r="H97" s="29" t="str">
        <f t="shared" si="4"/>
        <v>Garibaldo, Jacinto de</v>
      </c>
      <c r="I97" s="30">
        <f t="shared" si="5"/>
        <v>28800</v>
      </c>
    </row>
    <row r="98" spans="1:9" x14ac:dyDescent="0.3">
      <c r="A98" s="33" t="s">
        <v>1440</v>
      </c>
      <c r="B98" cm="1">
        <f t="array" ref="B98">SUMPRODUCT((Registro!$D$2:$D$1040=A98)*Registro!$L$2:$L$1040)</f>
        <v>54758</v>
      </c>
      <c r="C98" s="23">
        <f t="shared" si="3"/>
        <v>54758.000097999997</v>
      </c>
      <c r="D98" s="24">
        <f>_xlfn.RANK.EQ(C98,$C$2:C$338)</f>
        <v>63</v>
      </c>
      <c r="G98" s="28">
        <v>97</v>
      </c>
      <c r="H98" s="29" t="str">
        <f t="shared" si="4"/>
        <v>Ramírez, Isidro</v>
      </c>
      <c r="I98" s="30">
        <f t="shared" si="5"/>
        <v>28624</v>
      </c>
    </row>
    <row r="99" spans="1:9" x14ac:dyDescent="0.3">
      <c r="A99" s="33" t="s">
        <v>1360</v>
      </c>
      <c r="B99" cm="1">
        <f t="array" ref="B99">SUMPRODUCT((Registro!$D$2:$D$1040=A99)*Registro!$L$2:$L$1040)</f>
        <v>3656</v>
      </c>
      <c r="C99" s="23">
        <f t="shared" si="3"/>
        <v>3656.0000989999999</v>
      </c>
      <c r="D99" s="24">
        <f>_xlfn.RANK.EQ(C99,$C$2:C$338)</f>
        <v>254</v>
      </c>
      <c r="G99" s="28">
        <v>98</v>
      </c>
      <c r="H99" s="29" t="str">
        <f t="shared" si="4"/>
        <v>García Baquero, Francisco</v>
      </c>
      <c r="I99" s="30">
        <f t="shared" si="5"/>
        <v>28200</v>
      </c>
    </row>
    <row r="100" spans="1:9" x14ac:dyDescent="0.3">
      <c r="A100" s="33" t="s">
        <v>1627</v>
      </c>
      <c r="B100" cm="1">
        <f t="array" ref="B100">SUMPRODUCT((Registro!$D$2:$D$1040=A100)*Registro!$L$2:$L$1040)</f>
        <v>10800</v>
      </c>
      <c r="C100" s="23">
        <f t="shared" si="3"/>
        <v>10800.000099999999</v>
      </c>
      <c r="D100" s="24">
        <f>_xlfn.RANK.EQ(C100,$C$2:C$338)</f>
        <v>166</v>
      </c>
      <c r="G100" s="28">
        <v>99</v>
      </c>
      <c r="H100" s="29" t="str">
        <f t="shared" si="4"/>
        <v>López, Diego</v>
      </c>
      <c r="I100" s="30">
        <f t="shared" si="5"/>
        <v>27907</v>
      </c>
    </row>
    <row r="101" spans="1:9" ht="27.6" x14ac:dyDescent="0.3">
      <c r="A101" s="33" t="s">
        <v>1510</v>
      </c>
      <c r="B101" cm="1">
        <f t="array" ref="B101">SUMPRODUCT((Registro!$D$2:$D$1040=A101)*Registro!$L$2:$L$1040)</f>
        <v>3000</v>
      </c>
      <c r="C101" s="23">
        <f t="shared" si="3"/>
        <v>3000.0001010000001</v>
      </c>
      <c r="D101" s="24">
        <f>_xlfn.RANK.EQ(C101,$C$2:C$338)</f>
        <v>263</v>
      </c>
      <c r="G101" s="28">
        <v>100</v>
      </c>
      <c r="H101" s="29" t="str">
        <f t="shared" si="4"/>
        <v>Fernández Salamanca, Pedro</v>
      </c>
      <c r="I101" s="30">
        <f t="shared" si="5"/>
        <v>27817</v>
      </c>
    </row>
    <row r="102" spans="1:9" x14ac:dyDescent="0.3">
      <c r="A102" s="33" t="s">
        <v>1331</v>
      </c>
      <c r="B102" cm="1">
        <f t="array" ref="B102">SUMPRODUCT((Registro!$D$2:$D$1040=A102)*Registro!$L$2:$L$1040)</f>
        <v>250</v>
      </c>
      <c r="C102" s="23">
        <f t="shared" si="3"/>
        <v>250.000102</v>
      </c>
      <c r="D102" s="24">
        <f>_xlfn.RANK.EQ(C102,$C$2:C$338)</f>
        <v>333</v>
      </c>
      <c r="G102" s="28">
        <v>101</v>
      </c>
      <c r="H102" s="29" t="str">
        <f t="shared" si="4"/>
        <v>Luzuriaga, Florián de</v>
      </c>
      <c r="I102" s="30">
        <f t="shared" si="5"/>
        <v>27678</v>
      </c>
    </row>
    <row r="103" spans="1:9" x14ac:dyDescent="0.3">
      <c r="A103" s="33" t="s">
        <v>1441</v>
      </c>
      <c r="B103" cm="1">
        <f t="array" ref="B103">SUMPRODUCT((Registro!$D$2:$D$1040=A103)*Registro!$L$2:$L$1040)</f>
        <v>234440</v>
      </c>
      <c r="C103" s="23">
        <f t="shared" si="3"/>
        <v>234440.000103</v>
      </c>
      <c r="D103" s="24">
        <f>_xlfn.RANK.EQ(C103,$C$2:C$338)</f>
        <v>12</v>
      </c>
      <c r="G103" s="28">
        <v>102</v>
      </c>
      <c r="H103" s="29" t="str">
        <f t="shared" si="4"/>
        <v>Arrasola, Domingo de</v>
      </c>
      <c r="I103" s="30">
        <f t="shared" si="5"/>
        <v>27244</v>
      </c>
    </row>
    <row r="104" spans="1:9" x14ac:dyDescent="0.3">
      <c r="A104" s="33" t="s">
        <v>1489</v>
      </c>
      <c r="B104" cm="1">
        <f t="array" ref="B104">SUMPRODUCT((Registro!$D$2:$D$1040=A104)*Registro!$L$2:$L$1040)</f>
        <v>20436</v>
      </c>
      <c r="C104" s="23">
        <f t="shared" si="3"/>
        <v>20436.000103999999</v>
      </c>
      <c r="D104" s="24">
        <f>_xlfn.RANK.EQ(C104,$C$2:C$338)</f>
        <v>123</v>
      </c>
      <c r="G104" s="28">
        <v>103</v>
      </c>
      <c r="H104" s="29" t="str">
        <f t="shared" si="4"/>
        <v>Ordoñez de Pineda, Juan</v>
      </c>
      <c r="I104" s="30">
        <f t="shared" si="5"/>
        <v>27108</v>
      </c>
    </row>
    <row r="105" spans="1:9" x14ac:dyDescent="0.3">
      <c r="A105" s="33" t="s">
        <v>1485</v>
      </c>
      <c r="B105" cm="1">
        <f t="array" ref="B105">SUMPRODUCT((Registro!$D$2:$D$1040=A105)*Registro!$L$2:$L$1040)</f>
        <v>61225</v>
      </c>
      <c r="C105" s="23">
        <f t="shared" si="3"/>
        <v>61225.000104999999</v>
      </c>
      <c r="D105" s="24">
        <f>_xlfn.RANK.EQ(C105,$C$2:C$338)</f>
        <v>57</v>
      </c>
      <c r="G105" s="28">
        <v>104</v>
      </c>
      <c r="H105" s="29" t="str">
        <f t="shared" si="4"/>
        <v>Aquijo, Cristóbal de</v>
      </c>
      <c r="I105" s="30">
        <f t="shared" si="5"/>
        <v>26869</v>
      </c>
    </row>
    <row r="106" spans="1:9" x14ac:dyDescent="0.3">
      <c r="A106" s="33" t="s">
        <v>1299</v>
      </c>
      <c r="B106" cm="1">
        <f t="array" ref="B106">SUMPRODUCT((Registro!$D$2:$D$1040=A106)*Registro!$L$2:$L$1040)</f>
        <v>7600</v>
      </c>
      <c r="C106" s="23">
        <f t="shared" si="3"/>
        <v>7600.0001060000004</v>
      </c>
      <c r="D106" s="24">
        <f>_xlfn.RANK.EQ(C106,$C$2:C$338)</f>
        <v>203</v>
      </c>
      <c r="G106" s="28">
        <v>105</v>
      </c>
      <c r="H106" s="29" t="str">
        <f t="shared" si="4"/>
        <v>Tamayo, Cristóbal</v>
      </c>
      <c r="I106" s="30">
        <f t="shared" si="5"/>
        <v>26500</v>
      </c>
    </row>
    <row r="107" spans="1:9" ht="27.6" x14ac:dyDescent="0.3">
      <c r="A107" s="33" t="s">
        <v>1563</v>
      </c>
      <c r="B107" cm="1">
        <f t="array" ref="B107">SUMPRODUCT((Registro!$D$2:$D$1040=A107)*Registro!$L$2:$L$1040)</f>
        <v>241675</v>
      </c>
      <c r="C107" s="23">
        <f t="shared" si="3"/>
        <v>241675.000107</v>
      </c>
      <c r="D107" s="24">
        <f>_xlfn.RANK.EQ(C107,$C$2:C$338)</f>
        <v>10</v>
      </c>
      <c r="G107" s="28">
        <v>106</v>
      </c>
      <c r="H107" s="29" t="str">
        <f t="shared" si="4"/>
        <v>Carcelén de Guevara, Antonio</v>
      </c>
      <c r="I107" s="30">
        <f t="shared" si="5"/>
        <v>26483</v>
      </c>
    </row>
    <row r="108" spans="1:9" x14ac:dyDescent="0.3">
      <c r="A108" s="33" t="s">
        <v>1495</v>
      </c>
      <c r="B108" cm="1">
        <f t="array" ref="B108">SUMPRODUCT((Registro!$D$2:$D$1040=A108)*Registro!$L$2:$L$1040)</f>
        <v>41889</v>
      </c>
      <c r="C108" s="23">
        <f t="shared" si="3"/>
        <v>41889.000108</v>
      </c>
      <c r="D108" s="24">
        <f>_xlfn.RANK.EQ(C108,$C$2:C$338)</f>
        <v>80</v>
      </c>
      <c r="G108" s="28">
        <v>107</v>
      </c>
      <c r="H108" s="29" t="str">
        <f t="shared" si="4"/>
        <v>Bustamante, Francisco de</v>
      </c>
      <c r="I108" s="30">
        <f t="shared" si="5"/>
        <v>26391</v>
      </c>
    </row>
    <row r="109" spans="1:9" x14ac:dyDescent="0.3">
      <c r="A109" s="33" t="s">
        <v>1281</v>
      </c>
      <c r="B109" cm="1">
        <f t="array" ref="B109">SUMPRODUCT((Registro!$D$2:$D$1040=A109)*Registro!$L$2:$L$1040)</f>
        <v>69146</v>
      </c>
      <c r="C109" s="23">
        <f t="shared" si="3"/>
        <v>69146.000109000001</v>
      </c>
      <c r="D109" s="24">
        <f>_xlfn.RANK.EQ(C109,$C$2:C$338)</f>
        <v>44</v>
      </c>
      <c r="G109" s="28">
        <v>108</v>
      </c>
      <c r="H109" s="29" t="str">
        <f t="shared" si="4"/>
        <v>Gutiérrez, Marcos</v>
      </c>
      <c r="I109" s="30">
        <f t="shared" si="5"/>
        <v>25645</v>
      </c>
    </row>
    <row r="110" spans="1:9" x14ac:dyDescent="0.3">
      <c r="A110" s="33" t="s">
        <v>1439</v>
      </c>
      <c r="B110" cm="1">
        <f t="array" ref="B110">SUMPRODUCT((Registro!$D$2:$D$1040=A110)*Registro!$L$2:$L$1040)</f>
        <v>48270</v>
      </c>
      <c r="C110" s="23">
        <f t="shared" si="3"/>
        <v>48270.000110000001</v>
      </c>
      <c r="D110" s="24">
        <f>_xlfn.RANK.EQ(C110,$C$2:C$338)</f>
        <v>70</v>
      </c>
      <c r="G110" s="28">
        <v>109</v>
      </c>
      <c r="H110" s="29" t="str">
        <f t="shared" si="4"/>
        <v>Fernández Durán, Diego</v>
      </c>
      <c r="I110" s="30">
        <f t="shared" si="5"/>
        <v>25100</v>
      </c>
    </row>
    <row r="111" spans="1:9" x14ac:dyDescent="0.3">
      <c r="A111" s="33" t="s">
        <v>1416</v>
      </c>
      <c r="B111" cm="1">
        <f t="array" ref="B111">SUMPRODUCT((Registro!$D$2:$D$1040=A111)*Registro!$L$2:$L$1040)</f>
        <v>99561</v>
      </c>
      <c r="C111" s="23">
        <f t="shared" si="3"/>
        <v>99561.000111000001</v>
      </c>
      <c r="D111" s="24">
        <f>_xlfn.RANK.EQ(C111,$C$2:C$338)</f>
        <v>32</v>
      </c>
      <c r="G111" s="28">
        <v>110</v>
      </c>
      <c r="H111" s="29" t="str">
        <f t="shared" si="4"/>
        <v>Cetina y Elario, Gaspar de</v>
      </c>
      <c r="I111" s="30">
        <f t="shared" si="5"/>
        <v>24023</v>
      </c>
    </row>
    <row r="112" spans="1:9" x14ac:dyDescent="0.3">
      <c r="A112" s="33" t="s">
        <v>1386</v>
      </c>
      <c r="B112" cm="1">
        <f t="array" ref="B112">SUMPRODUCT((Registro!$D$2:$D$1040=A112)*Registro!$L$2:$L$1040)</f>
        <v>23623</v>
      </c>
      <c r="C112" s="23">
        <f t="shared" si="3"/>
        <v>23623.000112000002</v>
      </c>
      <c r="D112" s="24">
        <f>_xlfn.RANK.EQ(C112,$C$2:C$338)</f>
        <v>111</v>
      </c>
      <c r="G112" s="28">
        <v>111</v>
      </c>
      <c r="H112" s="29" t="str">
        <f t="shared" si="4"/>
        <v>Salazar, Diego de</v>
      </c>
      <c r="I112" s="30">
        <f t="shared" si="5"/>
        <v>23623</v>
      </c>
    </row>
    <row r="113" spans="1:9" x14ac:dyDescent="0.3">
      <c r="A113" s="33" t="s">
        <v>1562</v>
      </c>
      <c r="B113" cm="1">
        <f t="array" ref="B113">SUMPRODUCT((Registro!$D$2:$D$1040=A113)*Registro!$L$2:$L$1040)</f>
        <v>101369</v>
      </c>
      <c r="C113" s="23">
        <f t="shared" si="3"/>
        <v>101369.000113</v>
      </c>
      <c r="D113" s="24">
        <f>_xlfn.RANK.EQ(C113,$C$2:C$338)</f>
        <v>29</v>
      </c>
      <c r="G113" s="28">
        <v>112</v>
      </c>
      <c r="H113" s="29" t="str">
        <f t="shared" si="4"/>
        <v>Parroqui, Domingo</v>
      </c>
      <c r="I113" s="30">
        <f t="shared" si="5"/>
        <v>23528</v>
      </c>
    </row>
    <row r="114" spans="1:9" x14ac:dyDescent="0.3">
      <c r="A114" s="33" t="s">
        <v>1384</v>
      </c>
      <c r="B114" cm="1">
        <f t="array" ref="B114">SUMPRODUCT((Registro!$D$2:$D$1040=A114)*Registro!$L$2:$L$1040)</f>
        <v>4350</v>
      </c>
      <c r="C114" s="23">
        <f t="shared" si="3"/>
        <v>4350.0001140000004</v>
      </c>
      <c r="D114" s="24">
        <f>_xlfn.RANK.EQ(C114,$C$2:C$338)</f>
        <v>239</v>
      </c>
      <c r="G114" s="28">
        <v>113</v>
      </c>
      <c r="H114" s="29" t="str">
        <f t="shared" si="4"/>
        <v>Díaz de Contreras, Velasco</v>
      </c>
      <c r="I114" s="30">
        <f t="shared" si="5"/>
        <v>23051</v>
      </c>
    </row>
    <row r="115" spans="1:9" x14ac:dyDescent="0.3">
      <c r="A115" s="33" t="s">
        <v>1465</v>
      </c>
      <c r="B115" cm="1">
        <f t="array" ref="B115">SUMPRODUCT((Registro!$D$2:$D$1040=A115)*Registro!$L$2:$L$1040)</f>
        <v>320</v>
      </c>
      <c r="C115" s="23">
        <f t="shared" si="3"/>
        <v>320.00011499999999</v>
      </c>
      <c r="D115" s="24">
        <f>_xlfn.RANK.EQ(C115,$C$2:C$338)</f>
        <v>330</v>
      </c>
      <c r="G115" s="28">
        <v>114</v>
      </c>
      <c r="H115" s="29" t="str">
        <f t="shared" si="4"/>
        <v>Peláez, Salvador</v>
      </c>
      <c r="I115" s="30">
        <f t="shared" si="5"/>
        <v>22796</v>
      </c>
    </row>
    <row r="116" spans="1:9" x14ac:dyDescent="0.3">
      <c r="A116" s="33" t="s">
        <v>1596</v>
      </c>
      <c r="B116" cm="1">
        <f t="array" ref="B116">SUMPRODUCT((Registro!$D$2:$D$1040=A116)*Registro!$L$2:$L$1040)</f>
        <v>39146</v>
      </c>
      <c r="C116" s="23">
        <f t="shared" si="3"/>
        <v>39146.000116000003</v>
      </c>
      <c r="D116" s="24">
        <f>_xlfn.RANK.EQ(C116,$C$2:C$338)</f>
        <v>84</v>
      </c>
      <c r="G116" s="28">
        <v>115</v>
      </c>
      <c r="H116" s="29" t="str">
        <f t="shared" si="4"/>
        <v>Oyague, Francisco de</v>
      </c>
      <c r="I116" s="30">
        <f t="shared" si="5"/>
        <v>22719</v>
      </c>
    </row>
    <row r="117" spans="1:9" x14ac:dyDescent="0.3">
      <c r="A117" s="33" t="s">
        <v>1494</v>
      </c>
      <c r="B117" cm="1">
        <f t="array" ref="B117">SUMPRODUCT((Registro!$D$2:$D$1040=A117)*Registro!$L$2:$L$1040)</f>
        <v>7893</v>
      </c>
      <c r="C117" s="23">
        <f t="shared" si="3"/>
        <v>7893.0001169999996</v>
      </c>
      <c r="D117" s="24">
        <f>_xlfn.RANK.EQ(C117,$C$2:C$338)</f>
        <v>201</v>
      </c>
      <c r="G117" s="28">
        <v>116</v>
      </c>
      <c r="H117" s="29" t="str">
        <f t="shared" si="4"/>
        <v>Marín, Joseph</v>
      </c>
      <c r="I117" s="30">
        <f t="shared" si="5"/>
        <v>22646</v>
      </c>
    </row>
    <row r="118" spans="1:9" x14ac:dyDescent="0.3">
      <c r="A118" s="33" t="s">
        <v>1333</v>
      </c>
      <c r="B118" cm="1">
        <f t="array" ref="B118">SUMPRODUCT((Registro!$D$2:$D$1040=A118)*Registro!$L$2:$L$1040)</f>
        <v>2400</v>
      </c>
      <c r="C118" s="23">
        <f t="shared" si="3"/>
        <v>2400.0001179999999</v>
      </c>
      <c r="D118" s="24">
        <f>_xlfn.RANK.EQ(C118,$C$2:C$338)</f>
        <v>276</v>
      </c>
      <c r="G118" s="28">
        <v>117</v>
      </c>
      <c r="H118" s="29" t="str">
        <f t="shared" si="4"/>
        <v>Ruíz Pacheco, Ascencio</v>
      </c>
      <c r="I118" s="30">
        <f t="shared" si="5"/>
        <v>22500</v>
      </c>
    </row>
    <row r="119" spans="1:9" x14ac:dyDescent="0.3">
      <c r="A119" s="33" t="s">
        <v>1407</v>
      </c>
      <c r="B119" cm="1">
        <f t="array" ref="B119">SUMPRODUCT((Registro!$D$2:$D$1040=A119)*Registro!$L$2:$L$1040)</f>
        <v>100</v>
      </c>
      <c r="C119" s="23">
        <f t="shared" si="3"/>
        <v>100.000119</v>
      </c>
      <c r="D119" s="24">
        <f>_xlfn.RANK.EQ(C119,$C$2:C$338)</f>
        <v>337</v>
      </c>
      <c r="G119" s="28">
        <v>118</v>
      </c>
      <c r="H119" s="29" t="str">
        <f t="shared" si="4"/>
        <v>Núñez, Antonio</v>
      </c>
      <c r="I119" s="30">
        <f t="shared" si="5"/>
        <v>21280</v>
      </c>
    </row>
    <row r="120" spans="1:9" x14ac:dyDescent="0.3">
      <c r="A120" s="33" t="s">
        <v>1614</v>
      </c>
      <c r="B120" cm="1">
        <f t="array" ref="B120">SUMPRODUCT((Registro!$D$2:$D$1040=A120)*Registro!$L$2:$L$1040)</f>
        <v>68871</v>
      </c>
      <c r="C120" s="23">
        <f t="shared" si="3"/>
        <v>68871.000119999997</v>
      </c>
      <c r="D120" s="24">
        <f>_xlfn.RANK.EQ(C120,$C$2:C$338)</f>
        <v>46</v>
      </c>
      <c r="G120" s="28">
        <v>119</v>
      </c>
      <c r="H120" s="29" t="str">
        <f t="shared" si="4"/>
        <v>Fernández Morena, Juan</v>
      </c>
      <c r="I120" s="30">
        <f t="shared" si="5"/>
        <v>21000</v>
      </c>
    </row>
    <row r="121" spans="1:9" x14ac:dyDescent="0.3">
      <c r="A121" s="33" t="s">
        <v>1486</v>
      </c>
      <c r="B121" cm="1">
        <f t="array" ref="B121">SUMPRODUCT((Registro!$D$2:$D$1040=A121)*Registro!$L$2:$L$1040)</f>
        <v>430</v>
      </c>
      <c r="C121" s="23">
        <f t="shared" si="3"/>
        <v>430.00012099999998</v>
      </c>
      <c r="D121" s="24">
        <f>_xlfn.RANK.EQ(C121,$C$2:C$338)</f>
        <v>321</v>
      </c>
      <c r="G121" s="28">
        <v>120</v>
      </c>
      <c r="H121" s="29" t="str">
        <f t="shared" si="4"/>
        <v>Salcedo, Diego de</v>
      </c>
      <c r="I121" s="30">
        <f t="shared" si="5"/>
        <v>20777</v>
      </c>
    </row>
    <row r="122" spans="1:9" x14ac:dyDescent="0.3">
      <c r="A122" s="33" t="s">
        <v>1570</v>
      </c>
      <c r="B122" cm="1">
        <f t="array" ref="B122">SUMPRODUCT((Registro!$D$2:$D$1040=A122)*Registro!$L$2:$L$1040)</f>
        <v>11860</v>
      </c>
      <c r="C122" s="23">
        <f t="shared" si="3"/>
        <v>11860.000121999999</v>
      </c>
      <c r="D122" s="24">
        <f>_xlfn.RANK.EQ(C122,$C$2:C$338)</f>
        <v>161</v>
      </c>
      <c r="G122" s="28">
        <v>121</v>
      </c>
      <c r="H122" s="29" t="str">
        <f t="shared" si="4"/>
        <v>Tomas Ignacio</v>
      </c>
      <c r="I122" s="30">
        <f t="shared" si="5"/>
        <v>20561</v>
      </c>
    </row>
    <row r="123" spans="1:9" x14ac:dyDescent="0.3">
      <c r="A123" s="34" t="s">
        <v>1616</v>
      </c>
      <c r="B123" cm="1">
        <f t="array" ref="B123">SUMPRODUCT((Registro!$D$2:$D$1040=A123)*Registro!$L$2:$L$1040)</f>
        <v>6420</v>
      </c>
      <c r="C123" s="23">
        <f t="shared" si="3"/>
        <v>6420.0001229999998</v>
      </c>
      <c r="D123" s="24">
        <f>_xlfn.RANK.EQ(C123,$C$2:C$338)</f>
        <v>213</v>
      </c>
      <c r="G123" s="28">
        <v>122</v>
      </c>
      <c r="H123" s="29" t="str">
        <f t="shared" si="4"/>
        <v>Escarsola, Luis César de</v>
      </c>
      <c r="I123" s="30">
        <f t="shared" si="5"/>
        <v>20558</v>
      </c>
    </row>
    <row r="124" spans="1:9" x14ac:dyDescent="0.3">
      <c r="A124" s="33" t="s">
        <v>1598</v>
      </c>
      <c r="B124" cm="1">
        <f t="array" ref="B124">SUMPRODUCT((Registro!$D$2:$D$1040=A124)*Registro!$L$2:$L$1040)</f>
        <v>62041</v>
      </c>
      <c r="C124" s="23">
        <f t="shared" si="3"/>
        <v>62041.000123999998</v>
      </c>
      <c r="D124" s="24">
        <f>_xlfn.RANK.EQ(C124,$C$2:C$338)</f>
        <v>56</v>
      </c>
      <c r="G124" s="28">
        <v>123</v>
      </c>
      <c r="H124" s="29" t="str">
        <f t="shared" si="4"/>
        <v>Aranti, Jacinto de</v>
      </c>
      <c r="I124" s="30">
        <f t="shared" si="5"/>
        <v>20436</v>
      </c>
    </row>
    <row r="125" spans="1:9" x14ac:dyDescent="0.3">
      <c r="A125" s="33" t="s">
        <v>1349</v>
      </c>
      <c r="B125" cm="1">
        <f t="array" ref="B125">SUMPRODUCT((Registro!$D$2:$D$1040=A125)*Registro!$L$2:$L$1040)</f>
        <v>6057</v>
      </c>
      <c r="C125" s="23">
        <f t="shared" si="3"/>
        <v>6057.0001249999996</v>
      </c>
      <c r="D125" s="24">
        <f>_xlfn.RANK.EQ(C125,$C$2:C$338)</f>
        <v>217</v>
      </c>
      <c r="G125" s="28">
        <v>124</v>
      </c>
      <c r="H125" s="29" t="str">
        <f t="shared" si="4"/>
        <v>Alfonso, Gaspar</v>
      </c>
      <c r="I125" s="30">
        <f t="shared" si="5"/>
        <v>20247</v>
      </c>
    </row>
    <row r="126" spans="1:9" x14ac:dyDescent="0.3">
      <c r="A126" s="33" t="s">
        <v>1445</v>
      </c>
      <c r="B126" cm="1">
        <f t="array" ref="B126">SUMPRODUCT((Registro!$D$2:$D$1040=A126)*Registro!$L$2:$L$1040)</f>
        <v>8803</v>
      </c>
      <c r="C126" s="23">
        <f t="shared" si="3"/>
        <v>8803.0001260000008</v>
      </c>
      <c r="D126" s="24">
        <f>_xlfn.RANK.EQ(C126,$C$2:C$338)</f>
        <v>192</v>
      </c>
      <c r="G126" s="28">
        <v>125</v>
      </c>
      <c r="H126" s="29" t="str">
        <f t="shared" si="4"/>
        <v>Puente, Pedro de la</v>
      </c>
      <c r="I126" s="30">
        <f t="shared" si="5"/>
        <v>20016</v>
      </c>
    </row>
    <row r="127" spans="1:9" x14ac:dyDescent="0.3">
      <c r="A127" s="33" t="s">
        <v>1603</v>
      </c>
      <c r="B127" cm="1">
        <f t="array" ref="B127">SUMPRODUCT((Registro!$D$2:$D$1040=A127)*Registro!$L$2:$L$1040)</f>
        <v>93364</v>
      </c>
      <c r="C127" s="23">
        <f t="shared" si="3"/>
        <v>93364.000127000007</v>
      </c>
      <c r="D127" s="24">
        <f>_xlfn.RANK.EQ(C127,$C$2:C$338)</f>
        <v>38</v>
      </c>
      <c r="G127" s="28">
        <v>126</v>
      </c>
      <c r="H127" s="29" t="str">
        <f t="shared" si="4"/>
        <v>alderete, Antonio de</v>
      </c>
      <c r="I127" s="30">
        <f t="shared" si="5"/>
        <v>19700</v>
      </c>
    </row>
    <row r="128" spans="1:9" x14ac:dyDescent="0.3">
      <c r="A128" s="33" t="s">
        <v>1467</v>
      </c>
      <c r="B128" cm="1">
        <f t="array" ref="B128">SUMPRODUCT((Registro!$D$2:$D$1040=A128)*Registro!$L$2:$L$1040)</f>
        <v>64624</v>
      </c>
      <c r="C128" s="23">
        <f t="shared" si="3"/>
        <v>64624.000128</v>
      </c>
      <c r="D128" s="24">
        <f>_xlfn.RANK.EQ(C128,$C$2:C$338)</f>
        <v>53</v>
      </c>
      <c r="G128" s="28">
        <v>127</v>
      </c>
      <c r="H128" s="29" t="str">
        <f t="shared" si="4"/>
        <v>Alderete, Antonio de</v>
      </c>
      <c r="I128" s="30">
        <f t="shared" si="5"/>
        <v>19700</v>
      </c>
    </row>
    <row r="129" spans="1:9" x14ac:dyDescent="0.3">
      <c r="A129" s="33" t="s">
        <v>1523</v>
      </c>
      <c r="B129" cm="1">
        <f t="array" ref="B129">SUMPRODUCT((Registro!$D$2:$D$1040=A129)*Registro!$L$2:$L$1040)</f>
        <v>1992</v>
      </c>
      <c r="C129" s="23">
        <f t="shared" si="3"/>
        <v>1992.000129</v>
      </c>
      <c r="D129" s="24">
        <f>_xlfn.RANK.EQ(C129,$C$2:C$338)</f>
        <v>279</v>
      </c>
      <c r="G129" s="28">
        <v>128</v>
      </c>
      <c r="H129" s="29" t="str">
        <f t="shared" si="4"/>
        <v>Pinto, Tomás</v>
      </c>
      <c r="I129" s="30">
        <f t="shared" si="5"/>
        <v>19430</v>
      </c>
    </row>
    <row r="130" spans="1:9" x14ac:dyDescent="0.3">
      <c r="A130" s="33" t="s">
        <v>1509</v>
      </c>
      <c r="B130" cm="1">
        <f t="array" ref="B130">SUMPRODUCT((Registro!$D$2:$D$1040=A130)*Registro!$L$2:$L$1040)</f>
        <v>97438</v>
      </c>
      <c r="C130" s="23">
        <f t="shared" ref="C130:C193" si="6">B130+0.000001*ROW()</f>
        <v>97438.00013</v>
      </c>
      <c r="D130" s="24">
        <f>_xlfn.RANK.EQ(C130,$C$2:C$338)</f>
        <v>35</v>
      </c>
      <c r="G130" s="28">
        <v>129</v>
      </c>
      <c r="H130" s="29" t="str">
        <f t="shared" ref="H130:H193" si="7">INDEX($A$2:$A$478,MATCH(G130,$D$2:$D$478,0))</f>
        <v>Cavera Pizarro, Juan de</v>
      </c>
      <c r="I130" s="30">
        <f t="shared" ref="I130:I193" si="8">INDEX($B$2:$B$478,MATCH(G130,$D$2:$D$478,0))</f>
        <v>19352</v>
      </c>
    </row>
    <row r="131" spans="1:9" x14ac:dyDescent="0.3">
      <c r="A131" s="33" t="s">
        <v>1375</v>
      </c>
      <c r="B131" cm="1">
        <f t="array" ref="B131">SUMPRODUCT((Registro!$D$2:$D$1040=A131)*Registro!$L$2:$L$1040)</f>
        <v>1700</v>
      </c>
      <c r="C131" s="23">
        <f t="shared" si="6"/>
        <v>1700.000131</v>
      </c>
      <c r="D131" s="24">
        <f>_xlfn.RANK.EQ(C131,$C$2:C$338)</f>
        <v>285</v>
      </c>
      <c r="G131" s="28">
        <v>130</v>
      </c>
      <c r="H131" s="29" t="str">
        <f t="shared" si="7"/>
        <v>Mancila, Manuel de</v>
      </c>
      <c r="I131" s="30">
        <f t="shared" si="8"/>
        <v>19200</v>
      </c>
    </row>
    <row r="132" spans="1:9" x14ac:dyDescent="0.3">
      <c r="A132" s="33" t="s">
        <v>1536</v>
      </c>
      <c r="B132" cm="1">
        <f t="array" ref="B132">SUMPRODUCT((Registro!$D$2:$D$1040=A132)*Registro!$L$2:$L$1040)</f>
        <v>66124</v>
      </c>
      <c r="C132" s="23">
        <f t="shared" si="6"/>
        <v>66124.000132000001</v>
      </c>
      <c r="D132" s="24">
        <f>_xlfn.RANK.EQ(C132,$C$2:C$338)</f>
        <v>51</v>
      </c>
      <c r="G132" s="28">
        <v>131</v>
      </c>
      <c r="H132" s="29" t="str">
        <f t="shared" si="7"/>
        <v>García Prieto, Juan</v>
      </c>
      <c r="I132" s="30">
        <f t="shared" si="8"/>
        <v>18956</v>
      </c>
    </row>
    <row r="133" spans="1:9" x14ac:dyDescent="0.3">
      <c r="A133" s="33" t="s">
        <v>1385</v>
      </c>
      <c r="B133" cm="1">
        <f t="array" ref="B133">SUMPRODUCT((Registro!$D$2:$D$1040=A133)*Registro!$L$2:$L$1040)</f>
        <v>2816</v>
      </c>
      <c r="C133" s="23">
        <f t="shared" si="6"/>
        <v>2816.000133</v>
      </c>
      <c r="D133" s="24">
        <f>_xlfn.RANK.EQ(C133,$C$2:C$338)</f>
        <v>265</v>
      </c>
      <c r="G133" s="28">
        <v>132</v>
      </c>
      <c r="H133" s="29" t="str">
        <f t="shared" si="7"/>
        <v>Meza, Juan de</v>
      </c>
      <c r="I133" s="30">
        <f t="shared" si="8"/>
        <v>18427</v>
      </c>
    </row>
    <row r="134" spans="1:9" x14ac:dyDescent="0.3">
      <c r="A134" s="33" t="s">
        <v>1365</v>
      </c>
      <c r="B134" cm="1">
        <f t="array" ref="B134">SUMPRODUCT((Registro!$D$2:$D$1040=A134)*Registro!$L$2:$L$1040)</f>
        <v>17943</v>
      </c>
      <c r="C134" s="23">
        <f t="shared" si="6"/>
        <v>17943.000134000002</v>
      </c>
      <c r="D134" s="24">
        <f>_xlfn.RANK.EQ(C134,$C$2:C$338)</f>
        <v>136</v>
      </c>
      <c r="G134" s="28">
        <v>133</v>
      </c>
      <c r="H134" s="29" t="str">
        <f t="shared" si="7"/>
        <v>Gonzáles, Manuel</v>
      </c>
      <c r="I134" s="30">
        <f t="shared" si="8"/>
        <v>18076</v>
      </c>
    </row>
    <row r="135" spans="1:9" x14ac:dyDescent="0.3">
      <c r="A135" s="33" t="s">
        <v>1573</v>
      </c>
      <c r="B135" cm="1">
        <f t="array" ref="B135">SUMPRODUCT((Registro!$D$2:$D$1040=A135)*Registro!$L$2:$L$1040)</f>
        <v>18076</v>
      </c>
      <c r="C135" s="23">
        <f t="shared" si="6"/>
        <v>18076.000134999998</v>
      </c>
      <c r="D135" s="24">
        <f>_xlfn.RANK.EQ(C135,$C$2:C$338)</f>
        <v>133</v>
      </c>
      <c r="G135" s="28">
        <v>134</v>
      </c>
      <c r="H135" s="29" t="str">
        <f t="shared" si="7"/>
        <v>Levanto, Joseph de</v>
      </c>
      <c r="I135" s="30">
        <f t="shared" si="8"/>
        <v>18014</v>
      </c>
    </row>
    <row r="136" spans="1:9" x14ac:dyDescent="0.3">
      <c r="A136" s="33" t="s">
        <v>1263</v>
      </c>
      <c r="B136" cm="1">
        <f t="array" ref="B136">SUMPRODUCT((Registro!$D$2:$D$1040=A136)*Registro!$L$2:$L$1040)</f>
        <v>8107</v>
      </c>
      <c r="C136" s="23">
        <f t="shared" si="6"/>
        <v>8107.0001359999997</v>
      </c>
      <c r="D136" s="24">
        <f>_xlfn.RANK.EQ(C136,$C$2:C$338)</f>
        <v>197</v>
      </c>
      <c r="G136" s="28">
        <v>135</v>
      </c>
      <c r="H136" s="29" t="str">
        <f t="shared" si="7"/>
        <v>Santa Cruz, Andrés de</v>
      </c>
      <c r="I136" s="30">
        <f t="shared" si="8"/>
        <v>17952</v>
      </c>
    </row>
    <row r="137" spans="1:9" x14ac:dyDescent="0.3">
      <c r="A137" s="33" t="s">
        <v>1604</v>
      </c>
      <c r="B137" cm="1">
        <f t="array" ref="B137">SUMPRODUCT((Registro!$D$2:$D$1040=A137)*Registro!$L$2:$L$1040)</f>
        <v>4160</v>
      </c>
      <c r="C137" s="23">
        <f t="shared" si="6"/>
        <v>4160.000137</v>
      </c>
      <c r="D137" s="24">
        <f>_xlfn.RANK.EQ(C137,$C$2:C$338)</f>
        <v>245</v>
      </c>
      <c r="G137" s="28">
        <v>136</v>
      </c>
      <c r="H137" s="29" t="str">
        <f t="shared" si="7"/>
        <v>Montalván, Baltazar de</v>
      </c>
      <c r="I137" s="30">
        <f t="shared" si="8"/>
        <v>17943</v>
      </c>
    </row>
    <row r="138" spans="1:9" x14ac:dyDescent="0.3">
      <c r="A138" s="33" t="s">
        <v>1382</v>
      </c>
      <c r="B138" cm="1">
        <f t="array" ref="B138">SUMPRODUCT((Registro!$D$2:$D$1040=A138)*Registro!$L$2:$L$1040)</f>
        <v>1250</v>
      </c>
      <c r="C138" s="23">
        <f t="shared" si="6"/>
        <v>1250.0001380000001</v>
      </c>
      <c r="D138" s="24">
        <f>_xlfn.RANK.EQ(C138,$C$2:C$338)</f>
        <v>294</v>
      </c>
      <c r="G138" s="28">
        <v>137</v>
      </c>
      <c r="H138" s="29" t="str">
        <f t="shared" si="7"/>
        <v>Arana, Diego de</v>
      </c>
      <c r="I138" s="30">
        <f t="shared" si="8"/>
        <v>17847</v>
      </c>
    </row>
    <row r="139" spans="1:9" x14ac:dyDescent="0.3">
      <c r="A139" s="33" t="s">
        <v>1480</v>
      </c>
      <c r="B139" cm="1">
        <f t="array" ref="B139">SUMPRODUCT((Registro!$D$2:$D$1040=A139)*Registro!$L$2:$L$1040)</f>
        <v>800</v>
      </c>
      <c r="C139" s="23">
        <f t="shared" si="6"/>
        <v>800.00013899999999</v>
      </c>
      <c r="D139" s="24">
        <f>_xlfn.RANK.EQ(C139,$C$2:C$338)</f>
        <v>305</v>
      </c>
      <c r="G139" s="28">
        <v>138</v>
      </c>
      <c r="H139" s="29" t="str">
        <f t="shared" si="7"/>
        <v>Quesala, Juan Santos de</v>
      </c>
      <c r="I139" s="30">
        <f t="shared" si="8"/>
        <v>17196</v>
      </c>
    </row>
    <row r="140" spans="1:9" x14ac:dyDescent="0.3">
      <c r="A140" s="33" t="s">
        <v>1251</v>
      </c>
      <c r="B140" cm="1">
        <f t="array" ref="B140">SUMPRODUCT((Registro!$D$2:$D$1040=A140)*Registro!$L$2:$L$1040)</f>
        <v>17196</v>
      </c>
      <c r="C140" s="23">
        <f t="shared" si="6"/>
        <v>17196.00014</v>
      </c>
      <c r="D140" s="24">
        <f>_xlfn.RANK.EQ(C140,$C$2:C$338)</f>
        <v>138</v>
      </c>
      <c r="G140" s="28">
        <v>139</v>
      </c>
      <c r="H140" s="29" t="str">
        <f t="shared" si="7"/>
        <v>Ríos y Rivera, Alonso de los</v>
      </c>
      <c r="I140" s="30">
        <f t="shared" si="8"/>
        <v>16500</v>
      </c>
    </row>
    <row r="141" spans="1:9" x14ac:dyDescent="0.3">
      <c r="A141" s="33" t="s">
        <v>1352</v>
      </c>
      <c r="B141" cm="1">
        <f t="array" ref="B141">SUMPRODUCT((Registro!$D$2:$D$1040=A141)*Registro!$L$2:$L$1040)</f>
        <v>62525</v>
      </c>
      <c r="C141" s="23">
        <f t="shared" si="6"/>
        <v>62525.000140999997</v>
      </c>
      <c r="D141" s="24">
        <f>_xlfn.RANK.EQ(C141,$C$2:C$338)</f>
        <v>55</v>
      </c>
      <c r="G141" s="28">
        <v>140</v>
      </c>
      <c r="H141" s="29" t="str">
        <f t="shared" si="7"/>
        <v>Gavina, Mateo de</v>
      </c>
      <c r="I141" s="30">
        <f t="shared" si="8"/>
        <v>16408</v>
      </c>
    </row>
    <row r="142" spans="1:9" x14ac:dyDescent="0.3">
      <c r="A142" s="33" t="s">
        <v>1328</v>
      </c>
      <c r="B142" cm="1">
        <f t="array" ref="B142">SUMPRODUCT((Registro!$D$2:$D$1040=A142)*Registro!$L$2:$L$1040)</f>
        <v>10296</v>
      </c>
      <c r="C142" s="23">
        <f t="shared" si="6"/>
        <v>10296.000142000001</v>
      </c>
      <c r="D142" s="24">
        <f>_xlfn.RANK.EQ(C142,$C$2:C$338)</f>
        <v>172</v>
      </c>
      <c r="G142" s="28">
        <v>141</v>
      </c>
      <c r="H142" s="29" t="str">
        <f t="shared" si="7"/>
        <v>Peña, Juan de la</v>
      </c>
      <c r="I142" s="30">
        <f t="shared" si="8"/>
        <v>16152</v>
      </c>
    </row>
    <row r="143" spans="1:9" x14ac:dyDescent="0.3">
      <c r="A143" s="33" t="s">
        <v>1275</v>
      </c>
      <c r="B143" cm="1">
        <f t="array" ref="B143">SUMPRODUCT((Registro!$D$2:$D$1040=A143)*Registro!$L$2:$L$1040)</f>
        <v>10060</v>
      </c>
      <c r="C143" s="23">
        <f t="shared" si="6"/>
        <v>10060.000142999999</v>
      </c>
      <c r="D143" s="24">
        <f>_xlfn.RANK.EQ(C143,$C$2:C$338)</f>
        <v>175</v>
      </c>
      <c r="G143" s="28">
        <v>142</v>
      </c>
      <c r="H143" s="29" t="str">
        <f t="shared" si="7"/>
        <v>Irrazábal, Juan de</v>
      </c>
      <c r="I143" s="30">
        <f t="shared" si="8"/>
        <v>15782</v>
      </c>
    </row>
    <row r="144" spans="1:9" x14ac:dyDescent="0.3">
      <c r="A144" s="33" t="s">
        <v>1401</v>
      </c>
      <c r="B144" cm="1">
        <f t="array" ref="B144">SUMPRODUCT((Registro!$D$2:$D$1040=A144)*Registro!$L$2:$L$1040)</f>
        <v>20558</v>
      </c>
      <c r="C144" s="23">
        <f t="shared" si="6"/>
        <v>20558.000144000001</v>
      </c>
      <c r="D144" s="24">
        <f>_xlfn.RANK.EQ(C144,$C$2:C$338)</f>
        <v>122</v>
      </c>
      <c r="G144" s="28">
        <v>143</v>
      </c>
      <c r="H144" s="29" t="str">
        <f t="shared" si="7"/>
        <v>Ahumada, Juan Martín de</v>
      </c>
      <c r="I144" s="30">
        <f t="shared" si="8"/>
        <v>15400</v>
      </c>
    </row>
    <row r="145" spans="1:9" x14ac:dyDescent="0.3">
      <c r="A145" s="33" t="s">
        <v>1533</v>
      </c>
      <c r="B145" cm="1">
        <f t="array" ref="B145">SUMPRODUCT((Registro!$D$2:$D$1040=A145)*Registro!$L$2:$L$1040)</f>
        <v>4000</v>
      </c>
      <c r="C145" s="23">
        <f t="shared" si="6"/>
        <v>4000.000145</v>
      </c>
      <c r="D145" s="24">
        <f>_xlfn.RANK.EQ(C145,$C$2:C$338)</f>
        <v>250</v>
      </c>
      <c r="G145" s="28">
        <v>144</v>
      </c>
      <c r="H145" s="29" t="str">
        <f t="shared" si="7"/>
        <v>Salgado, Francisco</v>
      </c>
      <c r="I145" s="30">
        <f t="shared" si="8"/>
        <v>15160</v>
      </c>
    </row>
    <row r="146" spans="1:9" x14ac:dyDescent="0.3">
      <c r="A146" s="33" t="s">
        <v>1620</v>
      </c>
      <c r="B146" cm="1">
        <f t="array" ref="B146">SUMPRODUCT((Registro!$D$2:$D$1040=A146)*Registro!$L$2:$L$1040)</f>
        <v>79117</v>
      </c>
      <c r="C146" s="23">
        <f t="shared" si="6"/>
        <v>79117.000146000006</v>
      </c>
      <c r="D146" s="24">
        <f>_xlfn.RANK.EQ(C146,$C$2:C$338)</f>
        <v>40</v>
      </c>
      <c r="G146" s="28">
        <v>145</v>
      </c>
      <c r="H146" s="29" t="str">
        <f t="shared" si="7"/>
        <v>Pacheco, Pedro</v>
      </c>
      <c r="I146" s="30">
        <f t="shared" si="8"/>
        <v>15000</v>
      </c>
    </row>
    <row r="147" spans="1:9" x14ac:dyDescent="0.3">
      <c r="A147" s="34" t="s">
        <v>1255</v>
      </c>
      <c r="B147" cm="1">
        <f t="array" ref="B147">SUMPRODUCT((Registro!$D$2:$D$1040=A147)*Registro!$L$2:$L$1040)</f>
        <v>68738</v>
      </c>
      <c r="C147" s="23">
        <f t="shared" si="6"/>
        <v>68738.000146999999</v>
      </c>
      <c r="D147" s="24">
        <f>_xlfn.RANK.EQ(C147,$C$2:C$338)</f>
        <v>47</v>
      </c>
      <c r="G147" s="28">
        <v>146</v>
      </c>
      <c r="H147" s="29" t="str">
        <f t="shared" si="7"/>
        <v>Muñóz Guerrero, Sebastián</v>
      </c>
      <c r="I147" s="30">
        <f t="shared" si="8"/>
        <v>14548</v>
      </c>
    </row>
    <row r="148" spans="1:9" x14ac:dyDescent="0.3">
      <c r="A148" s="33" t="s">
        <v>1609</v>
      </c>
      <c r="B148" cm="1">
        <f t="array" ref="B148">SUMPRODUCT((Registro!$D$2:$D$1040=A148)*Registro!$L$2:$L$1040)</f>
        <v>10900</v>
      </c>
      <c r="C148" s="23">
        <f t="shared" si="6"/>
        <v>10900.000147999999</v>
      </c>
      <c r="D148" s="24">
        <f>_xlfn.RANK.EQ(C148,$C$2:C$338)</f>
        <v>164</v>
      </c>
      <c r="G148" s="28">
        <v>147</v>
      </c>
      <c r="H148" s="29" t="str">
        <f t="shared" si="7"/>
        <v>Vásquez, Pedro</v>
      </c>
      <c r="I148" s="30">
        <f t="shared" si="8"/>
        <v>14400</v>
      </c>
    </row>
    <row r="149" spans="1:9" x14ac:dyDescent="0.3">
      <c r="A149" s="34" t="s">
        <v>1559</v>
      </c>
      <c r="B149" cm="1">
        <f t="array" ref="B149">SUMPRODUCT((Registro!$D$2:$D$1040=A149)*Registro!$L$2:$L$1040)</f>
        <v>36059</v>
      </c>
      <c r="C149" s="23">
        <f t="shared" si="6"/>
        <v>36059.000149</v>
      </c>
      <c r="D149" s="24">
        <f>_xlfn.RANK.EQ(C149,$C$2:C$338)</f>
        <v>89</v>
      </c>
      <c r="G149" s="28">
        <v>148</v>
      </c>
      <c r="H149" s="29" t="str">
        <f t="shared" si="7"/>
        <v>Chacón, Tomás</v>
      </c>
      <c r="I149" s="30">
        <f t="shared" si="8"/>
        <v>14387</v>
      </c>
    </row>
    <row r="150" spans="1:9" x14ac:dyDescent="0.3">
      <c r="A150" s="33" t="s">
        <v>1481</v>
      </c>
      <c r="B150" cm="1">
        <f t="array" ref="B150">SUMPRODUCT((Registro!$D$2:$D$1040=A150)*Registro!$L$2:$L$1040)</f>
        <v>13185</v>
      </c>
      <c r="C150" s="23">
        <f t="shared" si="6"/>
        <v>13185.00015</v>
      </c>
      <c r="D150" s="24">
        <f>_xlfn.RANK.EQ(C150,$C$2:C$338)</f>
        <v>152</v>
      </c>
      <c r="G150" s="28">
        <v>149</v>
      </c>
      <c r="H150" s="29" t="str">
        <f t="shared" si="7"/>
        <v>Gonzáles Deza, Juan</v>
      </c>
      <c r="I150" s="30">
        <f t="shared" si="8"/>
        <v>14116</v>
      </c>
    </row>
    <row r="151" spans="1:9" x14ac:dyDescent="0.3">
      <c r="A151" s="34" t="s">
        <v>1256</v>
      </c>
      <c r="B151" cm="1">
        <f t="array" ref="B151">SUMPRODUCT((Registro!$D$2:$D$1040=A151)*Registro!$L$2:$L$1040)</f>
        <v>47141</v>
      </c>
      <c r="C151" s="23">
        <f t="shared" si="6"/>
        <v>47141.000151</v>
      </c>
      <c r="D151" s="24">
        <f>_xlfn.RANK.EQ(C151,$C$2:C$338)</f>
        <v>72</v>
      </c>
      <c r="G151" s="28">
        <v>150</v>
      </c>
      <c r="H151" s="29" t="str">
        <f t="shared" si="7"/>
        <v>Casas, Francisco de</v>
      </c>
      <c r="I151" s="30">
        <f t="shared" si="8"/>
        <v>14102</v>
      </c>
    </row>
    <row r="152" spans="1:9" x14ac:dyDescent="0.3">
      <c r="A152" s="34" t="s">
        <v>1491</v>
      </c>
      <c r="B152" cm="1">
        <f t="array" ref="B152">SUMPRODUCT((Registro!$D$2:$D$1040=A152)*Registro!$L$2:$L$1040)</f>
        <v>159795</v>
      </c>
      <c r="C152" s="23">
        <f t="shared" si="6"/>
        <v>159795.00015199999</v>
      </c>
      <c r="D152" s="24">
        <f>_xlfn.RANK.EQ(C152,$C$2:C$338)</f>
        <v>15</v>
      </c>
      <c r="G152" s="28">
        <v>151</v>
      </c>
      <c r="H152" s="29" t="str">
        <f t="shared" si="7"/>
        <v>López de Lozada, Amaro</v>
      </c>
      <c r="I152" s="30">
        <f t="shared" si="8"/>
        <v>13526</v>
      </c>
    </row>
    <row r="153" spans="1:9" x14ac:dyDescent="0.3">
      <c r="A153" s="33" t="s">
        <v>1586</v>
      </c>
      <c r="B153" cm="1">
        <f t="array" ref="B153">SUMPRODUCT((Registro!$D$2:$D$1040=A153)*Registro!$L$2:$L$1040)</f>
        <v>43656</v>
      </c>
      <c r="C153" s="23">
        <f t="shared" si="6"/>
        <v>43656.000153000001</v>
      </c>
      <c r="D153" s="24">
        <f>_xlfn.RANK.EQ(C153,$C$2:C$338)</f>
        <v>78</v>
      </c>
      <c r="G153" s="28">
        <v>152</v>
      </c>
      <c r="H153" s="29" t="str">
        <f t="shared" si="7"/>
        <v>Cano Pulgarín, Gonzalo</v>
      </c>
      <c r="I153" s="30">
        <f t="shared" si="8"/>
        <v>13185</v>
      </c>
    </row>
    <row r="154" spans="1:9" x14ac:dyDescent="0.3">
      <c r="A154" s="33" t="s">
        <v>1666</v>
      </c>
      <c r="B154" cm="1">
        <f t="array" ref="B154">SUMPRODUCT((Registro!$D$2:$D$1040=A154)*Registro!$L$2:$L$1040)</f>
        <v>87947</v>
      </c>
      <c r="C154" s="23">
        <f t="shared" si="6"/>
        <v>87947.000153999994</v>
      </c>
      <c r="D154" s="24">
        <f>_xlfn.RANK.EQ(C154,$C$2:C$338)</f>
        <v>39</v>
      </c>
      <c r="G154" s="28">
        <v>153</v>
      </c>
      <c r="H154" s="29" t="str">
        <f t="shared" si="7"/>
        <v>Isea, Juan de</v>
      </c>
      <c r="I154" s="30">
        <f t="shared" si="8"/>
        <v>12808</v>
      </c>
    </row>
    <row r="155" spans="1:9" x14ac:dyDescent="0.3">
      <c r="A155" s="34" t="s">
        <v>1259</v>
      </c>
      <c r="B155" cm="1">
        <f t="array" ref="B155">SUMPRODUCT((Registro!$D$2:$D$1040=A155)*Registro!$L$2:$L$1040)</f>
        <v>760</v>
      </c>
      <c r="C155" s="23">
        <f t="shared" si="6"/>
        <v>760.00015499999995</v>
      </c>
      <c r="D155" s="24">
        <f>_xlfn.RANK.EQ(C155,$C$2:C$338)</f>
        <v>307</v>
      </c>
      <c r="G155" s="28">
        <v>154</v>
      </c>
      <c r="H155" s="29" t="str">
        <f t="shared" si="7"/>
        <v>Ramos de Aguiar, Francisco</v>
      </c>
      <c r="I155" s="30">
        <f t="shared" si="8"/>
        <v>12600</v>
      </c>
    </row>
    <row r="156" spans="1:9" x14ac:dyDescent="0.3">
      <c r="A156" s="33" t="s">
        <v>1493</v>
      </c>
      <c r="B156" cm="1">
        <f t="array" ref="B156">SUMPRODUCT((Registro!$D$2:$D$1040=A156)*Registro!$L$2:$L$1040)</f>
        <v>29618</v>
      </c>
      <c r="C156" s="23">
        <f t="shared" si="6"/>
        <v>29618.000155999998</v>
      </c>
      <c r="D156" s="24">
        <f>_xlfn.RANK.EQ(C156,$C$2:C$338)</f>
        <v>95</v>
      </c>
      <c r="G156" s="28">
        <v>155</v>
      </c>
      <c r="H156" s="29" t="str">
        <f t="shared" si="7"/>
        <v>Vera, Bernardo de</v>
      </c>
      <c r="I156" s="30">
        <f t="shared" si="8"/>
        <v>12518</v>
      </c>
    </row>
    <row r="157" spans="1:9" x14ac:dyDescent="0.3">
      <c r="A157" s="33" t="s">
        <v>1534</v>
      </c>
      <c r="B157" cm="1">
        <f t="array" ref="B157">SUMPRODUCT((Registro!$D$2:$D$1040=A157)*Registro!$L$2:$L$1040)</f>
        <v>12500</v>
      </c>
      <c r="C157" s="23">
        <f t="shared" si="6"/>
        <v>12500.000157</v>
      </c>
      <c r="D157" s="24">
        <f>_xlfn.RANK.EQ(C157,$C$2:C$338)</f>
        <v>158</v>
      </c>
      <c r="G157" s="28">
        <v>156</v>
      </c>
      <c r="H157" s="29" t="str">
        <f t="shared" si="7"/>
        <v>Villapol, Esteban de</v>
      </c>
      <c r="I157" s="30">
        <f t="shared" si="8"/>
        <v>12500</v>
      </c>
    </row>
    <row r="158" spans="1:9" x14ac:dyDescent="0.3">
      <c r="A158" s="33" t="s">
        <v>1525</v>
      </c>
      <c r="B158" cm="1">
        <f t="array" ref="B158">SUMPRODUCT((Registro!$D$2:$D$1040=A158)*Registro!$L$2:$L$1040)</f>
        <v>33385</v>
      </c>
      <c r="C158" s="23">
        <f t="shared" si="6"/>
        <v>33385.000158000003</v>
      </c>
      <c r="D158" s="24">
        <f>_xlfn.RANK.EQ(C158,$C$2:C$338)</f>
        <v>92</v>
      </c>
      <c r="G158" s="28">
        <v>157</v>
      </c>
      <c r="H158" s="29" t="str">
        <f t="shared" si="7"/>
        <v>Rubin, Tomás</v>
      </c>
      <c r="I158" s="30">
        <f t="shared" si="8"/>
        <v>12500</v>
      </c>
    </row>
    <row r="159" spans="1:9" x14ac:dyDescent="0.3">
      <c r="A159" s="33" t="s">
        <v>1526</v>
      </c>
      <c r="B159" cm="1">
        <f t="array" ref="B159">SUMPRODUCT((Registro!$D$2:$D$1040=A159)*Registro!$L$2:$L$1040)</f>
        <v>12808</v>
      </c>
      <c r="C159" s="23">
        <f t="shared" si="6"/>
        <v>12808.000158999999</v>
      </c>
      <c r="D159" s="24">
        <f>_xlfn.RANK.EQ(C159,$C$2:C$338)</f>
        <v>153</v>
      </c>
      <c r="G159" s="28">
        <v>158</v>
      </c>
      <c r="H159" s="29" t="str">
        <f t="shared" si="7"/>
        <v>Morales, Juan de</v>
      </c>
      <c r="I159" s="30">
        <f t="shared" si="8"/>
        <v>12500</v>
      </c>
    </row>
    <row r="160" spans="1:9" x14ac:dyDescent="0.3">
      <c r="A160" s="33" t="s">
        <v>1574</v>
      </c>
      <c r="B160" cm="1">
        <f t="array" ref="B160">SUMPRODUCT((Registro!$D$2:$D$1040=A160)*Registro!$L$2:$L$1040)</f>
        <v>247451</v>
      </c>
      <c r="C160" s="23">
        <f t="shared" si="6"/>
        <v>247451.00016</v>
      </c>
      <c r="D160" s="24">
        <f>_xlfn.RANK.EQ(C160,$C$2:C$338)</f>
        <v>9</v>
      </c>
      <c r="G160" s="28">
        <v>159</v>
      </c>
      <c r="H160" s="29" t="str">
        <f t="shared" si="7"/>
        <v>Azarbe, Francisco de</v>
      </c>
      <c r="I160" s="30">
        <f t="shared" si="8"/>
        <v>12360</v>
      </c>
    </row>
    <row r="161" spans="1:9" x14ac:dyDescent="0.3">
      <c r="A161" s="33" t="s">
        <v>1664</v>
      </c>
      <c r="B161" cm="1">
        <f t="array" ref="B161">SUMPRODUCT((Registro!$D$2:$D$1040=A161)*Registro!$L$2:$L$1040)</f>
        <v>54841</v>
      </c>
      <c r="C161" s="23">
        <f t="shared" si="6"/>
        <v>54841.000161000004</v>
      </c>
      <c r="D161" s="24">
        <f>_xlfn.RANK.EQ(C161,$C$2:C$338)</f>
        <v>62</v>
      </c>
      <c r="G161" s="28">
        <v>160</v>
      </c>
      <c r="H161" s="29" t="str">
        <f t="shared" si="7"/>
        <v>García Dávila, Juan</v>
      </c>
      <c r="I161" s="30">
        <f t="shared" si="8"/>
        <v>12000</v>
      </c>
    </row>
    <row r="162" spans="1:9" x14ac:dyDescent="0.3">
      <c r="A162" s="33" t="s">
        <v>1538</v>
      </c>
      <c r="B162" cm="1">
        <f t="array" ref="B162">SUMPRODUCT((Registro!$D$2:$D$1040=A162)*Registro!$L$2:$L$1040)</f>
        <v>11031</v>
      </c>
      <c r="C162" s="23">
        <f t="shared" si="6"/>
        <v>11031.000162</v>
      </c>
      <c r="D162" s="24">
        <f>_xlfn.RANK.EQ(C162,$C$2:C$338)</f>
        <v>163</v>
      </c>
      <c r="G162" s="28">
        <v>161</v>
      </c>
      <c r="H162" s="29" t="str">
        <f t="shared" si="7"/>
        <v>Coello de Fonseca, Manuel</v>
      </c>
      <c r="I162" s="30">
        <f t="shared" si="8"/>
        <v>11860</v>
      </c>
    </row>
    <row r="163" spans="1:9" x14ac:dyDescent="0.3">
      <c r="A163" s="34" t="s">
        <v>1261</v>
      </c>
      <c r="B163" cm="1">
        <f t="array" ref="B163">SUMPRODUCT((Registro!$D$2:$D$1040=A163)*Registro!$L$2:$L$1040)</f>
        <v>22719</v>
      </c>
      <c r="C163" s="23">
        <f t="shared" si="6"/>
        <v>22719.000163000001</v>
      </c>
      <c r="D163" s="24">
        <f>_xlfn.RANK.EQ(C163,$C$2:C$338)</f>
        <v>115</v>
      </c>
      <c r="G163" s="28">
        <v>162</v>
      </c>
      <c r="H163" s="29" t="str">
        <f t="shared" si="7"/>
        <v>Aguilar, Gerónimo de</v>
      </c>
      <c r="I163" s="30">
        <f t="shared" si="8"/>
        <v>11136</v>
      </c>
    </row>
    <row r="164" spans="1:9" x14ac:dyDescent="0.3">
      <c r="A164" s="33" t="s">
        <v>1262</v>
      </c>
      <c r="B164" cm="1">
        <f t="array" ref="B164">SUMPRODUCT((Registro!$D$2:$D$1040=A164)*Registro!$L$2:$L$1040)</f>
        <v>34272</v>
      </c>
      <c r="C164" s="23">
        <f t="shared" si="6"/>
        <v>34272.000163999997</v>
      </c>
      <c r="D164" s="24">
        <f>_xlfn.RANK.EQ(C164,$C$2:C$338)</f>
        <v>91</v>
      </c>
      <c r="G164" s="28">
        <v>163</v>
      </c>
      <c r="H164" s="29" t="str">
        <f t="shared" si="7"/>
        <v>Iturbe, Juan de</v>
      </c>
      <c r="I164" s="30">
        <f t="shared" si="8"/>
        <v>11031</v>
      </c>
    </row>
    <row r="165" spans="1:9" x14ac:dyDescent="0.3">
      <c r="A165" s="33" t="s">
        <v>1366</v>
      </c>
      <c r="B165" cm="1">
        <f t="array" ref="B165">SUMPRODUCT((Registro!$D$2:$D$1040=A165)*Registro!$L$2:$L$1040)</f>
        <v>43333</v>
      </c>
      <c r="C165" s="23">
        <f t="shared" si="6"/>
        <v>43333.000164999998</v>
      </c>
      <c r="D165" s="24">
        <f>_xlfn.RANK.EQ(C165,$C$2:C$338)</f>
        <v>79</v>
      </c>
      <c r="G165" s="28">
        <v>164</v>
      </c>
      <c r="H165" s="29" t="str">
        <f t="shared" si="7"/>
        <v>Chacón, Pedro Hidalgo</v>
      </c>
      <c r="I165" s="30">
        <f t="shared" si="8"/>
        <v>10900</v>
      </c>
    </row>
    <row r="166" spans="1:9" x14ac:dyDescent="0.3">
      <c r="A166" s="33" t="s">
        <v>1591</v>
      </c>
      <c r="B166" cm="1">
        <f t="array" ref="B166">SUMPRODUCT((Registro!$D$2:$D$1040=A166)*Registro!$L$2:$L$1040)</f>
        <v>160</v>
      </c>
      <c r="C166" s="23">
        <f t="shared" si="6"/>
        <v>160.00016600000001</v>
      </c>
      <c r="D166" s="24">
        <f>_xlfn.RANK.EQ(C166,$C$2:C$338)</f>
        <v>335</v>
      </c>
      <c r="G166" s="28">
        <v>165</v>
      </c>
      <c r="H166" s="29" t="str">
        <f t="shared" si="7"/>
        <v>Irrazábal, Joseph de</v>
      </c>
      <c r="I166" s="30">
        <f t="shared" si="8"/>
        <v>10829</v>
      </c>
    </row>
    <row r="167" spans="1:9" x14ac:dyDescent="0.3">
      <c r="A167" s="33" t="s">
        <v>1571</v>
      </c>
      <c r="B167" cm="1">
        <f t="array" ref="B167">SUMPRODUCT((Registro!$D$2:$D$1040=A167)*Registro!$L$2:$L$1040)</f>
        <v>10374</v>
      </c>
      <c r="C167" s="23">
        <f t="shared" si="6"/>
        <v>10374.000167</v>
      </c>
      <c r="D167" s="24">
        <f>_xlfn.RANK.EQ(C167,$C$2:C$338)</f>
        <v>171</v>
      </c>
      <c r="G167" s="28">
        <v>166</v>
      </c>
      <c r="H167" s="29" t="str">
        <f t="shared" si="7"/>
        <v>Garnica, Sebastián de</v>
      </c>
      <c r="I167" s="30">
        <f t="shared" si="8"/>
        <v>10800</v>
      </c>
    </row>
    <row r="168" spans="1:9" x14ac:dyDescent="0.3">
      <c r="A168" s="33" t="s">
        <v>1446</v>
      </c>
      <c r="B168" cm="1">
        <f t="array" ref="B168">SUMPRODUCT((Registro!$D$2:$D$1040=A168)*Registro!$L$2:$L$1040)</f>
        <v>69006</v>
      </c>
      <c r="C168" s="23">
        <f t="shared" si="6"/>
        <v>69006.000167999999</v>
      </c>
      <c r="D168" s="24">
        <f>_xlfn.RANK.EQ(C168,$C$2:C$338)</f>
        <v>45</v>
      </c>
      <c r="G168" s="28">
        <v>167</v>
      </c>
      <c r="H168" s="29" t="str">
        <f t="shared" si="7"/>
        <v>Gómez Portaces, Antonio</v>
      </c>
      <c r="I168" s="30">
        <f t="shared" si="8"/>
        <v>10788</v>
      </c>
    </row>
    <row r="169" spans="1:9" x14ac:dyDescent="0.3">
      <c r="A169" s="33" t="s">
        <v>1496</v>
      </c>
      <c r="B169" cm="1">
        <f t="array" ref="B169">SUMPRODUCT((Registro!$D$2:$D$1040=A169)*Registro!$L$2:$L$1040)</f>
        <v>10829</v>
      </c>
      <c r="C169" s="23">
        <f t="shared" si="6"/>
        <v>10829.000169000001</v>
      </c>
      <c r="D169" s="24">
        <f>_xlfn.RANK.EQ(C169,$C$2:C$338)</f>
        <v>165</v>
      </c>
      <c r="G169" s="28">
        <v>168</v>
      </c>
      <c r="H169" s="29" t="str">
        <f t="shared" si="7"/>
        <v>Carcelén de Guevara, Diego</v>
      </c>
      <c r="I169" s="30">
        <f t="shared" si="8"/>
        <v>10703</v>
      </c>
    </row>
    <row r="170" spans="1:9" x14ac:dyDescent="0.3">
      <c r="A170" s="33" t="s">
        <v>1471</v>
      </c>
      <c r="B170" cm="1">
        <f t="array" ref="B170">SUMPRODUCT((Registro!$D$2:$D$1040=A170)*Registro!$L$2:$L$1040)</f>
        <v>67482</v>
      </c>
      <c r="C170" s="23">
        <f t="shared" si="6"/>
        <v>67482.000169999999</v>
      </c>
      <c r="D170" s="24">
        <f>_xlfn.RANK.EQ(C170,$C$2:C$338)</f>
        <v>50</v>
      </c>
      <c r="G170" s="28">
        <v>169</v>
      </c>
      <c r="H170" s="29" t="str">
        <f t="shared" si="7"/>
        <v>Buize, Victoriano de</v>
      </c>
      <c r="I170" s="30">
        <f t="shared" si="8"/>
        <v>10608</v>
      </c>
    </row>
    <row r="171" spans="1:9" x14ac:dyDescent="0.3">
      <c r="A171" s="33" t="s">
        <v>1289</v>
      </c>
      <c r="B171" cm="1">
        <f t="array" ref="B171">SUMPRODUCT((Registro!$D$2:$D$1040=A171)*Registro!$L$2:$L$1040)</f>
        <v>25100</v>
      </c>
      <c r="C171" s="23">
        <f t="shared" si="6"/>
        <v>25100.000171</v>
      </c>
      <c r="D171" s="24">
        <f>_xlfn.RANK.EQ(C171,$C$2:C$338)</f>
        <v>109</v>
      </c>
      <c r="G171" s="28">
        <v>170</v>
      </c>
      <c r="H171" s="29" t="str">
        <f t="shared" si="7"/>
        <v>Álvarez de Balcazar, Juan</v>
      </c>
      <c r="I171" s="30">
        <f t="shared" si="8"/>
        <v>10550</v>
      </c>
    </row>
    <row r="172" spans="1:9" x14ac:dyDescent="0.3">
      <c r="A172" s="33" t="s">
        <v>1576</v>
      </c>
      <c r="B172" cm="1">
        <f t="array" ref="B172">SUMPRODUCT((Registro!$D$2:$D$1040=A172)*Registro!$L$2:$L$1040)</f>
        <v>25645</v>
      </c>
      <c r="C172" s="23">
        <f t="shared" si="6"/>
        <v>25645.000172</v>
      </c>
      <c r="D172" s="24">
        <f>_xlfn.RANK.EQ(C172,$C$2:C$338)</f>
        <v>108</v>
      </c>
      <c r="G172" s="28">
        <v>171</v>
      </c>
      <c r="H172" s="29" t="str">
        <f t="shared" si="7"/>
        <v>Villasana, Manuel de</v>
      </c>
      <c r="I172" s="30">
        <f t="shared" si="8"/>
        <v>10374</v>
      </c>
    </row>
    <row r="173" spans="1:9" x14ac:dyDescent="0.3">
      <c r="A173" s="33" t="s">
        <v>1514</v>
      </c>
      <c r="B173" cm="1">
        <f t="array" ref="B173">SUMPRODUCT((Registro!$D$2:$D$1040=A173)*Registro!$L$2:$L$1040)</f>
        <v>122034</v>
      </c>
      <c r="C173" s="23">
        <f t="shared" si="6"/>
        <v>122034.00017299999</v>
      </c>
      <c r="D173" s="24">
        <f>_xlfn.RANK.EQ(C173,$C$2:C$338)</f>
        <v>24</v>
      </c>
      <c r="G173" s="28">
        <v>172</v>
      </c>
      <c r="H173" s="29" t="str">
        <f t="shared" si="7"/>
        <v>Huerta, Alonso de</v>
      </c>
      <c r="I173" s="30">
        <f t="shared" si="8"/>
        <v>10296</v>
      </c>
    </row>
    <row r="174" spans="1:9" x14ac:dyDescent="0.3">
      <c r="A174" s="33" t="s">
        <v>1638</v>
      </c>
      <c r="B174" cm="1">
        <f t="array" ref="B174">SUMPRODUCT((Registro!$D$2:$D$1040=A174)*Registro!$L$2:$L$1040)</f>
        <v>23051</v>
      </c>
      <c r="C174" s="23">
        <f t="shared" si="6"/>
        <v>23051.000174000001</v>
      </c>
      <c r="D174" s="24">
        <f>_xlfn.RANK.EQ(C174,$C$2:C$338)</f>
        <v>113</v>
      </c>
      <c r="G174" s="28">
        <v>173</v>
      </c>
      <c r="H174" s="29" t="str">
        <f t="shared" si="7"/>
        <v>Ramírez, Antonio</v>
      </c>
      <c r="I174" s="30">
        <f t="shared" si="8"/>
        <v>10118</v>
      </c>
    </row>
    <row r="175" spans="1:9" x14ac:dyDescent="0.3">
      <c r="A175" s="33" t="s">
        <v>1469</v>
      </c>
      <c r="B175" cm="1">
        <f t="array" ref="B175">SUMPRODUCT((Registro!$D$2:$D$1040=A175)*Registro!$L$2:$L$1040)</f>
        <v>51338</v>
      </c>
      <c r="C175" s="23">
        <f t="shared" si="6"/>
        <v>51338.000175000001</v>
      </c>
      <c r="D175" s="24">
        <f>_xlfn.RANK.EQ(C175,$C$2:C$338)</f>
        <v>68</v>
      </c>
      <c r="G175" s="28">
        <v>174</v>
      </c>
      <c r="H175" s="29" t="str">
        <f t="shared" si="7"/>
        <v>Aldaz, Juan de</v>
      </c>
      <c r="I175" s="30">
        <f t="shared" si="8"/>
        <v>10100</v>
      </c>
    </row>
    <row r="176" spans="1:9" x14ac:dyDescent="0.3">
      <c r="A176" s="34" t="s">
        <v>1432</v>
      </c>
      <c r="B176" cm="1">
        <f t="array" ref="B176">SUMPRODUCT((Registro!$D$2:$D$1040=A176)*Registro!$L$2:$L$1040)</f>
        <v>4690</v>
      </c>
      <c r="C176" s="23">
        <f t="shared" si="6"/>
        <v>4690.0001759999996</v>
      </c>
      <c r="D176" s="24">
        <f>_xlfn.RANK.EQ(C176,$C$2:C$338)</f>
        <v>232</v>
      </c>
      <c r="G176" s="28">
        <v>175</v>
      </c>
      <c r="H176" s="29" t="str">
        <f t="shared" si="7"/>
        <v>Zamora, Domingo de</v>
      </c>
      <c r="I176" s="30">
        <f t="shared" si="8"/>
        <v>10060</v>
      </c>
    </row>
    <row r="177" spans="1:9" x14ac:dyDescent="0.3">
      <c r="A177" s="33" t="s">
        <v>1532</v>
      </c>
      <c r="B177" cm="1">
        <f t="array" ref="B177">SUMPRODUCT((Registro!$D$2:$D$1040=A177)*Registro!$L$2:$L$1040)</f>
        <v>18427</v>
      </c>
      <c r="C177" s="23">
        <f t="shared" si="6"/>
        <v>18427.000177000002</v>
      </c>
      <c r="D177" s="24">
        <f>_xlfn.RANK.EQ(C177,$C$2:C$338)</f>
        <v>132</v>
      </c>
      <c r="G177" s="28">
        <v>176</v>
      </c>
      <c r="H177" s="29" t="str">
        <f t="shared" si="7"/>
        <v>Montero, Alonso</v>
      </c>
      <c r="I177" s="30">
        <f t="shared" si="8"/>
        <v>10034</v>
      </c>
    </row>
    <row r="178" spans="1:9" x14ac:dyDescent="0.3">
      <c r="A178" s="33" t="s">
        <v>1580</v>
      </c>
      <c r="B178" cm="1">
        <f t="array" ref="B178">SUMPRODUCT((Registro!$D$2:$D$1040=A178)*Registro!$L$2:$L$1040)</f>
        <v>113997</v>
      </c>
      <c r="C178" s="23">
        <f t="shared" si="6"/>
        <v>113997.000178</v>
      </c>
      <c r="D178" s="24">
        <f>_xlfn.RANK.EQ(C178,$C$2:C$338)</f>
        <v>27</v>
      </c>
      <c r="G178" s="28">
        <v>177</v>
      </c>
      <c r="H178" s="29" t="str">
        <f t="shared" si="7"/>
        <v>Chavarria, Sebastián de</v>
      </c>
      <c r="I178" s="30">
        <f t="shared" si="8"/>
        <v>10000</v>
      </c>
    </row>
    <row r="179" spans="1:9" x14ac:dyDescent="0.3">
      <c r="A179" s="33" t="s">
        <v>1578</v>
      </c>
      <c r="B179" cm="1">
        <f t="array" ref="B179">SUMPRODUCT((Registro!$D$2:$D$1040=A179)*Registro!$L$2:$L$1040)</f>
        <v>38802</v>
      </c>
      <c r="C179" s="23">
        <f t="shared" si="6"/>
        <v>38802.000179000002</v>
      </c>
      <c r="D179" s="24">
        <f>_xlfn.RANK.EQ(C179,$C$2:C$338)</f>
        <v>86</v>
      </c>
      <c r="G179" s="28">
        <v>178</v>
      </c>
      <c r="H179" s="29" t="str">
        <f t="shared" si="7"/>
        <v>López, Domingo</v>
      </c>
      <c r="I179" s="30">
        <f t="shared" si="8"/>
        <v>10000</v>
      </c>
    </row>
    <row r="180" spans="1:9" x14ac:dyDescent="0.3">
      <c r="A180" s="33" t="s">
        <v>1544</v>
      </c>
      <c r="B180" cm="1">
        <f t="array" ref="B180">SUMPRODUCT((Registro!$D$2:$D$1040=A180)*Registro!$L$2:$L$1040)</f>
        <v>1628</v>
      </c>
      <c r="C180" s="23">
        <f t="shared" si="6"/>
        <v>1628.00018</v>
      </c>
      <c r="D180" s="24">
        <f>_xlfn.RANK.EQ(C180,$C$2:C$338)</f>
        <v>287</v>
      </c>
      <c r="G180" s="28">
        <v>179</v>
      </c>
      <c r="H180" s="29" t="str">
        <f t="shared" si="7"/>
        <v>Chinique, Pedro</v>
      </c>
      <c r="I180" s="30">
        <f t="shared" si="8"/>
        <v>10000</v>
      </c>
    </row>
    <row r="181" spans="1:9" x14ac:dyDescent="0.3">
      <c r="A181" s="33" t="s">
        <v>1370</v>
      </c>
      <c r="B181" cm="1">
        <f t="array" ref="B181">SUMPRODUCT((Registro!$D$2:$D$1040=A181)*Registro!$L$2:$L$1040)</f>
        <v>1800</v>
      </c>
      <c r="C181" s="23">
        <f t="shared" si="6"/>
        <v>1800.0001810000001</v>
      </c>
      <c r="D181" s="24">
        <f>_xlfn.RANK.EQ(C181,$C$2:C$338)</f>
        <v>284</v>
      </c>
      <c r="G181" s="28">
        <v>180</v>
      </c>
      <c r="H181" s="29" t="str">
        <f t="shared" si="7"/>
        <v>Acosta, Francisco de</v>
      </c>
      <c r="I181" s="30">
        <f t="shared" si="8"/>
        <v>9997</v>
      </c>
    </row>
    <row r="182" spans="1:9" x14ac:dyDescent="0.3">
      <c r="A182" s="33" t="s">
        <v>1624</v>
      </c>
      <c r="B182" cm="1">
        <f t="array" ref="B182">SUMPRODUCT((Registro!$D$2:$D$1040=A182)*Registro!$L$2:$L$1040)</f>
        <v>520</v>
      </c>
      <c r="C182" s="23">
        <f t="shared" si="6"/>
        <v>520.000182</v>
      </c>
      <c r="D182" s="24">
        <f>_xlfn.RANK.EQ(C182,$C$2:C$338)</f>
        <v>318</v>
      </c>
      <c r="G182" s="28">
        <v>181</v>
      </c>
      <c r="H182" s="29" t="str">
        <f t="shared" si="7"/>
        <v>Molino y Saldivar, Juan del</v>
      </c>
      <c r="I182" s="30">
        <f t="shared" si="8"/>
        <v>9890</v>
      </c>
    </row>
    <row r="183" spans="1:9" x14ac:dyDescent="0.3">
      <c r="A183" s="33" t="s">
        <v>1363</v>
      </c>
      <c r="B183" cm="1">
        <f t="array" ref="B183">SUMPRODUCT((Registro!$D$2:$D$1040=A183)*Registro!$L$2:$L$1040)</f>
        <v>9664</v>
      </c>
      <c r="C183" s="23">
        <f t="shared" si="6"/>
        <v>9664.0001830000001</v>
      </c>
      <c r="D183" s="24">
        <f>_xlfn.RANK.EQ(C183,$C$2:C$338)</f>
        <v>183</v>
      </c>
      <c r="G183" s="28">
        <v>182</v>
      </c>
      <c r="H183" s="29" t="str">
        <f t="shared" si="7"/>
        <v>Lescano, Juan de</v>
      </c>
      <c r="I183" s="30">
        <f t="shared" si="8"/>
        <v>9740</v>
      </c>
    </row>
    <row r="184" spans="1:9" x14ac:dyDescent="0.3">
      <c r="A184" s="33" t="s">
        <v>1388</v>
      </c>
      <c r="B184" cm="1">
        <f t="array" ref="B184">SUMPRODUCT((Registro!$D$2:$D$1040=A184)*Registro!$L$2:$L$1040)</f>
        <v>40927</v>
      </c>
      <c r="C184" s="23">
        <f t="shared" si="6"/>
        <v>40927.000183999997</v>
      </c>
      <c r="D184" s="24">
        <f>_xlfn.RANK.EQ(C184,$C$2:C$338)</f>
        <v>82</v>
      </c>
      <c r="G184" s="28">
        <v>183</v>
      </c>
      <c r="H184" s="29" t="str">
        <f t="shared" si="7"/>
        <v>Román, Antonio</v>
      </c>
      <c r="I184" s="30">
        <f t="shared" si="8"/>
        <v>9664</v>
      </c>
    </row>
    <row r="185" spans="1:9" x14ac:dyDescent="0.3">
      <c r="A185" s="33" t="s">
        <v>1444</v>
      </c>
      <c r="B185" cm="1">
        <f t="array" ref="B185">SUMPRODUCT((Registro!$D$2:$D$1040=A185)*Registro!$L$2:$L$1040)</f>
        <v>1268</v>
      </c>
      <c r="C185" s="23">
        <f t="shared" si="6"/>
        <v>1268.0001850000001</v>
      </c>
      <c r="D185" s="24">
        <f>_xlfn.RANK.EQ(C185,$C$2:C$338)</f>
        <v>293</v>
      </c>
      <c r="G185" s="28">
        <v>184</v>
      </c>
      <c r="H185" s="29" t="str">
        <f t="shared" si="7"/>
        <v>Zamudio, Lucas de</v>
      </c>
      <c r="I185" s="30">
        <f t="shared" si="8"/>
        <v>9650</v>
      </c>
    </row>
    <row r="186" spans="1:9" x14ac:dyDescent="0.3">
      <c r="A186" s="33" t="s">
        <v>1374</v>
      </c>
      <c r="B186" cm="1">
        <f t="array" ref="B186">SUMPRODUCT((Registro!$D$2:$D$1040=A186)*Registro!$L$2:$L$1040)</f>
        <v>26869</v>
      </c>
      <c r="C186" s="23">
        <f t="shared" si="6"/>
        <v>26869.000186000001</v>
      </c>
      <c r="D186" s="24">
        <f>_xlfn.RANK.EQ(C186,$C$2:C$338)</f>
        <v>104</v>
      </c>
      <c r="G186" s="28">
        <v>185</v>
      </c>
      <c r="H186" s="29" t="str">
        <f t="shared" si="7"/>
        <v>Leisa, Joseph de</v>
      </c>
      <c r="I186" s="30">
        <f t="shared" si="8"/>
        <v>9638</v>
      </c>
    </row>
    <row r="187" spans="1:9" x14ac:dyDescent="0.3">
      <c r="A187" s="33" t="s">
        <v>1348</v>
      </c>
      <c r="B187" cm="1">
        <f t="array" ref="B187">SUMPRODUCT((Registro!$D$2:$D$1040=A187)*Registro!$L$2:$L$1040)</f>
        <v>26483</v>
      </c>
      <c r="C187" s="23">
        <f t="shared" si="6"/>
        <v>26483.000187000001</v>
      </c>
      <c r="D187" s="24">
        <f>_xlfn.RANK.EQ(C187,$C$2:C$338)</f>
        <v>106</v>
      </c>
      <c r="G187" s="28">
        <v>186</v>
      </c>
      <c r="H187" s="29" t="str">
        <f t="shared" si="7"/>
        <v>Fernández, Manuel</v>
      </c>
      <c r="I187" s="30">
        <f t="shared" si="8"/>
        <v>9537</v>
      </c>
    </row>
    <row r="188" spans="1:9" x14ac:dyDescent="0.3">
      <c r="A188" s="34" t="s">
        <v>1612</v>
      </c>
      <c r="B188" cm="1">
        <f t="array" ref="B188">SUMPRODUCT((Registro!$D$2:$D$1040=A188)*Registro!$L$2:$L$1040)</f>
        <v>15000</v>
      </c>
      <c r="C188" s="23">
        <f t="shared" si="6"/>
        <v>15000.000188</v>
      </c>
      <c r="D188" s="24">
        <f>_xlfn.RANK.EQ(C188,$C$2:C$338)</f>
        <v>145</v>
      </c>
      <c r="G188" s="28">
        <v>187</v>
      </c>
      <c r="H188" s="29" t="str">
        <f t="shared" si="7"/>
        <v>Astudillo, Francisco de</v>
      </c>
      <c r="I188" s="30">
        <f t="shared" si="8"/>
        <v>9316</v>
      </c>
    </row>
    <row r="189" spans="1:9" x14ac:dyDescent="0.3">
      <c r="A189" s="33" t="s">
        <v>1442</v>
      </c>
      <c r="B189" cm="1">
        <f t="array" ref="B189">SUMPRODUCT((Registro!$D$2:$D$1040=A189)*Registro!$L$2:$L$1040)</f>
        <v>32438</v>
      </c>
      <c r="C189" s="23">
        <f t="shared" si="6"/>
        <v>32438.000188999998</v>
      </c>
      <c r="D189" s="24">
        <f>_xlfn.RANK.EQ(C189,$C$2:C$338)</f>
        <v>93</v>
      </c>
      <c r="G189" s="28">
        <v>188</v>
      </c>
      <c r="H189" s="29" t="str">
        <f t="shared" si="7"/>
        <v>Calderón Moscoso, Diego</v>
      </c>
      <c r="I189" s="30">
        <f t="shared" si="8"/>
        <v>9039</v>
      </c>
    </row>
    <row r="190" spans="1:9" x14ac:dyDescent="0.3">
      <c r="A190" s="33" t="s">
        <v>1397</v>
      </c>
      <c r="B190" cm="1">
        <f t="array" ref="B190">SUMPRODUCT((Registro!$D$2:$D$1040=A190)*Registro!$L$2:$L$1040)</f>
        <v>6535</v>
      </c>
      <c r="C190" s="23">
        <f t="shared" si="6"/>
        <v>6535.0001899999997</v>
      </c>
      <c r="D190" s="24">
        <f>_xlfn.RANK.EQ(C190,$C$2:C$338)</f>
        <v>212</v>
      </c>
      <c r="G190" s="28">
        <v>189</v>
      </c>
      <c r="H190" s="29" t="str">
        <f t="shared" si="7"/>
        <v>Paz, Joseph Martín de la</v>
      </c>
      <c r="I190" s="30">
        <f t="shared" si="8"/>
        <v>9027</v>
      </c>
    </row>
    <row r="191" spans="1:9" x14ac:dyDescent="0.3">
      <c r="A191" s="33" t="s">
        <v>1340</v>
      </c>
      <c r="B191" cm="1">
        <f t="array" ref="B191">SUMPRODUCT((Registro!$D$2:$D$1040=A191)*Registro!$L$2:$L$1040)</f>
        <v>8221</v>
      </c>
      <c r="C191" s="23">
        <f t="shared" si="6"/>
        <v>8221.0001909999992</v>
      </c>
      <c r="D191" s="24">
        <f>_xlfn.RANK.EQ(C191,$C$2:C$338)</f>
        <v>194</v>
      </c>
      <c r="G191" s="28">
        <v>190</v>
      </c>
      <c r="H191" s="29" t="str">
        <f t="shared" si="7"/>
        <v>Céspedes, Roque de</v>
      </c>
      <c r="I191" s="30">
        <f t="shared" si="8"/>
        <v>8976</v>
      </c>
    </row>
    <row r="192" spans="1:9" x14ac:dyDescent="0.3">
      <c r="A192" s="34" t="s">
        <v>1265</v>
      </c>
      <c r="B192" cm="1">
        <f t="array" ref="B192">SUMPRODUCT((Registro!$D$2:$D$1040=A192)*Registro!$L$2:$L$1040)</f>
        <v>18956</v>
      </c>
      <c r="C192" s="23">
        <f t="shared" si="6"/>
        <v>18956.000192</v>
      </c>
      <c r="D192" s="24">
        <f>_xlfn.RANK.EQ(C192,$C$2:C$338)</f>
        <v>131</v>
      </c>
      <c r="G192" s="28">
        <v>191</v>
      </c>
      <c r="H192" s="29" t="str">
        <f t="shared" si="7"/>
        <v>Zuñiga, Francisco de</v>
      </c>
      <c r="I192" s="30">
        <f t="shared" si="8"/>
        <v>8848</v>
      </c>
    </row>
    <row r="193" spans="1:9" ht="27.6" x14ac:dyDescent="0.3">
      <c r="A193" s="34" t="s">
        <v>1270</v>
      </c>
      <c r="B193" cm="1">
        <f t="array" ref="B193">SUMPRODUCT((Registro!$D$2:$D$1040=A193)*Registro!$L$2:$L$1040)</f>
        <v>8085</v>
      </c>
      <c r="C193" s="23">
        <f t="shared" si="6"/>
        <v>8085.0001929999999</v>
      </c>
      <c r="D193" s="24">
        <f>_xlfn.RANK.EQ(C193,$C$2:C$338)</f>
        <v>198</v>
      </c>
      <c r="G193" s="28">
        <v>192</v>
      </c>
      <c r="H193" s="29" t="str">
        <f t="shared" si="7"/>
        <v>Yllana Balmaceda, Francisco de</v>
      </c>
      <c r="I193" s="30">
        <f t="shared" si="8"/>
        <v>8803</v>
      </c>
    </row>
    <row r="194" spans="1:9" x14ac:dyDescent="0.3">
      <c r="A194" s="33" t="s">
        <v>1355</v>
      </c>
      <c r="B194" cm="1">
        <f t="array" ref="B194">SUMPRODUCT((Registro!$D$2:$D$1040=A194)*Registro!$L$2:$L$1040)</f>
        <v>10788</v>
      </c>
      <c r="C194" s="23">
        <f t="shared" ref="C194:C257" si="9">B194+0.000001*ROW()</f>
        <v>10788.000194</v>
      </c>
      <c r="D194" s="24">
        <f>_xlfn.RANK.EQ(C194,$C$2:C$338)</f>
        <v>167</v>
      </c>
      <c r="G194" s="28">
        <v>193</v>
      </c>
      <c r="H194" s="29" t="str">
        <f t="shared" ref="H194:H257" si="10">INDEX($A$2:$A$478,MATCH(G194,$D$2:$D$478,0))</f>
        <v>Gómez de Escobar, Joseph</v>
      </c>
      <c r="I194" s="30">
        <f t="shared" ref="I194:I257" si="11">INDEX($B$2:$B$478,MATCH(G194,$D$2:$D$478,0))</f>
        <v>8650</v>
      </c>
    </row>
    <row r="195" spans="1:9" x14ac:dyDescent="0.3">
      <c r="A195" s="33" t="s">
        <v>1634</v>
      </c>
      <c r="B195" cm="1">
        <f t="array" ref="B195">SUMPRODUCT((Registro!$D$2:$D$1040=A195)*Registro!$L$2:$L$1040)</f>
        <v>12500</v>
      </c>
      <c r="C195" s="23">
        <f t="shared" si="9"/>
        <v>12500.000195000001</v>
      </c>
      <c r="D195" s="24">
        <f>_xlfn.RANK.EQ(C195,$C$2:C$338)</f>
        <v>157</v>
      </c>
      <c r="G195" s="28">
        <v>194</v>
      </c>
      <c r="H195" s="29" t="str">
        <f t="shared" si="10"/>
        <v>Arias, Antonio</v>
      </c>
      <c r="I195" s="30">
        <f t="shared" si="11"/>
        <v>8221</v>
      </c>
    </row>
    <row r="196" spans="1:9" x14ac:dyDescent="0.3">
      <c r="A196" s="33" t="s">
        <v>1592</v>
      </c>
      <c r="B196" cm="1">
        <f t="array" ref="B196">SUMPRODUCT((Registro!$D$2:$D$1040=A196)*Registro!$L$2:$L$1040)</f>
        <v>3350</v>
      </c>
      <c r="C196" s="23">
        <f t="shared" si="9"/>
        <v>3350.000196</v>
      </c>
      <c r="D196" s="24">
        <f>_xlfn.RANK.EQ(C196,$C$2:C$338)</f>
        <v>256</v>
      </c>
      <c r="G196" s="28">
        <v>195</v>
      </c>
      <c r="H196" s="29" t="str">
        <f t="shared" si="10"/>
        <v>Irabien, Pedor de</v>
      </c>
      <c r="I196" s="30">
        <f t="shared" si="11"/>
        <v>8210</v>
      </c>
    </row>
    <row r="197" spans="1:9" x14ac:dyDescent="0.3">
      <c r="A197" s="33" t="s">
        <v>1629</v>
      </c>
      <c r="B197" cm="1">
        <f t="array" ref="B197">SUMPRODUCT((Registro!$D$2:$D$1040=A197)*Registro!$L$2:$L$1040)</f>
        <v>4350</v>
      </c>
      <c r="C197" s="23">
        <f t="shared" si="9"/>
        <v>4350.0001970000003</v>
      </c>
      <c r="D197" s="24">
        <f>_xlfn.RANK.EQ(C197,$C$2:C$338)</f>
        <v>238</v>
      </c>
      <c r="G197" s="28">
        <v>196</v>
      </c>
      <c r="H197" s="29" t="str">
        <f t="shared" si="10"/>
        <v>Buite, Roberto</v>
      </c>
      <c r="I197" s="30">
        <f t="shared" si="11"/>
        <v>8195</v>
      </c>
    </row>
    <row r="198" spans="1:9" x14ac:dyDescent="0.3">
      <c r="A198" s="34" t="s">
        <v>1665</v>
      </c>
      <c r="B198" cm="1">
        <f t="array" ref="B198">SUMPRODUCT((Registro!$D$2:$D$1040=A198)*Registro!$L$2:$L$1040)</f>
        <v>19700</v>
      </c>
      <c r="C198" s="23">
        <f t="shared" si="9"/>
        <v>19700.000198000002</v>
      </c>
      <c r="D198" s="24">
        <f>_xlfn.RANK.EQ(C198,$C$2:C$338)</f>
        <v>126</v>
      </c>
      <c r="G198" s="28">
        <v>197</v>
      </c>
      <c r="H198" s="29" t="str">
        <f t="shared" si="10"/>
        <v>Vidaurre, Juan de</v>
      </c>
      <c r="I198" s="30">
        <f t="shared" si="11"/>
        <v>8107</v>
      </c>
    </row>
    <row r="199" spans="1:9" x14ac:dyDescent="0.3">
      <c r="A199" s="33" t="s">
        <v>1473</v>
      </c>
      <c r="B199" cm="1">
        <f t="array" ref="B199">SUMPRODUCT((Registro!$D$2:$D$1040=A199)*Registro!$L$2:$L$1040)</f>
        <v>24023</v>
      </c>
      <c r="C199" s="23">
        <f t="shared" si="9"/>
        <v>24023.000198999998</v>
      </c>
      <c r="D199" s="24">
        <f>_xlfn.RANK.EQ(C199,$C$2:C$338)</f>
        <v>110</v>
      </c>
      <c r="G199" s="28">
        <v>198</v>
      </c>
      <c r="H199" s="29" t="str">
        <f t="shared" si="10"/>
        <v>Palacios, Leonardo de</v>
      </c>
      <c r="I199" s="30">
        <f t="shared" si="11"/>
        <v>8085</v>
      </c>
    </row>
    <row r="200" spans="1:9" x14ac:dyDescent="0.3">
      <c r="A200" s="33" t="s">
        <v>1502</v>
      </c>
      <c r="B200" cm="1">
        <f t="array" ref="B200">SUMPRODUCT((Registro!$D$2:$D$1040=A200)*Registro!$L$2:$L$1040)</f>
        <v>45925</v>
      </c>
      <c r="C200" s="23">
        <f t="shared" si="9"/>
        <v>45925.000200000002</v>
      </c>
      <c r="D200" s="24">
        <f>_xlfn.RANK.EQ(C200,$C$2:C$338)</f>
        <v>74</v>
      </c>
      <c r="G200" s="28">
        <v>199</v>
      </c>
      <c r="H200" s="29" t="str">
        <f t="shared" si="10"/>
        <v>Blanco de Vargas, Alonso</v>
      </c>
      <c r="I200" s="30">
        <f t="shared" si="11"/>
        <v>8082</v>
      </c>
    </row>
    <row r="201" spans="1:9" x14ac:dyDescent="0.3">
      <c r="A201" s="33" t="s">
        <v>1276</v>
      </c>
      <c r="B201" cm="1">
        <f t="array" ref="B201">SUMPRODUCT((Registro!$D$2:$D$1040=A201)*Registro!$L$2:$L$1040)</f>
        <v>39363</v>
      </c>
      <c r="C201" s="23">
        <f t="shared" si="9"/>
        <v>39363.000201000003</v>
      </c>
      <c r="D201" s="24">
        <f>_xlfn.RANK.EQ(C201,$C$2:C$338)</f>
        <v>83</v>
      </c>
      <c r="G201" s="28">
        <v>200</v>
      </c>
      <c r="H201" s="29" t="str">
        <f t="shared" si="10"/>
        <v>Astudillo, Gaspar de</v>
      </c>
      <c r="I201" s="30">
        <f t="shared" si="11"/>
        <v>8000</v>
      </c>
    </row>
    <row r="202" spans="1:9" x14ac:dyDescent="0.3">
      <c r="A202" s="33" t="s">
        <v>1326</v>
      </c>
      <c r="B202" cm="1">
        <f t="array" ref="B202">SUMPRODUCT((Registro!$D$2:$D$1040=A202)*Registro!$L$2:$L$1040)</f>
        <v>8082</v>
      </c>
      <c r="C202" s="23">
        <f t="shared" si="9"/>
        <v>8082.0002020000002</v>
      </c>
      <c r="D202" s="24">
        <f>_xlfn.RANK.EQ(C202,$C$2:C$338)</f>
        <v>199</v>
      </c>
      <c r="G202" s="28">
        <v>201</v>
      </c>
      <c r="H202" s="29" t="str">
        <f t="shared" si="10"/>
        <v>Castro y Medina, Joseph de</v>
      </c>
      <c r="I202" s="30">
        <f t="shared" si="11"/>
        <v>7893</v>
      </c>
    </row>
    <row r="203" spans="1:9" x14ac:dyDescent="0.3">
      <c r="A203" s="33" t="s">
        <v>1506</v>
      </c>
      <c r="B203" cm="1">
        <f t="array" ref="B203">SUMPRODUCT((Registro!$D$2:$D$1040=A203)*Registro!$L$2:$L$1040)</f>
        <v>8650</v>
      </c>
      <c r="C203" s="23">
        <f t="shared" si="9"/>
        <v>8650.0002029999996</v>
      </c>
      <c r="D203" s="24">
        <f>_xlfn.RANK.EQ(C203,$C$2:C$338)</f>
        <v>193</v>
      </c>
      <c r="G203" s="28">
        <v>202</v>
      </c>
      <c r="H203" s="29" t="str">
        <f t="shared" si="10"/>
        <v>Álvarez, Francisco</v>
      </c>
      <c r="I203" s="30">
        <f t="shared" si="11"/>
        <v>7600</v>
      </c>
    </row>
    <row r="204" spans="1:9" x14ac:dyDescent="0.3">
      <c r="A204" s="33" t="s">
        <v>1633</v>
      </c>
      <c r="B204" cm="1">
        <f t="array" ref="B204">SUMPRODUCT((Registro!$D$2:$D$1040=A204)*Registro!$L$2:$L$1040)</f>
        <v>14387</v>
      </c>
      <c r="C204" s="23">
        <f t="shared" si="9"/>
        <v>14387.000204</v>
      </c>
      <c r="D204" s="24">
        <f>_xlfn.RANK.EQ(C204,$C$2:C$338)</f>
        <v>148</v>
      </c>
      <c r="G204" s="28">
        <v>203</v>
      </c>
      <c r="H204" s="29" t="str">
        <f t="shared" si="10"/>
        <v>Llano, Domingo de</v>
      </c>
      <c r="I204" s="30">
        <f t="shared" si="11"/>
        <v>7600</v>
      </c>
    </row>
    <row r="205" spans="1:9" ht="27.6" x14ac:dyDescent="0.3">
      <c r="A205" s="33" t="s">
        <v>1462</v>
      </c>
      <c r="B205" cm="1">
        <f t="array" ref="B205">SUMPRODUCT((Registro!$D$2:$D$1040=A205)*Registro!$L$2:$L$1040)</f>
        <v>15160</v>
      </c>
      <c r="C205" s="23">
        <f t="shared" si="9"/>
        <v>15160.000205</v>
      </c>
      <c r="D205" s="24">
        <f>_xlfn.RANK.EQ(C205,$C$2:C$338)</f>
        <v>144</v>
      </c>
      <c r="G205" s="28">
        <v>204</v>
      </c>
      <c r="H205" s="29" t="str">
        <f t="shared" si="10"/>
        <v>Gonzáles Carrasco, Francisco</v>
      </c>
      <c r="I205" s="30">
        <f t="shared" si="11"/>
        <v>7500</v>
      </c>
    </row>
    <row r="206" spans="1:9" x14ac:dyDescent="0.3">
      <c r="A206" s="33" t="s">
        <v>1395</v>
      </c>
      <c r="B206" cm="1">
        <f t="array" ref="B206">SUMPRODUCT((Registro!$D$2:$D$1040=A206)*Registro!$L$2:$L$1040)</f>
        <v>3400</v>
      </c>
      <c r="C206" s="23">
        <f t="shared" si="9"/>
        <v>3400.0002060000002</v>
      </c>
      <c r="D206" s="24">
        <f>_xlfn.RANK.EQ(C206,$C$2:C$338)</f>
        <v>255</v>
      </c>
      <c r="G206" s="28">
        <v>205</v>
      </c>
      <c r="H206" s="29" t="str">
        <f t="shared" si="10"/>
        <v>Castro, Ignacio de</v>
      </c>
      <c r="I206" s="30">
        <f t="shared" si="11"/>
        <v>7500</v>
      </c>
    </row>
    <row r="207" spans="1:9" x14ac:dyDescent="0.3">
      <c r="A207" s="33" t="s">
        <v>1420</v>
      </c>
      <c r="B207" cm="1">
        <f t="array" ref="B207">SUMPRODUCT((Registro!$D$2:$D$1040=A207)*Registro!$L$2:$L$1040)</f>
        <v>7600</v>
      </c>
      <c r="C207" s="23">
        <f t="shared" si="9"/>
        <v>7600.000207</v>
      </c>
      <c r="D207" s="24">
        <f>_xlfn.RANK.EQ(C207,$C$2:C$338)</f>
        <v>202</v>
      </c>
      <c r="G207" s="28">
        <v>206</v>
      </c>
      <c r="H207" s="29" t="str">
        <f t="shared" si="10"/>
        <v>Rodríguez Rubio, Juan</v>
      </c>
      <c r="I207" s="30">
        <f t="shared" si="11"/>
        <v>7500</v>
      </c>
    </row>
    <row r="208" spans="1:9" x14ac:dyDescent="0.3">
      <c r="A208" s="33" t="s">
        <v>1413</v>
      </c>
      <c r="B208" cm="1">
        <f t="array" ref="B208">SUMPRODUCT((Registro!$D$2:$D$1040=A208)*Registro!$L$2:$L$1040)</f>
        <v>2900</v>
      </c>
      <c r="C208" s="23">
        <f t="shared" si="9"/>
        <v>2900.0002079999999</v>
      </c>
      <c r="D208" s="24">
        <f>_xlfn.RANK.EQ(C208,$C$2:C$338)</f>
        <v>264</v>
      </c>
      <c r="G208" s="28">
        <v>207</v>
      </c>
      <c r="H208" s="29" t="str">
        <f t="shared" si="10"/>
        <v>Ibargoyen, Francisco de</v>
      </c>
      <c r="I208" s="30">
        <f t="shared" si="11"/>
        <v>7493</v>
      </c>
    </row>
    <row r="209" spans="1:9" x14ac:dyDescent="0.3">
      <c r="A209" s="33" t="s">
        <v>1346</v>
      </c>
      <c r="B209" cm="1">
        <f t="array" ref="B209">SUMPRODUCT((Registro!$D$2:$D$1040=A209)*Registro!$L$2:$L$1040)</f>
        <v>7000</v>
      </c>
      <c r="C209" s="23">
        <f t="shared" si="9"/>
        <v>7000.0002089999998</v>
      </c>
      <c r="D209" s="24">
        <f>_xlfn.RANK.EQ(C209,$C$2:C$338)</f>
        <v>208</v>
      </c>
      <c r="G209" s="28">
        <v>208</v>
      </c>
      <c r="H209" s="29" t="str">
        <f t="shared" si="10"/>
        <v>Rodríguez Barbosa, Andrés</v>
      </c>
      <c r="I209" s="30">
        <f t="shared" si="11"/>
        <v>7000</v>
      </c>
    </row>
    <row r="210" spans="1:9" x14ac:dyDescent="0.3">
      <c r="A210" s="33" t="s">
        <v>1597</v>
      </c>
      <c r="B210" cm="1">
        <f t="array" ref="B210">SUMPRODUCT((Registro!$D$2:$D$1040=A210)*Registro!$L$2:$L$1040)</f>
        <v>1801</v>
      </c>
      <c r="C210" s="23">
        <f t="shared" si="9"/>
        <v>1801.0002099999999</v>
      </c>
      <c r="D210" s="24">
        <f>_xlfn.RANK.EQ(C210,$C$2:C$338)</f>
        <v>283</v>
      </c>
      <c r="G210" s="28">
        <v>209</v>
      </c>
      <c r="H210" s="29" t="str">
        <f t="shared" si="10"/>
        <v>Rengifo, Joseph</v>
      </c>
      <c r="I210" s="30">
        <f t="shared" si="11"/>
        <v>6725</v>
      </c>
    </row>
    <row r="211" spans="1:9" ht="27.6" x14ac:dyDescent="0.3">
      <c r="A211" s="34" t="s">
        <v>1279</v>
      </c>
      <c r="B211" cm="1">
        <f t="array" ref="B211">SUMPRODUCT((Registro!$D$2:$D$1040=A211)*Registro!$L$2:$L$1040)</f>
        <v>20016</v>
      </c>
      <c r="C211" s="23">
        <f t="shared" si="9"/>
        <v>20016.000210999999</v>
      </c>
      <c r="D211" s="24">
        <f>_xlfn.RANK.EQ(C211,$C$2:C$338)</f>
        <v>125</v>
      </c>
      <c r="G211" s="28">
        <v>210</v>
      </c>
      <c r="H211" s="29" t="str">
        <f t="shared" si="10"/>
        <v>Martínez del Portillo, Antonio</v>
      </c>
      <c r="I211" s="30">
        <f t="shared" si="11"/>
        <v>6625</v>
      </c>
    </row>
    <row r="212" spans="1:9" x14ac:dyDescent="0.3">
      <c r="A212" s="34" t="s">
        <v>1283</v>
      </c>
      <c r="B212" cm="1">
        <f t="array" ref="B212">SUMPRODUCT((Registro!$D$2:$D$1040=A212)*Registro!$L$2:$L$1040)</f>
        <v>11136</v>
      </c>
      <c r="C212" s="23">
        <f t="shared" si="9"/>
        <v>11136.000212000001</v>
      </c>
      <c r="D212" s="24">
        <f>_xlfn.RANK.EQ(C212,$C$2:C$338)</f>
        <v>162</v>
      </c>
      <c r="G212" s="28">
        <v>211</v>
      </c>
      <c r="H212" s="29" t="str">
        <f t="shared" si="10"/>
        <v>San Pelayo, Felip de</v>
      </c>
      <c r="I212" s="30">
        <f t="shared" si="11"/>
        <v>6597</v>
      </c>
    </row>
    <row r="213" spans="1:9" x14ac:dyDescent="0.3">
      <c r="A213" s="33" t="s">
        <v>1438</v>
      </c>
      <c r="B213" cm="1">
        <f t="array" ref="B213">SUMPRODUCT((Registro!$D$2:$D$1040=A213)*Registro!$L$2:$L$1040)</f>
        <v>52847</v>
      </c>
      <c r="C213" s="23">
        <f t="shared" si="9"/>
        <v>52847.000212999999</v>
      </c>
      <c r="D213" s="24">
        <f>_xlfn.RANK.EQ(C213,$C$2:C$338)</f>
        <v>66</v>
      </c>
      <c r="G213" s="28">
        <v>212</v>
      </c>
      <c r="H213" s="29" t="str">
        <f t="shared" si="10"/>
        <v>Cruz, Domingo de la</v>
      </c>
      <c r="I213" s="30">
        <f t="shared" si="11"/>
        <v>6535</v>
      </c>
    </row>
    <row r="214" spans="1:9" x14ac:dyDescent="0.3">
      <c r="A214" s="34" t="s">
        <v>1285</v>
      </c>
      <c r="B214" cm="1">
        <f t="array" ref="B214">SUMPRODUCT((Registro!$D$2:$D$1040=A214)*Registro!$L$2:$L$1040)</f>
        <v>1863</v>
      </c>
      <c r="C214" s="23">
        <f t="shared" si="9"/>
        <v>1863.0002139999999</v>
      </c>
      <c r="D214" s="24">
        <f>_xlfn.RANK.EQ(C214,$C$2:C$338)</f>
        <v>281</v>
      </c>
      <c r="G214" s="28">
        <v>213</v>
      </c>
      <c r="H214" s="29" t="str">
        <f t="shared" si="10"/>
        <v>Martínez, Prudencio</v>
      </c>
      <c r="I214" s="30">
        <f t="shared" si="11"/>
        <v>6420</v>
      </c>
    </row>
    <row r="215" spans="1:9" x14ac:dyDescent="0.3">
      <c r="A215" s="34" t="s">
        <v>1290</v>
      </c>
      <c r="B215" cm="1">
        <f t="array" ref="B215">SUMPRODUCT((Registro!$D$2:$D$1040=A215)*Registro!$L$2:$L$1040)</f>
        <v>19200</v>
      </c>
      <c r="C215" s="23">
        <f t="shared" si="9"/>
        <v>19200.000215</v>
      </c>
      <c r="D215" s="24">
        <f>_xlfn.RANK.EQ(C215,$C$2:C$338)</f>
        <v>130</v>
      </c>
      <c r="G215" s="28">
        <v>214</v>
      </c>
      <c r="H215" s="29" t="str">
        <f t="shared" si="10"/>
        <v>Iglesia, Domingo de la</v>
      </c>
      <c r="I215" s="30">
        <f t="shared" si="11"/>
        <v>6402</v>
      </c>
    </row>
    <row r="216" spans="1:9" ht="27.6" x14ac:dyDescent="0.3">
      <c r="A216" s="33" t="s">
        <v>1421</v>
      </c>
      <c r="B216" cm="1">
        <f t="array" ref="B216">SUMPRODUCT((Registro!$D$2:$D$1040=A216)*Registro!$L$2:$L$1040)</f>
        <v>4300</v>
      </c>
      <c r="C216" s="23">
        <f t="shared" si="9"/>
        <v>4300.0002160000004</v>
      </c>
      <c r="D216" s="24">
        <f>_xlfn.RANK.EQ(C216,$C$2:C$338)</f>
        <v>242</v>
      </c>
      <c r="G216" s="28">
        <v>215</v>
      </c>
      <c r="H216" s="29" t="str">
        <f t="shared" si="10"/>
        <v>Hurtado Salvatierra, Francisco</v>
      </c>
      <c r="I216" s="30">
        <f t="shared" si="11"/>
        <v>6272</v>
      </c>
    </row>
    <row r="217" spans="1:9" x14ac:dyDescent="0.3">
      <c r="A217" s="34" t="s">
        <v>1292</v>
      </c>
      <c r="B217" cm="1">
        <f t="array" ref="B217">SUMPRODUCT((Registro!$D$2:$D$1040=A217)*Registro!$L$2:$L$1040)</f>
        <v>600</v>
      </c>
      <c r="C217" s="23">
        <f t="shared" si="9"/>
        <v>600.00021700000002</v>
      </c>
      <c r="D217" s="24">
        <f>_xlfn.RANK.EQ(C217,$C$2:C$338)</f>
        <v>315</v>
      </c>
      <c r="G217" s="28">
        <v>216</v>
      </c>
      <c r="H217" s="29" t="str">
        <f t="shared" si="10"/>
        <v>Aguilar, Juan de</v>
      </c>
      <c r="I217" s="30">
        <f t="shared" si="11"/>
        <v>6090</v>
      </c>
    </row>
    <row r="218" spans="1:9" ht="27.6" x14ac:dyDescent="0.3">
      <c r="A218" s="33" t="s">
        <v>1455</v>
      </c>
      <c r="B218" cm="1">
        <f t="array" ref="B218">SUMPRODUCT((Registro!$D$2:$D$1040=A218)*Registro!$L$2:$L$1040)</f>
        <v>44662</v>
      </c>
      <c r="C218" s="23">
        <f t="shared" si="9"/>
        <v>44662.000218000001</v>
      </c>
      <c r="D218" s="24">
        <f>_xlfn.RANK.EQ(C218,$C$2:C$338)</f>
        <v>77</v>
      </c>
      <c r="G218" s="28">
        <v>217</v>
      </c>
      <c r="H218" s="29" t="str">
        <f t="shared" si="10"/>
        <v>Heredia Lescano, Antonio de</v>
      </c>
      <c r="I218" s="30">
        <f t="shared" si="11"/>
        <v>6057</v>
      </c>
    </row>
    <row r="219" spans="1:9" x14ac:dyDescent="0.3">
      <c r="A219" s="34" t="s">
        <v>1434</v>
      </c>
      <c r="B219" cm="1">
        <f t="array" ref="B219">SUMPRODUCT((Registro!$D$2:$D$1040=A219)*Registro!$L$2:$L$1040)</f>
        <v>7493</v>
      </c>
      <c r="C219" s="23">
        <f t="shared" si="9"/>
        <v>7493.0002189999996</v>
      </c>
      <c r="D219" s="24">
        <f>_xlfn.RANK.EQ(C219,$C$2:C$338)</f>
        <v>207</v>
      </c>
      <c r="G219" s="28">
        <v>218</v>
      </c>
      <c r="H219" s="29" t="str">
        <f t="shared" si="10"/>
        <v>Vardesi, Joseph de</v>
      </c>
      <c r="I219" s="30">
        <f t="shared" si="11"/>
        <v>6039</v>
      </c>
    </row>
    <row r="220" spans="1:9" x14ac:dyDescent="0.3">
      <c r="A220" s="33" t="s">
        <v>1418</v>
      </c>
      <c r="B220" cm="1">
        <f t="array" ref="B220">SUMPRODUCT((Registro!$D$2:$D$1040=A220)*Registro!$L$2:$L$1040)</f>
        <v>55898</v>
      </c>
      <c r="C220" s="23">
        <f t="shared" si="9"/>
        <v>55898.000220000002</v>
      </c>
      <c r="D220" s="24">
        <f>_xlfn.RANK.EQ(C220,$C$2:C$338)</f>
        <v>61</v>
      </c>
      <c r="G220" s="28">
        <v>219</v>
      </c>
      <c r="H220" s="29" t="str">
        <f t="shared" si="10"/>
        <v>Gutiérrez, Jospeh Antonio</v>
      </c>
      <c r="I220" s="30">
        <f t="shared" si="11"/>
        <v>6000</v>
      </c>
    </row>
    <row r="221" spans="1:9" x14ac:dyDescent="0.3">
      <c r="A221" s="33" t="s">
        <v>1487</v>
      </c>
      <c r="B221" cm="1">
        <f t="array" ref="B221">SUMPRODUCT((Registro!$D$2:$D$1040=A221)*Registro!$L$2:$L$1040)</f>
        <v>28624</v>
      </c>
      <c r="C221" s="23">
        <f t="shared" si="9"/>
        <v>28624.000220999998</v>
      </c>
      <c r="D221" s="24">
        <f>_xlfn.RANK.EQ(C221,$C$2:C$338)</f>
        <v>97</v>
      </c>
      <c r="G221" s="28">
        <v>220</v>
      </c>
      <c r="H221" s="29" t="str">
        <f t="shared" si="10"/>
        <v>Fernández Carbonero, Diego</v>
      </c>
      <c r="I221" s="30">
        <f t="shared" si="11"/>
        <v>5820</v>
      </c>
    </row>
    <row r="222" spans="1:9" x14ac:dyDescent="0.3">
      <c r="A222" s="33" t="s">
        <v>1515</v>
      </c>
      <c r="B222" cm="1">
        <f t="array" ref="B222">SUMPRODUCT((Registro!$D$2:$D$1040=A222)*Registro!$L$2:$L$1040)</f>
        <v>3320</v>
      </c>
      <c r="C222" s="23">
        <f t="shared" si="9"/>
        <v>3320.0002220000001</v>
      </c>
      <c r="D222" s="24">
        <f>_xlfn.RANK.EQ(C222,$C$2:C$338)</f>
        <v>257</v>
      </c>
      <c r="G222" s="28">
        <v>221</v>
      </c>
      <c r="H222" s="29" t="str">
        <f t="shared" si="10"/>
        <v>Aguiar, Francisco de</v>
      </c>
      <c r="I222" s="30">
        <f t="shared" si="11"/>
        <v>5380</v>
      </c>
    </row>
    <row r="223" spans="1:9" ht="27.6" x14ac:dyDescent="0.3">
      <c r="A223" s="33" t="s">
        <v>1599</v>
      </c>
      <c r="B223" cm="1">
        <f t="array" ref="B223">SUMPRODUCT((Registro!$D$2:$D$1040=A223)*Registro!$L$2:$L$1040)</f>
        <v>8210</v>
      </c>
      <c r="C223" s="23">
        <f t="shared" si="9"/>
        <v>8210.0002229999991</v>
      </c>
      <c r="D223" s="24">
        <f>_xlfn.RANK.EQ(C223,$C$2:C$338)</f>
        <v>195</v>
      </c>
      <c r="G223" s="28">
        <v>222</v>
      </c>
      <c r="H223" s="29" t="str">
        <f t="shared" si="10"/>
        <v>Bracamonte Dávila, García de</v>
      </c>
      <c r="I223" s="30">
        <f t="shared" si="11"/>
        <v>5200</v>
      </c>
    </row>
    <row r="224" spans="1:9" x14ac:dyDescent="0.3">
      <c r="A224" s="33" t="s">
        <v>1528</v>
      </c>
      <c r="B224" cm="1">
        <f t="array" ref="B224">SUMPRODUCT((Registro!$D$2:$D$1040=A224)*Registro!$L$2:$L$1040)</f>
        <v>400</v>
      </c>
      <c r="C224" s="23">
        <f t="shared" si="9"/>
        <v>400.000224</v>
      </c>
      <c r="D224" s="24">
        <f>_xlfn.RANK.EQ(C224,$C$2:C$338)</f>
        <v>327</v>
      </c>
      <c r="G224" s="28">
        <v>223</v>
      </c>
      <c r="H224" s="29" t="str">
        <f t="shared" si="10"/>
        <v>Patiño, Marcos Félix</v>
      </c>
      <c r="I224" s="30">
        <f t="shared" si="11"/>
        <v>5120</v>
      </c>
    </row>
    <row r="225" spans="1:9" x14ac:dyDescent="0.3">
      <c r="A225" s="33" t="s">
        <v>1295</v>
      </c>
      <c r="B225" cm="1">
        <f t="array" ref="B225">SUMPRODUCT((Registro!$D$2:$D$1040=A225)*Registro!$L$2:$L$1040)</f>
        <v>1000</v>
      </c>
      <c r="C225" s="23">
        <f t="shared" si="9"/>
        <v>1000.000225</v>
      </c>
      <c r="D225" s="24">
        <f>_xlfn.RANK.EQ(C225,$C$2:C$338)</f>
        <v>300</v>
      </c>
      <c r="G225" s="28">
        <v>224</v>
      </c>
      <c r="H225" s="29" t="str">
        <f t="shared" si="10"/>
        <v>Infantas, Nicolás de las</v>
      </c>
      <c r="I225" s="30">
        <f t="shared" si="11"/>
        <v>5020</v>
      </c>
    </row>
    <row r="226" spans="1:9" x14ac:dyDescent="0.3">
      <c r="A226" s="33" t="s">
        <v>1297</v>
      </c>
      <c r="B226" cm="1">
        <f t="array" ref="B226">SUMPRODUCT((Registro!$D$2:$D$1040=A226)*Registro!$L$2:$L$1040)</f>
        <v>6090</v>
      </c>
      <c r="C226" s="23">
        <f t="shared" si="9"/>
        <v>6090.0002260000001</v>
      </c>
      <c r="D226" s="24">
        <f>_xlfn.RANK.EQ(C226,$C$2:C$338)</f>
        <v>216</v>
      </c>
      <c r="G226" s="28">
        <v>225</v>
      </c>
      <c r="H226" s="29" t="str">
        <f t="shared" si="10"/>
        <v>Porras, Pedro</v>
      </c>
      <c r="I226" s="30">
        <f t="shared" si="11"/>
        <v>5000</v>
      </c>
    </row>
    <row r="227" spans="1:9" x14ac:dyDescent="0.3">
      <c r="A227" s="33" t="s">
        <v>1595</v>
      </c>
      <c r="B227" cm="1">
        <f t="array" ref="B227">SUMPRODUCT((Registro!$D$2:$D$1040=A227)*Registro!$L$2:$L$1040)</f>
        <v>365770</v>
      </c>
      <c r="C227" s="23">
        <f t="shared" si="9"/>
        <v>365770.00022699998</v>
      </c>
      <c r="D227" s="24">
        <f>_xlfn.RANK.EQ(C227,$C$2:C$338)</f>
        <v>4</v>
      </c>
      <c r="G227" s="28">
        <v>226</v>
      </c>
      <c r="H227" s="29" t="str">
        <f t="shared" si="10"/>
        <v>Rodríguez, Juan</v>
      </c>
      <c r="I227" s="30">
        <f t="shared" si="11"/>
        <v>5000</v>
      </c>
    </row>
    <row r="228" spans="1:9" x14ac:dyDescent="0.3">
      <c r="A228" s="33" t="s">
        <v>1353</v>
      </c>
      <c r="B228" cm="1">
        <f t="array" ref="B228">SUMPRODUCT((Registro!$D$2:$D$1040=A228)*Registro!$L$2:$L$1040)</f>
        <v>1910</v>
      </c>
      <c r="C228" s="23">
        <f t="shared" si="9"/>
        <v>1910.0002280000001</v>
      </c>
      <c r="D228" s="24">
        <f>_xlfn.RANK.EQ(C228,$C$2:C$338)</f>
        <v>280</v>
      </c>
      <c r="G228" s="28">
        <v>227</v>
      </c>
      <c r="H228" s="29" t="str">
        <f t="shared" si="10"/>
        <v>Gallardo, Marcos</v>
      </c>
      <c r="I228" s="30">
        <f t="shared" si="11"/>
        <v>5000</v>
      </c>
    </row>
    <row r="229" spans="1:9" x14ac:dyDescent="0.3">
      <c r="A229" s="33" t="s">
        <v>1611</v>
      </c>
      <c r="B229" cm="1">
        <f t="array" ref="B229">SUMPRODUCT((Registro!$D$2:$D$1040=A229)*Registro!$L$2:$L$1040)</f>
        <v>550</v>
      </c>
      <c r="C229" s="23">
        <f t="shared" si="9"/>
        <v>550.00022899999999</v>
      </c>
      <c r="D229" s="24">
        <f>_xlfn.RANK.EQ(C229,$C$2:C$338)</f>
        <v>317</v>
      </c>
      <c r="G229" s="28">
        <v>228</v>
      </c>
      <c r="H229" s="29" t="str">
        <f t="shared" si="10"/>
        <v>Reyes, Joseph de los</v>
      </c>
      <c r="I229" s="30">
        <f t="shared" si="11"/>
        <v>5000</v>
      </c>
    </row>
    <row r="230" spans="1:9" x14ac:dyDescent="0.3">
      <c r="A230" s="33" t="s">
        <v>1414</v>
      </c>
      <c r="B230" cm="1">
        <f t="array" ref="B230">SUMPRODUCT((Registro!$D$2:$D$1040=A230)*Registro!$L$2:$L$1040)</f>
        <v>1000</v>
      </c>
      <c r="C230" s="23">
        <f t="shared" si="9"/>
        <v>1000.00023</v>
      </c>
      <c r="D230" s="24">
        <f>_xlfn.RANK.EQ(C230,$C$2:C$338)</f>
        <v>299</v>
      </c>
      <c r="G230" s="28">
        <v>229</v>
      </c>
      <c r="H230" s="29" t="str">
        <f t="shared" si="10"/>
        <v>Núñez Salazar, Santiago</v>
      </c>
      <c r="I230" s="30">
        <f t="shared" si="11"/>
        <v>5000</v>
      </c>
    </row>
    <row r="231" spans="1:9" x14ac:dyDescent="0.3">
      <c r="A231" s="33" t="s">
        <v>1305</v>
      </c>
      <c r="B231" cm="1">
        <f t="array" ref="B231">SUMPRODUCT((Registro!$D$2:$D$1040=A231)*Registro!$L$2:$L$1040)</f>
        <v>28800</v>
      </c>
      <c r="C231" s="23">
        <f t="shared" si="9"/>
        <v>28800.000231000002</v>
      </c>
      <c r="D231" s="24">
        <f>_xlfn.RANK.EQ(C231,$C$2:C$338)</f>
        <v>96</v>
      </c>
      <c r="G231" s="28">
        <v>230</v>
      </c>
      <c r="H231" s="29" t="str">
        <f t="shared" si="10"/>
        <v>Carbajal, Diego de</v>
      </c>
      <c r="I231" s="30">
        <f t="shared" si="11"/>
        <v>4875</v>
      </c>
    </row>
    <row r="232" spans="1:9" x14ac:dyDescent="0.3">
      <c r="A232" s="33" t="s">
        <v>1468</v>
      </c>
      <c r="B232" cm="1">
        <f t="array" ref="B232">SUMPRODUCT((Registro!$D$2:$D$1040=A232)*Registro!$L$2:$L$1040)</f>
        <v>5200</v>
      </c>
      <c r="C232" s="23">
        <f t="shared" si="9"/>
        <v>5200.0002320000003</v>
      </c>
      <c r="D232" s="24">
        <f>_xlfn.RANK.EQ(C232,$C$2:C$338)</f>
        <v>222</v>
      </c>
      <c r="G232" s="28">
        <v>231</v>
      </c>
      <c r="H232" s="29" t="str">
        <f t="shared" si="10"/>
        <v>Iturrain, Vicente de</v>
      </c>
      <c r="I232" s="30">
        <f t="shared" si="11"/>
        <v>4794</v>
      </c>
    </row>
    <row r="233" spans="1:9" x14ac:dyDescent="0.3">
      <c r="A233" s="33" t="s">
        <v>1425</v>
      </c>
      <c r="B233" cm="1">
        <f t="array" ref="B233">SUMPRODUCT((Registro!$D$2:$D$1040=A233)*Registro!$L$2:$L$1040)</f>
        <v>9997</v>
      </c>
      <c r="C233" s="23">
        <f t="shared" si="9"/>
        <v>9997.0002330000007</v>
      </c>
      <c r="D233" s="24">
        <f>_xlfn.RANK.EQ(C233,$C$2:C$338)</f>
        <v>180</v>
      </c>
      <c r="G233" s="28">
        <v>232</v>
      </c>
      <c r="H233" s="29" t="str">
        <f t="shared" si="10"/>
        <v>Contreras, Francisco de</v>
      </c>
      <c r="I233" s="30">
        <f t="shared" si="11"/>
        <v>4690</v>
      </c>
    </row>
    <row r="234" spans="1:9" x14ac:dyDescent="0.3">
      <c r="A234" s="33" t="s">
        <v>1572</v>
      </c>
      <c r="B234" cm="1">
        <f t="array" ref="B234">SUMPRODUCT((Registro!$D$2:$D$1040=A234)*Registro!$L$2:$L$1040)</f>
        <v>9537</v>
      </c>
      <c r="C234" s="23">
        <f t="shared" si="9"/>
        <v>9537.0002339999992</v>
      </c>
      <c r="D234" s="24">
        <f>_xlfn.RANK.EQ(C234,$C$2:C$338)</f>
        <v>186</v>
      </c>
      <c r="G234" s="28">
        <v>233</v>
      </c>
      <c r="H234" s="29" t="str">
        <f t="shared" si="10"/>
        <v>Castillo Ascárate, Juan del</v>
      </c>
      <c r="I234" s="30">
        <f t="shared" si="11"/>
        <v>4640</v>
      </c>
    </row>
    <row r="235" spans="1:9" x14ac:dyDescent="0.3">
      <c r="A235" s="34" t="s">
        <v>1329</v>
      </c>
      <c r="B235" cm="1">
        <f t="array" ref="B235">SUMPRODUCT((Registro!$D$2:$D$1040=A235)*Registro!$L$2:$L$1040)</f>
        <v>16500</v>
      </c>
      <c r="C235" s="23">
        <f t="shared" si="9"/>
        <v>16500.000235</v>
      </c>
      <c r="D235" s="24">
        <f>_xlfn.RANK.EQ(C235,$C$2:C$338)</f>
        <v>139</v>
      </c>
      <c r="G235" s="28">
        <v>234</v>
      </c>
      <c r="H235" s="29" t="str">
        <f t="shared" si="10"/>
        <v>Jiménez, Francisco</v>
      </c>
      <c r="I235" s="30">
        <f t="shared" si="11"/>
        <v>4600</v>
      </c>
    </row>
    <row r="236" spans="1:9" x14ac:dyDescent="0.3">
      <c r="A236" s="33" t="s">
        <v>1479</v>
      </c>
      <c r="B236" cm="1">
        <f t="array" ref="B236">SUMPRODUCT((Registro!$D$2:$D$1040=A236)*Registro!$L$2:$L$1040)</f>
        <v>3236</v>
      </c>
      <c r="C236" s="23">
        <f t="shared" si="9"/>
        <v>3236.0002359999999</v>
      </c>
      <c r="D236" s="24">
        <f>_xlfn.RANK.EQ(C236,$C$2:C$338)</f>
        <v>259</v>
      </c>
      <c r="G236" s="28">
        <v>235</v>
      </c>
      <c r="H236" s="29" t="str">
        <f t="shared" si="10"/>
        <v>Peña, Francisco de la</v>
      </c>
      <c r="I236" s="30">
        <f t="shared" si="11"/>
        <v>4600</v>
      </c>
    </row>
    <row r="237" spans="1:9" x14ac:dyDescent="0.3">
      <c r="A237" s="33" t="s">
        <v>1663</v>
      </c>
      <c r="B237" cm="1">
        <f t="array" ref="B237">SUMPRODUCT((Registro!$D$2:$D$1040=A237)*Registro!$L$2:$L$1040)</f>
        <v>8848</v>
      </c>
      <c r="C237" s="23">
        <f t="shared" si="9"/>
        <v>8848.0002370000002</v>
      </c>
      <c r="D237" s="24">
        <f>_xlfn.RANK.EQ(C237,$C$2:C$338)</f>
        <v>191</v>
      </c>
      <c r="G237" s="28">
        <v>236</v>
      </c>
      <c r="H237" s="29" t="str">
        <f t="shared" si="10"/>
        <v>Vargas, Onofre</v>
      </c>
      <c r="I237" s="30">
        <f t="shared" si="11"/>
        <v>4500</v>
      </c>
    </row>
    <row r="238" spans="1:9" x14ac:dyDescent="0.3">
      <c r="A238" s="33" t="s">
        <v>1463</v>
      </c>
      <c r="B238" cm="1">
        <f t="array" ref="B238">SUMPRODUCT((Registro!$D$2:$D$1040=A238)*Registro!$L$2:$L$1040)</f>
        <v>1600</v>
      </c>
      <c r="C238" s="23">
        <f t="shared" si="9"/>
        <v>1600.0002380000001</v>
      </c>
      <c r="D238" s="24">
        <f>_xlfn.RANK.EQ(C238,$C$2:C$338)</f>
        <v>289</v>
      </c>
      <c r="G238" s="28">
        <v>237</v>
      </c>
      <c r="H238" s="29" t="str">
        <f t="shared" si="10"/>
        <v>Urra, Ignacio de</v>
      </c>
      <c r="I238" s="30">
        <f t="shared" si="11"/>
        <v>4400</v>
      </c>
    </row>
    <row r="239" spans="1:9" x14ac:dyDescent="0.3">
      <c r="A239" s="33" t="s">
        <v>1361</v>
      </c>
      <c r="B239" cm="1">
        <f t="array" ref="B239">SUMPRODUCT((Registro!$D$2:$D$1040=A239)*Registro!$L$2:$L$1040)</f>
        <v>21280</v>
      </c>
      <c r="C239" s="23">
        <f t="shared" si="9"/>
        <v>21280.000239000001</v>
      </c>
      <c r="D239" s="24">
        <f>_xlfn.RANK.EQ(C239,$C$2:C$338)</f>
        <v>118</v>
      </c>
      <c r="G239" s="28">
        <v>238</v>
      </c>
      <c r="H239" s="29" t="str">
        <f t="shared" si="10"/>
        <v>Cuaresma, Simón "el ciego"</v>
      </c>
      <c r="I239" s="30">
        <f t="shared" si="11"/>
        <v>4350</v>
      </c>
    </row>
    <row r="240" spans="1:9" x14ac:dyDescent="0.3">
      <c r="A240" s="33" t="s">
        <v>1399</v>
      </c>
      <c r="B240" cm="1">
        <f t="array" ref="B240">SUMPRODUCT((Registro!$D$2:$D$1040=A240)*Registro!$L$2:$L$1040)</f>
        <v>10000</v>
      </c>
      <c r="C240" s="23">
        <f t="shared" si="9"/>
        <v>10000.000239999999</v>
      </c>
      <c r="D240" s="24">
        <f>_xlfn.RANK.EQ(C240,$C$2:C$338)</f>
        <v>178</v>
      </c>
      <c r="G240" s="28">
        <v>239</v>
      </c>
      <c r="H240" s="29" t="str">
        <f t="shared" si="10"/>
        <v>Escobar, Diego de</v>
      </c>
      <c r="I240" s="30">
        <f t="shared" si="11"/>
        <v>4350</v>
      </c>
    </row>
    <row r="241" spans="1:9" x14ac:dyDescent="0.3">
      <c r="A241" s="33" t="s">
        <v>1426</v>
      </c>
      <c r="B241" cm="1">
        <f t="array" ref="B241">SUMPRODUCT((Registro!$D$2:$D$1040=A241)*Registro!$L$2:$L$1040)</f>
        <v>5380</v>
      </c>
      <c r="C241" s="23">
        <f t="shared" si="9"/>
        <v>5380.0002409999997</v>
      </c>
      <c r="D241" s="24">
        <f>_xlfn.RANK.EQ(C241,$C$2:C$338)</f>
        <v>221</v>
      </c>
      <c r="G241" s="28">
        <v>240</v>
      </c>
      <c r="H241" s="29" t="str">
        <f t="shared" si="10"/>
        <v>Vera, Diego de</v>
      </c>
      <c r="I241" s="30">
        <f t="shared" si="11"/>
        <v>4333</v>
      </c>
    </row>
    <row r="242" spans="1:9" x14ac:dyDescent="0.3">
      <c r="A242" s="34" t="s">
        <v>1396</v>
      </c>
      <c r="B242" cm="1">
        <f t="array" ref="B242">SUMPRODUCT((Registro!$D$2:$D$1040=A242)*Registro!$L$2:$L$1040)</f>
        <v>27244</v>
      </c>
      <c r="C242" s="23">
        <f t="shared" si="9"/>
        <v>27244.000241999998</v>
      </c>
      <c r="D242" s="24">
        <f>_xlfn.RANK.EQ(C242,$C$2:C$338)</f>
        <v>102</v>
      </c>
      <c r="G242" s="28">
        <v>241</v>
      </c>
      <c r="H242" s="29" t="str">
        <f t="shared" si="10"/>
        <v>Cabrera, Gerónimo de</v>
      </c>
      <c r="I242" s="30">
        <f t="shared" si="11"/>
        <v>4300</v>
      </c>
    </row>
    <row r="243" spans="1:9" x14ac:dyDescent="0.3">
      <c r="A243" s="33" t="s">
        <v>1584</v>
      </c>
      <c r="B243" cm="1">
        <f t="array" ref="B243">SUMPRODUCT((Registro!$D$2:$D$1040=A243)*Registro!$L$2:$L$1040)</f>
        <v>750</v>
      </c>
      <c r="C243" s="23">
        <f t="shared" si="9"/>
        <v>750.00024299999995</v>
      </c>
      <c r="D243" s="24">
        <f>_xlfn.RANK.EQ(C243,$C$2:C$338)</f>
        <v>308</v>
      </c>
      <c r="G243" s="28">
        <v>242</v>
      </c>
      <c r="H243" s="29" t="str">
        <f t="shared" si="10"/>
        <v>Benitez, Francisco</v>
      </c>
      <c r="I243" s="30">
        <f t="shared" si="11"/>
        <v>4300</v>
      </c>
    </row>
    <row r="244" spans="1:9" x14ac:dyDescent="0.3">
      <c r="A244" s="33" t="s">
        <v>1430</v>
      </c>
      <c r="B244" cm="1">
        <f t="array" ref="B244">SUMPRODUCT((Registro!$D$2:$D$1040=A244)*Registro!$L$2:$L$1040)</f>
        <v>14102</v>
      </c>
      <c r="C244" s="23">
        <f t="shared" si="9"/>
        <v>14102.000244000001</v>
      </c>
      <c r="D244" s="24">
        <f>_xlfn.RANK.EQ(C244,$C$2:C$338)</f>
        <v>150</v>
      </c>
      <c r="G244" s="28">
        <v>243</v>
      </c>
      <c r="H244" s="29" t="str">
        <f t="shared" si="10"/>
        <v>Isasi, Joseph de</v>
      </c>
      <c r="I244" s="30">
        <f t="shared" si="11"/>
        <v>4247</v>
      </c>
    </row>
    <row r="245" spans="1:9" x14ac:dyDescent="0.3">
      <c r="A245" s="33" t="s">
        <v>1359</v>
      </c>
      <c r="B245" cm="1">
        <f t="array" ref="B245">SUMPRODUCT((Registro!$D$2:$D$1040=A245)*Registro!$L$2:$L$1040)</f>
        <v>6625</v>
      </c>
      <c r="C245" s="23">
        <f t="shared" si="9"/>
        <v>6625.0002450000002</v>
      </c>
      <c r="D245" s="24">
        <f>_xlfn.RANK.EQ(C245,$C$2:C$338)</f>
        <v>210</v>
      </c>
      <c r="G245" s="28">
        <v>244</v>
      </c>
      <c r="H245" s="29" t="str">
        <f t="shared" si="10"/>
        <v>Costa, Tomás de</v>
      </c>
      <c r="I245" s="30">
        <f t="shared" si="11"/>
        <v>4223</v>
      </c>
    </row>
    <row r="246" spans="1:9" x14ac:dyDescent="0.3">
      <c r="A246" s="33" t="s">
        <v>1377</v>
      </c>
      <c r="B246" cm="1">
        <f t="array" ref="B246">SUMPRODUCT((Registro!$D$2:$D$1040=A246)*Registro!$L$2:$L$1040)</f>
        <v>26500</v>
      </c>
      <c r="C246" s="23">
        <f t="shared" si="9"/>
        <v>26500.000246</v>
      </c>
      <c r="D246" s="24">
        <f>_xlfn.RANK.EQ(C246,$C$2:C$338)</f>
        <v>105</v>
      </c>
      <c r="G246" s="28">
        <v>245</v>
      </c>
      <c r="H246" s="29" t="str">
        <f t="shared" si="10"/>
        <v>Fernández, Pedro</v>
      </c>
      <c r="I246" s="30">
        <f t="shared" si="11"/>
        <v>4160</v>
      </c>
    </row>
    <row r="247" spans="1:9" ht="27.6" x14ac:dyDescent="0.3">
      <c r="A247" s="33" t="s">
        <v>1585</v>
      </c>
      <c r="B247" cm="1">
        <f t="array" ref="B247">SUMPRODUCT((Registro!$D$2:$D$1040=A247)*Registro!$L$2:$L$1040)</f>
        <v>4000</v>
      </c>
      <c r="C247" s="23">
        <f t="shared" si="9"/>
        <v>4000.0002469999999</v>
      </c>
      <c r="D247" s="24">
        <f>_xlfn.RANK.EQ(C247,$C$2:C$338)</f>
        <v>249</v>
      </c>
      <c r="G247" s="28">
        <v>246</v>
      </c>
      <c r="H247" s="29" t="str">
        <f t="shared" si="10"/>
        <v>Herrera Arroyo, Fernando de</v>
      </c>
      <c r="I247" s="30">
        <f t="shared" si="11"/>
        <v>4118</v>
      </c>
    </row>
    <row r="248" spans="1:9" x14ac:dyDescent="0.3">
      <c r="A248" s="34" t="s">
        <v>1306</v>
      </c>
      <c r="B248" cm="1">
        <f t="array" ref="B248">SUMPRODUCT((Registro!$D$2:$D$1040=A248)*Registro!$L$2:$L$1040)</f>
        <v>8195</v>
      </c>
      <c r="C248" s="23">
        <f t="shared" si="9"/>
        <v>8195.0002480000003</v>
      </c>
      <c r="D248" s="24">
        <f>_xlfn.RANK.EQ(C248,$C$2:C$338)</f>
        <v>196</v>
      </c>
      <c r="G248" s="28">
        <v>247</v>
      </c>
      <c r="H248" s="29" t="str">
        <f t="shared" si="10"/>
        <v>Paul, Antonio</v>
      </c>
      <c r="I248" s="30">
        <f t="shared" si="11"/>
        <v>4088</v>
      </c>
    </row>
    <row r="249" spans="1:9" x14ac:dyDescent="0.3">
      <c r="A249" s="33" t="s">
        <v>1398</v>
      </c>
      <c r="B249" cm="1">
        <f t="array" ref="B249">SUMPRODUCT((Registro!$D$2:$D$1040=A249)*Registro!$L$2:$L$1040)</f>
        <v>6402</v>
      </c>
      <c r="C249" s="23">
        <f t="shared" si="9"/>
        <v>6402.0002489999997</v>
      </c>
      <c r="D249" s="24">
        <f>_xlfn.RANK.EQ(C249,$C$2:C$338)</f>
        <v>214</v>
      </c>
      <c r="G249" s="28">
        <v>248</v>
      </c>
      <c r="H249" s="29" t="str">
        <f t="shared" si="10"/>
        <v>López, Cristóbal</v>
      </c>
      <c r="I249" s="30">
        <f t="shared" si="11"/>
        <v>4001</v>
      </c>
    </row>
    <row r="250" spans="1:9" x14ac:dyDescent="0.3">
      <c r="A250" s="33" t="s">
        <v>1477</v>
      </c>
      <c r="B250" cm="1">
        <f t="array" ref="B250">SUMPRODUCT((Registro!$D$2:$D$1040=A250)*Registro!$L$2:$L$1040)</f>
        <v>51933</v>
      </c>
      <c r="C250" s="23">
        <f t="shared" si="9"/>
        <v>51933.000249999997</v>
      </c>
      <c r="D250" s="24">
        <f>_xlfn.RANK.EQ(C250,$C$2:C$338)</f>
        <v>67</v>
      </c>
      <c r="G250" s="28">
        <v>249</v>
      </c>
      <c r="H250" s="29" t="str">
        <f t="shared" si="10"/>
        <v>Rojas, Matías</v>
      </c>
      <c r="I250" s="30">
        <f t="shared" si="11"/>
        <v>4000</v>
      </c>
    </row>
    <row r="251" spans="1:9" x14ac:dyDescent="0.3">
      <c r="A251" s="33" t="s">
        <v>1512</v>
      </c>
      <c r="B251" cm="1">
        <f t="array" ref="B251">SUMPRODUCT((Registro!$D$2:$D$1040=A251)*Registro!$L$2:$L$1040)</f>
        <v>10550</v>
      </c>
      <c r="C251" s="23">
        <f t="shared" si="9"/>
        <v>10550.000250999999</v>
      </c>
      <c r="D251" s="24">
        <f>_xlfn.RANK.EQ(C251,$C$2:C$338)</f>
        <v>170</v>
      </c>
      <c r="G251" s="28">
        <v>250</v>
      </c>
      <c r="H251" s="29" t="str">
        <f t="shared" si="10"/>
        <v>Miraval, Juan de</v>
      </c>
      <c r="I251" s="30">
        <f t="shared" si="11"/>
        <v>4000</v>
      </c>
    </row>
    <row r="252" spans="1:9" x14ac:dyDescent="0.3">
      <c r="A252" s="33" t="s">
        <v>1669</v>
      </c>
      <c r="B252" cm="1">
        <f t="array" ref="B252">SUMPRODUCT((Registro!$D$2:$D$1040=A252)*Registro!$L$2:$L$1040)</f>
        <v>4794</v>
      </c>
      <c r="C252" s="23">
        <f t="shared" si="9"/>
        <v>4794.0002519999998</v>
      </c>
      <c r="D252" s="24">
        <f>_xlfn.RANK.EQ(C252,$C$2:C$338)</f>
        <v>231</v>
      </c>
      <c r="G252" s="28">
        <v>251</v>
      </c>
      <c r="H252" s="29" t="str">
        <f t="shared" si="10"/>
        <v>Vergara, Lucas de</v>
      </c>
      <c r="I252" s="30">
        <f t="shared" si="11"/>
        <v>3840</v>
      </c>
    </row>
    <row r="253" spans="1:9" x14ac:dyDescent="0.3">
      <c r="A253" s="33" t="s">
        <v>1380</v>
      </c>
      <c r="B253" cm="1">
        <f t="array" ref="B253">SUMPRODUCT((Registro!$D$2:$D$1040=A253)*Registro!$L$2:$L$1040)</f>
        <v>10703</v>
      </c>
      <c r="C253" s="23">
        <f t="shared" si="9"/>
        <v>10703.000253</v>
      </c>
      <c r="D253" s="24">
        <f>_xlfn.RANK.EQ(C253,$C$2:C$338)</f>
        <v>168</v>
      </c>
      <c r="G253" s="28">
        <v>252</v>
      </c>
      <c r="H253" s="29" t="str">
        <f t="shared" si="10"/>
        <v>Ojeda, Antonio de</v>
      </c>
      <c r="I253" s="30">
        <f t="shared" si="11"/>
        <v>3768</v>
      </c>
    </row>
    <row r="254" spans="1:9" ht="27.6" x14ac:dyDescent="0.3">
      <c r="A254" s="33" t="s">
        <v>1569</v>
      </c>
      <c r="B254" cm="1">
        <f t="array" ref="B254">SUMPRODUCT((Registro!$D$2:$D$1040=A254)*Registro!$L$2:$L$1040)</f>
        <v>2500</v>
      </c>
      <c r="C254" s="23">
        <f t="shared" si="9"/>
        <v>2500.000254</v>
      </c>
      <c r="D254" s="24">
        <f>_xlfn.RANK.EQ(C254,$C$2:C$338)</f>
        <v>274</v>
      </c>
      <c r="G254" s="28">
        <v>253</v>
      </c>
      <c r="H254" s="29" t="str">
        <f t="shared" si="10"/>
        <v>Ruiz de la Llana Alvarado, Juan</v>
      </c>
      <c r="I254" s="30">
        <f t="shared" si="11"/>
        <v>3664</v>
      </c>
    </row>
    <row r="255" spans="1:9" x14ac:dyDescent="0.3">
      <c r="A255" s="33" t="s">
        <v>1587</v>
      </c>
      <c r="B255" cm="1">
        <f t="array" ref="B255">SUMPRODUCT((Registro!$D$2:$D$1040=A255)*Registro!$L$2:$L$1040)</f>
        <v>5020</v>
      </c>
      <c r="C255" s="23">
        <f t="shared" si="9"/>
        <v>5020.0002549999999</v>
      </c>
      <c r="D255" s="24">
        <f>_xlfn.RANK.EQ(C255,$C$2:C$338)</f>
        <v>224</v>
      </c>
      <c r="G255" s="28">
        <v>254</v>
      </c>
      <c r="H255" s="29" t="str">
        <f t="shared" si="10"/>
        <v>Morillo, Antonio</v>
      </c>
      <c r="I255" s="30">
        <f t="shared" si="11"/>
        <v>3656</v>
      </c>
    </row>
    <row r="256" spans="1:9" x14ac:dyDescent="0.3">
      <c r="A256" s="34" t="s">
        <v>1308</v>
      </c>
      <c r="B256" cm="1">
        <f t="array" ref="B256">SUMPRODUCT((Registro!$D$2:$D$1040=A256)*Registro!$L$2:$L$1040)</f>
        <v>20777</v>
      </c>
      <c r="C256" s="23">
        <f t="shared" si="9"/>
        <v>20777.000255999999</v>
      </c>
      <c r="D256" s="24">
        <f>_xlfn.RANK.EQ(C256,$C$2:C$338)</f>
        <v>120</v>
      </c>
      <c r="G256" s="28">
        <v>255</v>
      </c>
      <c r="H256" s="29" t="str">
        <f t="shared" si="10"/>
        <v>Sánchez Albornoz, Diego</v>
      </c>
      <c r="I256" s="30">
        <f t="shared" si="11"/>
        <v>3400</v>
      </c>
    </row>
    <row r="257" spans="1:9" x14ac:dyDescent="0.3">
      <c r="A257" s="33" t="s">
        <v>1379</v>
      </c>
      <c r="B257" cm="1">
        <f t="array" ref="B257">SUMPRODUCT((Registro!$D$2:$D$1040=A257)*Registro!$L$2:$L$1040)</f>
        <v>9039</v>
      </c>
      <c r="C257" s="23">
        <f t="shared" si="9"/>
        <v>9039.0002569999997</v>
      </c>
      <c r="D257" s="24">
        <f>_xlfn.RANK.EQ(C257,$C$2:C$338)</f>
        <v>188</v>
      </c>
      <c r="G257" s="28">
        <v>256</v>
      </c>
      <c r="H257" s="29" t="str">
        <f t="shared" si="10"/>
        <v>Benito, Paulo</v>
      </c>
      <c r="I257" s="30">
        <f t="shared" si="11"/>
        <v>3350</v>
      </c>
    </row>
    <row r="258" spans="1:9" x14ac:dyDescent="0.3">
      <c r="A258" s="33" t="s">
        <v>1475</v>
      </c>
      <c r="B258" cm="1">
        <f t="array" ref="B258">SUMPRODUCT((Registro!$D$2:$D$1040=A258)*Registro!$L$2:$L$1040)</f>
        <v>4300</v>
      </c>
      <c r="C258" s="23">
        <f t="shared" ref="C258:C321" si="12">B258+0.000001*ROW()</f>
        <v>4300.000258</v>
      </c>
      <c r="D258" s="24">
        <f>_xlfn.RANK.EQ(C258,$C$2:C$338)</f>
        <v>241</v>
      </c>
      <c r="G258" s="28">
        <v>257</v>
      </c>
      <c r="H258" s="29" t="str">
        <f t="shared" ref="H258:H321" si="13">INDEX($A$2:$A$478,MATCH(G258,$D$2:$D$478,0))</f>
        <v>Terrones, Juan Bautista</v>
      </c>
      <c r="I258" s="30">
        <f t="shared" ref="I258:I321" si="14">INDEX($B$2:$B$478,MATCH(G258,$D$2:$D$478,0))</f>
        <v>3320</v>
      </c>
    </row>
    <row r="259" spans="1:9" x14ac:dyDescent="0.3">
      <c r="A259" s="33" t="s">
        <v>1466</v>
      </c>
      <c r="B259" cm="1">
        <f t="array" ref="B259">SUMPRODUCT((Registro!$D$2:$D$1040=A259)*Registro!$L$2:$L$1040)</f>
        <v>700</v>
      </c>
      <c r="C259" s="23">
        <f t="shared" si="12"/>
        <v>700.00025900000003</v>
      </c>
      <c r="D259" s="24">
        <f>_xlfn.RANK.EQ(C259,$C$2:C$338)</f>
        <v>312</v>
      </c>
      <c r="G259" s="28">
        <v>258</v>
      </c>
      <c r="H259" s="29" t="str">
        <f t="shared" si="13"/>
        <v>Castro, Juan de</v>
      </c>
      <c r="I259" s="30">
        <f t="shared" si="14"/>
        <v>3320</v>
      </c>
    </row>
    <row r="260" spans="1:9" x14ac:dyDescent="0.3">
      <c r="A260" s="33" t="s">
        <v>1427</v>
      </c>
      <c r="B260" cm="1">
        <f t="array" ref="B260">SUMPRODUCT((Registro!$D$2:$D$1040=A260)*Registro!$L$2:$L$1040)</f>
        <v>9316</v>
      </c>
      <c r="C260" s="23">
        <f t="shared" si="12"/>
        <v>9316.0002600000007</v>
      </c>
      <c r="D260" s="24">
        <f>_xlfn.RANK.EQ(C260,$C$2:C$338)</f>
        <v>187</v>
      </c>
      <c r="G260" s="28">
        <v>259</v>
      </c>
      <c r="H260" s="29" t="str">
        <f t="shared" si="13"/>
        <v>Urrutia, Gerónimo de</v>
      </c>
      <c r="I260" s="30">
        <f t="shared" si="14"/>
        <v>3236</v>
      </c>
    </row>
    <row r="261" spans="1:9" x14ac:dyDescent="0.3">
      <c r="A261" s="33" t="s">
        <v>1336</v>
      </c>
      <c r="B261" cm="1">
        <f t="array" ref="B261">SUMPRODUCT((Registro!$D$2:$D$1040=A261)*Registro!$L$2:$L$1040)</f>
        <v>31324</v>
      </c>
      <c r="C261" s="23">
        <f t="shared" si="12"/>
        <v>31324.000261000001</v>
      </c>
      <c r="D261" s="24">
        <f>_xlfn.RANK.EQ(C261,$C$2:C$338)</f>
        <v>94</v>
      </c>
      <c r="G261" s="28">
        <v>260</v>
      </c>
      <c r="H261" s="29" t="str">
        <f t="shared" si="13"/>
        <v>Blanco, Diego</v>
      </c>
      <c r="I261" s="30">
        <f t="shared" si="14"/>
        <v>3023</v>
      </c>
    </row>
    <row r="262" spans="1:9" x14ac:dyDescent="0.3">
      <c r="A262" s="34" t="s">
        <v>1311</v>
      </c>
      <c r="B262" cm="1">
        <f t="array" ref="B262">SUMPRODUCT((Registro!$D$2:$D$1040=A262)*Registro!$L$2:$L$1040)</f>
        <v>10034</v>
      </c>
      <c r="C262" s="23">
        <f t="shared" si="12"/>
        <v>10034.000262</v>
      </c>
      <c r="D262" s="24">
        <f>_xlfn.RANK.EQ(C262,$C$2:C$338)</f>
        <v>176</v>
      </c>
      <c r="G262" s="28">
        <v>261</v>
      </c>
      <c r="H262" s="29" t="str">
        <f t="shared" si="13"/>
        <v>Ángel, Diego Román del</v>
      </c>
      <c r="I262" s="30">
        <f t="shared" si="14"/>
        <v>3000</v>
      </c>
    </row>
    <row r="263" spans="1:9" x14ac:dyDescent="0.3">
      <c r="A263" s="34" t="s">
        <v>1313</v>
      </c>
      <c r="B263" cm="1">
        <f t="array" ref="B263">SUMPRODUCT((Registro!$D$2:$D$1040=A263)*Registro!$L$2:$L$1040)</f>
        <v>14400</v>
      </c>
      <c r="C263" s="23">
        <f t="shared" si="12"/>
        <v>14400.000263</v>
      </c>
      <c r="D263" s="24">
        <f>_xlfn.RANK.EQ(C263,$C$2:C$338)</f>
        <v>147</v>
      </c>
      <c r="G263" s="28">
        <v>262</v>
      </c>
      <c r="H263" s="29" t="str">
        <f t="shared" si="13"/>
        <v>Saga, Martín de la</v>
      </c>
      <c r="I263" s="30">
        <f t="shared" si="14"/>
        <v>3000</v>
      </c>
    </row>
    <row r="264" spans="1:9" x14ac:dyDescent="0.3">
      <c r="A264" s="33" t="s">
        <v>1453</v>
      </c>
      <c r="B264" cm="1">
        <f t="array" ref="B264">SUMPRODUCT((Registro!$D$2:$D$1040=A264)*Registro!$L$2:$L$1040)</f>
        <v>6272</v>
      </c>
      <c r="C264" s="23">
        <f t="shared" si="12"/>
        <v>6272.0002640000002</v>
      </c>
      <c r="D264" s="24">
        <f>_xlfn.RANK.EQ(C264,$C$2:C$338)</f>
        <v>215</v>
      </c>
      <c r="G264" s="28">
        <v>263</v>
      </c>
      <c r="H264" s="29" t="str">
        <f t="shared" si="13"/>
        <v>Pinedo, Joseph</v>
      </c>
      <c r="I264" s="30">
        <f t="shared" si="14"/>
        <v>3000</v>
      </c>
    </row>
    <row r="265" spans="1:9" x14ac:dyDescent="0.3">
      <c r="A265" s="33" t="s">
        <v>1315</v>
      </c>
      <c r="B265" cm="1">
        <f t="array" ref="B265">SUMPRODUCT((Registro!$D$2:$D$1040=A265)*Registro!$L$2:$L$1040)</f>
        <v>12000</v>
      </c>
      <c r="C265" s="23">
        <f t="shared" si="12"/>
        <v>12000.000265000001</v>
      </c>
      <c r="D265" s="24">
        <f>_xlfn.RANK.EQ(C265,$C$2:C$338)</f>
        <v>160</v>
      </c>
      <c r="G265" s="28">
        <v>264</v>
      </c>
      <c r="H265" s="29" t="str">
        <f t="shared" si="13"/>
        <v>Leponte, Félix</v>
      </c>
      <c r="I265" s="30">
        <f t="shared" si="14"/>
        <v>2900</v>
      </c>
    </row>
    <row r="266" spans="1:9" x14ac:dyDescent="0.3">
      <c r="A266" s="34" t="s">
        <v>1318</v>
      </c>
      <c r="B266" cm="1">
        <f t="array" ref="B266">SUMPRODUCT((Registro!$D$2:$D$1040=A266)*Registro!$L$2:$L$1040)</f>
        <v>4400</v>
      </c>
      <c r="C266" s="23">
        <f t="shared" si="12"/>
        <v>4400.000266</v>
      </c>
      <c r="D266" s="24">
        <f>_xlfn.RANK.EQ(C266,$C$2:C$338)</f>
        <v>237</v>
      </c>
      <c r="G266" s="28">
        <v>265</v>
      </c>
      <c r="H266" s="29" t="str">
        <f t="shared" si="13"/>
        <v>Grados, Diego de</v>
      </c>
      <c r="I266" s="30">
        <f t="shared" si="14"/>
        <v>2816</v>
      </c>
    </row>
    <row r="267" spans="1:9" x14ac:dyDescent="0.3">
      <c r="A267" s="33" t="s">
        <v>1429</v>
      </c>
      <c r="B267" cm="1">
        <f t="array" ref="B267">SUMPRODUCT((Registro!$D$2:$D$1040=A267)*Registro!$L$2:$L$1040)</f>
        <v>26391</v>
      </c>
      <c r="C267" s="23">
        <f t="shared" si="12"/>
        <v>26391.000266999999</v>
      </c>
      <c r="D267" s="24">
        <f>_xlfn.RANK.EQ(C267,$C$2:C$338)</f>
        <v>107</v>
      </c>
      <c r="G267" s="28">
        <v>266</v>
      </c>
      <c r="H267" s="29" t="str">
        <f t="shared" si="13"/>
        <v>Zerrato, Alonso</v>
      </c>
      <c r="I267" s="30">
        <f t="shared" si="14"/>
        <v>2800</v>
      </c>
    </row>
    <row r="268" spans="1:9" x14ac:dyDescent="0.3">
      <c r="A268" s="34" t="s">
        <v>1545</v>
      </c>
      <c r="B268" cm="1">
        <f t="array" ref="B268">SUMPRODUCT((Registro!$D$2:$D$1040=A268)*Registro!$L$2:$L$1040)</f>
        <v>14116</v>
      </c>
      <c r="C268" s="23">
        <f t="shared" si="12"/>
        <v>14116.000268</v>
      </c>
      <c r="D268" s="24">
        <f>_xlfn.RANK.EQ(C268,$C$2:C$338)</f>
        <v>149</v>
      </c>
      <c r="G268" s="28">
        <v>267</v>
      </c>
      <c r="H268" s="29" t="str">
        <f t="shared" si="13"/>
        <v>Vera, Pedro Florencio de</v>
      </c>
      <c r="I268" s="30">
        <f t="shared" si="14"/>
        <v>2800</v>
      </c>
    </row>
    <row r="269" spans="1:9" x14ac:dyDescent="0.3">
      <c r="A269" s="33" t="s">
        <v>1671</v>
      </c>
      <c r="B269" cm="1">
        <f t="array" ref="B269">SUMPRODUCT((Registro!$D$2:$D$1040=A269)*Registro!$L$2:$L$1040)</f>
        <v>9890</v>
      </c>
      <c r="C269" s="23">
        <f t="shared" si="12"/>
        <v>9890.0002690000001</v>
      </c>
      <c r="D269" s="24">
        <f>_xlfn.RANK.EQ(C269,$C$2:C$338)</f>
        <v>181</v>
      </c>
      <c r="G269" s="28">
        <v>268</v>
      </c>
      <c r="H269" s="29" t="str">
        <f t="shared" si="13"/>
        <v>Agua, Felipe Allen del</v>
      </c>
      <c r="I269" s="30">
        <f t="shared" si="14"/>
        <v>2750</v>
      </c>
    </row>
    <row r="270" spans="1:9" x14ac:dyDescent="0.3">
      <c r="A270" s="33" t="s">
        <v>1501</v>
      </c>
      <c r="B270" cm="1">
        <f t="array" ref="B270">SUMPRODUCT((Registro!$D$2:$D$1040=A270)*Registro!$L$2:$L$1040)</f>
        <v>5000</v>
      </c>
      <c r="C270" s="23">
        <f t="shared" si="12"/>
        <v>5000.0002699999995</v>
      </c>
      <c r="D270" s="24">
        <f>_xlfn.RANK.EQ(C270,$C$2:C$338)</f>
        <v>228</v>
      </c>
      <c r="G270" s="28">
        <v>269</v>
      </c>
      <c r="H270" s="29" t="str">
        <f t="shared" si="13"/>
        <v>Aguilera, Cristóbal de</v>
      </c>
      <c r="I270" s="30">
        <f t="shared" si="14"/>
        <v>2700</v>
      </c>
    </row>
    <row r="271" spans="1:9" x14ac:dyDescent="0.3">
      <c r="A271" s="33" t="s">
        <v>1615</v>
      </c>
      <c r="B271" cm="1">
        <f t="array" ref="B271">SUMPRODUCT((Registro!$D$2:$D$1040=A271)*Registro!$L$2:$L$1040)</f>
        <v>2500</v>
      </c>
      <c r="C271" s="23">
        <f t="shared" si="12"/>
        <v>2500.0002709999999</v>
      </c>
      <c r="D271" s="24">
        <f>_xlfn.RANK.EQ(C271,$C$2:C$338)</f>
        <v>273</v>
      </c>
      <c r="G271" s="28">
        <v>270</v>
      </c>
      <c r="H271" s="29" t="str">
        <f t="shared" si="13"/>
        <v>Jiménez Guillen, Martín</v>
      </c>
      <c r="I271" s="30">
        <f t="shared" si="14"/>
        <v>2600</v>
      </c>
    </row>
    <row r="272" spans="1:9" x14ac:dyDescent="0.3">
      <c r="A272" s="33" t="s">
        <v>1619</v>
      </c>
      <c r="B272" cm="1">
        <f t="array" ref="B272">SUMPRODUCT((Registro!$D$2:$D$1040=A272)*Registro!$L$2:$L$1040)</f>
        <v>98691</v>
      </c>
      <c r="C272" s="23">
        <f t="shared" si="12"/>
        <v>98691.000272000005</v>
      </c>
      <c r="D272" s="24">
        <f>_xlfn.RANK.EQ(C272,$C$2:C$338)</f>
        <v>34</v>
      </c>
      <c r="G272" s="28">
        <v>271</v>
      </c>
      <c r="H272" s="29" t="str">
        <f t="shared" si="13"/>
        <v>García de Flores, Francisco</v>
      </c>
      <c r="I272" s="30">
        <f t="shared" si="14"/>
        <v>2500</v>
      </c>
    </row>
    <row r="273" spans="1:9" x14ac:dyDescent="0.3">
      <c r="A273" s="33" t="s">
        <v>1362</v>
      </c>
      <c r="B273" cm="1">
        <f t="array" ref="B273">SUMPRODUCT((Registro!$D$2:$D$1040=A273)*Registro!$L$2:$L$1040)</f>
        <v>10118</v>
      </c>
      <c r="C273" s="23">
        <f t="shared" si="12"/>
        <v>10118.000273</v>
      </c>
      <c r="D273" s="24">
        <f>_xlfn.RANK.EQ(C273,$C$2:C$338)</f>
        <v>173</v>
      </c>
      <c r="G273" s="28">
        <v>272</v>
      </c>
      <c r="H273" s="29" t="str">
        <f t="shared" si="13"/>
        <v>García del Hoyo, Francisco</v>
      </c>
      <c r="I273" s="30">
        <f t="shared" si="14"/>
        <v>2500</v>
      </c>
    </row>
    <row r="274" spans="1:9" x14ac:dyDescent="0.3">
      <c r="A274" s="33" t="s">
        <v>1436</v>
      </c>
      <c r="B274" cm="1">
        <f t="array" ref="B274">SUMPRODUCT((Registro!$D$2:$D$1040=A274)*Registro!$L$2:$L$1040)</f>
        <v>4600</v>
      </c>
      <c r="C274" s="23">
        <f t="shared" si="12"/>
        <v>4600.000274</v>
      </c>
      <c r="D274" s="24">
        <f>_xlfn.RANK.EQ(C274,$C$2:C$338)</f>
        <v>235</v>
      </c>
      <c r="G274" s="28">
        <v>273</v>
      </c>
      <c r="H274" s="29" t="str">
        <f t="shared" si="13"/>
        <v>Rangel, Pedro</v>
      </c>
      <c r="I274" s="30">
        <f t="shared" si="14"/>
        <v>2500</v>
      </c>
    </row>
    <row r="275" spans="1:9" x14ac:dyDescent="0.3">
      <c r="A275" s="33" t="s">
        <v>1373</v>
      </c>
      <c r="B275" cm="1">
        <f t="array" ref="B275">SUMPRODUCT((Registro!$D$2:$D$1040=A275)*Registro!$L$2:$L$1040)</f>
        <v>2700</v>
      </c>
      <c r="C275" s="23">
        <f t="shared" si="12"/>
        <v>2700.0002749999999</v>
      </c>
      <c r="D275" s="24">
        <f>_xlfn.RANK.EQ(C275,$C$2:C$338)</f>
        <v>269</v>
      </c>
      <c r="G275" s="28">
        <v>274</v>
      </c>
      <c r="H275" s="29" t="str">
        <f t="shared" si="13"/>
        <v>Abrego, Luis de</v>
      </c>
      <c r="I275" s="30">
        <f t="shared" si="14"/>
        <v>2500</v>
      </c>
    </row>
    <row r="276" spans="1:9" x14ac:dyDescent="0.3">
      <c r="A276" s="33" t="s">
        <v>1626</v>
      </c>
      <c r="B276" cm="1">
        <f t="array" ref="B276">SUMPRODUCT((Registro!$D$2:$D$1040=A276)*Registro!$L$2:$L$1040)</f>
        <v>10000</v>
      </c>
      <c r="C276" s="23">
        <f t="shared" si="12"/>
        <v>10000.000276000001</v>
      </c>
      <c r="D276" s="24">
        <f>_xlfn.RANK.EQ(C276,$C$2:C$338)</f>
        <v>177</v>
      </c>
      <c r="G276" s="28">
        <v>275</v>
      </c>
      <c r="H276" s="29" t="str">
        <f t="shared" si="13"/>
        <v>Verberena, Felip de</v>
      </c>
      <c r="I276" s="30">
        <f t="shared" si="14"/>
        <v>2500</v>
      </c>
    </row>
    <row r="277" spans="1:9" ht="27.6" x14ac:dyDescent="0.3">
      <c r="A277" s="33" t="s">
        <v>1376</v>
      </c>
      <c r="B277" cm="1">
        <f t="array" ref="B277">SUMPRODUCT((Registro!$D$2:$D$1040=A277)*Registro!$L$2:$L$1040)</f>
        <v>4001</v>
      </c>
      <c r="C277" s="23">
        <f t="shared" si="12"/>
        <v>4001.0002770000001</v>
      </c>
      <c r="D277" s="24">
        <f>_xlfn.RANK.EQ(C277,$C$2:C$338)</f>
        <v>248</v>
      </c>
      <c r="G277" s="28">
        <v>276</v>
      </c>
      <c r="H277" s="29" t="str">
        <f t="shared" si="13"/>
        <v>Gonzáles de la Fuente, Alonso</v>
      </c>
      <c r="I277" s="30">
        <f t="shared" si="14"/>
        <v>2400</v>
      </c>
    </row>
    <row r="278" spans="1:9" x14ac:dyDescent="0.3">
      <c r="A278" s="33" t="s">
        <v>1383</v>
      </c>
      <c r="B278" cm="1">
        <f t="array" ref="B278">SUMPRODUCT((Registro!$D$2:$D$1040=A278)*Registro!$L$2:$L$1040)</f>
        <v>4875</v>
      </c>
      <c r="C278" s="23">
        <f t="shared" si="12"/>
        <v>4875.0002780000004</v>
      </c>
      <c r="D278" s="24">
        <f>_xlfn.RANK.EQ(C278,$C$2:C$338)</f>
        <v>230</v>
      </c>
      <c r="G278" s="28">
        <v>277</v>
      </c>
      <c r="H278" s="29" t="str">
        <f t="shared" si="13"/>
        <v>Chirinos, Francisco</v>
      </c>
      <c r="I278" s="30">
        <f t="shared" si="14"/>
        <v>2210</v>
      </c>
    </row>
    <row r="279" spans="1:9" x14ac:dyDescent="0.3">
      <c r="A279" s="33" t="s">
        <v>1449</v>
      </c>
      <c r="B279" cm="1">
        <f t="array" ref="B279">SUMPRODUCT((Registro!$D$2:$D$1040=A279)*Registro!$L$2:$L$1040)</f>
        <v>2500</v>
      </c>
      <c r="C279" s="23">
        <f t="shared" si="12"/>
        <v>2500.0002789999999</v>
      </c>
      <c r="D279" s="24">
        <f>_xlfn.RANK.EQ(C279,$C$2:C$338)</f>
        <v>272</v>
      </c>
      <c r="G279" s="28">
        <v>278</v>
      </c>
      <c r="H279" s="29" t="str">
        <f t="shared" si="13"/>
        <v>Aguilar Parrilla, Juan de</v>
      </c>
      <c r="I279" s="30">
        <f t="shared" si="14"/>
        <v>2080</v>
      </c>
    </row>
    <row r="280" spans="1:9" x14ac:dyDescent="0.3">
      <c r="A280" s="33" t="s">
        <v>1541</v>
      </c>
      <c r="B280" cm="1">
        <f t="array" ref="B280">SUMPRODUCT((Registro!$D$2:$D$1040=A280)*Registro!$L$2:$L$1040)</f>
        <v>21000</v>
      </c>
      <c r="C280" s="23">
        <f t="shared" si="12"/>
        <v>21000.00028</v>
      </c>
      <c r="D280" s="24">
        <f>_xlfn.RANK.EQ(C280,$C$2:C$338)</f>
        <v>119</v>
      </c>
      <c r="G280" s="28">
        <v>279</v>
      </c>
      <c r="H280" s="29" t="str">
        <f t="shared" si="13"/>
        <v>Céspedes, Juan de</v>
      </c>
      <c r="I280" s="30">
        <f t="shared" si="14"/>
        <v>1992</v>
      </c>
    </row>
    <row r="281" spans="1:9" x14ac:dyDescent="0.3">
      <c r="A281" s="35" t="s">
        <v>1606</v>
      </c>
      <c r="B281" cm="1">
        <f t="array" ref="B281">SUMPRODUCT((Registro!$D$2:$D$1040=A281)*Registro!$L$2:$L$1040)</f>
        <v>2800</v>
      </c>
      <c r="C281" s="23">
        <f t="shared" si="12"/>
        <v>2800.0002810000001</v>
      </c>
      <c r="D281" s="24">
        <f>_xlfn.RANK.EQ(C281,$C$2:C$338)</f>
        <v>267</v>
      </c>
      <c r="G281" s="28">
        <v>280</v>
      </c>
      <c r="H281" s="29" t="str">
        <f t="shared" si="13"/>
        <v>Fuentes, Antonio</v>
      </c>
      <c r="I281" s="30">
        <f t="shared" si="14"/>
        <v>1910</v>
      </c>
    </row>
    <row r="282" spans="1:9" x14ac:dyDescent="0.3">
      <c r="A282" s="35" t="s">
        <v>1539</v>
      </c>
      <c r="B282" cm="1">
        <f t="array" ref="B282">SUMPRODUCT((Registro!$D$2:$D$1040=A282)*Registro!$L$2:$L$1040)</f>
        <v>4640</v>
      </c>
      <c r="C282" s="23">
        <f t="shared" si="12"/>
        <v>4640.000282</v>
      </c>
      <c r="D282" s="24">
        <f>_xlfn.RANK.EQ(C282,$C$2:C$338)</f>
        <v>233</v>
      </c>
      <c r="G282" s="28">
        <v>281</v>
      </c>
      <c r="H282" s="29" t="str">
        <f t="shared" si="13"/>
        <v>Reina, Florencio de</v>
      </c>
      <c r="I282" s="30">
        <f t="shared" si="14"/>
        <v>1863</v>
      </c>
    </row>
    <row r="283" spans="1:9" x14ac:dyDescent="0.3">
      <c r="A283" s="33" t="s">
        <v>1547</v>
      </c>
      <c r="B283" cm="1">
        <f t="array" ref="B283">SUMPRODUCT((Registro!$D$2:$D$1040=A283)*Registro!$L$2:$L$1040)</f>
        <v>15400</v>
      </c>
      <c r="C283" s="23">
        <f t="shared" si="12"/>
        <v>15400.000282999999</v>
      </c>
      <c r="D283" s="24">
        <f>_xlfn.RANK.EQ(C283,$C$2:C$338)</f>
        <v>143</v>
      </c>
      <c r="G283" s="28">
        <v>282</v>
      </c>
      <c r="H283" s="29" t="str">
        <f t="shared" si="13"/>
        <v>López de Arbulú, Francisco</v>
      </c>
      <c r="I283" s="30">
        <f t="shared" si="14"/>
        <v>1848</v>
      </c>
    </row>
    <row r="284" spans="1:9" ht="27.6" x14ac:dyDescent="0.3">
      <c r="A284" s="33" t="s">
        <v>1575</v>
      </c>
      <c r="B284" cm="1">
        <f t="array" ref="B284">SUMPRODUCT((Registro!$D$2:$D$1040=A284)*Registro!$L$2:$L$1040)</f>
        <v>5000</v>
      </c>
      <c r="C284" s="23">
        <f t="shared" si="12"/>
        <v>5000.0002839999997</v>
      </c>
      <c r="D284" s="24">
        <f>_xlfn.RANK.EQ(C284,$C$2:C$338)</f>
        <v>227</v>
      </c>
      <c r="G284" s="28">
        <v>283</v>
      </c>
      <c r="H284" s="29" t="str">
        <f t="shared" si="13"/>
        <v>Córdova y Jaramillo, Pedro de</v>
      </c>
      <c r="I284" s="30">
        <f t="shared" si="14"/>
        <v>1801</v>
      </c>
    </row>
    <row r="285" spans="1:9" x14ac:dyDescent="0.3">
      <c r="A285" s="34" t="s">
        <v>1553</v>
      </c>
      <c r="B285" cm="1">
        <f t="array" ref="B285">SUMPRODUCT((Registro!$D$2:$D$1040=A285)*Registro!$L$2:$L$1040)</f>
        <v>5000</v>
      </c>
      <c r="C285" s="23">
        <f t="shared" si="12"/>
        <v>5000.0002850000001</v>
      </c>
      <c r="D285" s="24">
        <f>_xlfn.RANK.EQ(C285,$C$2:C$338)</f>
        <v>226</v>
      </c>
      <c r="G285" s="28">
        <v>284</v>
      </c>
      <c r="H285" s="29" t="str">
        <f t="shared" si="13"/>
        <v>Rodríguez, Benito</v>
      </c>
      <c r="I285" s="30">
        <f t="shared" si="14"/>
        <v>1800</v>
      </c>
    </row>
    <row r="286" spans="1:9" x14ac:dyDescent="0.3">
      <c r="A286" s="33" t="s">
        <v>1452</v>
      </c>
      <c r="B286" cm="1">
        <f t="array" ref="B286">SUMPRODUCT((Registro!$D$2:$D$1040=A286)*Registro!$L$2:$L$1040)</f>
        <v>900</v>
      </c>
      <c r="C286" s="23">
        <f t="shared" si="12"/>
        <v>900.00028599999996</v>
      </c>
      <c r="D286" s="24">
        <f>_xlfn.RANK.EQ(C286,$C$2:C$338)</f>
        <v>303</v>
      </c>
      <c r="G286" s="28">
        <v>285</v>
      </c>
      <c r="H286" s="29" t="str">
        <f t="shared" si="13"/>
        <v>Escamilla, Cristóbal de</v>
      </c>
      <c r="I286" s="30">
        <f t="shared" si="14"/>
        <v>1700</v>
      </c>
    </row>
    <row r="287" spans="1:9" ht="27.6" x14ac:dyDescent="0.3">
      <c r="A287" s="33" t="s">
        <v>1497</v>
      </c>
      <c r="B287" cm="1">
        <f t="array" ref="B287">SUMPRODUCT((Registro!$D$2:$D$1040=A287)*Registro!$L$2:$L$1040)</f>
        <v>4247</v>
      </c>
      <c r="C287" s="23">
        <f t="shared" si="12"/>
        <v>4247.0002869999998</v>
      </c>
      <c r="D287" s="24">
        <f>_xlfn.RANK.EQ(C287,$C$2:C$338)</f>
        <v>243</v>
      </c>
      <c r="G287" s="28">
        <v>286</v>
      </c>
      <c r="H287" s="29" t="str">
        <f t="shared" si="13"/>
        <v>Burgos y Espinoza, Onofre de</v>
      </c>
      <c r="I287" s="30">
        <f t="shared" si="14"/>
        <v>1640</v>
      </c>
    </row>
    <row r="288" spans="1:9" x14ac:dyDescent="0.3">
      <c r="A288" s="33" t="s">
        <v>1419</v>
      </c>
      <c r="B288" cm="1">
        <f t="array" ref="B288">SUMPRODUCT((Registro!$D$2:$D$1040=A288)*Registro!$L$2:$L$1040)</f>
        <v>27678</v>
      </c>
      <c r="C288" s="23">
        <f t="shared" si="12"/>
        <v>27678.000287999999</v>
      </c>
      <c r="D288" s="24">
        <f>_xlfn.RANK.EQ(C288,$C$2:C$338)</f>
        <v>101</v>
      </c>
      <c r="G288" s="28">
        <v>287</v>
      </c>
      <c r="H288" s="29" t="str">
        <f t="shared" si="13"/>
        <v>Gonzáles, Juan</v>
      </c>
      <c r="I288" s="30">
        <f t="shared" si="14"/>
        <v>1628</v>
      </c>
    </row>
    <row r="289" spans="1:9" x14ac:dyDescent="0.3">
      <c r="A289" s="33" t="s">
        <v>1581</v>
      </c>
      <c r="B289" cm="1">
        <f t="array" ref="B289">SUMPRODUCT((Registro!$D$2:$D$1040=A289)*Registro!$L$2:$L$1040)</f>
        <v>3000</v>
      </c>
      <c r="C289" s="23">
        <f t="shared" si="12"/>
        <v>3000.0002890000001</v>
      </c>
      <c r="D289" s="24">
        <f>_xlfn.RANK.EQ(C289,$C$2:C$338)</f>
        <v>262</v>
      </c>
      <c r="G289" s="28">
        <v>288</v>
      </c>
      <c r="H289" s="29" t="str">
        <f t="shared" si="13"/>
        <v>Sequera, Gonzalo</v>
      </c>
      <c r="I289" s="30">
        <f t="shared" si="14"/>
        <v>1625</v>
      </c>
    </row>
    <row r="290" spans="1:9" x14ac:dyDescent="0.3">
      <c r="A290" s="33" t="s">
        <v>1542</v>
      </c>
      <c r="B290" cm="1">
        <f t="array" ref="B290">SUMPRODUCT((Registro!$D$2:$D$1040=A290)*Registro!$L$2:$L$1040)</f>
        <v>400</v>
      </c>
      <c r="C290" s="23">
        <f t="shared" si="12"/>
        <v>400.00029000000001</v>
      </c>
      <c r="D290" s="24">
        <f>_xlfn.RANK.EQ(C290,$C$2:C$338)</f>
        <v>326</v>
      </c>
      <c r="G290" s="28">
        <v>289</v>
      </c>
      <c r="H290" s="29" t="str">
        <f t="shared" si="13"/>
        <v>Tena de los Ríos, Francisco</v>
      </c>
      <c r="I290" s="30">
        <f t="shared" si="14"/>
        <v>1600</v>
      </c>
    </row>
    <row r="291" spans="1:9" x14ac:dyDescent="0.3">
      <c r="A291" s="33" t="s">
        <v>1579</v>
      </c>
      <c r="B291" cm="1">
        <f t="array" ref="B291">SUMPRODUCT((Registro!$D$2:$D$1040=A291)*Registro!$L$2:$L$1040)</f>
        <v>400</v>
      </c>
      <c r="C291" s="23">
        <f t="shared" si="12"/>
        <v>400.000291</v>
      </c>
      <c r="D291" s="24">
        <f>_xlfn.RANK.EQ(C291,$C$2:C$338)</f>
        <v>325</v>
      </c>
      <c r="G291" s="28">
        <v>290</v>
      </c>
      <c r="H291" s="29" t="str">
        <f t="shared" si="13"/>
        <v>Torrecillas, Joseph de</v>
      </c>
      <c r="I291" s="30">
        <f t="shared" si="14"/>
        <v>1458</v>
      </c>
    </row>
    <row r="292" spans="1:9" x14ac:dyDescent="0.3">
      <c r="A292" s="33" t="s">
        <v>1339</v>
      </c>
      <c r="B292" cm="1">
        <f t="array" ref="B292">SUMPRODUCT((Registro!$D$2:$D$1040=A292)*Registro!$L$2:$L$1040)</f>
        <v>360</v>
      </c>
      <c r="C292" s="23">
        <f t="shared" si="12"/>
        <v>360.000292</v>
      </c>
      <c r="D292" s="24">
        <f>_xlfn.RANK.EQ(C292,$C$2:C$338)</f>
        <v>329</v>
      </c>
      <c r="G292" s="28">
        <v>291</v>
      </c>
      <c r="H292" s="29" t="str">
        <f t="shared" si="13"/>
        <v>Marquina, Antonio</v>
      </c>
      <c r="I292" s="30">
        <f t="shared" si="14"/>
        <v>1444</v>
      </c>
    </row>
    <row r="293" spans="1:9" x14ac:dyDescent="0.3">
      <c r="A293" s="33" t="s">
        <v>1524</v>
      </c>
      <c r="B293" cm="1">
        <f t="array" ref="B293">SUMPRODUCT((Registro!$D$2:$D$1040=A293)*Registro!$L$2:$L$1040)</f>
        <v>700</v>
      </c>
      <c r="C293" s="23">
        <f t="shared" si="12"/>
        <v>700.00029300000006</v>
      </c>
      <c r="D293" s="24">
        <f>_xlfn.RANK.EQ(C293,$C$2:C$338)</f>
        <v>311</v>
      </c>
      <c r="G293" s="28">
        <v>292</v>
      </c>
      <c r="H293" s="29" t="str">
        <f t="shared" si="13"/>
        <v>Sánchez, Juan</v>
      </c>
      <c r="I293" s="30">
        <f t="shared" si="14"/>
        <v>1400</v>
      </c>
    </row>
    <row r="294" spans="1:9" x14ac:dyDescent="0.3">
      <c r="A294" s="33" t="s">
        <v>1535</v>
      </c>
      <c r="B294" cm="1">
        <f t="array" ref="B294">SUMPRODUCT((Registro!$D$2:$D$1040=A294)*Registro!$L$2:$L$1040)</f>
        <v>1000</v>
      </c>
      <c r="C294" s="23">
        <f t="shared" si="12"/>
        <v>1000.0002940000001</v>
      </c>
      <c r="D294" s="24">
        <f>_xlfn.RANK.EQ(C294,$C$2:C$338)</f>
        <v>298</v>
      </c>
      <c r="G294" s="28">
        <v>293</v>
      </c>
      <c r="H294" s="29" t="str">
        <f t="shared" si="13"/>
        <v>San Joseph, Francisco de</v>
      </c>
      <c r="I294" s="30">
        <f t="shared" si="14"/>
        <v>1268</v>
      </c>
    </row>
    <row r="295" spans="1:9" x14ac:dyDescent="0.3">
      <c r="A295" s="33" t="s">
        <v>1590</v>
      </c>
      <c r="B295" cm="1">
        <f t="array" ref="B295">SUMPRODUCT((Registro!$D$2:$D$1040=A295)*Registro!$L$2:$L$1040)</f>
        <v>4088</v>
      </c>
      <c r="C295" s="23">
        <f t="shared" si="12"/>
        <v>4088.0002949999998</v>
      </c>
      <c r="D295" s="24">
        <f>_xlfn.RANK.EQ(C295,$C$2:C$338)</f>
        <v>247</v>
      </c>
      <c r="G295" s="28">
        <v>294</v>
      </c>
      <c r="H295" s="29" t="str">
        <f t="shared" si="13"/>
        <v>Bedia, Diego de</v>
      </c>
      <c r="I295" s="30">
        <f t="shared" si="14"/>
        <v>1250</v>
      </c>
    </row>
    <row r="296" spans="1:9" x14ac:dyDescent="0.3">
      <c r="A296" s="33" t="s">
        <v>1464</v>
      </c>
      <c r="B296" cm="1">
        <f t="array" ref="B296">SUMPRODUCT((Registro!$D$2:$D$1040=A296)*Registro!$L$2:$L$1040)</f>
        <v>4600</v>
      </c>
      <c r="C296" s="23">
        <f t="shared" si="12"/>
        <v>4600.0002960000002</v>
      </c>
      <c r="D296" s="24">
        <f>_xlfn.RANK.EQ(C296,$C$2:C$338)</f>
        <v>234</v>
      </c>
      <c r="G296" s="28">
        <v>295</v>
      </c>
      <c r="H296" s="29" t="str">
        <f t="shared" si="13"/>
        <v>Araguz, Andrés de</v>
      </c>
      <c r="I296" s="30">
        <f t="shared" si="14"/>
        <v>1160</v>
      </c>
    </row>
    <row r="297" spans="1:9" x14ac:dyDescent="0.3">
      <c r="A297" s="33" t="s">
        <v>1351</v>
      </c>
      <c r="B297" cm="1">
        <f t="array" ref="B297">SUMPRODUCT((Registro!$D$2:$D$1040=A297)*Registro!$L$2:$L$1040)</f>
        <v>3768</v>
      </c>
      <c r="C297" s="23">
        <f t="shared" si="12"/>
        <v>3768.000297</v>
      </c>
      <c r="D297" s="24">
        <f>_xlfn.RANK.EQ(C297,$C$2:C$338)</f>
        <v>252</v>
      </c>
      <c r="G297" s="28">
        <v>296</v>
      </c>
      <c r="H297" s="29" t="str">
        <f t="shared" si="13"/>
        <v>Vega, Toribio de la</v>
      </c>
      <c r="I297" s="30">
        <f t="shared" si="14"/>
        <v>1000</v>
      </c>
    </row>
    <row r="298" spans="1:9" x14ac:dyDescent="0.3">
      <c r="A298" s="33" t="s">
        <v>1667</v>
      </c>
      <c r="B298" cm="1">
        <f t="array" ref="B298">SUMPRODUCT((Registro!$D$2:$D$1040=A298)*Registro!$L$2:$L$1040)</f>
        <v>41155</v>
      </c>
      <c r="C298" s="23">
        <f t="shared" si="12"/>
        <v>41155.000297999999</v>
      </c>
      <c r="D298" s="24">
        <f>_xlfn.RANK.EQ(C298,$C$2:C$338)</f>
        <v>81</v>
      </c>
      <c r="G298" s="28">
        <v>297</v>
      </c>
      <c r="H298" s="29" t="str">
        <f t="shared" si="13"/>
        <v>Madariaga, Andrés de</v>
      </c>
      <c r="I298" s="30">
        <f t="shared" si="14"/>
        <v>1000</v>
      </c>
    </row>
    <row r="299" spans="1:9" x14ac:dyDescent="0.3">
      <c r="A299" s="33" t="s">
        <v>1394</v>
      </c>
      <c r="B299" cm="1">
        <f t="array" ref="B299">SUMPRODUCT((Registro!$D$2:$D$1040=A299)*Registro!$L$2:$L$1040)</f>
        <v>3000</v>
      </c>
      <c r="C299" s="23">
        <f t="shared" si="12"/>
        <v>3000.0002989999998</v>
      </c>
      <c r="D299" s="24">
        <f>_xlfn.RANK.EQ(C299,$C$2:C$338)</f>
        <v>261</v>
      </c>
      <c r="G299" s="28">
        <v>298</v>
      </c>
      <c r="H299" s="29" t="str">
        <f t="shared" si="13"/>
        <v>Peñalosa, Juan de</v>
      </c>
      <c r="I299" s="30">
        <f t="shared" si="14"/>
        <v>1000</v>
      </c>
    </row>
    <row r="300" spans="1:9" x14ac:dyDescent="0.3">
      <c r="A300" s="33" t="s">
        <v>1428</v>
      </c>
      <c r="B300" cm="1">
        <f t="array" ref="B300">SUMPRODUCT((Registro!$D$2:$D$1040=A300)*Registro!$L$2:$L$1040)</f>
        <v>12360</v>
      </c>
      <c r="C300" s="23">
        <f t="shared" si="12"/>
        <v>12360.0003</v>
      </c>
      <c r="D300" s="24">
        <f>_xlfn.RANK.EQ(C300,$C$2:C$338)</f>
        <v>159</v>
      </c>
      <c r="G300" s="28">
        <v>299</v>
      </c>
      <c r="H300" s="29" t="str">
        <f t="shared" si="13"/>
        <v>Espina, Fernando de</v>
      </c>
      <c r="I300" s="30">
        <f t="shared" si="14"/>
        <v>1000</v>
      </c>
    </row>
    <row r="301" spans="1:9" x14ac:dyDescent="0.3">
      <c r="A301" s="33" t="s">
        <v>1621</v>
      </c>
      <c r="B301" cm="1">
        <f t="array" ref="B301">SUMPRODUCT((Registro!$D$2:$D$1040=A301)*Registro!$L$2:$L$1040)</f>
        <v>8976</v>
      </c>
      <c r="C301" s="23">
        <f t="shared" si="12"/>
        <v>8976.000301</v>
      </c>
      <c r="D301" s="24">
        <f>_xlfn.RANK.EQ(C301,$C$2:C$338)</f>
        <v>190</v>
      </c>
      <c r="G301" s="28">
        <v>300</v>
      </c>
      <c r="H301" s="29" t="str">
        <f t="shared" si="13"/>
        <v>Diego Felipe</v>
      </c>
      <c r="I301" s="30">
        <f t="shared" si="14"/>
        <v>1000</v>
      </c>
    </row>
    <row r="302" spans="1:9" x14ac:dyDescent="0.3">
      <c r="A302" s="33" t="s">
        <v>1639</v>
      </c>
      <c r="B302" cm="1">
        <f t="array" ref="B302">SUMPRODUCT((Registro!$D$2:$D$1040=A302)*Registro!$L$2:$L$1040)</f>
        <v>10608</v>
      </c>
      <c r="C302" s="23">
        <f t="shared" si="12"/>
        <v>10608.000302</v>
      </c>
      <c r="D302" s="24">
        <f>_xlfn.RANK.EQ(C302,$C$2:C$338)</f>
        <v>169</v>
      </c>
      <c r="G302" s="28">
        <v>301</v>
      </c>
      <c r="H302" s="29" t="str">
        <f t="shared" si="13"/>
        <v>Martínez Roldán, Francisco</v>
      </c>
      <c r="I302" s="30">
        <f t="shared" si="14"/>
        <v>1000</v>
      </c>
    </row>
    <row r="303" spans="1:9" x14ac:dyDescent="0.3">
      <c r="A303" s="33" t="s">
        <v>1344</v>
      </c>
      <c r="B303" cm="1">
        <f t="array" ref="B303">SUMPRODUCT((Registro!$D$2:$D$1040=A303)*Registro!$L$2:$L$1040)</f>
        <v>1000</v>
      </c>
      <c r="C303" s="23">
        <f t="shared" si="12"/>
        <v>1000.000303</v>
      </c>
      <c r="D303" s="24">
        <f>_xlfn.RANK.EQ(C303,$C$2:C$338)</f>
        <v>297</v>
      </c>
      <c r="G303" s="28">
        <v>302</v>
      </c>
      <c r="H303" s="29" t="str">
        <f t="shared" si="13"/>
        <v>Prado, Jorge Antonio de</v>
      </c>
      <c r="I303" s="30">
        <f t="shared" si="14"/>
        <v>1000</v>
      </c>
    </row>
    <row r="304" spans="1:9" x14ac:dyDescent="0.3">
      <c r="A304" s="33" t="s">
        <v>1378</v>
      </c>
      <c r="B304" cm="1">
        <f t="array" ref="B304">SUMPRODUCT((Registro!$D$2:$D$1040=A304)*Registro!$L$2:$L$1040)</f>
        <v>3023</v>
      </c>
      <c r="C304" s="23">
        <f t="shared" si="12"/>
        <v>3023.0003040000001</v>
      </c>
      <c r="D304" s="24">
        <f>_xlfn.RANK.EQ(C304,$C$2:C$338)</f>
        <v>260</v>
      </c>
      <c r="G304" s="28">
        <v>303</v>
      </c>
      <c r="H304" s="29" t="str">
        <f t="shared" si="13"/>
        <v>Hernández, Francisco</v>
      </c>
      <c r="I304" s="30">
        <f t="shared" si="14"/>
        <v>900</v>
      </c>
    </row>
    <row r="305" spans="1:9" x14ac:dyDescent="0.3">
      <c r="A305" s="33" t="s">
        <v>1608</v>
      </c>
      <c r="B305" cm="1">
        <f t="array" ref="B305">SUMPRODUCT((Registro!$D$2:$D$1040=A305)*Registro!$L$2:$L$1040)</f>
        <v>430</v>
      </c>
      <c r="C305" s="23">
        <f t="shared" si="12"/>
        <v>430.00030500000003</v>
      </c>
      <c r="D305" s="24">
        <f>_xlfn.RANK.EQ(C305,$C$2:C$338)</f>
        <v>320</v>
      </c>
      <c r="G305" s="28">
        <v>304</v>
      </c>
      <c r="H305" s="29" t="str">
        <f t="shared" si="13"/>
        <v>Durán, Bernardo</v>
      </c>
      <c r="I305" s="30">
        <f t="shared" si="14"/>
        <v>800</v>
      </c>
    </row>
    <row r="306" spans="1:9" x14ac:dyDescent="0.3">
      <c r="A306" s="33" t="s">
        <v>1334</v>
      </c>
      <c r="B306" cm="1">
        <f t="array" ref="B306">SUMPRODUCT((Registro!$D$2:$D$1040=A306)*Registro!$L$2:$L$1040)</f>
        <v>100</v>
      </c>
      <c r="C306" s="23">
        <f t="shared" si="12"/>
        <v>100.00030599999999</v>
      </c>
      <c r="D306" s="24">
        <f>_xlfn.RANK.EQ(C306,$C$2:C$338)</f>
        <v>336</v>
      </c>
      <c r="G306" s="28">
        <v>305</v>
      </c>
      <c r="H306" s="29" t="str">
        <f t="shared" si="13"/>
        <v>Gómez, Antonio</v>
      </c>
      <c r="I306" s="30">
        <f t="shared" si="14"/>
        <v>800</v>
      </c>
    </row>
    <row r="307" spans="1:9" x14ac:dyDescent="0.3">
      <c r="A307" s="33" t="s">
        <v>1423</v>
      </c>
      <c r="B307" cm="1">
        <f t="array" ref="B307">SUMPRODUCT((Registro!$D$2:$D$1040=A307)*Registro!$L$2:$L$1040)</f>
        <v>2210</v>
      </c>
      <c r="C307" s="23">
        <f t="shared" si="12"/>
        <v>2210.0003069999998</v>
      </c>
      <c r="D307" s="24">
        <f>_xlfn.RANK.EQ(C307,$C$2:C$338)</f>
        <v>277</v>
      </c>
      <c r="G307" s="28">
        <v>306</v>
      </c>
      <c r="H307" s="29" t="str">
        <f t="shared" si="13"/>
        <v>Aguilar, Alonso de</v>
      </c>
      <c r="I307" s="30">
        <f t="shared" si="14"/>
        <v>768</v>
      </c>
    </row>
    <row r="308" spans="1:9" x14ac:dyDescent="0.3">
      <c r="A308" s="33" t="s">
        <v>1602</v>
      </c>
      <c r="B308" cm="1">
        <f t="array" ref="B308">SUMPRODUCT((Registro!$D$2:$D$1040=A308)*Registro!$L$2:$L$1040)</f>
        <v>5000</v>
      </c>
      <c r="C308" s="23">
        <f t="shared" si="12"/>
        <v>5000.0003079999997</v>
      </c>
      <c r="D308" s="24">
        <f>_xlfn.RANK.EQ(C308,$C$2:C$338)</f>
        <v>225</v>
      </c>
      <c r="G308" s="28">
        <v>307</v>
      </c>
      <c r="H308" s="29" t="str">
        <f t="shared" si="13"/>
        <v>Nunovero, Gabriel de</v>
      </c>
      <c r="I308" s="30">
        <f t="shared" si="14"/>
        <v>760</v>
      </c>
    </row>
    <row r="309" spans="1:9" x14ac:dyDescent="0.3">
      <c r="A309" s="33" t="s">
        <v>1367</v>
      </c>
      <c r="B309" cm="1">
        <f t="array" ref="B309">SUMPRODUCT((Registro!$D$2:$D$1040=A309)*Registro!$L$2:$L$1040)</f>
        <v>53422</v>
      </c>
      <c r="C309" s="23">
        <f t="shared" si="12"/>
        <v>53422.000309000003</v>
      </c>
      <c r="D309" s="24">
        <f>_xlfn.RANK.EQ(C309,$C$2:C$338)</f>
        <v>64</v>
      </c>
      <c r="G309" s="28">
        <v>308</v>
      </c>
      <c r="H309" s="29" t="str">
        <f t="shared" si="13"/>
        <v>Hidalgo, Matías de</v>
      </c>
      <c r="I309" s="30">
        <f t="shared" si="14"/>
        <v>750</v>
      </c>
    </row>
    <row r="310" spans="1:9" x14ac:dyDescent="0.3">
      <c r="A310" s="33" t="s">
        <v>1364</v>
      </c>
      <c r="B310" cm="1">
        <f t="array" ref="B310">SUMPRODUCT((Registro!$D$2:$D$1040=A310)*Registro!$L$2:$L$1040)</f>
        <v>22500</v>
      </c>
      <c r="C310" s="23">
        <f t="shared" si="12"/>
        <v>22500.000309999999</v>
      </c>
      <c r="D310" s="24">
        <f>_xlfn.RANK.EQ(C310,$C$2:C$338)</f>
        <v>117</v>
      </c>
      <c r="G310" s="28">
        <v>309</v>
      </c>
      <c r="H310" s="29" t="str">
        <f t="shared" si="13"/>
        <v>Martín, Pedro</v>
      </c>
      <c r="I310" s="30">
        <f t="shared" si="14"/>
        <v>750</v>
      </c>
    </row>
    <row r="311" spans="1:9" x14ac:dyDescent="0.3">
      <c r="A311" s="33" t="s">
        <v>1635</v>
      </c>
      <c r="B311" cm="1">
        <f t="array" ref="B311">SUMPRODUCT((Registro!$D$2:$D$1040=A311)*Registro!$L$2:$L$1040)</f>
        <v>1000</v>
      </c>
      <c r="C311" s="23">
        <f t="shared" si="12"/>
        <v>1000.000311</v>
      </c>
      <c r="D311" s="24">
        <f>_xlfn.RANK.EQ(C311,$C$2:C$338)</f>
        <v>296</v>
      </c>
      <c r="G311" s="28">
        <v>310</v>
      </c>
      <c r="H311" s="29" t="str">
        <f t="shared" si="13"/>
        <v>Hoyo, Felipe del</v>
      </c>
      <c r="I311" s="30">
        <f t="shared" si="14"/>
        <v>700</v>
      </c>
    </row>
    <row r="312" spans="1:9" x14ac:dyDescent="0.3">
      <c r="A312" s="33" t="s">
        <v>1551</v>
      </c>
      <c r="B312" cm="1">
        <f t="array" ref="B312">SUMPRODUCT((Registro!$D$2:$D$1040=A312)*Registro!$L$2:$L$1040)</f>
        <v>400</v>
      </c>
      <c r="C312" s="23">
        <f t="shared" si="12"/>
        <v>400.00031200000001</v>
      </c>
      <c r="D312" s="24">
        <f>_xlfn.RANK.EQ(C312,$C$2:C$338)</f>
        <v>324</v>
      </c>
      <c r="G312" s="28">
        <v>311</v>
      </c>
      <c r="H312" s="29" t="str">
        <f t="shared" si="13"/>
        <v>Chavarría, Juan de</v>
      </c>
      <c r="I312" s="30">
        <f t="shared" si="14"/>
        <v>700</v>
      </c>
    </row>
    <row r="313" spans="1:9" x14ac:dyDescent="0.3">
      <c r="A313" s="33" t="s">
        <v>1343</v>
      </c>
      <c r="B313" cm="1">
        <f t="array" ref="B313">SUMPRODUCT((Registro!$D$2:$D$1040=A313)*Registro!$L$2:$L$1040)</f>
        <v>1160</v>
      </c>
      <c r="C313" s="23">
        <f t="shared" si="12"/>
        <v>1160.000313</v>
      </c>
      <c r="D313" s="24">
        <f>_xlfn.RANK.EQ(C313,$C$2:C$338)</f>
        <v>295</v>
      </c>
      <c r="G313" s="28">
        <v>312</v>
      </c>
      <c r="H313" s="29" t="str">
        <f t="shared" si="13"/>
        <v>Acuña, Gabriel</v>
      </c>
      <c r="I313" s="30">
        <f t="shared" si="14"/>
        <v>700</v>
      </c>
    </row>
    <row r="314" spans="1:9" x14ac:dyDescent="0.3">
      <c r="A314" s="33" t="s">
        <v>1448</v>
      </c>
      <c r="B314" cm="1">
        <f t="array" ref="B314">SUMPRODUCT((Registro!$D$2:$D$1040=A314)*Registro!$L$2:$L$1040)</f>
        <v>2500</v>
      </c>
      <c r="C314" s="23">
        <f t="shared" si="12"/>
        <v>2500.0003139999999</v>
      </c>
      <c r="D314" s="24">
        <f>_xlfn.RANK.EQ(C314,$C$2:C$338)</f>
        <v>271</v>
      </c>
      <c r="G314" s="28">
        <v>313</v>
      </c>
      <c r="H314" s="29" t="str">
        <f t="shared" si="13"/>
        <v>Muñóz Cordero, Juan</v>
      </c>
      <c r="I314" s="30">
        <f t="shared" si="14"/>
        <v>700</v>
      </c>
    </row>
    <row r="315" spans="1:9" x14ac:dyDescent="0.3">
      <c r="A315" s="33" t="s">
        <v>1601</v>
      </c>
      <c r="B315" cm="1">
        <f t="array" ref="B315">SUMPRODUCT((Registro!$D$2:$D$1040=A315)*Registro!$L$2:$L$1040)</f>
        <v>270</v>
      </c>
      <c r="C315" s="23">
        <f t="shared" si="12"/>
        <v>270.000315</v>
      </c>
      <c r="D315" s="24">
        <f>_xlfn.RANK.EQ(C315,$C$2:C$338)</f>
        <v>332</v>
      </c>
      <c r="G315" s="28">
        <v>314</v>
      </c>
      <c r="H315" s="29" t="str">
        <f t="shared" si="13"/>
        <v>Sánchez, Alonso</v>
      </c>
      <c r="I315" s="30">
        <f t="shared" si="14"/>
        <v>660</v>
      </c>
    </row>
    <row r="316" spans="1:9" x14ac:dyDescent="0.3">
      <c r="A316" s="33" t="s">
        <v>1513</v>
      </c>
      <c r="B316" cm="1">
        <f t="array" ref="B316">SUMPRODUCT((Registro!$D$2:$D$1040=A316)*Registro!$L$2:$L$1040)</f>
        <v>100140</v>
      </c>
      <c r="C316" s="23">
        <f t="shared" si="12"/>
        <v>100140.00031600001</v>
      </c>
      <c r="D316" s="24">
        <f>_xlfn.RANK.EQ(C316,$C$2:C$338)</f>
        <v>31</v>
      </c>
      <c r="G316" s="28">
        <v>315</v>
      </c>
      <c r="H316" s="29" t="str">
        <f t="shared" si="13"/>
        <v>San Cristóbal, Simón de</v>
      </c>
      <c r="I316" s="30">
        <f t="shared" si="14"/>
        <v>600</v>
      </c>
    </row>
    <row r="317" spans="1:9" x14ac:dyDescent="0.3">
      <c r="A317" s="33" t="s">
        <v>1577</v>
      </c>
      <c r="B317" cm="1">
        <f t="array" ref="B317">SUMPRODUCT((Registro!$D$2:$D$1040=A317)*Registro!$L$2:$L$1040)</f>
        <v>5120</v>
      </c>
      <c r="C317" s="23">
        <f t="shared" si="12"/>
        <v>5120.000317</v>
      </c>
      <c r="D317" s="24">
        <f>_xlfn.RANK.EQ(C317,$C$2:C$338)</f>
        <v>223</v>
      </c>
      <c r="G317" s="28">
        <v>316</v>
      </c>
      <c r="H317" s="29" t="str">
        <f t="shared" si="13"/>
        <v>Muñóz, Francisco</v>
      </c>
      <c r="I317" s="30">
        <f t="shared" si="14"/>
        <v>600</v>
      </c>
    </row>
    <row r="318" spans="1:9" x14ac:dyDescent="0.3">
      <c r="A318" s="33" t="s">
        <v>1341</v>
      </c>
      <c r="B318" cm="1">
        <f t="array" ref="B318">SUMPRODUCT((Registro!$D$2:$D$1040=A318)*Registro!$L$2:$L$1040)</f>
        <v>2800</v>
      </c>
      <c r="C318" s="23">
        <f t="shared" si="12"/>
        <v>2800.0003179999999</v>
      </c>
      <c r="D318" s="24">
        <f>_xlfn.RANK.EQ(C318,$C$2:C$338)</f>
        <v>266</v>
      </c>
      <c r="G318" s="28">
        <v>317</v>
      </c>
      <c r="H318" s="29" t="str">
        <f t="shared" si="13"/>
        <v>Martínez, Pedro</v>
      </c>
      <c r="I318" s="30">
        <f t="shared" si="14"/>
        <v>550</v>
      </c>
    </row>
    <row r="319" spans="1:9" x14ac:dyDescent="0.3">
      <c r="A319" s="33" t="s">
        <v>1433</v>
      </c>
      <c r="B319" cm="1">
        <f t="array" ref="B319">SUMPRODUCT((Registro!$D$2:$D$1040=A319)*Registro!$L$2:$L$1040)</f>
        <v>400</v>
      </c>
      <c r="C319" s="23">
        <f t="shared" si="12"/>
        <v>400.00031899999999</v>
      </c>
      <c r="D319" s="24">
        <f>_xlfn.RANK.EQ(C319,$C$2:C$338)</f>
        <v>323</v>
      </c>
      <c r="G319" s="28">
        <v>318</v>
      </c>
      <c r="H319" s="29" t="str">
        <f t="shared" si="13"/>
        <v>Velásquez, Salvador</v>
      </c>
      <c r="I319" s="30">
        <f t="shared" si="14"/>
        <v>520</v>
      </c>
    </row>
    <row r="320" spans="1:9" x14ac:dyDescent="0.3">
      <c r="A320" s="33" t="s">
        <v>1443</v>
      </c>
      <c r="B320" cm="1">
        <f t="array" ref="B320">SUMPRODUCT((Registro!$D$2:$D$1040=A320)*Registro!$L$2:$L$1040)</f>
        <v>400</v>
      </c>
      <c r="C320" s="23">
        <f t="shared" si="12"/>
        <v>400.00031999999999</v>
      </c>
      <c r="D320" s="24">
        <f>_xlfn.RANK.EQ(C320,$C$2:C$338)</f>
        <v>322</v>
      </c>
      <c r="G320" s="28">
        <v>319</v>
      </c>
      <c r="H320" s="29" t="str">
        <f t="shared" si="13"/>
        <v>Larrota, Francisco de la</v>
      </c>
      <c r="I320" s="30">
        <f t="shared" si="14"/>
        <v>450</v>
      </c>
    </row>
    <row r="321" spans="1:9" x14ac:dyDescent="0.3">
      <c r="A321" s="33" t="s">
        <v>1632</v>
      </c>
      <c r="B321" cm="1">
        <f t="array" ref="B321">SUMPRODUCT((Registro!$D$2:$D$1040=A321)*Registro!$L$2:$L$1040)</f>
        <v>19430</v>
      </c>
      <c r="C321" s="23">
        <f t="shared" si="12"/>
        <v>19430.000321</v>
      </c>
      <c r="D321" s="24">
        <f>_xlfn.RANK.EQ(C321,$C$2:C$338)</f>
        <v>128</v>
      </c>
      <c r="G321" s="28">
        <v>320</v>
      </c>
      <c r="H321" s="29" t="str">
        <f t="shared" si="13"/>
        <v>Gómez Vásquez, Pedro</v>
      </c>
      <c r="I321" s="30">
        <f t="shared" si="14"/>
        <v>430</v>
      </c>
    </row>
    <row r="322" spans="1:9" x14ac:dyDescent="0.3">
      <c r="A322" s="33" t="s">
        <v>1505</v>
      </c>
      <c r="B322" cm="1">
        <f t="array" ref="B322">SUMPRODUCT((Registro!$D$2:$D$1040=A322)*Registro!$L$2:$L$1040)</f>
        <v>6039</v>
      </c>
      <c r="C322" s="23">
        <f t="shared" ref="C322:C338" si="15">B322+0.000001*ROW()</f>
        <v>6039.0003219999999</v>
      </c>
      <c r="D322" s="24">
        <f>_xlfn.RANK.EQ(C322,$C$2:C$338)</f>
        <v>218</v>
      </c>
      <c r="G322" s="28">
        <v>321</v>
      </c>
      <c r="H322" s="29" t="str">
        <f t="shared" ref="H322:H338" si="16">INDEX($A$2:$A$478,MATCH(G322,$D$2:$D$478,0))</f>
        <v>Villareal, Isidro de</v>
      </c>
      <c r="I322" s="30">
        <f t="shared" ref="I322:I338" si="17">INDEX($B$2:$B$478,MATCH(G322,$D$2:$D$478,0))</f>
        <v>430</v>
      </c>
    </row>
    <row r="323" spans="1:9" x14ac:dyDescent="0.3">
      <c r="A323" s="33" t="s">
        <v>1537</v>
      </c>
      <c r="B323" cm="1">
        <f t="array" ref="B323">SUMPRODUCT((Registro!$D$2:$D$1040=A323)*Registro!$L$2:$L$1040)</f>
        <v>15782</v>
      </c>
      <c r="C323" s="23">
        <f t="shared" si="15"/>
        <v>15782.000323</v>
      </c>
      <c r="D323" s="24">
        <f>_xlfn.RANK.EQ(C323,$C$2:C$338)</f>
        <v>142</v>
      </c>
      <c r="G323" s="28">
        <v>322</v>
      </c>
      <c r="H323" s="29" t="str">
        <f t="shared" si="16"/>
        <v>Rosa, Francisco de</v>
      </c>
      <c r="I323" s="30">
        <f t="shared" si="17"/>
        <v>400</v>
      </c>
    </row>
    <row r="324" spans="1:9" x14ac:dyDescent="0.3">
      <c r="A324" s="33" t="s">
        <v>1450</v>
      </c>
      <c r="B324" cm="1">
        <f t="array" ref="B324">SUMPRODUCT((Registro!$D$2:$D$1040=A324)*Registro!$L$2:$L$1040)</f>
        <v>7500</v>
      </c>
      <c r="C324" s="23">
        <f t="shared" si="15"/>
        <v>7500.0003239999996</v>
      </c>
      <c r="D324" s="24">
        <f>_xlfn.RANK.EQ(C324,$C$2:C$338)</f>
        <v>204</v>
      </c>
      <c r="G324" s="28">
        <v>323</v>
      </c>
      <c r="H324" s="29" t="str">
        <f t="shared" si="16"/>
        <v>Fonseca, Francisco de</v>
      </c>
      <c r="I324" s="30">
        <f t="shared" si="17"/>
        <v>400</v>
      </c>
    </row>
    <row r="325" spans="1:9" x14ac:dyDescent="0.3">
      <c r="A325" s="34" t="s">
        <v>1406</v>
      </c>
      <c r="B325" cm="1">
        <f t="array" ref="B325">SUMPRODUCT((Registro!$D$2:$D$1040=A325)*Registro!$L$2:$L$1040)</f>
        <v>700</v>
      </c>
      <c r="C325" s="23">
        <f t="shared" si="15"/>
        <v>700.00032499999998</v>
      </c>
      <c r="D325" s="24">
        <f>_xlfn.RANK.EQ(C325,$C$2:C$338)</f>
        <v>310</v>
      </c>
      <c r="G325" s="28">
        <v>324</v>
      </c>
      <c r="H325" s="29" t="str">
        <f t="shared" si="16"/>
        <v>Prieto, Juan</v>
      </c>
      <c r="I325" s="30">
        <f t="shared" si="17"/>
        <v>400</v>
      </c>
    </row>
    <row r="326" spans="1:9" x14ac:dyDescent="0.3">
      <c r="A326" s="35" t="s">
        <v>1404</v>
      </c>
      <c r="B326" cm="1">
        <f t="array" ref="B326">SUMPRODUCT((Registro!$D$2:$D$1040=A326)*Registro!$L$2:$L$1040)</f>
        <v>12500</v>
      </c>
      <c r="C326" s="23">
        <f t="shared" si="15"/>
        <v>12500.000325999999</v>
      </c>
      <c r="D326" s="24">
        <f>_xlfn.RANK.EQ(C326,$C$2:C$338)</f>
        <v>156</v>
      </c>
      <c r="G326" s="28">
        <v>325</v>
      </c>
      <c r="H326" s="29" t="str">
        <f t="shared" si="16"/>
        <v>Meléndez, María</v>
      </c>
      <c r="I326" s="30">
        <f t="shared" si="17"/>
        <v>400</v>
      </c>
    </row>
    <row r="327" spans="1:9" x14ac:dyDescent="0.3">
      <c r="A327" s="33" t="s">
        <v>1342</v>
      </c>
      <c r="B327" cm="1">
        <f t="array" ref="B327">SUMPRODUCT((Registro!$D$2:$D$1040=A327)*Registro!$L$2:$L$1040)</f>
        <v>13526</v>
      </c>
      <c r="C327" s="23">
        <f t="shared" si="15"/>
        <v>13526.000327</v>
      </c>
      <c r="D327" s="24">
        <f>_xlfn.RANK.EQ(C327,$C$2:C$338)</f>
        <v>151</v>
      </c>
      <c r="G327" s="28">
        <v>326</v>
      </c>
      <c r="H327" s="29" t="str">
        <f t="shared" si="16"/>
        <v>Fernández de los Ríos, Juan</v>
      </c>
      <c r="I327" s="30">
        <f t="shared" si="17"/>
        <v>400</v>
      </c>
    </row>
    <row r="328" spans="1:9" x14ac:dyDescent="0.3">
      <c r="A328" s="33" t="s">
        <v>1522</v>
      </c>
      <c r="B328" cm="1">
        <f t="array" ref="B328">SUMPRODUCT((Registro!$D$2:$D$1040=A328)*Registro!$L$2:$L$1040)</f>
        <v>19352</v>
      </c>
      <c r="C328" s="23">
        <f t="shared" si="15"/>
        <v>19352.000327999998</v>
      </c>
      <c r="D328" s="24">
        <f>_xlfn.RANK.EQ(C328,$C$2:C$338)</f>
        <v>129</v>
      </c>
      <c r="G328" s="28">
        <v>327</v>
      </c>
      <c r="H328" s="29" t="str">
        <f t="shared" si="16"/>
        <v>Torre, Juan de la</v>
      </c>
      <c r="I328" s="30">
        <f t="shared" si="17"/>
        <v>400</v>
      </c>
    </row>
    <row r="329" spans="1:9" ht="27.6" x14ac:dyDescent="0.3">
      <c r="A329" s="33" t="s">
        <v>1527</v>
      </c>
      <c r="B329" cm="1">
        <f t="array" ref="B329">SUMPRODUCT((Registro!$D$2:$D$1040=A329)*Registro!$L$2:$L$1040)</f>
        <v>16152</v>
      </c>
      <c r="C329" s="23">
        <f t="shared" si="15"/>
        <v>16152.000329</v>
      </c>
      <c r="D329" s="24">
        <f>_xlfn.RANK.EQ(C329,$C$2:C$338)</f>
        <v>141</v>
      </c>
      <c r="G329" s="28">
        <v>328</v>
      </c>
      <c r="H329" s="29" t="str">
        <f t="shared" si="16"/>
        <v>Guzmán Valderrama, Gerónimo de</v>
      </c>
      <c r="I329" s="30">
        <f t="shared" si="17"/>
        <v>400</v>
      </c>
    </row>
    <row r="330" spans="1:9" x14ac:dyDescent="0.3">
      <c r="A330" s="33" t="s">
        <v>1631</v>
      </c>
      <c r="B330" cm="1">
        <f t="array" ref="B330">SUMPRODUCT((Registro!$D$2:$D$1040=A330)*Registro!$L$2:$L$1040)</f>
        <v>4223</v>
      </c>
      <c r="C330" s="23">
        <f t="shared" si="15"/>
        <v>4223.0003299999998</v>
      </c>
      <c r="D330" s="24">
        <f>_xlfn.RANK.EQ(C330,$C$2:C$338)</f>
        <v>244</v>
      </c>
      <c r="G330" s="28">
        <v>329</v>
      </c>
      <c r="H330" s="29" t="str">
        <f t="shared" si="16"/>
        <v>Rodríguez, Andrés</v>
      </c>
      <c r="I330" s="30">
        <f t="shared" si="17"/>
        <v>360</v>
      </c>
    </row>
    <row r="331" spans="1:9" x14ac:dyDescent="0.3">
      <c r="A331" s="33" t="s">
        <v>1410</v>
      </c>
      <c r="B331" cm="1">
        <f t="array" ref="B331">SUMPRODUCT((Registro!$D$2:$D$1040=A331)*Registro!$L$2:$L$1040)</f>
        <v>6597</v>
      </c>
      <c r="C331" s="23">
        <f t="shared" si="15"/>
        <v>6597.0003310000002</v>
      </c>
      <c r="D331" s="24">
        <f>_xlfn.RANK.EQ(C331,$C$2:C$338)</f>
        <v>211</v>
      </c>
      <c r="G331" s="28">
        <v>330</v>
      </c>
      <c r="H331" s="29" t="str">
        <f t="shared" si="16"/>
        <v>Cruz, Alonso de la</v>
      </c>
      <c r="I331" s="30">
        <f t="shared" si="17"/>
        <v>320</v>
      </c>
    </row>
    <row r="332" spans="1:9" x14ac:dyDescent="0.3">
      <c r="A332" s="33" t="s">
        <v>1558</v>
      </c>
      <c r="B332" cm="1">
        <f t="array" ref="B332">SUMPRODUCT((Registro!$D$2:$D$1040=A332)*Registro!$L$2:$L$1040)</f>
        <v>1400</v>
      </c>
      <c r="C332" s="23">
        <f t="shared" si="15"/>
        <v>1400.0003320000001</v>
      </c>
      <c r="D332" s="24">
        <f>_xlfn.RANK.EQ(C332,$C$2:C$338)</f>
        <v>292</v>
      </c>
      <c r="G332" s="28">
        <v>331</v>
      </c>
      <c r="H332" s="29" t="str">
        <f t="shared" si="16"/>
        <v>León, Juan de</v>
      </c>
      <c r="I332" s="30">
        <f t="shared" si="17"/>
        <v>300</v>
      </c>
    </row>
    <row r="333" spans="1:9" x14ac:dyDescent="0.3">
      <c r="A333" s="33" t="s">
        <v>1415</v>
      </c>
      <c r="B333" cm="1">
        <f t="array" ref="B333">SUMPRODUCT((Registro!$D$2:$D$1040=A333)*Registro!$L$2:$L$1040)</f>
        <v>4118</v>
      </c>
      <c r="C333" s="23">
        <f t="shared" si="15"/>
        <v>4118.000333</v>
      </c>
      <c r="D333" s="24">
        <f>_xlfn.RANK.EQ(C333,$C$2:C$338)</f>
        <v>246</v>
      </c>
      <c r="G333" s="28">
        <v>332</v>
      </c>
      <c r="H333" s="29" t="str">
        <f t="shared" si="16"/>
        <v>Palacios, Pedro de</v>
      </c>
      <c r="I333" s="30">
        <f t="shared" si="17"/>
        <v>270</v>
      </c>
    </row>
    <row r="334" spans="1:9" x14ac:dyDescent="0.3">
      <c r="A334" s="33" t="s">
        <v>1372</v>
      </c>
      <c r="B334" cm="1">
        <f t="array" ref="B334">SUMPRODUCT((Registro!$D$2:$D$1040=A334)*Registro!$L$2:$L$1040)</f>
        <v>800</v>
      </c>
      <c r="C334" s="23">
        <f t="shared" si="15"/>
        <v>800.00033399999995</v>
      </c>
      <c r="D334" s="24">
        <f>_xlfn.RANK.EQ(C334,$C$2:C$338)</f>
        <v>304</v>
      </c>
      <c r="G334" s="28">
        <v>333</v>
      </c>
      <c r="H334" s="29" t="str">
        <f t="shared" si="16"/>
        <v>Porras, Alonso de</v>
      </c>
      <c r="I334" s="30">
        <f t="shared" si="17"/>
        <v>250</v>
      </c>
    </row>
    <row r="335" spans="1:9" x14ac:dyDescent="0.3">
      <c r="A335" s="33" t="s">
        <v>1337</v>
      </c>
      <c r="B335" cm="1">
        <f t="array" ref="B335">SUMPRODUCT((Registro!$D$2:$D$1040=A335)*Registro!$L$2:$L$1040)</f>
        <v>660</v>
      </c>
      <c r="C335" s="23">
        <f t="shared" si="15"/>
        <v>660.00033499999995</v>
      </c>
      <c r="D335" s="24">
        <f>_xlfn.RANK.EQ(C335,$C$2:C$338)</f>
        <v>314</v>
      </c>
      <c r="G335" s="28">
        <v>334</v>
      </c>
      <c r="H335" s="29" t="str">
        <f t="shared" si="16"/>
        <v>Rojo, Francisco Cristóbal</v>
      </c>
      <c r="I335" s="30">
        <f t="shared" si="17"/>
        <v>200</v>
      </c>
    </row>
    <row r="336" spans="1:9" x14ac:dyDescent="0.3">
      <c r="A336" s="34" t="s">
        <v>1472</v>
      </c>
      <c r="B336" cm="1">
        <f t="array" ref="B336">SUMPRODUCT((Registro!$D$2:$D$1040=A336)*Registro!$L$2:$L$1040)</f>
        <v>8000</v>
      </c>
      <c r="C336" s="23">
        <f t="shared" si="15"/>
        <v>8000.0003360000001</v>
      </c>
      <c r="D336" s="24">
        <f>_xlfn.RANK.EQ(C336,$C$2:C$338)</f>
        <v>200</v>
      </c>
      <c r="G336" s="28">
        <v>335</v>
      </c>
      <c r="H336" s="29" t="str">
        <f t="shared" si="16"/>
        <v>Sancho, Pantaleón</v>
      </c>
      <c r="I336" s="30">
        <f t="shared" si="17"/>
        <v>160</v>
      </c>
    </row>
    <row r="337" spans="1:9" ht="27.6" x14ac:dyDescent="0.3">
      <c r="A337" s="33" t="s">
        <v>1589</v>
      </c>
      <c r="B337" cm="1">
        <f t="array" ref="B337">SUMPRODUCT((Registro!$D$2:$D$1040=A337)*Registro!$L$2:$L$1040)</f>
        <v>4500</v>
      </c>
      <c r="C337" s="23">
        <f t="shared" si="15"/>
        <v>4500.0003370000004</v>
      </c>
      <c r="D337" s="24">
        <f>_xlfn.RANK.EQ(C337,$C$2:C$338)</f>
        <v>236</v>
      </c>
      <c r="G337" s="28">
        <v>336</v>
      </c>
      <c r="H337" s="29" t="str">
        <f t="shared" si="16"/>
        <v>Hernández Tolesano, Alonso</v>
      </c>
      <c r="I337" s="30">
        <f t="shared" si="17"/>
        <v>100</v>
      </c>
    </row>
    <row r="338" spans="1:9" x14ac:dyDescent="0.3">
      <c r="A338" s="33" t="s">
        <v>1482</v>
      </c>
      <c r="B338" cm="1">
        <f t="array" ref="B338">SUMPRODUCT((Registro!$D$2:$D$1040=A338)*Registro!$L$2:$L$1040)</f>
        <v>1625</v>
      </c>
      <c r="C338" s="23">
        <f t="shared" si="15"/>
        <v>1625.0003380000001</v>
      </c>
      <c r="D338" s="24">
        <f>_xlfn.RANK.EQ(C338,$C$2:C$338)</f>
        <v>288</v>
      </c>
      <c r="G338" s="28">
        <v>337</v>
      </c>
      <c r="H338" s="29" t="str">
        <f t="shared" si="16"/>
        <v>Huerta, Felipe de</v>
      </c>
      <c r="I338" s="30">
        <f t="shared" si="17"/>
        <v>100</v>
      </c>
    </row>
    <row r="339" spans="1:9" x14ac:dyDescent="0.3">
      <c r="A339" s="35"/>
    </row>
    <row r="340" spans="1:9" x14ac:dyDescent="0.3">
      <c r="A340" s="35"/>
    </row>
    <row r="341" spans="1:9" x14ac:dyDescent="0.3">
      <c r="A341" s="35"/>
    </row>
    <row r="342" spans="1:9" x14ac:dyDescent="0.3">
      <c r="A342" s="35"/>
    </row>
    <row r="343" spans="1:9" x14ac:dyDescent="0.3">
      <c r="A343" s="35"/>
    </row>
    <row r="344" spans="1:9" x14ac:dyDescent="0.3">
      <c r="A344" s="35"/>
    </row>
    <row r="345" spans="1:9" x14ac:dyDescent="0.3">
      <c r="A345" s="35"/>
    </row>
    <row r="346" spans="1:9" x14ac:dyDescent="0.3">
      <c r="A346" s="35"/>
    </row>
    <row r="347" spans="1:9" x14ac:dyDescent="0.3">
      <c r="A347" s="35"/>
    </row>
    <row r="348" spans="1:9" x14ac:dyDescent="0.3">
      <c r="A348" s="35"/>
    </row>
    <row r="349" spans="1:9" x14ac:dyDescent="0.3">
      <c r="A349" s="35"/>
    </row>
    <row r="350" spans="1:9" x14ac:dyDescent="0.3">
      <c r="A350" s="35"/>
    </row>
    <row r="351" spans="1:9" x14ac:dyDescent="0.3">
      <c r="A351" s="35"/>
    </row>
    <row r="352" spans="1:9" x14ac:dyDescent="0.3">
      <c r="A352" s="35"/>
    </row>
    <row r="353" spans="1:1" x14ac:dyDescent="0.3">
      <c r="A353" s="35"/>
    </row>
    <row r="354" spans="1:1" x14ac:dyDescent="0.3">
      <c r="A354" s="35"/>
    </row>
    <row r="355" spans="1:1" x14ac:dyDescent="0.3">
      <c r="A355" s="35"/>
    </row>
    <row r="356" spans="1:1" x14ac:dyDescent="0.3">
      <c r="A356" s="35"/>
    </row>
    <row r="357" spans="1:1" x14ac:dyDescent="0.3">
      <c r="A357" s="35"/>
    </row>
    <row r="358" spans="1:1" x14ac:dyDescent="0.3">
      <c r="A358" s="35"/>
    </row>
    <row r="359" spans="1:1" x14ac:dyDescent="0.3">
      <c r="A359" s="35"/>
    </row>
    <row r="360" spans="1:1" x14ac:dyDescent="0.3">
      <c r="A360" s="35"/>
    </row>
    <row r="361" spans="1:1" x14ac:dyDescent="0.3">
      <c r="A361" s="35"/>
    </row>
    <row r="362" spans="1:1" x14ac:dyDescent="0.3">
      <c r="A362" s="35"/>
    </row>
    <row r="363" spans="1:1" x14ac:dyDescent="0.3">
      <c r="A363" s="35"/>
    </row>
    <row r="364" spans="1:1" x14ac:dyDescent="0.3">
      <c r="A364" s="35"/>
    </row>
    <row r="365" spans="1:1" x14ac:dyDescent="0.3">
      <c r="A365" s="35"/>
    </row>
    <row r="366" spans="1:1" x14ac:dyDescent="0.3">
      <c r="A366" s="35"/>
    </row>
    <row r="367" spans="1:1" x14ac:dyDescent="0.3">
      <c r="A367" s="35"/>
    </row>
    <row r="368" spans="1:1" x14ac:dyDescent="0.3">
      <c r="A368" s="35"/>
    </row>
    <row r="369" spans="1:1" x14ac:dyDescent="0.3">
      <c r="A369" s="35"/>
    </row>
    <row r="370" spans="1:1" x14ac:dyDescent="0.3">
      <c r="A370" s="35"/>
    </row>
    <row r="371" spans="1:1" x14ac:dyDescent="0.3">
      <c r="A371" s="35"/>
    </row>
    <row r="372" spans="1:1" x14ac:dyDescent="0.3">
      <c r="A372" s="35"/>
    </row>
    <row r="373" spans="1:1" x14ac:dyDescent="0.3">
      <c r="A373" s="35"/>
    </row>
    <row r="374" spans="1:1" x14ac:dyDescent="0.3">
      <c r="A374" s="35"/>
    </row>
    <row r="375" spans="1:1" x14ac:dyDescent="0.3">
      <c r="A375" s="35"/>
    </row>
    <row r="376" spans="1:1" x14ac:dyDescent="0.3">
      <c r="A376" s="35"/>
    </row>
    <row r="377" spans="1:1" x14ac:dyDescent="0.3">
      <c r="A377" s="35"/>
    </row>
    <row r="378" spans="1:1" x14ac:dyDescent="0.3">
      <c r="A378" s="35"/>
    </row>
    <row r="379" spans="1:1" x14ac:dyDescent="0.3">
      <c r="A379" s="35"/>
    </row>
    <row r="380" spans="1:1" x14ac:dyDescent="0.3">
      <c r="A380" s="35"/>
    </row>
    <row r="381" spans="1:1" x14ac:dyDescent="0.3">
      <c r="A381" s="35"/>
    </row>
    <row r="382" spans="1:1" x14ac:dyDescent="0.3">
      <c r="A382" s="35"/>
    </row>
    <row r="383" spans="1:1" x14ac:dyDescent="0.3">
      <c r="A383" s="35"/>
    </row>
    <row r="384" spans="1:1" x14ac:dyDescent="0.3">
      <c r="A384" s="35"/>
    </row>
    <row r="385" spans="1:1" x14ac:dyDescent="0.3">
      <c r="A385" s="35"/>
    </row>
    <row r="386" spans="1:1" x14ac:dyDescent="0.3">
      <c r="A386" s="35"/>
    </row>
    <row r="387" spans="1:1" x14ac:dyDescent="0.3">
      <c r="A387" s="35"/>
    </row>
    <row r="388" spans="1:1" x14ac:dyDescent="0.3">
      <c r="A388" s="35"/>
    </row>
    <row r="389" spans="1:1" x14ac:dyDescent="0.3">
      <c r="A389" s="35"/>
    </row>
    <row r="390" spans="1:1" x14ac:dyDescent="0.3">
      <c r="A390" s="35"/>
    </row>
    <row r="391" spans="1:1" x14ac:dyDescent="0.3">
      <c r="A391" s="35"/>
    </row>
    <row r="392" spans="1:1" x14ac:dyDescent="0.3">
      <c r="A392" s="35"/>
    </row>
    <row r="393" spans="1:1" x14ac:dyDescent="0.3">
      <c r="A393" s="35"/>
    </row>
    <row r="394" spans="1:1" x14ac:dyDescent="0.3">
      <c r="A394" s="35"/>
    </row>
    <row r="395" spans="1:1" x14ac:dyDescent="0.3">
      <c r="A395" s="35"/>
    </row>
    <row r="396" spans="1:1" x14ac:dyDescent="0.3">
      <c r="A396" s="35"/>
    </row>
    <row r="397" spans="1:1" x14ac:dyDescent="0.3">
      <c r="A397" s="35"/>
    </row>
    <row r="398" spans="1:1" x14ac:dyDescent="0.3">
      <c r="A398" s="35"/>
    </row>
    <row r="399" spans="1:1" x14ac:dyDescent="0.3">
      <c r="A399" s="35"/>
    </row>
    <row r="400" spans="1:1" x14ac:dyDescent="0.3">
      <c r="A400" s="35"/>
    </row>
    <row r="401" spans="1:1" x14ac:dyDescent="0.3">
      <c r="A401" s="35"/>
    </row>
    <row r="402" spans="1:1" x14ac:dyDescent="0.3">
      <c r="A402" s="35"/>
    </row>
    <row r="403" spans="1:1" x14ac:dyDescent="0.3">
      <c r="A403" s="35"/>
    </row>
    <row r="404" spans="1:1" x14ac:dyDescent="0.3">
      <c r="A404" s="35"/>
    </row>
    <row r="405" spans="1:1" x14ac:dyDescent="0.3">
      <c r="A405" s="35"/>
    </row>
    <row r="406" spans="1:1" x14ac:dyDescent="0.3">
      <c r="A406" s="35"/>
    </row>
    <row r="407" spans="1:1" x14ac:dyDescent="0.3">
      <c r="A407" s="35"/>
    </row>
    <row r="408" spans="1:1" x14ac:dyDescent="0.3">
      <c r="A408" s="35"/>
    </row>
    <row r="409" spans="1:1" x14ac:dyDescent="0.3">
      <c r="A409" s="35"/>
    </row>
    <row r="410" spans="1:1" x14ac:dyDescent="0.3">
      <c r="A410" s="35"/>
    </row>
    <row r="411" spans="1:1" x14ac:dyDescent="0.3">
      <c r="A411" s="35"/>
    </row>
    <row r="412" spans="1:1" x14ac:dyDescent="0.3">
      <c r="A412" s="35"/>
    </row>
    <row r="413" spans="1:1" x14ac:dyDescent="0.3">
      <c r="A413" s="35"/>
    </row>
    <row r="414" spans="1:1" x14ac:dyDescent="0.3">
      <c r="A414" s="35"/>
    </row>
    <row r="415" spans="1:1" x14ac:dyDescent="0.3">
      <c r="A415" s="35"/>
    </row>
    <row r="416" spans="1:1" x14ac:dyDescent="0.3">
      <c r="A416" s="35"/>
    </row>
    <row r="417" spans="1:1" x14ac:dyDescent="0.3">
      <c r="A417" s="35"/>
    </row>
    <row r="418" spans="1:1" x14ac:dyDescent="0.3">
      <c r="A418" s="35"/>
    </row>
    <row r="419" spans="1:1" x14ac:dyDescent="0.3">
      <c r="A419" s="35"/>
    </row>
    <row r="420" spans="1:1" x14ac:dyDescent="0.3">
      <c r="A420" s="35"/>
    </row>
    <row r="421" spans="1:1" x14ac:dyDescent="0.3">
      <c r="A421" s="35"/>
    </row>
    <row r="422" spans="1:1" x14ac:dyDescent="0.3">
      <c r="A422" s="35"/>
    </row>
    <row r="423" spans="1:1" x14ac:dyDescent="0.3">
      <c r="A423" s="35"/>
    </row>
    <row r="424" spans="1:1" x14ac:dyDescent="0.3">
      <c r="A424" s="35"/>
    </row>
    <row r="425" spans="1:1" x14ac:dyDescent="0.3">
      <c r="A425" s="35"/>
    </row>
    <row r="426" spans="1:1" x14ac:dyDescent="0.3">
      <c r="A426" s="35"/>
    </row>
    <row r="427" spans="1:1" x14ac:dyDescent="0.3">
      <c r="A427" s="35"/>
    </row>
    <row r="428" spans="1:1" x14ac:dyDescent="0.3">
      <c r="A428" s="35"/>
    </row>
    <row r="429" spans="1:1" x14ac:dyDescent="0.3">
      <c r="A429" s="35"/>
    </row>
    <row r="430" spans="1:1" x14ac:dyDescent="0.3">
      <c r="A430" s="35"/>
    </row>
    <row r="431" spans="1:1" x14ac:dyDescent="0.3">
      <c r="A431" s="35"/>
    </row>
    <row r="432" spans="1:1" x14ac:dyDescent="0.3">
      <c r="A432" s="35"/>
    </row>
    <row r="433" spans="1:1" x14ac:dyDescent="0.3">
      <c r="A433" s="35"/>
    </row>
    <row r="434" spans="1:1" x14ac:dyDescent="0.3">
      <c r="A434" s="35"/>
    </row>
    <row r="435" spans="1:1" x14ac:dyDescent="0.3">
      <c r="A435" s="35"/>
    </row>
    <row r="436" spans="1:1" x14ac:dyDescent="0.3">
      <c r="A436" s="35"/>
    </row>
    <row r="437" spans="1:1" x14ac:dyDescent="0.3">
      <c r="A437" s="35"/>
    </row>
    <row r="438" spans="1:1" x14ac:dyDescent="0.3">
      <c r="A438" s="35"/>
    </row>
    <row r="439" spans="1:1" x14ac:dyDescent="0.3">
      <c r="A439" s="35"/>
    </row>
    <row r="440" spans="1:1" x14ac:dyDescent="0.3">
      <c r="A440" s="35"/>
    </row>
    <row r="441" spans="1:1" x14ac:dyDescent="0.3">
      <c r="A441" s="35"/>
    </row>
    <row r="442" spans="1:1" x14ac:dyDescent="0.3">
      <c r="A442" s="35"/>
    </row>
    <row r="443" spans="1:1" x14ac:dyDescent="0.3">
      <c r="A443" s="35"/>
    </row>
    <row r="444" spans="1:1" x14ac:dyDescent="0.3">
      <c r="A444" s="35"/>
    </row>
    <row r="445" spans="1:1" x14ac:dyDescent="0.3">
      <c r="A445" s="35"/>
    </row>
    <row r="446" spans="1:1" x14ac:dyDescent="0.3">
      <c r="A446" s="35"/>
    </row>
    <row r="447" spans="1:1" x14ac:dyDescent="0.3">
      <c r="A447" s="35"/>
    </row>
    <row r="448" spans="1:1" x14ac:dyDescent="0.3">
      <c r="A448" s="35"/>
    </row>
    <row r="449" spans="1:1" x14ac:dyDescent="0.3">
      <c r="A449" s="35"/>
    </row>
    <row r="450" spans="1:1" x14ac:dyDescent="0.3">
      <c r="A450" s="35"/>
    </row>
    <row r="451" spans="1:1" x14ac:dyDescent="0.3">
      <c r="A451" s="35"/>
    </row>
    <row r="452" spans="1:1" x14ac:dyDescent="0.3">
      <c r="A452" s="35"/>
    </row>
    <row r="453" spans="1:1" x14ac:dyDescent="0.3">
      <c r="A453" s="35"/>
    </row>
    <row r="454" spans="1:1" x14ac:dyDescent="0.3">
      <c r="A454" s="35"/>
    </row>
    <row r="455" spans="1:1" x14ac:dyDescent="0.3">
      <c r="A455" s="35"/>
    </row>
    <row r="456" spans="1:1" x14ac:dyDescent="0.3">
      <c r="A456" s="35"/>
    </row>
    <row r="457" spans="1:1" x14ac:dyDescent="0.3">
      <c r="A457" s="35"/>
    </row>
    <row r="458" spans="1:1" x14ac:dyDescent="0.3">
      <c r="A458" s="35"/>
    </row>
    <row r="459" spans="1:1" x14ac:dyDescent="0.3">
      <c r="A459" s="35"/>
    </row>
    <row r="460" spans="1:1" x14ac:dyDescent="0.3">
      <c r="A460" s="35"/>
    </row>
    <row r="461" spans="1:1" x14ac:dyDescent="0.3">
      <c r="A461" s="35"/>
    </row>
    <row r="462" spans="1:1" x14ac:dyDescent="0.3">
      <c r="A462" s="35"/>
    </row>
    <row r="463" spans="1:1" x14ac:dyDescent="0.3">
      <c r="A463" s="35"/>
    </row>
    <row r="464" spans="1:1" x14ac:dyDescent="0.3">
      <c r="A464" s="35"/>
    </row>
    <row r="465" spans="1:1" x14ac:dyDescent="0.3">
      <c r="A465" s="35"/>
    </row>
    <row r="466" spans="1:1" x14ac:dyDescent="0.3">
      <c r="A466" s="35"/>
    </row>
    <row r="467" spans="1:1" x14ac:dyDescent="0.3">
      <c r="A467" s="35"/>
    </row>
    <row r="468" spans="1:1" x14ac:dyDescent="0.3">
      <c r="A468" s="35"/>
    </row>
    <row r="469" spans="1:1" x14ac:dyDescent="0.3">
      <c r="A469" s="35"/>
    </row>
    <row r="470" spans="1:1" x14ac:dyDescent="0.3">
      <c r="A470" s="35"/>
    </row>
    <row r="471" spans="1:1" x14ac:dyDescent="0.3">
      <c r="A471" s="35"/>
    </row>
    <row r="472" spans="1:1" x14ac:dyDescent="0.3">
      <c r="A472" s="35"/>
    </row>
    <row r="473" spans="1:1" x14ac:dyDescent="0.3">
      <c r="A473" s="35"/>
    </row>
    <row r="474" spans="1:1" x14ac:dyDescent="0.3">
      <c r="A474" s="35"/>
    </row>
    <row r="475" spans="1:1" x14ac:dyDescent="0.3">
      <c r="A475" s="35"/>
    </row>
    <row r="476" spans="1:1" x14ac:dyDescent="0.3">
      <c r="A476" s="35"/>
    </row>
    <row r="477" spans="1:1" x14ac:dyDescent="0.3">
      <c r="A477" s="35"/>
    </row>
    <row r="478" spans="1:1" x14ac:dyDescent="0.3">
      <c r="A478" s="35"/>
    </row>
    <row r="479" spans="1:1" x14ac:dyDescent="0.3">
      <c r="A479" s="35"/>
    </row>
    <row r="480" spans="1:1" x14ac:dyDescent="0.3">
      <c r="A480" s="35"/>
    </row>
    <row r="481" spans="1:1" x14ac:dyDescent="0.3">
      <c r="A481" s="35"/>
    </row>
    <row r="482" spans="1:1" x14ac:dyDescent="0.3">
      <c r="A482" s="35"/>
    </row>
    <row r="483" spans="1:1" x14ac:dyDescent="0.3">
      <c r="A483" s="35"/>
    </row>
    <row r="484" spans="1:1" x14ac:dyDescent="0.3">
      <c r="A484" s="35"/>
    </row>
    <row r="485" spans="1:1" x14ac:dyDescent="0.3">
      <c r="A485" s="35"/>
    </row>
    <row r="486" spans="1:1" x14ac:dyDescent="0.3">
      <c r="A486" s="35"/>
    </row>
    <row r="487" spans="1:1" x14ac:dyDescent="0.3">
      <c r="A487" s="35"/>
    </row>
    <row r="488" spans="1:1" x14ac:dyDescent="0.3">
      <c r="A488" s="35"/>
    </row>
    <row r="489" spans="1:1" x14ac:dyDescent="0.3">
      <c r="A489" s="35"/>
    </row>
    <row r="490" spans="1:1" x14ac:dyDescent="0.3">
      <c r="A490" s="35"/>
    </row>
    <row r="491" spans="1:1" x14ac:dyDescent="0.3">
      <c r="A491" s="35"/>
    </row>
    <row r="492" spans="1:1" x14ac:dyDescent="0.3">
      <c r="A492" s="35"/>
    </row>
    <row r="493" spans="1:1" x14ac:dyDescent="0.3">
      <c r="A493" s="35"/>
    </row>
    <row r="494" spans="1:1" x14ac:dyDescent="0.3">
      <c r="A494" s="35"/>
    </row>
    <row r="495" spans="1:1" x14ac:dyDescent="0.3">
      <c r="A495" s="35"/>
    </row>
    <row r="496" spans="1:1" x14ac:dyDescent="0.3">
      <c r="A496" s="35"/>
    </row>
    <row r="497" spans="1:1" x14ac:dyDescent="0.3">
      <c r="A497" s="35"/>
    </row>
    <row r="498" spans="1:1" x14ac:dyDescent="0.3">
      <c r="A498" s="35"/>
    </row>
    <row r="499" spans="1:1" x14ac:dyDescent="0.3">
      <c r="A499" s="35"/>
    </row>
    <row r="500" spans="1:1" x14ac:dyDescent="0.3">
      <c r="A500" s="35"/>
    </row>
    <row r="501" spans="1:1" x14ac:dyDescent="0.3">
      <c r="A501" s="35"/>
    </row>
    <row r="502" spans="1:1" x14ac:dyDescent="0.3">
      <c r="A502" s="35"/>
    </row>
    <row r="503" spans="1:1" x14ac:dyDescent="0.3">
      <c r="A503" s="35"/>
    </row>
    <row r="504" spans="1:1" x14ac:dyDescent="0.3">
      <c r="A504" s="35"/>
    </row>
    <row r="505" spans="1:1" x14ac:dyDescent="0.3">
      <c r="A505" s="35"/>
    </row>
    <row r="506" spans="1:1" x14ac:dyDescent="0.3">
      <c r="A506" s="35"/>
    </row>
    <row r="507" spans="1:1" x14ac:dyDescent="0.3">
      <c r="A507" s="35"/>
    </row>
    <row r="508" spans="1:1" x14ac:dyDescent="0.3">
      <c r="A508" s="35"/>
    </row>
    <row r="509" spans="1:1" x14ac:dyDescent="0.3">
      <c r="A509" s="35"/>
    </row>
    <row r="510" spans="1:1" x14ac:dyDescent="0.3">
      <c r="A510" s="35"/>
    </row>
    <row r="511" spans="1:1" x14ac:dyDescent="0.3">
      <c r="A511" s="35"/>
    </row>
    <row r="512" spans="1:1" x14ac:dyDescent="0.3">
      <c r="A512" s="35"/>
    </row>
    <row r="513" spans="1:1" x14ac:dyDescent="0.3">
      <c r="A513" s="35"/>
    </row>
    <row r="514" spans="1:1" x14ac:dyDescent="0.3">
      <c r="A514" s="35"/>
    </row>
    <row r="515" spans="1:1" x14ac:dyDescent="0.3">
      <c r="A515" s="35"/>
    </row>
    <row r="516" spans="1:1" x14ac:dyDescent="0.3">
      <c r="A516" s="35"/>
    </row>
    <row r="517" spans="1:1" x14ac:dyDescent="0.3">
      <c r="A517" s="35"/>
    </row>
    <row r="518" spans="1:1" x14ac:dyDescent="0.3">
      <c r="A518" s="35"/>
    </row>
    <row r="519" spans="1:1" x14ac:dyDescent="0.3">
      <c r="A519" s="35"/>
    </row>
    <row r="520" spans="1:1" x14ac:dyDescent="0.3">
      <c r="A520" s="35"/>
    </row>
    <row r="521" spans="1:1" x14ac:dyDescent="0.3">
      <c r="A521" s="35"/>
    </row>
    <row r="522" spans="1:1" x14ac:dyDescent="0.3">
      <c r="A522" s="35"/>
    </row>
    <row r="523" spans="1:1" x14ac:dyDescent="0.3">
      <c r="A523" s="35"/>
    </row>
    <row r="524" spans="1:1" x14ac:dyDescent="0.3">
      <c r="A524" s="35"/>
    </row>
    <row r="525" spans="1:1" x14ac:dyDescent="0.3">
      <c r="A525" s="35"/>
    </row>
    <row r="526" spans="1:1" x14ac:dyDescent="0.3">
      <c r="A526" s="35"/>
    </row>
    <row r="527" spans="1:1" x14ac:dyDescent="0.3">
      <c r="A527" s="35"/>
    </row>
    <row r="528" spans="1:1" x14ac:dyDescent="0.3">
      <c r="A528" s="35"/>
    </row>
    <row r="529" spans="1:1" x14ac:dyDescent="0.3">
      <c r="A529" s="35"/>
    </row>
    <row r="530" spans="1:1" x14ac:dyDescent="0.3">
      <c r="A530" s="35"/>
    </row>
    <row r="531" spans="1:1" x14ac:dyDescent="0.3">
      <c r="A531" s="35"/>
    </row>
    <row r="532" spans="1:1" x14ac:dyDescent="0.3">
      <c r="A532" s="35"/>
    </row>
    <row r="533" spans="1:1" x14ac:dyDescent="0.3">
      <c r="A533" s="35"/>
    </row>
    <row r="534" spans="1:1" x14ac:dyDescent="0.3">
      <c r="A534" s="35"/>
    </row>
    <row r="535" spans="1:1" x14ac:dyDescent="0.3">
      <c r="A535" s="35"/>
    </row>
    <row r="536" spans="1:1" x14ac:dyDescent="0.3">
      <c r="A536" s="35"/>
    </row>
    <row r="537" spans="1:1" x14ac:dyDescent="0.3">
      <c r="A537" s="35"/>
    </row>
    <row r="538" spans="1:1" x14ac:dyDescent="0.3">
      <c r="A538" s="35"/>
    </row>
    <row r="539" spans="1:1" x14ac:dyDescent="0.3">
      <c r="A539" s="35"/>
    </row>
    <row r="540" spans="1:1" x14ac:dyDescent="0.3">
      <c r="A540" s="35"/>
    </row>
    <row r="541" spans="1:1" x14ac:dyDescent="0.3">
      <c r="A541" s="35"/>
    </row>
    <row r="542" spans="1:1" x14ac:dyDescent="0.3">
      <c r="A542" s="35"/>
    </row>
    <row r="543" spans="1:1" x14ac:dyDescent="0.3">
      <c r="A543" s="35"/>
    </row>
    <row r="544" spans="1:1" x14ac:dyDescent="0.3">
      <c r="A544" s="35"/>
    </row>
    <row r="545" spans="1:1" x14ac:dyDescent="0.3">
      <c r="A545" s="35"/>
    </row>
    <row r="546" spans="1:1" x14ac:dyDescent="0.3">
      <c r="A546" s="35"/>
    </row>
    <row r="547" spans="1:1" x14ac:dyDescent="0.3">
      <c r="A547" s="35"/>
    </row>
    <row r="548" spans="1:1" x14ac:dyDescent="0.3">
      <c r="A548" s="35"/>
    </row>
    <row r="549" spans="1:1" x14ac:dyDescent="0.3">
      <c r="A549" s="35"/>
    </row>
    <row r="550" spans="1:1" x14ac:dyDescent="0.3">
      <c r="A550" s="35"/>
    </row>
    <row r="551" spans="1:1" x14ac:dyDescent="0.3">
      <c r="A551" s="35"/>
    </row>
    <row r="552" spans="1:1" x14ac:dyDescent="0.3">
      <c r="A552" s="35"/>
    </row>
    <row r="553" spans="1:1" x14ac:dyDescent="0.3">
      <c r="A553" s="35"/>
    </row>
    <row r="554" spans="1:1" x14ac:dyDescent="0.3">
      <c r="A554" s="35"/>
    </row>
    <row r="555" spans="1:1" x14ac:dyDescent="0.3">
      <c r="A555" s="35"/>
    </row>
    <row r="556" spans="1:1" x14ac:dyDescent="0.3">
      <c r="A556" s="35"/>
    </row>
    <row r="557" spans="1:1" x14ac:dyDescent="0.3">
      <c r="A557" s="35"/>
    </row>
    <row r="558" spans="1:1" x14ac:dyDescent="0.3">
      <c r="A558" s="35"/>
    </row>
    <row r="559" spans="1:1" x14ac:dyDescent="0.3">
      <c r="A559" s="35"/>
    </row>
    <row r="560" spans="1:1" x14ac:dyDescent="0.3">
      <c r="A560" s="35"/>
    </row>
    <row r="561" spans="1:1" x14ac:dyDescent="0.3">
      <c r="A561" s="35"/>
    </row>
    <row r="562" spans="1:1" x14ac:dyDescent="0.3">
      <c r="A562" s="35"/>
    </row>
    <row r="563" spans="1:1" x14ac:dyDescent="0.3">
      <c r="A563" s="35"/>
    </row>
    <row r="564" spans="1:1" x14ac:dyDescent="0.3">
      <c r="A564" s="35"/>
    </row>
    <row r="565" spans="1:1" x14ac:dyDescent="0.3">
      <c r="A565" s="35"/>
    </row>
    <row r="566" spans="1:1" x14ac:dyDescent="0.3">
      <c r="A566" s="35"/>
    </row>
    <row r="567" spans="1:1" x14ac:dyDescent="0.3">
      <c r="A567" s="35"/>
    </row>
    <row r="568" spans="1:1" x14ac:dyDescent="0.3">
      <c r="A568" s="35"/>
    </row>
    <row r="569" spans="1:1" x14ac:dyDescent="0.3">
      <c r="A569" s="35"/>
    </row>
    <row r="570" spans="1:1" x14ac:dyDescent="0.3">
      <c r="A570" s="35"/>
    </row>
    <row r="571" spans="1:1" x14ac:dyDescent="0.3">
      <c r="A571" s="35"/>
    </row>
    <row r="572" spans="1:1" x14ac:dyDescent="0.3">
      <c r="A572" s="35"/>
    </row>
    <row r="573" spans="1:1" x14ac:dyDescent="0.3">
      <c r="A573" s="35"/>
    </row>
    <row r="574" spans="1:1" x14ac:dyDescent="0.3">
      <c r="A574" s="35"/>
    </row>
    <row r="575" spans="1:1" x14ac:dyDescent="0.3">
      <c r="A575" s="35"/>
    </row>
    <row r="576" spans="1:1" x14ac:dyDescent="0.3">
      <c r="A576" s="35"/>
    </row>
    <row r="577" spans="1:1" x14ac:dyDescent="0.3">
      <c r="A577" s="35"/>
    </row>
    <row r="578" spans="1:1" x14ac:dyDescent="0.3">
      <c r="A578" s="35"/>
    </row>
    <row r="579" spans="1:1" x14ac:dyDescent="0.3">
      <c r="A579" s="35"/>
    </row>
    <row r="580" spans="1:1" x14ac:dyDescent="0.3">
      <c r="A580" s="35"/>
    </row>
    <row r="581" spans="1:1" x14ac:dyDescent="0.3">
      <c r="A581" s="35"/>
    </row>
    <row r="582" spans="1:1" x14ac:dyDescent="0.3">
      <c r="A582" s="35"/>
    </row>
    <row r="583" spans="1:1" x14ac:dyDescent="0.3">
      <c r="A583" s="35"/>
    </row>
    <row r="584" spans="1:1" x14ac:dyDescent="0.3">
      <c r="A584" s="35"/>
    </row>
    <row r="585" spans="1:1" x14ac:dyDescent="0.3">
      <c r="A585" s="35"/>
    </row>
    <row r="586" spans="1:1" x14ac:dyDescent="0.3">
      <c r="A586" s="35"/>
    </row>
    <row r="587" spans="1:1" x14ac:dyDescent="0.3">
      <c r="A587" s="35"/>
    </row>
    <row r="588" spans="1:1" x14ac:dyDescent="0.3">
      <c r="A588" s="35"/>
    </row>
    <row r="589" spans="1:1" x14ac:dyDescent="0.3">
      <c r="A589" s="35"/>
    </row>
    <row r="590" spans="1:1" x14ac:dyDescent="0.3">
      <c r="A590" s="35"/>
    </row>
    <row r="591" spans="1:1" x14ac:dyDescent="0.3">
      <c r="A591" s="35"/>
    </row>
    <row r="592" spans="1:1" x14ac:dyDescent="0.3">
      <c r="A592" s="35"/>
    </row>
    <row r="593" spans="1:1" x14ac:dyDescent="0.3">
      <c r="A593" s="35"/>
    </row>
    <row r="594" spans="1:1" x14ac:dyDescent="0.3">
      <c r="A594" s="35"/>
    </row>
    <row r="595" spans="1:1" x14ac:dyDescent="0.3">
      <c r="A595" s="35"/>
    </row>
    <row r="596" spans="1:1" x14ac:dyDescent="0.3">
      <c r="A596" s="35"/>
    </row>
    <row r="597" spans="1:1" x14ac:dyDescent="0.3">
      <c r="A597" s="35"/>
    </row>
    <row r="598" spans="1:1" x14ac:dyDescent="0.3">
      <c r="A598" s="35"/>
    </row>
    <row r="599" spans="1:1" x14ac:dyDescent="0.3">
      <c r="A599" s="35"/>
    </row>
    <row r="600" spans="1:1" x14ac:dyDescent="0.3">
      <c r="A600" s="35"/>
    </row>
    <row r="601" spans="1:1" x14ac:dyDescent="0.3">
      <c r="A601" s="35"/>
    </row>
    <row r="602" spans="1:1" x14ac:dyDescent="0.3">
      <c r="A602" s="35"/>
    </row>
    <row r="603" spans="1:1" x14ac:dyDescent="0.3">
      <c r="A603" s="35"/>
    </row>
    <row r="604" spans="1:1" x14ac:dyDescent="0.3">
      <c r="A604" s="35"/>
    </row>
    <row r="605" spans="1:1" x14ac:dyDescent="0.3">
      <c r="A605" s="35"/>
    </row>
    <row r="606" spans="1:1" x14ac:dyDescent="0.3">
      <c r="A606" s="35"/>
    </row>
    <row r="607" spans="1:1" x14ac:dyDescent="0.3">
      <c r="A607" s="35"/>
    </row>
    <row r="608" spans="1:1" x14ac:dyDescent="0.3">
      <c r="A608" s="35"/>
    </row>
    <row r="609" spans="1:1" x14ac:dyDescent="0.3">
      <c r="A609" s="35"/>
    </row>
    <row r="610" spans="1:1" x14ac:dyDescent="0.3">
      <c r="A610" s="35"/>
    </row>
    <row r="611" spans="1:1" x14ac:dyDescent="0.3">
      <c r="A611" s="35"/>
    </row>
    <row r="612" spans="1:1" x14ac:dyDescent="0.3">
      <c r="A612" s="35"/>
    </row>
    <row r="613" spans="1:1" x14ac:dyDescent="0.3">
      <c r="A613" s="35"/>
    </row>
    <row r="614" spans="1:1" x14ac:dyDescent="0.3">
      <c r="A614" s="35"/>
    </row>
    <row r="615" spans="1:1" x14ac:dyDescent="0.3">
      <c r="A615" s="35"/>
    </row>
    <row r="616" spans="1:1" x14ac:dyDescent="0.3">
      <c r="A616" s="35"/>
    </row>
    <row r="617" spans="1:1" x14ac:dyDescent="0.3">
      <c r="A617" s="35"/>
    </row>
    <row r="618" spans="1:1" x14ac:dyDescent="0.3">
      <c r="A618" s="35"/>
    </row>
    <row r="619" spans="1:1" x14ac:dyDescent="0.3">
      <c r="A619" s="35"/>
    </row>
    <row r="620" spans="1:1" x14ac:dyDescent="0.3">
      <c r="A620" s="35"/>
    </row>
    <row r="621" spans="1:1" x14ac:dyDescent="0.3">
      <c r="A621" s="35"/>
    </row>
    <row r="622" spans="1:1" x14ac:dyDescent="0.3">
      <c r="A622" s="35"/>
    </row>
    <row r="623" spans="1:1" x14ac:dyDescent="0.3">
      <c r="A623" s="35"/>
    </row>
    <row r="624" spans="1:1" x14ac:dyDescent="0.3">
      <c r="A624" s="35"/>
    </row>
    <row r="625" spans="1:1" x14ac:dyDescent="0.3">
      <c r="A625" s="35"/>
    </row>
    <row r="626" spans="1:1" x14ac:dyDescent="0.3">
      <c r="A626" s="35"/>
    </row>
    <row r="627" spans="1:1" x14ac:dyDescent="0.3">
      <c r="A627" s="35"/>
    </row>
    <row r="628" spans="1:1" x14ac:dyDescent="0.3">
      <c r="A628" s="35"/>
    </row>
    <row r="629" spans="1:1" x14ac:dyDescent="0.3">
      <c r="A629" s="35"/>
    </row>
    <row r="630" spans="1:1" x14ac:dyDescent="0.3">
      <c r="A630" s="35"/>
    </row>
    <row r="631" spans="1:1" x14ac:dyDescent="0.3">
      <c r="A631" s="35"/>
    </row>
    <row r="632" spans="1:1" x14ac:dyDescent="0.3">
      <c r="A632" s="35"/>
    </row>
    <row r="633" spans="1:1" x14ac:dyDescent="0.3">
      <c r="A633" s="35"/>
    </row>
    <row r="634" spans="1:1" x14ac:dyDescent="0.3">
      <c r="A634" s="35"/>
    </row>
    <row r="635" spans="1:1" x14ac:dyDescent="0.3">
      <c r="A635" s="35"/>
    </row>
    <row r="636" spans="1:1" x14ac:dyDescent="0.3">
      <c r="A636" s="35"/>
    </row>
    <row r="637" spans="1:1" x14ac:dyDescent="0.3">
      <c r="A637" s="35"/>
    </row>
    <row r="638" spans="1:1" x14ac:dyDescent="0.3">
      <c r="A638" s="35"/>
    </row>
    <row r="639" spans="1:1" x14ac:dyDescent="0.3">
      <c r="A639" s="35"/>
    </row>
    <row r="640" spans="1:1" x14ac:dyDescent="0.3">
      <c r="A640" s="35"/>
    </row>
    <row r="641" spans="1:1" x14ac:dyDescent="0.3">
      <c r="A641" s="35"/>
    </row>
    <row r="642" spans="1:1" x14ac:dyDescent="0.3">
      <c r="A642" s="35"/>
    </row>
    <row r="643" spans="1:1" x14ac:dyDescent="0.3">
      <c r="A643" s="35"/>
    </row>
    <row r="644" spans="1:1" x14ac:dyDescent="0.3">
      <c r="A644" s="35"/>
    </row>
    <row r="645" spans="1:1" x14ac:dyDescent="0.3">
      <c r="A645" s="35"/>
    </row>
    <row r="646" spans="1:1" x14ac:dyDescent="0.3">
      <c r="A646" s="35"/>
    </row>
    <row r="647" spans="1:1" x14ac:dyDescent="0.3">
      <c r="A647" s="35"/>
    </row>
    <row r="648" spans="1:1" x14ac:dyDescent="0.3">
      <c r="A648" s="35"/>
    </row>
    <row r="649" spans="1:1" x14ac:dyDescent="0.3">
      <c r="A649" s="35"/>
    </row>
    <row r="650" spans="1:1" x14ac:dyDescent="0.3">
      <c r="A650" s="35"/>
    </row>
    <row r="651" spans="1:1" x14ac:dyDescent="0.3">
      <c r="A651" s="35"/>
    </row>
    <row r="652" spans="1:1" x14ac:dyDescent="0.3">
      <c r="A652" s="35"/>
    </row>
    <row r="653" spans="1:1" x14ac:dyDescent="0.3">
      <c r="A653" s="35"/>
    </row>
    <row r="654" spans="1:1" x14ac:dyDescent="0.3">
      <c r="A654" s="35"/>
    </row>
    <row r="655" spans="1:1" x14ac:dyDescent="0.3">
      <c r="A655" s="35"/>
    </row>
    <row r="656" spans="1:1" x14ac:dyDescent="0.3">
      <c r="A656" s="35"/>
    </row>
    <row r="657" spans="1:1" x14ac:dyDescent="0.3">
      <c r="A657" s="35"/>
    </row>
    <row r="658" spans="1:1" x14ac:dyDescent="0.3">
      <c r="A658" s="35"/>
    </row>
    <row r="659" spans="1:1" x14ac:dyDescent="0.3">
      <c r="A659" s="35"/>
    </row>
    <row r="660" spans="1:1" x14ac:dyDescent="0.3">
      <c r="A660" s="35"/>
    </row>
    <row r="661" spans="1:1" x14ac:dyDescent="0.3">
      <c r="A661" s="35"/>
    </row>
    <row r="662" spans="1:1" x14ac:dyDescent="0.3">
      <c r="A662" s="35"/>
    </row>
    <row r="663" spans="1:1" x14ac:dyDescent="0.3">
      <c r="A663" s="35"/>
    </row>
    <row r="664" spans="1:1" x14ac:dyDescent="0.3">
      <c r="A664" s="35"/>
    </row>
    <row r="665" spans="1:1" x14ac:dyDescent="0.3">
      <c r="A665" s="35"/>
    </row>
    <row r="666" spans="1:1" x14ac:dyDescent="0.3">
      <c r="A666" s="35"/>
    </row>
    <row r="667" spans="1:1" x14ac:dyDescent="0.3">
      <c r="A667" s="35"/>
    </row>
    <row r="668" spans="1:1" x14ac:dyDescent="0.3">
      <c r="A668" s="35"/>
    </row>
    <row r="669" spans="1:1" x14ac:dyDescent="0.3">
      <c r="A669" s="35"/>
    </row>
    <row r="670" spans="1:1" x14ac:dyDescent="0.3">
      <c r="A670" s="35"/>
    </row>
    <row r="671" spans="1:1" x14ac:dyDescent="0.3">
      <c r="A671" s="35"/>
    </row>
    <row r="672" spans="1:1" x14ac:dyDescent="0.3">
      <c r="A672" s="35"/>
    </row>
    <row r="673" spans="1:1" x14ac:dyDescent="0.3">
      <c r="A673" s="35"/>
    </row>
    <row r="674" spans="1:1" x14ac:dyDescent="0.3">
      <c r="A674" s="35"/>
    </row>
    <row r="675" spans="1:1" x14ac:dyDescent="0.3">
      <c r="A675" s="35"/>
    </row>
    <row r="676" spans="1:1" x14ac:dyDescent="0.3">
      <c r="A676" s="35"/>
    </row>
    <row r="677" spans="1:1" x14ac:dyDescent="0.3">
      <c r="A677" s="35"/>
    </row>
    <row r="678" spans="1:1" x14ac:dyDescent="0.3">
      <c r="A678" s="35"/>
    </row>
    <row r="679" spans="1:1" x14ac:dyDescent="0.3">
      <c r="A679" s="35"/>
    </row>
    <row r="680" spans="1:1" x14ac:dyDescent="0.3">
      <c r="A680" s="35"/>
    </row>
    <row r="681" spans="1:1" x14ac:dyDescent="0.3">
      <c r="A681" s="35"/>
    </row>
    <row r="682" spans="1:1" x14ac:dyDescent="0.3">
      <c r="A682" s="35"/>
    </row>
    <row r="683" spans="1:1" x14ac:dyDescent="0.3">
      <c r="A683" s="35"/>
    </row>
    <row r="684" spans="1:1" x14ac:dyDescent="0.3">
      <c r="A684" s="35"/>
    </row>
    <row r="685" spans="1:1" x14ac:dyDescent="0.3">
      <c r="A685" s="35"/>
    </row>
    <row r="686" spans="1:1" x14ac:dyDescent="0.3">
      <c r="A686" s="35"/>
    </row>
    <row r="687" spans="1:1" x14ac:dyDescent="0.3">
      <c r="A687" s="35"/>
    </row>
    <row r="688" spans="1:1" x14ac:dyDescent="0.3">
      <c r="A688" s="35"/>
    </row>
    <row r="689" spans="1:1" x14ac:dyDescent="0.3">
      <c r="A689" s="35"/>
    </row>
    <row r="690" spans="1:1" x14ac:dyDescent="0.3">
      <c r="A690" s="35"/>
    </row>
    <row r="691" spans="1:1" x14ac:dyDescent="0.3">
      <c r="A691" s="35"/>
    </row>
    <row r="692" spans="1:1" x14ac:dyDescent="0.3">
      <c r="A692" s="35"/>
    </row>
    <row r="693" spans="1:1" x14ac:dyDescent="0.3">
      <c r="A693" s="35"/>
    </row>
    <row r="694" spans="1:1" x14ac:dyDescent="0.3">
      <c r="A694" s="35"/>
    </row>
    <row r="695" spans="1:1" x14ac:dyDescent="0.3">
      <c r="A695" s="35"/>
    </row>
    <row r="696" spans="1:1" x14ac:dyDescent="0.3">
      <c r="A696" s="35"/>
    </row>
    <row r="697" spans="1:1" x14ac:dyDescent="0.3">
      <c r="A697" s="35"/>
    </row>
    <row r="698" spans="1:1" x14ac:dyDescent="0.3">
      <c r="A698" s="35"/>
    </row>
    <row r="699" spans="1:1" x14ac:dyDescent="0.3">
      <c r="A699" s="35"/>
    </row>
    <row r="700" spans="1:1" x14ac:dyDescent="0.3">
      <c r="A700" s="35"/>
    </row>
    <row r="701" spans="1:1" x14ac:dyDescent="0.3">
      <c r="A701" s="35"/>
    </row>
    <row r="702" spans="1:1" x14ac:dyDescent="0.3">
      <c r="A702" s="35"/>
    </row>
    <row r="703" spans="1:1" x14ac:dyDescent="0.3">
      <c r="A703" s="35"/>
    </row>
    <row r="704" spans="1:1" x14ac:dyDescent="0.3">
      <c r="A704" s="35"/>
    </row>
    <row r="705" spans="1:1" x14ac:dyDescent="0.3">
      <c r="A705" s="35"/>
    </row>
    <row r="706" spans="1:1" x14ac:dyDescent="0.3">
      <c r="A706" s="35"/>
    </row>
    <row r="707" spans="1:1" x14ac:dyDescent="0.3">
      <c r="A707" s="35"/>
    </row>
    <row r="708" spans="1:1" x14ac:dyDescent="0.3">
      <c r="A708" s="35"/>
    </row>
    <row r="709" spans="1:1" x14ac:dyDescent="0.3">
      <c r="A709" s="35"/>
    </row>
    <row r="710" spans="1:1" x14ac:dyDescent="0.3">
      <c r="A710" s="35"/>
    </row>
    <row r="711" spans="1:1" x14ac:dyDescent="0.3">
      <c r="A711" s="35"/>
    </row>
    <row r="712" spans="1:1" x14ac:dyDescent="0.3">
      <c r="A712" s="35"/>
    </row>
    <row r="713" spans="1:1" x14ac:dyDescent="0.3">
      <c r="A713" s="35"/>
    </row>
    <row r="714" spans="1:1" x14ac:dyDescent="0.3">
      <c r="A714" s="35"/>
    </row>
    <row r="715" spans="1:1" x14ac:dyDescent="0.3">
      <c r="A715" s="35"/>
    </row>
    <row r="716" spans="1:1" x14ac:dyDescent="0.3">
      <c r="A716" s="35"/>
    </row>
    <row r="717" spans="1:1" x14ac:dyDescent="0.3">
      <c r="A717" s="35"/>
    </row>
    <row r="718" spans="1:1" x14ac:dyDescent="0.3">
      <c r="A718" s="35"/>
    </row>
    <row r="719" spans="1:1" x14ac:dyDescent="0.3">
      <c r="A719" s="35"/>
    </row>
    <row r="720" spans="1:1" x14ac:dyDescent="0.3">
      <c r="A720" s="35"/>
    </row>
    <row r="721" spans="1:1" x14ac:dyDescent="0.3">
      <c r="A721" s="35"/>
    </row>
    <row r="722" spans="1:1" x14ac:dyDescent="0.3">
      <c r="A722" s="35"/>
    </row>
    <row r="723" spans="1:1" x14ac:dyDescent="0.3">
      <c r="A723" s="35"/>
    </row>
    <row r="724" spans="1:1" x14ac:dyDescent="0.3">
      <c r="A724" s="35"/>
    </row>
    <row r="725" spans="1:1" x14ac:dyDescent="0.3">
      <c r="A725" s="35"/>
    </row>
    <row r="726" spans="1:1" x14ac:dyDescent="0.3">
      <c r="A726" s="35"/>
    </row>
    <row r="727" spans="1:1" x14ac:dyDescent="0.3">
      <c r="A727" s="35"/>
    </row>
    <row r="728" spans="1:1" x14ac:dyDescent="0.3">
      <c r="A728" s="35"/>
    </row>
    <row r="729" spans="1:1" x14ac:dyDescent="0.3">
      <c r="A729" s="35"/>
    </row>
    <row r="730" spans="1:1" x14ac:dyDescent="0.3">
      <c r="A730" s="35"/>
    </row>
    <row r="731" spans="1:1" x14ac:dyDescent="0.3">
      <c r="A731" s="35"/>
    </row>
    <row r="732" spans="1:1" x14ac:dyDescent="0.3">
      <c r="A732" s="35"/>
    </row>
    <row r="733" spans="1:1" x14ac:dyDescent="0.3">
      <c r="A733" s="35"/>
    </row>
    <row r="734" spans="1:1" x14ac:dyDescent="0.3">
      <c r="A734" s="35"/>
    </row>
    <row r="735" spans="1:1" x14ac:dyDescent="0.3">
      <c r="A735" s="35"/>
    </row>
    <row r="736" spans="1:1" x14ac:dyDescent="0.3">
      <c r="A736" s="35"/>
    </row>
    <row r="737" spans="1:1" x14ac:dyDescent="0.3">
      <c r="A737" s="35"/>
    </row>
    <row r="738" spans="1:1" x14ac:dyDescent="0.3">
      <c r="A738" s="35"/>
    </row>
    <row r="739" spans="1:1" x14ac:dyDescent="0.3">
      <c r="A739" s="35"/>
    </row>
    <row r="740" spans="1:1" x14ac:dyDescent="0.3">
      <c r="A740" s="35"/>
    </row>
    <row r="741" spans="1:1" x14ac:dyDescent="0.3">
      <c r="A741" s="35"/>
    </row>
    <row r="742" spans="1:1" x14ac:dyDescent="0.3">
      <c r="A742" s="35"/>
    </row>
    <row r="743" spans="1:1" x14ac:dyDescent="0.3">
      <c r="A743" s="35"/>
    </row>
    <row r="744" spans="1:1" x14ac:dyDescent="0.3">
      <c r="A744" s="35"/>
    </row>
    <row r="745" spans="1:1" x14ac:dyDescent="0.3">
      <c r="A745" s="35"/>
    </row>
    <row r="746" spans="1:1" x14ac:dyDescent="0.3">
      <c r="A746" s="35"/>
    </row>
    <row r="747" spans="1:1" x14ac:dyDescent="0.3">
      <c r="A747" s="35"/>
    </row>
    <row r="748" spans="1:1" x14ac:dyDescent="0.3">
      <c r="A748" s="35"/>
    </row>
    <row r="749" spans="1:1" x14ac:dyDescent="0.3">
      <c r="A749" s="35"/>
    </row>
    <row r="750" spans="1:1" x14ac:dyDescent="0.3">
      <c r="A750" s="35"/>
    </row>
    <row r="751" spans="1:1" x14ac:dyDescent="0.3">
      <c r="A751" s="35"/>
    </row>
    <row r="752" spans="1:1" x14ac:dyDescent="0.3">
      <c r="A752" s="35"/>
    </row>
    <row r="753" spans="1:1" x14ac:dyDescent="0.3">
      <c r="A753" s="35"/>
    </row>
    <row r="754" spans="1:1" x14ac:dyDescent="0.3">
      <c r="A754" s="35"/>
    </row>
    <row r="755" spans="1:1" x14ac:dyDescent="0.3">
      <c r="A755" s="35"/>
    </row>
    <row r="756" spans="1:1" x14ac:dyDescent="0.3">
      <c r="A756" s="35"/>
    </row>
    <row r="757" spans="1:1" x14ac:dyDescent="0.3">
      <c r="A757" s="35"/>
    </row>
    <row r="758" spans="1:1" x14ac:dyDescent="0.3">
      <c r="A758" s="35"/>
    </row>
    <row r="759" spans="1:1" x14ac:dyDescent="0.3">
      <c r="A759" s="35"/>
    </row>
    <row r="760" spans="1:1" x14ac:dyDescent="0.3">
      <c r="A760" s="35"/>
    </row>
    <row r="761" spans="1:1" x14ac:dyDescent="0.3">
      <c r="A761" s="35"/>
    </row>
    <row r="762" spans="1:1" x14ac:dyDescent="0.3">
      <c r="A762" s="35"/>
    </row>
    <row r="763" spans="1:1" x14ac:dyDescent="0.3">
      <c r="A763" s="35"/>
    </row>
    <row r="764" spans="1:1" x14ac:dyDescent="0.3">
      <c r="A764" s="35"/>
    </row>
    <row r="765" spans="1:1" x14ac:dyDescent="0.3">
      <c r="A765" s="35"/>
    </row>
    <row r="766" spans="1:1" x14ac:dyDescent="0.3">
      <c r="A766" s="35"/>
    </row>
    <row r="767" spans="1:1" x14ac:dyDescent="0.3">
      <c r="A767" s="35"/>
    </row>
    <row r="768" spans="1:1" x14ac:dyDescent="0.3">
      <c r="A768" s="35"/>
    </row>
    <row r="769" spans="1:1" x14ac:dyDescent="0.3">
      <c r="A769" s="35"/>
    </row>
    <row r="770" spans="1:1" x14ac:dyDescent="0.3">
      <c r="A770" s="35"/>
    </row>
    <row r="771" spans="1:1" x14ac:dyDescent="0.3">
      <c r="A771" s="35"/>
    </row>
    <row r="772" spans="1:1" x14ac:dyDescent="0.3">
      <c r="A772" s="35"/>
    </row>
    <row r="773" spans="1:1" x14ac:dyDescent="0.3">
      <c r="A773" s="35"/>
    </row>
    <row r="774" spans="1:1" x14ac:dyDescent="0.3">
      <c r="A774" s="35"/>
    </row>
    <row r="775" spans="1:1" x14ac:dyDescent="0.3">
      <c r="A775" s="35"/>
    </row>
    <row r="776" spans="1:1" x14ac:dyDescent="0.3">
      <c r="A776" s="35"/>
    </row>
    <row r="777" spans="1:1" x14ac:dyDescent="0.3">
      <c r="A777" s="35"/>
    </row>
    <row r="778" spans="1:1" x14ac:dyDescent="0.3">
      <c r="A778" s="35"/>
    </row>
    <row r="779" spans="1:1" x14ac:dyDescent="0.3">
      <c r="A779" s="35"/>
    </row>
    <row r="780" spans="1:1" x14ac:dyDescent="0.3">
      <c r="A780" s="35"/>
    </row>
    <row r="781" spans="1:1" x14ac:dyDescent="0.3">
      <c r="A781" s="35"/>
    </row>
    <row r="782" spans="1:1" x14ac:dyDescent="0.3">
      <c r="A782" s="35"/>
    </row>
    <row r="783" spans="1:1" x14ac:dyDescent="0.3">
      <c r="A783" s="35"/>
    </row>
    <row r="784" spans="1:1" x14ac:dyDescent="0.3">
      <c r="A784" s="35"/>
    </row>
    <row r="785" spans="1:1" x14ac:dyDescent="0.3">
      <c r="A785" s="35"/>
    </row>
    <row r="786" spans="1:1" x14ac:dyDescent="0.3">
      <c r="A786" s="35"/>
    </row>
    <row r="787" spans="1:1" x14ac:dyDescent="0.3">
      <c r="A787" s="35"/>
    </row>
    <row r="788" spans="1:1" x14ac:dyDescent="0.3">
      <c r="A788" s="35"/>
    </row>
    <row r="789" spans="1:1" x14ac:dyDescent="0.3">
      <c r="A789" s="35"/>
    </row>
    <row r="790" spans="1:1" x14ac:dyDescent="0.3">
      <c r="A790" s="35"/>
    </row>
    <row r="791" spans="1:1" x14ac:dyDescent="0.3">
      <c r="A791" s="35"/>
    </row>
    <row r="792" spans="1:1" x14ac:dyDescent="0.3">
      <c r="A792" s="35"/>
    </row>
    <row r="793" spans="1:1" x14ac:dyDescent="0.3">
      <c r="A793" s="35"/>
    </row>
    <row r="794" spans="1:1" x14ac:dyDescent="0.3">
      <c r="A794" s="35"/>
    </row>
    <row r="795" spans="1:1" x14ac:dyDescent="0.3">
      <c r="A795" s="35"/>
    </row>
    <row r="796" spans="1:1" x14ac:dyDescent="0.3">
      <c r="A796" s="35"/>
    </row>
    <row r="797" spans="1:1" x14ac:dyDescent="0.3">
      <c r="A797" s="35"/>
    </row>
    <row r="798" spans="1:1" x14ac:dyDescent="0.3">
      <c r="A798" s="35"/>
    </row>
    <row r="799" spans="1:1" x14ac:dyDescent="0.3">
      <c r="A799" s="35"/>
    </row>
    <row r="800" spans="1:1" x14ac:dyDescent="0.3">
      <c r="A800" s="35"/>
    </row>
    <row r="801" spans="1:1" x14ac:dyDescent="0.3">
      <c r="A801" s="35"/>
    </row>
    <row r="802" spans="1:1" x14ac:dyDescent="0.3">
      <c r="A802" s="35"/>
    </row>
    <row r="803" spans="1:1" x14ac:dyDescent="0.3">
      <c r="A803" s="35"/>
    </row>
    <row r="804" spans="1:1" x14ac:dyDescent="0.3">
      <c r="A804" s="35"/>
    </row>
    <row r="805" spans="1:1" x14ac:dyDescent="0.3">
      <c r="A805" s="35"/>
    </row>
    <row r="806" spans="1:1" x14ac:dyDescent="0.3">
      <c r="A806" s="35"/>
    </row>
    <row r="807" spans="1:1" x14ac:dyDescent="0.3">
      <c r="A807" s="35"/>
    </row>
    <row r="808" spans="1:1" x14ac:dyDescent="0.3">
      <c r="A808" s="35"/>
    </row>
    <row r="809" spans="1:1" x14ac:dyDescent="0.3">
      <c r="A809" s="35"/>
    </row>
    <row r="810" spans="1:1" x14ac:dyDescent="0.3">
      <c r="A810" s="35"/>
    </row>
    <row r="811" spans="1:1" x14ac:dyDescent="0.3">
      <c r="A811" s="35"/>
    </row>
    <row r="812" spans="1:1" x14ac:dyDescent="0.3">
      <c r="A812" s="35"/>
    </row>
    <row r="813" spans="1:1" x14ac:dyDescent="0.3">
      <c r="A813" s="35"/>
    </row>
    <row r="814" spans="1:1" x14ac:dyDescent="0.3">
      <c r="A814" s="35"/>
    </row>
    <row r="815" spans="1:1" x14ac:dyDescent="0.3">
      <c r="A815" s="35"/>
    </row>
    <row r="816" spans="1:1" x14ac:dyDescent="0.3">
      <c r="A816" s="35"/>
    </row>
    <row r="817" spans="1:1" x14ac:dyDescent="0.3">
      <c r="A817" s="35"/>
    </row>
    <row r="818" spans="1:1" x14ac:dyDescent="0.3">
      <c r="A818" s="35"/>
    </row>
    <row r="819" spans="1:1" x14ac:dyDescent="0.3">
      <c r="A819" s="35"/>
    </row>
    <row r="820" spans="1:1" x14ac:dyDescent="0.3">
      <c r="A820" s="35"/>
    </row>
    <row r="821" spans="1:1" x14ac:dyDescent="0.3">
      <c r="A821" s="35"/>
    </row>
    <row r="822" spans="1:1" x14ac:dyDescent="0.3">
      <c r="A822" s="35"/>
    </row>
    <row r="823" spans="1:1" x14ac:dyDescent="0.3">
      <c r="A823" s="35"/>
    </row>
    <row r="824" spans="1:1" x14ac:dyDescent="0.3">
      <c r="A824" s="35"/>
    </row>
    <row r="825" spans="1:1" x14ac:dyDescent="0.3">
      <c r="A825" s="35"/>
    </row>
    <row r="826" spans="1:1" x14ac:dyDescent="0.3">
      <c r="A826" s="35"/>
    </row>
    <row r="827" spans="1:1" x14ac:dyDescent="0.3">
      <c r="A827" s="35"/>
    </row>
    <row r="828" spans="1:1" x14ac:dyDescent="0.3">
      <c r="A828" s="35"/>
    </row>
    <row r="829" spans="1:1" x14ac:dyDescent="0.3">
      <c r="A829" s="35"/>
    </row>
    <row r="830" spans="1:1" x14ac:dyDescent="0.3">
      <c r="A830" s="35"/>
    </row>
    <row r="831" spans="1:1" x14ac:dyDescent="0.3">
      <c r="A831" s="35"/>
    </row>
    <row r="832" spans="1:1" x14ac:dyDescent="0.3">
      <c r="A832" s="35"/>
    </row>
    <row r="833" spans="1:1" x14ac:dyDescent="0.3">
      <c r="A833" s="35"/>
    </row>
    <row r="834" spans="1:1" x14ac:dyDescent="0.3">
      <c r="A834" s="35"/>
    </row>
    <row r="835" spans="1:1" x14ac:dyDescent="0.3">
      <c r="A835" s="35"/>
    </row>
    <row r="836" spans="1:1" x14ac:dyDescent="0.3">
      <c r="A836" s="35"/>
    </row>
    <row r="837" spans="1:1" x14ac:dyDescent="0.3">
      <c r="A837" s="35"/>
    </row>
    <row r="838" spans="1:1" x14ac:dyDescent="0.3">
      <c r="A838" s="35"/>
    </row>
    <row r="839" spans="1:1" x14ac:dyDescent="0.3">
      <c r="A839" s="35"/>
    </row>
    <row r="840" spans="1:1" x14ac:dyDescent="0.3">
      <c r="A840" s="35"/>
    </row>
    <row r="841" spans="1:1" x14ac:dyDescent="0.3">
      <c r="A841" s="35"/>
    </row>
    <row r="842" spans="1:1" x14ac:dyDescent="0.3">
      <c r="A842" s="35"/>
    </row>
    <row r="843" spans="1:1" x14ac:dyDescent="0.3">
      <c r="A843" s="35"/>
    </row>
    <row r="844" spans="1:1" x14ac:dyDescent="0.3">
      <c r="A844" s="35"/>
    </row>
    <row r="845" spans="1:1" x14ac:dyDescent="0.3">
      <c r="A845" s="35"/>
    </row>
    <row r="846" spans="1:1" x14ac:dyDescent="0.3">
      <c r="A846" s="35"/>
    </row>
    <row r="847" spans="1:1" x14ac:dyDescent="0.3">
      <c r="A847" s="35"/>
    </row>
    <row r="848" spans="1:1" x14ac:dyDescent="0.3">
      <c r="A848" s="35"/>
    </row>
    <row r="849" spans="1:1" x14ac:dyDescent="0.3">
      <c r="A849" s="35"/>
    </row>
    <row r="850" spans="1:1" x14ac:dyDescent="0.3">
      <c r="A850" s="35"/>
    </row>
    <row r="851" spans="1:1" x14ac:dyDescent="0.3">
      <c r="A851" s="35"/>
    </row>
    <row r="852" spans="1:1" x14ac:dyDescent="0.3">
      <c r="A852" s="35"/>
    </row>
    <row r="853" spans="1:1" x14ac:dyDescent="0.3">
      <c r="A853" s="35"/>
    </row>
    <row r="854" spans="1:1" x14ac:dyDescent="0.3">
      <c r="A854" s="35"/>
    </row>
    <row r="855" spans="1:1" x14ac:dyDescent="0.3">
      <c r="A855" s="35"/>
    </row>
    <row r="856" spans="1:1" x14ac:dyDescent="0.3">
      <c r="A856" s="35"/>
    </row>
    <row r="857" spans="1:1" x14ac:dyDescent="0.3">
      <c r="A857" s="35"/>
    </row>
    <row r="858" spans="1:1" x14ac:dyDescent="0.3">
      <c r="A858" s="35"/>
    </row>
    <row r="859" spans="1:1" x14ac:dyDescent="0.3">
      <c r="A859" s="35"/>
    </row>
    <row r="860" spans="1:1" x14ac:dyDescent="0.3">
      <c r="A860" s="35"/>
    </row>
    <row r="861" spans="1:1" x14ac:dyDescent="0.3">
      <c r="A861" s="35"/>
    </row>
    <row r="862" spans="1:1" x14ac:dyDescent="0.3">
      <c r="A862" s="35"/>
    </row>
    <row r="863" spans="1:1" x14ac:dyDescent="0.3">
      <c r="A863" s="35"/>
    </row>
    <row r="864" spans="1:1" x14ac:dyDescent="0.3">
      <c r="A864" s="35"/>
    </row>
    <row r="865" spans="1:1" x14ac:dyDescent="0.3">
      <c r="A865" s="35"/>
    </row>
    <row r="866" spans="1:1" x14ac:dyDescent="0.3">
      <c r="A866" s="35"/>
    </row>
    <row r="867" spans="1:1" x14ac:dyDescent="0.3">
      <c r="A867" s="35"/>
    </row>
    <row r="868" spans="1:1" x14ac:dyDescent="0.3">
      <c r="A868" s="35"/>
    </row>
    <row r="869" spans="1:1" x14ac:dyDescent="0.3">
      <c r="A869" s="35"/>
    </row>
    <row r="870" spans="1:1" x14ac:dyDescent="0.3">
      <c r="A870" s="35"/>
    </row>
    <row r="871" spans="1:1" x14ac:dyDescent="0.3">
      <c r="A871" s="35"/>
    </row>
    <row r="872" spans="1:1" x14ac:dyDescent="0.3">
      <c r="A872" s="35"/>
    </row>
    <row r="873" spans="1:1" x14ac:dyDescent="0.3">
      <c r="A873" s="35"/>
    </row>
    <row r="874" spans="1:1" x14ac:dyDescent="0.3">
      <c r="A874" s="35"/>
    </row>
    <row r="875" spans="1:1" x14ac:dyDescent="0.3">
      <c r="A875" s="35"/>
    </row>
    <row r="876" spans="1:1" x14ac:dyDescent="0.3">
      <c r="A876" s="35"/>
    </row>
    <row r="877" spans="1:1" x14ac:dyDescent="0.3">
      <c r="A877" s="35"/>
    </row>
    <row r="878" spans="1:1" x14ac:dyDescent="0.3">
      <c r="A878" s="35"/>
    </row>
    <row r="879" spans="1:1" x14ac:dyDescent="0.3">
      <c r="A879" s="35"/>
    </row>
    <row r="880" spans="1:1" x14ac:dyDescent="0.3">
      <c r="A880" s="35"/>
    </row>
    <row r="881" spans="1:1" x14ac:dyDescent="0.3">
      <c r="A881" s="35"/>
    </row>
    <row r="882" spans="1:1" x14ac:dyDescent="0.3">
      <c r="A882" s="35"/>
    </row>
    <row r="883" spans="1:1" x14ac:dyDescent="0.3">
      <c r="A883" s="35"/>
    </row>
    <row r="884" spans="1:1" x14ac:dyDescent="0.3">
      <c r="A884" s="35"/>
    </row>
    <row r="885" spans="1:1" x14ac:dyDescent="0.3">
      <c r="A885" s="35"/>
    </row>
    <row r="886" spans="1:1" x14ac:dyDescent="0.3">
      <c r="A886" s="35"/>
    </row>
    <row r="887" spans="1:1" x14ac:dyDescent="0.3">
      <c r="A887" s="35"/>
    </row>
    <row r="888" spans="1:1" x14ac:dyDescent="0.3">
      <c r="A888" s="35"/>
    </row>
    <row r="889" spans="1:1" x14ac:dyDescent="0.3">
      <c r="A889" s="35"/>
    </row>
    <row r="890" spans="1:1" x14ac:dyDescent="0.3">
      <c r="A890" s="35"/>
    </row>
    <row r="891" spans="1:1" x14ac:dyDescent="0.3">
      <c r="A891" s="35"/>
    </row>
    <row r="892" spans="1:1" x14ac:dyDescent="0.3">
      <c r="A892" s="35"/>
    </row>
    <row r="893" spans="1:1" x14ac:dyDescent="0.3">
      <c r="A893" s="35"/>
    </row>
    <row r="894" spans="1:1" x14ac:dyDescent="0.3">
      <c r="A894" s="35"/>
    </row>
    <row r="895" spans="1:1" x14ac:dyDescent="0.3">
      <c r="A895" s="35"/>
    </row>
    <row r="896" spans="1:1" x14ac:dyDescent="0.3">
      <c r="A896" s="35"/>
    </row>
    <row r="897" spans="1:1" x14ac:dyDescent="0.3">
      <c r="A897" s="35"/>
    </row>
    <row r="898" spans="1:1" x14ac:dyDescent="0.3">
      <c r="A898" s="35"/>
    </row>
    <row r="899" spans="1:1" x14ac:dyDescent="0.3">
      <c r="A899" s="35"/>
    </row>
    <row r="900" spans="1:1" x14ac:dyDescent="0.3">
      <c r="A900" s="35"/>
    </row>
    <row r="901" spans="1:1" x14ac:dyDescent="0.3">
      <c r="A901" s="35"/>
    </row>
    <row r="902" spans="1:1" x14ac:dyDescent="0.3">
      <c r="A902" s="35"/>
    </row>
    <row r="903" spans="1:1" x14ac:dyDescent="0.3">
      <c r="A903" s="35"/>
    </row>
    <row r="904" spans="1:1" x14ac:dyDescent="0.3">
      <c r="A904" s="35"/>
    </row>
    <row r="905" spans="1:1" x14ac:dyDescent="0.3">
      <c r="A905" s="35"/>
    </row>
    <row r="906" spans="1:1" x14ac:dyDescent="0.3">
      <c r="A906" s="35"/>
    </row>
    <row r="907" spans="1:1" x14ac:dyDescent="0.3">
      <c r="A907" s="35"/>
    </row>
    <row r="908" spans="1:1" x14ac:dyDescent="0.3">
      <c r="A908" s="35"/>
    </row>
    <row r="909" spans="1:1" x14ac:dyDescent="0.3">
      <c r="A909" s="35"/>
    </row>
    <row r="910" spans="1:1" x14ac:dyDescent="0.3">
      <c r="A910" s="35"/>
    </row>
    <row r="911" spans="1:1" x14ac:dyDescent="0.3">
      <c r="A911" s="35"/>
    </row>
    <row r="912" spans="1:1" x14ac:dyDescent="0.3">
      <c r="A912" s="35"/>
    </row>
    <row r="913" spans="1:1" x14ac:dyDescent="0.3">
      <c r="A913" s="35"/>
    </row>
    <row r="914" spans="1:1" x14ac:dyDescent="0.3">
      <c r="A914" s="35"/>
    </row>
    <row r="915" spans="1:1" x14ac:dyDescent="0.3">
      <c r="A915" s="35"/>
    </row>
    <row r="916" spans="1:1" x14ac:dyDescent="0.3">
      <c r="A916" s="35"/>
    </row>
    <row r="917" spans="1:1" x14ac:dyDescent="0.3">
      <c r="A917" s="35"/>
    </row>
    <row r="918" spans="1:1" x14ac:dyDescent="0.3">
      <c r="A918" s="35"/>
    </row>
    <row r="919" spans="1:1" x14ac:dyDescent="0.3">
      <c r="A919" s="35"/>
    </row>
    <row r="920" spans="1:1" x14ac:dyDescent="0.3">
      <c r="A920" s="35"/>
    </row>
    <row r="921" spans="1:1" x14ac:dyDescent="0.3">
      <c r="A921" s="35"/>
    </row>
    <row r="922" spans="1:1" x14ac:dyDescent="0.3">
      <c r="A922" s="35"/>
    </row>
    <row r="923" spans="1:1" x14ac:dyDescent="0.3">
      <c r="A923" s="35"/>
    </row>
    <row r="924" spans="1:1" x14ac:dyDescent="0.3">
      <c r="A924" s="35"/>
    </row>
    <row r="925" spans="1:1" x14ac:dyDescent="0.3">
      <c r="A925" s="35"/>
    </row>
    <row r="926" spans="1:1" x14ac:dyDescent="0.3">
      <c r="A926" s="35"/>
    </row>
    <row r="927" spans="1:1" x14ac:dyDescent="0.3">
      <c r="A927" s="35"/>
    </row>
    <row r="928" spans="1:1" x14ac:dyDescent="0.3">
      <c r="A928" s="35"/>
    </row>
    <row r="929" spans="1:1" x14ac:dyDescent="0.3">
      <c r="A929" s="35"/>
    </row>
    <row r="930" spans="1:1" x14ac:dyDescent="0.3">
      <c r="A930" s="35"/>
    </row>
    <row r="931" spans="1:1" x14ac:dyDescent="0.3">
      <c r="A931" s="35"/>
    </row>
    <row r="932" spans="1:1" x14ac:dyDescent="0.3">
      <c r="A932" s="35"/>
    </row>
    <row r="933" spans="1:1" x14ac:dyDescent="0.3">
      <c r="A933" s="35"/>
    </row>
    <row r="934" spans="1:1" x14ac:dyDescent="0.3">
      <c r="A934" s="35"/>
    </row>
    <row r="935" spans="1:1" x14ac:dyDescent="0.3">
      <c r="A935" s="35"/>
    </row>
    <row r="936" spans="1:1" x14ac:dyDescent="0.3">
      <c r="A936" s="35"/>
    </row>
    <row r="937" spans="1:1" x14ac:dyDescent="0.3">
      <c r="A937" s="35"/>
    </row>
    <row r="938" spans="1:1" x14ac:dyDescent="0.3">
      <c r="A938" s="35"/>
    </row>
    <row r="939" spans="1:1" x14ac:dyDescent="0.3">
      <c r="A939" s="35"/>
    </row>
    <row r="940" spans="1:1" x14ac:dyDescent="0.3">
      <c r="A940" s="35"/>
    </row>
    <row r="941" spans="1:1" x14ac:dyDescent="0.3">
      <c r="A941" s="35"/>
    </row>
    <row r="942" spans="1:1" x14ac:dyDescent="0.3">
      <c r="A942" s="35"/>
    </row>
    <row r="943" spans="1:1" x14ac:dyDescent="0.3">
      <c r="A943" s="35"/>
    </row>
    <row r="944" spans="1:1" x14ac:dyDescent="0.3">
      <c r="A944" s="35"/>
    </row>
    <row r="945" spans="1:1" x14ac:dyDescent="0.3">
      <c r="A945" s="35"/>
    </row>
    <row r="946" spans="1:1" x14ac:dyDescent="0.3">
      <c r="A946" s="35"/>
    </row>
    <row r="947" spans="1:1" x14ac:dyDescent="0.3">
      <c r="A947" s="35"/>
    </row>
    <row r="948" spans="1:1" x14ac:dyDescent="0.3">
      <c r="A948" s="35"/>
    </row>
    <row r="949" spans="1:1" x14ac:dyDescent="0.3">
      <c r="A949" s="35"/>
    </row>
    <row r="950" spans="1:1" x14ac:dyDescent="0.3">
      <c r="A950" s="35"/>
    </row>
    <row r="951" spans="1:1" x14ac:dyDescent="0.3">
      <c r="A951" s="35"/>
    </row>
    <row r="952" spans="1:1" x14ac:dyDescent="0.3">
      <c r="A952" s="35"/>
    </row>
    <row r="953" spans="1:1" x14ac:dyDescent="0.3">
      <c r="A953" s="35"/>
    </row>
    <row r="954" spans="1:1" x14ac:dyDescent="0.3">
      <c r="A954" s="35"/>
    </row>
    <row r="955" spans="1:1" x14ac:dyDescent="0.3">
      <c r="A955" s="35"/>
    </row>
    <row r="956" spans="1:1" x14ac:dyDescent="0.3">
      <c r="A956" s="35"/>
    </row>
    <row r="957" spans="1:1" x14ac:dyDescent="0.3">
      <c r="A957" s="35"/>
    </row>
    <row r="958" spans="1:1" x14ac:dyDescent="0.3">
      <c r="A958" s="35"/>
    </row>
    <row r="959" spans="1:1" x14ac:dyDescent="0.3">
      <c r="A959" s="35"/>
    </row>
    <row r="960" spans="1:1" x14ac:dyDescent="0.3">
      <c r="A960" s="35"/>
    </row>
    <row r="961" spans="1:1" x14ac:dyDescent="0.3">
      <c r="A961" s="35"/>
    </row>
    <row r="962" spans="1:1" x14ac:dyDescent="0.3">
      <c r="A962" s="35"/>
    </row>
    <row r="963" spans="1:1" x14ac:dyDescent="0.3">
      <c r="A963" s="35"/>
    </row>
    <row r="964" spans="1:1" x14ac:dyDescent="0.3">
      <c r="A964" s="35"/>
    </row>
    <row r="965" spans="1:1" x14ac:dyDescent="0.3">
      <c r="A965" s="35"/>
    </row>
    <row r="966" spans="1:1" x14ac:dyDescent="0.3">
      <c r="A966" s="35"/>
    </row>
    <row r="967" spans="1:1" x14ac:dyDescent="0.3">
      <c r="A967" s="35"/>
    </row>
    <row r="968" spans="1:1" x14ac:dyDescent="0.3">
      <c r="A968" s="35"/>
    </row>
    <row r="969" spans="1:1" x14ac:dyDescent="0.3">
      <c r="A969" s="35"/>
    </row>
    <row r="970" spans="1:1" x14ac:dyDescent="0.3">
      <c r="A970" s="35"/>
    </row>
    <row r="971" spans="1:1" x14ac:dyDescent="0.3">
      <c r="A971" s="35"/>
    </row>
    <row r="972" spans="1:1" x14ac:dyDescent="0.3">
      <c r="A972" s="35"/>
    </row>
    <row r="973" spans="1:1" x14ac:dyDescent="0.3">
      <c r="A973" s="35"/>
    </row>
    <row r="974" spans="1:1" x14ac:dyDescent="0.3">
      <c r="A974" s="35"/>
    </row>
    <row r="975" spans="1:1" x14ac:dyDescent="0.3">
      <c r="A975" s="35"/>
    </row>
    <row r="976" spans="1:1" x14ac:dyDescent="0.3">
      <c r="A976" s="35"/>
    </row>
    <row r="977" spans="1:1" x14ac:dyDescent="0.3">
      <c r="A977" s="35"/>
    </row>
    <row r="978" spans="1:1" x14ac:dyDescent="0.3">
      <c r="A978" s="35"/>
    </row>
    <row r="979" spans="1:1" x14ac:dyDescent="0.3">
      <c r="A979" s="35"/>
    </row>
    <row r="980" spans="1:1" x14ac:dyDescent="0.3">
      <c r="A980" s="35"/>
    </row>
    <row r="981" spans="1:1" x14ac:dyDescent="0.3">
      <c r="A981" s="35"/>
    </row>
    <row r="982" spans="1:1" x14ac:dyDescent="0.3">
      <c r="A982" s="35"/>
    </row>
    <row r="983" spans="1:1" x14ac:dyDescent="0.3">
      <c r="A983" s="35"/>
    </row>
    <row r="984" spans="1:1" x14ac:dyDescent="0.3">
      <c r="A984" s="35"/>
    </row>
    <row r="985" spans="1:1" x14ac:dyDescent="0.3">
      <c r="A985" s="35"/>
    </row>
    <row r="986" spans="1:1" x14ac:dyDescent="0.3">
      <c r="A986" s="35"/>
    </row>
    <row r="987" spans="1:1" x14ac:dyDescent="0.3">
      <c r="A987" s="35"/>
    </row>
    <row r="988" spans="1:1" x14ac:dyDescent="0.3">
      <c r="A988" s="35"/>
    </row>
    <row r="989" spans="1:1" x14ac:dyDescent="0.3">
      <c r="A989" s="35"/>
    </row>
    <row r="990" spans="1:1" x14ac:dyDescent="0.3">
      <c r="A990" s="35"/>
    </row>
    <row r="991" spans="1:1" x14ac:dyDescent="0.3">
      <c r="A991" s="35"/>
    </row>
    <row r="992" spans="1:1" x14ac:dyDescent="0.3">
      <c r="A992" s="35"/>
    </row>
    <row r="993" spans="1:1" x14ac:dyDescent="0.3">
      <c r="A993" s="35"/>
    </row>
    <row r="994" spans="1:1" x14ac:dyDescent="0.3">
      <c r="A994" s="35"/>
    </row>
    <row r="995" spans="1:1" x14ac:dyDescent="0.3">
      <c r="A995" s="35"/>
    </row>
    <row r="996" spans="1:1" x14ac:dyDescent="0.3">
      <c r="A996" s="35"/>
    </row>
    <row r="997" spans="1:1" x14ac:dyDescent="0.3">
      <c r="A997" s="35"/>
    </row>
    <row r="998" spans="1:1" x14ac:dyDescent="0.3">
      <c r="A998" s="35"/>
    </row>
    <row r="999" spans="1:1" x14ac:dyDescent="0.3">
      <c r="A999" s="35"/>
    </row>
    <row r="1000" spans="1:1" x14ac:dyDescent="0.3">
      <c r="A1000" s="35"/>
    </row>
    <row r="1001" spans="1:1" x14ac:dyDescent="0.3">
      <c r="A1001" s="35"/>
    </row>
    <row r="1002" spans="1:1" x14ac:dyDescent="0.3">
      <c r="A1002" s="35"/>
    </row>
    <row r="1003" spans="1:1" x14ac:dyDescent="0.3">
      <c r="A1003" s="35"/>
    </row>
    <row r="1004" spans="1:1" x14ac:dyDescent="0.3">
      <c r="A1004" s="35"/>
    </row>
    <row r="1005" spans="1:1" x14ac:dyDescent="0.3">
      <c r="A1005" s="35"/>
    </row>
    <row r="1006" spans="1:1" x14ac:dyDescent="0.3">
      <c r="A1006" s="35"/>
    </row>
    <row r="1007" spans="1:1" x14ac:dyDescent="0.3">
      <c r="A1007" s="35"/>
    </row>
    <row r="1008" spans="1:1" x14ac:dyDescent="0.3">
      <c r="A1008" s="35"/>
    </row>
    <row r="1009" spans="1:1" x14ac:dyDescent="0.3">
      <c r="A1009" s="35"/>
    </row>
    <row r="1010" spans="1:1" x14ac:dyDescent="0.3">
      <c r="A1010" s="35"/>
    </row>
    <row r="1011" spans="1:1" x14ac:dyDescent="0.3">
      <c r="A1011" s="35"/>
    </row>
    <row r="1012" spans="1:1" x14ac:dyDescent="0.3">
      <c r="A1012" s="35"/>
    </row>
    <row r="1013" spans="1:1" x14ac:dyDescent="0.3">
      <c r="A1013" s="35"/>
    </row>
    <row r="1014" spans="1:1" x14ac:dyDescent="0.3">
      <c r="A1014" s="35"/>
    </row>
    <row r="1015" spans="1:1" x14ac:dyDescent="0.3">
      <c r="A1015" s="35"/>
    </row>
    <row r="1016" spans="1:1" x14ac:dyDescent="0.3">
      <c r="A1016" s="35"/>
    </row>
    <row r="1017" spans="1:1" x14ac:dyDescent="0.3">
      <c r="A1017" s="35"/>
    </row>
    <row r="1018" spans="1:1" x14ac:dyDescent="0.3">
      <c r="A1018" s="35"/>
    </row>
    <row r="1019" spans="1:1" x14ac:dyDescent="0.3">
      <c r="A1019" s="35"/>
    </row>
    <row r="1020" spans="1:1" x14ac:dyDescent="0.3">
      <c r="A1020" s="35"/>
    </row>
    <row r="1021" spans="1:1" x14ac:dyDescent="0.3">
      <c r="A1021" s="35"/>
    </row>
    <row r="1022" spans="1:1" x14ac:dyDescent="0.3">
      <c r="A1022" s="35"/>
    </row>
    <row r="1023" spans="1:1" x14ac:dyDescent="0.3">
      <c r="A1023" s="35"/>
    </row>
    <row r="1024" spans="1:1" x14ac:dyDescent="0.3">
      <c r="A1024" s="35"/>
    </row>
    <row r="1025" spans="1:1" x14ac:dyDescent="0.3">
      <c r="A1025" s="35"/>
    </row>
    <row r="1026" spans="1:1" x14ac:dyDescent="0.3">
      <c r="A1026" s="35"/>
    </row>
    <row r="1027" spans="1:1" x14ac:dyDescent="0.3">
      <c r="A1027" s="35"/>
    </row>
    <row r="1028" spans="1:1" x14ac:dyDescent="0.3">
      <c r="A1028" s="35"/>
    </row>
    <row r="1029" spans="1:1" x14ac:dyDescent="0.3">
      <c r="A1029" s="35"/>
    </row>
    <row r="1030" spans="1:1" x14ac:dyDescent="0.3">
      <c r="A1030" s="35"/>
    </row>
    <row r="1031" spans="1:1" x14ac:dyDescent="0.3">
      <c r="A1031" s="35"/>
    </row>
    <row r="1032" spans="1:1" x14ac:dyDescent="0.3">
      <c r="A1032" s="35"/>
    </row>
    <row r="1033" spans="1:1" x14ac:dyDescent="0.3">
      <c r="A1033" s="35"/>
    </row>
    <row r="1034" spans="1:1" x14ac:dyDescent="0.3">
      <c r="A1034" s="35"/>
    </row>
    <row r="1035" spans="1:1" x14ac:dyDescent="0.3">
      <c r="A1035" s="35"/>
    </row>
    <row r="1036" spans="1:1" x14ac:dyDescent="0.3">
      <c r="A1036" s="35"/>
    </row>
    <row r="1037" spans="1:1" x14ac:dyDescent="0.3">
      <c r="A1037" s="35"/>
    </row>
    <row r="1038" spans="1:1" x14ac:dyDescent="0.3">
      <c r="A1038"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Registro</vt:lpstr>
      <vt:lpstr>Otras hojas</vt:lpstr>
      <vt:lpstr>Resumen</vt:lpstr>
      <vt:lpstr>Mayores exportadores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Enmanuel Montalvo</cp:lastModifiedBy>
  <cp:lastPrinted>2022-04-03T07:06:18Z</cp:lastPrinted>
  <dcterms:created xsi:type="dcterms:W3CDTF">2022-04-02T16:26:30Z</dcterms:created>
  <dcterms:modified xsi:type="dcterms:W3CDTF">2025-03-18T21:18:20Z</dcterms:modified>
</cp:coreProperties>
</file>