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coems\Dropbox\Proyecto. Remesas\AGN Republica H3 Libros de asientos de AVERIA del Consulado\TC-GO4, ca. 31, do. 96 (1675)\"/>
    </mc:Choice>
  </mc:AlternateContent>
  <xr:revisionPtr revIDLastSave="0" documentId="13_ncr:1_{9A650142-C1EF-4113-91DC-97BDD3B9ABB0}" xr6:coauthVersionLast="47" xr6:coauthVersionMax="47" xr10:uidLastSave="{00000000-0000-0000-0000-000000000000}"/>
  <bookViews>
    <workbookView xWindow="-120" yWindow="-120" windowWidth="29040" windowHeight="15840" activeTab="2" xr2:uid="{00000000-000D-0000-FFFF-FFFF00000000}"/>
  </bookViews>
  <sheets>
    <sheet name="1675 (1)" sheetId="1" r:id="rId1"/>
    <sheet name="1675 (2)" sheetId="2" r:id="rId2"/>
    <sheet name="Resumen" sheetId="3" r:id="rId3"/>
    <sheet name="Mayores exportadores" sheetId="4" r:id="rId4"/>
  </sheets>
  <externalReferences>
    <externalReference r:id="rId5"/>
  </externalReferences>
  <definedNames>
    <definedName name="_xlnm._FilterDatabase" localSheetId="0" hidden="1">'1675 (1)'!$A$1:$O$258</definedName>
    <definedName name="_xlnm._FilterDatabase" localSheetId="1" hidden="1">'1675 (2)'!$A$1:$O$423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 i="3" l="1"/>
  <c r="C14" i="3"/>
  <c r="C15" i="3"/>
  <c r="D15" i="3" s="1"/>
  <c r="C12" i="3"/>
  <c r="B234" i="4" a="1"/>
  <c r="B234" i="4" s="1"/>
  <c r="C234" i="4" a="1"/>
  <c r="C234" i="4" s="1"/>
  <c r="B235" i="4" a="1"/>
  <c r="B235" i="4"/>
  <c r="C235" i="4" a="1"/>
  <c r="C235" i="4" s="1"/>
  <c r="B236" i="4" a="1"/>
  <c r="B236" i="4" s="1"/>
  <c r="C236" i="4" a="1"/>
  <c r="C236" i="4" s="1"/>
  <c r="B237" i="4" a="1"/>
  <c r="B237" i="4"/>
  <c r="C237" i="4" a="1"/>
  <c r="C237" i="4" s="1"/>
  <c r="B238" i="4" a="1"/>
  <c r="B238" i="4"/>
  <c r="C238" i="4" a="1"/>
  <c r="C238" i="4" s="1"/>
  <c r="D238" i="4" s="1"/>
  <c r="E238" i="4" s="1"/>
  <c r="B239" i="4" a="1"/>
  <c r="B239" i="4"/>
  <c r="C239" i="4" a="1"/>
  <c r="C239" i="4" s="1"/>
  <c r="D239" i="4" s="1"/>
  <c r="E239" i="4" s="1"/>
  <c r="B240" i="4" a="1"/>
  <c r="B240" i="4" s="1"/>
  <c r="C240" i="4" a="1"/>
  <c r="C240" i="4" s="1"/>
  <c r="B241" i="4" a="1"/>
  <c r="B241" i="4" s="1"/>
  <c r="C241" i="4" a="1"/>
  <c r="C241" i="4" s="1"/>
  <c r="B242" i="4" a="1"/>
  <c r="B242" i="4" s="1"/>
  <c r="C242" i="4" a="1"/>
  <c r="C242" i="4" s="1"/>
  <c r="B243" i="4" a="1"/>
  <c r="B243" i="4"/>
  <c r="C243" i="4" a="1"/>
  <c r="C243" i="4" s="1"/>
  <c r="B244" i="4" a="1"/>
  <c r="B244" i="4" s="1"/>
  <c r="C244" i="4" a="1"/>
  <c r="C244" i="4" s="1"/>
  <c r="B245" i="4" a="1"/>
  <c r="B245" i="4"/>
  <c r="C245" i="4" a="1"/>
  <c r="C245" i="4" s="1"/>
  <c r="D245" i="4" s="1"/>
  <c r="E245" i="4" s="1"/>
  <c r="B246" i="4" a="1"/>
  <c r="B246" i="4" s="1"/>
  <c r="C246" i="4" a="1"/>
  <c r="C246" i="4" s="1"/>
  <c r="B247" i="4" a="1"/>
  <c r="B247" i="4"/>
  <c r="C247" i="4" a="1"/>
  <c r="C247" i="4" s="1"/>
  <c r="D247" i="4" s="1"/>
  <c r="E247" i="4" s="1"/>
  <c r="C74" i="4" a="1"/>
  <c r="C74" i="4" s="1"/>
  <c r="C75" i="4" a="1"/>
  <c r="C75" i="4" s="1"/>
  <c r="C76" i="4" a="1"/>
  <c r="C76" i="4" s="1"/>
  <c r="C2" i="4" a="1"/>
  <c r="C2" i="4" s="1"/>
  <c r="C146" i="4" a="1"/>
  <c r="C146" i="4" s="1"/>
  <c r="B143" i="4" a="1"/>
  <c r="B143" i="4" s="1"/>
  <c r="B89" i="4" a="1"/>
  <c r="B89" i="4" s="1"/>
  <c r="B3" i="4" a="1"/>
  <c r="B3" i="4" s="1"/>
  <c r="B2" i="4" a="1"/>
  <c r="B2" i="4" s="1"/>
  <c r="B5" i="3"/>
  <c r="B4" i="3"/>
  <c r="C3" i="4" a="1"/>
  <c r="C3" i="4" s="1"/>
  <c r="B4" i="4" a="1"/>
  <c r="B4" i="4" s="1"/>
  <c r="C4" i="4" a="1"/>
  <c r="C4" i="4" s="1"/>
  <c r="B5" i="4" a="1"/>
  <c r="B5" i="4" s="1"/>
  <c r="C5" i="4" a="1"/>
  <c r="C5" i="4" s="1"/>
  <c r="B6" i="4" a="1"/>
  <c r="B6" i="4" s="1"/>
  <c r="C6" i="4" a="1"/>
  <c r="C6" i="4" s="1"/>
  <c r="B7" i="4" a="1"/>
  <c r="B7" i="4" s="1"/>
  <c r="C7" i="4" a="1"/>
  <c r="C7" i="4" s="1"/>
  <c r="B8" i="4" a="1"/>
  <c r="B8" i="4" s="1"/>
  <c r="C8" i="4" a="1"/>
  <c r="C8" i="4" s="1"/>
  <c r="B9" i="4" a="1"/>
  <c r="B9" i="4" s="1"/>
  <c r="C9" i="4" a="1"/>
  <c r="C9" i="4" s="1"/>
  <c r="B10" i="4" a="1"/>
  <c r="B10" i="4" s="1"/>
  <c r="C10" i="4" a="1"/>
  <c r="C10" i="4" s="1"/>
  <c r="B11" i="4" a="1"/>
  <c r="B11" i="4" s="1"/>
  <c r="C11" i="4" a="1"/>
  <c r="C11" i="4" s="1"/>
  <c r="B12" i="4" a="1"/>
  <c r="B12" i="4" s="1"/>
  <c r="C12" i="4" a="1"/>
  <c r="C12" i="4" s="1"/>
  <c r="B13" i="4" a="1"/>
  <c r="B13" i="4" s="1"/>
  <c r="C13" i="4" a="1"/>
  <c r="C13" i="4" s="1"/>
  <c r="B14" i="4" a="1"/>
  <c r="B14" i="4" s="1"/>
  <c r="C14" i="4" a="1"/>
  <c r="C14" i="4" s="1"/>
  <c r="B15" i="4" a="1"/>
  <c r="B15" i="4" s="1"/>
  <c r="C15" i="4" a="1"/>
  <c r="C15" i="4" s="1"/>
  <c r="B16" i="4" a="1"/>
  <c r="B16" i="4" s="1"/>
  <c r="C16" i="4" a="1"/>
  <c r="C16" i="4" s="1"/>
  <c r="B17" i="4" a="1"/>
  <c r="B17" i="4" s="1"/>
  <c r="C17" i="4" a="1"/>
  <c r="C17" i="4" s="1"/>
  <c r="B18" i="4" a="1"/>
  <c r="B18" i="4" s="1"/>
  <c r="C18" i="4" a="1"/>
  <c r="C18" i="4" s="1"/>
  <c r="B19" i="4" a="1"/>
  <c r="B19" i="4" s="1"/>
  <c r="C19" i="4" a="1"/>
  <c r="C19" i="4" s="1"/>
  <c r="B20" i="4" a="1"/>
  <c r="B20" i="4" s="1"/>
  <c r="C20" i="4" a="1"/>
  <c r="C20" i="4" s="1"/>
  <c r="B21" i="4" a="1"/>
  <c r="B21" i="4" s="1"/>
  <c r="C21" i="4" a="1"/>
  <c r="C21" i="4" s="1"/>
  <c r="B22" i="4" a="1"/>
  <c r="B22" i="4" s="1"/>
  <c r="C22" i="4" a="1"/>
  <c r="C22" i="4" s="1"/>
  <c r="B23" i="4" a="1"/>
  <c r="B23" i="4" s="1"/>
  <c r="C23" i="4" a="1"/>
  <c r="C23" i="4" s="1"/>
  <c r="B24" i="4" a="1"/>
  <c r="B24" i="4" s="1"/>
  <c r="C24" i="4" a="1"/>
  <c r="C24" i="4" s="1"/>
  <c r="B25" i="4" a="1"/>
  <c r="B25" i="4" s="1"/>
  <c r="C25" i="4" a="1"/>
  <c r="C25" i="4" s="1"/>
  <c r="B26" i="4" a="1"/>
  <c r="B26" i="4" s="1"/>
  <c r="C26" i="4" a="1"/>
  <c r="C26" i="4" s="1"/>
  <c r="B27" i="4" a="1"/>
  <c r="B27" i="4" s="1"/>
  <c r="C27" i="4" a="1"/>
  <c r="C27" i="4" s="1"/>
  <c r="B28" i="4" a="1"/>
  <c r="B28" i="4" s="1"/>
  <c r="C28" i="4" a="1"/>
  <c r="C28" i="4" s="1"/>
  <c r="B29" i="4" a="1"/>
  <c r="B29" i="4" s="1"/>
  <c r="C29" i="4" a="1"/>
  <c r="C29" i="4" s="1"/>
  <c r="B30" i="4" a="1"/>
  <c r="B30" i="4" s="1"/>
  <c r="C30" i="4" a="1"/>
  <c r="C30" i="4" s="1"/>
  <c r="B31" i="4" a="1"/>
  <c r="B31" i="4" s="1"/>
  <c r="C31" i="4" a="1"/>
  <c r="C31" i="4" s="1"/>
  <c r="B32" i="4" a="1"/>
  <c r="B32" i="4" s="1"/>
  <c r="C32" i="4" a="1"/>
  <c r="C32" i="4" s="1"/>
  <c r="B33" i="4" a="1"/>
  <c r="B33" i="4" s="1"/>
  <c r="C33" i="4" a="1"/>
  <c r="C33" i="4" s="1"/>
  <c r="B34" i="4" a="1"/>
  <c r="B34" i="4" s="1"/>
  <c r="C34" i="4" a="1"/>
  <c r="C34" i="4" s="1"/>
  <c r="B35" i="4" a="1"/>
  <c r="B35" i="4" s="1"/>
  <c r="C35" i="4" a="1"/>
  <c r="C35" i="4" s="1"/>
  <c r="B36" i="4" a="1"/>
  <c r="B36" i="4" s="1"/>
  <c r="C36" i="4" a="1"/>
  <c r="C36" i="4" s="1"/>
  <c r="B37" i="4" a="1"/>
  <c r="B37" i="4" s="1"/>
  <c r="C37" i="4" a="1"/>
  <c r="C37" i="4" s="1"/>
  <c r="B38" i="4" a="1"/>
  <c r="B38" i="4" s="1"/>
  <c r="C38" i="4" a="1"/>
  <c r="C38" i="4" s="1"/>
  <c r="B39" i="4" a="1"/>
  <c r="B39" i="4" s="1"/>
  <c r="C39" i="4" a="1"/>
  <c r="C39" i="4" s="1"/>
  <c r="B40" i="4" a="1"/>
  <c r="B40" i="4" s="1"/>
  <c r="C40" i="4" a="1"/>
  <c r="C40" i="4" s="1"/>
  <c r="B41" i="4" a="1"/>
  <c r="B41" i="4" s="1"/>
  <c r="C41" i="4" a="1"/>
  <c r="C41" i="4" s="1"/>
  <c r="B42" i="4" a="1"/>
  <c r="B42" i="4" s="1"/>
  <c r="C42" i="4" a="1"/>
  <c r="C42" i="4" s="1"/>
  <c r="B43" i="4" a="1"/>
  <c r="B43" i="4" s="1"/>
  <c r="C43" i="4" a="1"/>
  <c r="C43" i="4" s="1"/>
  <c r="B44" i="4" a="1"/>
  <c r="B44" i="4" s="1"/>
  <c r="C44" i="4" a="1"/>
  <c r="C44" i="4" s="1"/>
  <c r="B45" i="4" a="1"/>
  <c r="B45" i="4" s="1"/>
  <c r="C45" i="4" a="1"/>
  <c r="C45" i="4" s="1"/>
  <c r="B46" i="4" a="1"/>
  <c r="B46" i="4" s="1"/>
  <c r="C46" i="4" a="1"/>
  <c r="C46" i="4" s="1"/>
  <c r="B47" i="4" a="1"/>
  <c r="B47" i="4"/>
  <c r="C47" i="4" a="1"/>
  <c r="C47" i="4" s="1"/>
  <c r="B48" i="4" a="1"/>
  <c r="B48" i="4" s="1"/>
  <c r="C48" i="4" a="1"/>
  <c r="C48" i="4" s="1"/>
  <c r="B49" i="4" a="1"/>
  <c r="B49" i="4" s="1"/>
  <c r="C49" i="4" a="1"/>
  <c r="C49" i="4" s="1"/>
  <c r="B50" i="4" a="1"/>
  <c r="B50" i="4" s="1"/>
  <c r="C50" i="4" a="1"/>
  <c r="C50" i="4" s="1"/>
  <c r="B51" i="4" a="1"/>
  <c r="B51" i="4" s="1"/>
  <c r="C51" i="4" a="1"/>
  <c r="C51" i="4" s="1"/>
  <c r="B52" i="4" a="1"/>
  <c r="B52" i="4" s="1"/>
  <c r="C52" i="4" a="1"/>
  <c r="C52" i="4" s="1"/>
  <c r="B53" i="4" a="1"/>
  <c r="B53" i="4" s="1"/>
  <c r="C53" i="4" a="1"/>
  <c r="C53" i="4" s="1"/>
  <c r="B54" i="4" a="1"/>
  <c r="B54" i="4" s="1"/>
  <c r="C54" i="4" a="1"/>
  <c r="C54" i="4" s="1"/>
  <c r="B55" i="4" a="1"/>
  <c r="B55" i="4" s="1"/>
  <c r="C55" i="4" a="1"/>
  <c r="C55" i="4" s="1"/>
  <c r="B56" i="4" a="1"/>
  <c r="B56" i="4"/>
  <c r="C56" i="4" a="1"/>
  <c r="C56" i="4" s="1"/>
  <c r="B57" i="4" a="1"/>
  <c r="B57" i="4" s="1"/>
  <c r="C57" i="4" a="1"/>
  <c r="C57" i="4" s="1"/>
  <c r="B58" i="4" a="1"/>
  <c r="B58" i="4" s="1"/>
  <c r="C58" i="4" a="1"/>
  <c r="C58" i="4" s="1"/>
  <c r="B59" i="4" a="1"/>
  <c r="B59" i="4" s="1"/>
  <c r="C59" i="4" a="1"/>
  <c r="C59" i="4" s="1"/>
  <c r="B60" i="4" a="1"/>
  <c r="B60" i="4" s="1"/>
  <c r="C60" i="4" a="1"/>
  <c r="C60" i="4" s="1"/>
  <c r="B61" i="4" a="1"/>
  <c r="B61" i="4" s="1"/>
  <c r="C61" i="4" a="1"/>
  <c r="C61" i="4" s="1"/>
  <c r="B62" i="4" a="1"/>
  <c r="B62" i="4" s="1"/>
  <c r="C62" i="4" a="1"/>
  <c r="C62" i="4" s="1"/>
  <c r="B63" i="4" a="1"/>
  <c r="B63" i="4" s="1"/>
  <c r="C63" i="4" a="1"/>
  <c r="C63" i="4" s="1"/>
  <c r="B64" i="4" a="1"/>
  <c r="B64" i="4" s="1"/>
  <c r="C64" i="4" a="1"/>
  <c r="C64" i="4" s="1"/>
  <c r="B65" i="4" a="1"/>
  <c r="B65" i="4" s="1"/>
  <c r="C65" i="4" a="1"/>
  <c r="C65" i="4" s="1"/>
  <c r="B66" i="4" a="1"/>
  <c r="B66" i="4" s="1"/>
  <c r="C66" i="4" a="1"/>
  <c r="C66" i="4" s="1"/>
  <c r="B67" i="4" a="1"/>
  <c r="B67" i="4" s="1"/>
  <c r="C67" i="4" a="1"/>
  <c r="C67" i="4" s="1"/>
  <c r="B68" i="4" a="1"/>
  <c r="B68" i="4" s="1"/>
  <c r="C68" i="4" a="1"/>
  <c r="C68" i="4" s="1"/>
  <c r="B69" i="4" a="1"/>
  <c r="B69" i="4" s="1"/>
  <c r="C69" i="4" a="1"/>
  <c r="C69" i="4" s="1"/>
  <c r="B70" i="4" a="1"/>
  <c r="B70" i="4" s="1"/>
  <c r="C70" i="4" a="1"/>
  <c r="C70" i="4" s="1"/>
  <c r="B71" i="4" a="1"/>
  <c r="B71" i="4" s="1"/>
  <c r="C71" i="4" a="1"/>
  <c r="C71" i="4" s="1"/>
  <c r="B72" i="4" a="1"/>
  <c r="B72" i="4" s="1"/>
  <c r="C72" i="4" a="1"/>
  <c r="C72" i="4" s="1"/>
  <c r="B73" i="4" a="1"/>
  <c r="B73" i="4" s="1"/>
  <c r="C73" i="4" a="1"/>
  <c r="C73" i="4" s="1"/>
  <c r="B74" i="4" a="1"/>
  <c r="B74" i="4" s="1"/>
  <c r="B75" i="4" a="1"/>
  <c r="B75" i="4" s="1"/>
  <c r="B76" i="4" a="1"/>
  <c r="B76" i="4" s="1"/>
  <c r="B77" i="4" a="1"/>
  <c r="B77" i="4" s="1"/>
  <c r="C77" i="4" a="1"/>
  <c r="C77" i="4" s="1"/>
  <c r="B78" i="4" a="1"/>
  <c r="B78" i="4" s="1"/>
  <c r="C78" i="4" a="1"/>
  <c r="C78" i="4" s="1"/>
  <c r="B79" i="4" a="1"/>
  <c r="B79" i="4" s="1"/>
  <c r="C79" i="4" a="1"/>
  <c r="C79" i="4" s="1"/>
  <c r="B80" i="4" a="1"/>
  <c r="B80" i="4" s="1"/>
  <c r="C80" i="4" a="1"/>
  <c r="C80" i="4" s="1"/>
  <c r="B81" i="4" a="1"/>
  <c r="B81" i="4" s="1"/>
  <c r="C81" i="4" a="1"/>
  <c r="C81" i="4" s="1"/>
  <c r="B82" i="4" a="1"/>
  <c r="B82" i="4" s="1"/>
  <c r="C82" i="4" a="1"/>
  <c r="C82" i="4" s="1"/>
  <c r="B83" i="4" a="1"/>
  <c r="B83" i="4" s="1"/>
  <c r="C83" i="4" a="1"/>
  <c r="C83" i="4" s="1"/>
  <c r="B84" i="4" a="1"/>
  <c r="B84" i="4" s="1"/>
  <c r="C84" i="4" a="1"/>
  <c r="C84" i="4" s="1"/>
  <c r="B85" i="4" a="1"/>
  <c r="B85" i="4" s="1"/>
  <c r="C85" i="4" a="1"/>
  <c r="C85" i="4" s="1"/>
  <c r="B86" i="4" a="1"/>
  <c r="B86" i="4" s="1"/>
  <c r="C86" i="4" a="1"/>
  <c r="C86" i="4" s="1"/>
  <c r="B87" i="4" a="1"/>
  <c r="B87" i="4"/>
  <c r="C87" i="4" a="1"/>
  <c r="C87" i="4" s="1"/>
  <c r="B88" i="4" a="1"/>
  <c r="B88" i="4" s="1"/>
  <c r="C88" i="4" a="1"/>
  <c r="C88" i="4" s="1"/>
  <c r="C89" i="4" a="1"/>
  <c r="C89" i="4" s="1"/>
  <c r="B90" i="4" a="1"/>
  <c r="B90" i="4" s="1"/>
  <c r="C90" i="4" a="1"/>
  <c r="C90" i="4" s="1"/>
  <c r="B91" i="4" a="1"/>
  <c r="B91" i="4" s="1"/>
  <c r="C91" i="4" a="1"/>
  <c r="C91" i="4" s="1"/>
  <c r="B92" i="4" a="1"/>
  <c r="B92" i="4" s="1"/>
  <c r="C92" i="4" a="1"/>
  <c r="C92" i="4" s="1"/>
  <c r="B93" i="4" a="1"/>
  <c r="B93" i="4" s="1"/>
  <c r="C93" i="4" a="1"/>
  <c r="C93" i="4" s="1"/>
  <c r="B94" i="4" a="1"/>
  <c r="B94" i="4" s="1"/>
  <c r="C94" i="4" a="1"/>
  <c r="C94" i="4" s="1"/>
  <c r="B95" i="4" a="1"/>
  <c r="B95" i="4" s="1"/>
  <c r="C95" i="4" a="1"/>
  <c r="C95" i="4" s="1"/>
  <c r="B96" i="4" a="1"/>
  <c r="B96" i="4" s="1"/>
  <c r="C96" i="4" a="1"/>
  <c r="C96" i="4" s="1"/>
  <c r="B97" i="4" a="1"/>
  <c r="B97" i="4" s="1"/>
  <c r="C97" i="4" a="1"/>
  <c r="C97" i="4" s="1"/>
  <c r="B98" i="4" a="1"/>
  <c r="B98" i="4" s="1"/>
  <c r="C98" i="4" a="1"/>
  <c r="C98" i="4" s="1"/>
  <c r="B99" i="4" a="1"/>
  <c r="B99" i="4" s="1"/>
  <c r="C99" i="4" a="1"/>
  <c r="C99" i="4" s="1"/>
  <c r="B100" i="4" a="1"/>
  <c r="B100" i="4" s="1"/>
  <c r="C100" i="4" a="1"/>
  <c r="C100" i="4" s="1"/>
  <c r="B101" i="4" a="1"/>
  <c r="B101" i="4" s="1"/>
  <c r="C101" i="4" a="1"/>
  <c r="C101" i="4" s="1"/>
  <c r="B102" i="4" a="1"/>
  <c r="B102" i="4" s="1"/>
  <c r="C102" i="4" a="1"/>
  <c r="C102" i="4" s="1"/>
  <c r="B103" i="4" a="1"/>
  <c r="B103" i="4"/>
  <c r="C103" i="4" a="1"/>
  <c r="C103" i="4" s="1"/>
  <c r="B104" i="4" a="1"/>
  <c r="B104" i="4" s="1"/>
  <c r="C104" i="4" a="1"/>
  <c r="C104" i="4" s="1"/>
  <c r="B105" i="4" a="1"/>
  <c r="B105" i="4" s="1"/>
  <c r="C105" i="4" a="1"/>
  <c r="C105" i="4" s="1"/>
  <c r="B106" i="4" a="1"/>
  <c r="B106" i="4" s="1"/>
  <c r="C106" i="4" a="1"/>
  <c r="C106" i="4" s="1"/>
  <c r="B107" i="4" a="1"/>
  <c r="B107" i="4" s="1"/>
  <c r="C107" i="4" a="1"/>
  <c r="C107" i="4" s="1"/>
  <c r="B108" i="4" a="1"/>
  <c r="B108" i="4" s="1"/>
  <c r="C108" i="4" a="1"/>
  <c r="C108" i="4" s="1"/>
  <c r="B109" i="4" a="1"/>
  <c r="B109" i="4" s="1"/>
  <c r="C109" i="4" a="1"/>
  <c r="C109" i="4" s="1"/>
  <c r="B110" i="4" a="1"/>
  <c r="B110" i="4" s="1"/>
  <c r="C110" i="4" a="1"/>
  <c r="C110" i="4" s="1"/>
  <c r="B111" i="4" a="1"/>
  <c r="B111" i="4" s="1"/>
  <c r="C111" i="4" a="1"/>
  <c r="C111" i="4" s="1"/>
  <c r="B112" i="4" a="1"/>
  <c r="B112" i="4" s="1"/>
  <c r="C112" i="4" a="1"/>
  <c r="C112" i="4" s="1"/>
  <c r="B113" i="4" a="1"/>
  <c r="B113" i="4" s="1"/>
  <c r="C113" i="4" a="1"/>
  <c r="C113" i="4" s="1"/>
  <c r="B114" i="4" a="1"/>
  <c r="B114" i="4" s="1"/>
  <c r="C114" i="4" a="1"/>
  <c r="C114" i="4" s="1"/>
  <c r="B115" i="4" a="1"/>
  <c r="B115" i="4" s="1"/>
  <c r="C115" i="4" a="1"/>
  <c r="C115" i="4" s="1"/>
  <c r="B116" i="4" a="1"/>
  <c r="B116" i="4"/>
  <c r="C116" i="4" a="1"/>
  <c r="C116" i="4" s="1"/>
  <c r="B117" i="4" a="1"/>
  <c r="B117" i="4" s="1"/>
  <c r="C117" i="4" a="1"/>
  <c r="C117" i="4" s="1"/>
  <c r="B118" i="4" a="1"/>
  <c r="B118" i="4" s="1"/>
  <c r="C118" i="4" a="1"/>
  <c r="C118" i="4" s="1"/>
  <c r="B119" i="4" a="1"/>
  <c r="B119" i="4" s="1"/>
  <c r="C119" i="4" a="1"/>
  <c r="C119" i="4" s="1"/>
  <c r="B120" i="4" a="1"/>
  <c r="B120" i="4" s="1"/>
  <c r="C120" i="4" a="1"/>
  <c r="C120" i="4" s="1"/>
  <c r="B121" i="4" a="1"/>
  <c r="B121" i="4" s="1"/>
  <c r="C121" i="4" a="1"/>
  <c r="C121" i="4" s="1"/>
  <c r="B122" i="4" a="1"/>
  <c r="B122" i="4"/>
  <c r="C122" i="4" a="1"/>
  <c r="C122" i="4" s="1"/>
  <c r="B123" i="4" a="1"/>
  <c r="B123" i="4" s="1"/>
  <c r="C123" i="4" a="1"/>
  <c r="C123" i="4" s="1"/>
  <c r="B124" i="4" a="1"/>
  <c r="B124" i="4" s="1"/>
  <c r="C124" i="4" a="1"/>
  <c r="C124" i="4" s="1"/>
  <c r="B125" i="4" a="1"/>
  <c r="B125" i="4"/>
  <c r="C125" i="4" a="1"/>
  <c r="C125" i="4" s="1"/>
  <c r="B126" i="4" a="1"/>
  <c r="B126" i="4" s="1"/>
  <c r="C126" i="4" a="1"/>
  <c r="C126" i="4" s="1"/>
  <c r="B127" i="4" a="1"/>
  <c r="B127" i="4" s="1"/>
  <c r="C127" i="4" a="1"/>
  <c r="C127" i="4" s="1"/>
  <c r="B128" i="4" a="1"/>
  <c r="B128" i="4" s="1"/>
  <c r="C128" i="4" a="1"/>
  <c r="C128" i="4" s="1"/>
  <c r="B129" i="4" a="1"/>
  <c r="B129" i="4" s="1"/>
  <c r="C129" i="4" a="1"/>
  <c r="C129" i="4" s="1"/>
  <c r="B130" i="4" a="1"/>
  <c r="B130" i="4" s="1"/>
  <c r="C130" i="4" a="1"/>
  <c r="C130" i="4" s="1"/>
  <c r="B131" i="4" a="1"/>
  <c r="B131" i="4" s="1"/>
  <c r="C131" i="4" a="1"/>
  <c r="C131" i="4" s="1"/>
  <c r="B132" i="4" a="1"/>
  <c r="B132" i="4" s="1"/>
  <c r="C132" i="4" a="1"/>
  <c r="C132" i="4" s="1"/>
  <c r="B133" i="4" a="1"/>
  <c r="B133" i="4" s="1"/>
  <c r="C133" i="4" a="1"/>
  <c r="C133" i="4" s="1"/>
  <c r="B134" i="4" a="1"/>
  <c r="B134" i="4" s="1"/>
  <c r="C134" i="4" a="1"/>
  <c r="C134" i="4" s="1"/>
  <c r="B135" i="4" a="1"/>
  <c r="B135" i="4" s="1"/>
  <c r="C135" i="4" a="1"/>
  <c r="C135" i="4" s="1"/>
  <c r="B136" i="4" a="1"/>
  <c r="B136" i="4" s="1"/>
  <c r="C136" i="4" a="1"/>
  <c r="C136" i="4" s="1"/>
  <c r="B137" i="4" a="1"/>
  <c r="B137" i="4" s="1"/>
  <c r="C137" i="4" a="1"/>
  <c r="C137" i="4" s="1"/>
  <c r="B138" i="4" a="1"/>
  <c r="B138" i="4" s="1"/>
  <c r="C138" i="4" a="1"/>
  <c r="C138" i="4" s="1"/>
  <c r="B139" i="4" a="1"/>
  <c r="B139" i="4" s="1"/>
  <c r="C139" i="4" a="1"/>
  <c r="C139" i="4" s="1"/>
  <c r="B140" i="4" a="1"/>
  <c r="B140" i="4" s="1"/>
  <c r="C140" i="4" a="1"/>
  <c r="C140" i="4" s="1"/>
  <c r="B141" i="4" a="1"/>
  <c r="B141" i="4" s="1"/>
  <c r="C141" i="4" a="1"/>
  <c r="C141" i="4" s="1"/>
  <c r="B142" i="4" a="1"/>
  <c r="B142" i="4" s="1"/>
  <c r="C142" i="4" a="1"/>
  <c r="C142" i="4" s="1"/>
  <c r="C143" i="4" a="1"/>
  <c r="C143" i="4" s="1"/>
  <c r="B144" i="4" a="1"/>
  <c r="B144" i="4" s="1"/>
  <c r="C144" i="4" a="1"/>
  <c r="C144" i="4" s="1"/>
  <c r="B145" i="4" a="1"/>
  <c r="B145" i="4" s="1"/>
  <c r="C145" i="4" a="1"/>
  <c r="C145" i="4" s="1"/>
  <c r="B146" i="4" a="1"/>
  <c r="B146" i="4" s="1"/>
  <c r="B147" i="4" a="1"/>
  <c r="B147" i="4" s="1"/>
  <c r="C147" i="4" a="1"/>
  <c r="C147" i="4" s="1"/>
  <c r="B148" i="4" a="1"/>
  <c r="B148" i="4" s="1"/>
  <c r="C148" i="4" a="1"/>
  <c r="C148" i="4" s="1"/>
  <c r="B149" i="4" a="1"/>
  <c r="B149" i="4" s="1"/>
  <c r="C149" i="4" a="1"/>
  <c r="C149" i="4" s="1"/>
  <c r="B150" i="4" a="1"/>
  <c r="B150" i="4" s="1"/>
  <c r="C150" i="4" a="1"/>
  <c r="C150" i="4" s="1"/>
  <c r="B151" i="4" a="1"/>
  <c r="B151" i="4" s="1"/>
  <c r="C151" i="4" a="1"/>
  <c r="C151" i="4" s="1"/>
  <c r="B152" i="4" a="1"/>
  <c r="B152" i="4" s="1"/>
  <c r="C152" i="4" a="1"/>
  <c r="C152" i="4" s="1"/>
  <c r="B153" i="4" a="1"/>
  <c r="B153" i="4" s="1"/>
  <c r="C153" i="4" a="1"/>
  <c r="C153" i="4" s="1"/>
  <c r="B154" i="4" a="1"/>
  <c r="B154" i="4" s="1"/>
  <c r="C154" i="4" a="1"/>
  <c r="C154" i="4" s="1"/>
  <c r="B155" i="4" a="1"/>
  <c r="B155" i="4" s="1"/>
  <c r="C155" i="4" a="1"/>
  <c r="C155" i="4" s="1"/>
  <c r="B156" i="4" a="1"/>
  <c r="B156" i="4" s="1"/>
  <c r="C156" i="4" a="1"/>
  <c r="C156" i="4" s="1"/>
  <c r="B157" i="4" a="1"/>
  <c r="B157" i="4" s="1"/>
  <c r="C157" i="4" a="1"/>
  <c r="C157" i="4" s="1"/>
  <c r="B158" i="4" a="1"/>
  <c r="B158" i="4" s="1"/>
  <c r="C158" i="4" a="1"/>
  <c r="C158" i="4" s="1"/>
  <c r="B159" i="4" a="1"/>
  <c r="B159" i="4" s="1"/>
  <c r="C159" i="4" a="1"/>
  <c r="C159" i="4" s="1"/>
  <c r="B160" i="4" a="1"/>
  <c r="B160" i="4" s="1"/>
  <c r="C160" i="4" a="1"/>
  <c r="C160" i="4" s="1"/>
  <c r="B161" i="4" a="1"/>
  <c r="B161" i="4" s="1"/>
  <c r="C161" i="4" a="1"/>
  <c r="C161" i="4" s="1"/>
  <c r="B162" i="4" a="1"/>
  <c r="B162" i="4" s="1"/>
  <c r="C162" i="4" a="1"/>
  <c r="C162" i="4" s="1"/>
  <c r="B163" i="4" a="1"/>
  <c r="B163" i="4" s="1"/>
  <c r="C163" i="4" a="1"/>
  <c r="C163" i="4" s="1"/>
  <c r="B164" i="4" a="1"/>
  <c r="B164" i="4" s="1"/>
  <c r="C164" i="4" a="1"/>
  <c r="C164" i="4" s="1"/>
  <c r="B165" i="4" a="1"/>
  <c r="B165" i="4" s="1"/>
  <c r="C165" i="4" a="1"/>
  <c r="C165" i="4" s="1"/>
  <c r="B166" i="4" a="1"/>
  <c r="B166" i="4" s="1"/>
  <c r="C166" i="4" a="1"/>
  <c r="C166" i="4" s="1"/>
  <c r="B167" i="4" a="1"/>
  <c r="B167" i="4" s="1"/>
  <c r="C167" i="4" a="1"/>
  <c r="C167" i="4" s="1"/>
  <c r="B168" i="4" a="1"/>
  <c r="B168" i="4" s="1"/>
  <c r="C168" i="4" a="1"/>
  <c r="C168" i="4" s="1"/>
  <c r="B169" i="4" a="1"/>
  <c r="B169" i="4" s="1"/>
  <c r="C169" i="4" a="1"/>
  <c r="C169" i="4" s="1"/>
  <c r="B170" i="4" a="1"/>
  <c r="B170" i="4" s="1"/>
  <c r="C170" i="4" a="1"/>
  <c r="C170" i="4" s="1"/>
  <c r="B171" i="4" a="1"/>
  <c r="B171" i="4" s="1"/>
  <c r="C171" i="4" a="1"/>
  <c r="C171" i="4" s="1"/>
  <c r="B172" i="4" a="1"/>
  <c r="B172" i="4" s="1"/>
  <c r="C172" i="4" a="1"/>
  <c r="C172" i="4" s="1"/>
  <c r="B173" i="4" a="1"/>
  <c r="B173" i="4" s="1"/>
  <c r="C173" i="4" a="1"/>
  <c r="C173" i="4" s="1"/>
  <c r="B174" i="4" a="1"/>
  <c r="B174" i="4" s="1"/>
  <c r="C174" i="4" a="1"/>
  <c r="C174" i="4" s="1"/>
  <c r="B175" i="4" a="1"/>
  <c r="B175" i="4" s="1"/>
  <c r="C175" i="4" a="1"/>
  <c r="C175" i="4" s="1"/>
  <c r="B176" i="4" a="1"/>
  <c r="B176" i="4" s="1"/>
  <c r="C176" i="4" a="1"/>
  <c r="C176" i="4" s="1"/>
  <c r="B177" i="4" a="1"/>
  <c r="B177" i="4" s="1"/>
  <c r="C177" i="4" a="1"/>
  <c r="C177" i="4" s="1"/>
  <c r="B178" i="4" a="1"/>
  <c r="B178" i="4" s="1"/>
  <c r="C178" i="4" a="1"/>
  <c r="C178" i="4" s="1"/>
  <c r="B179" i="4" a="1"/>
  <c r="B179" i="4" s="1"/>
  <c r="C179" i="4" a="1"/>
  <c r="C179" i="4" s="1"/>
  <c r="B180" i="4" a="1"/>
  <c r="B180" i="4" s="1"/>
  <c r="C180" i="4" a="1"/>
  <c r="C180" i="4" s="1"/>
  <c r="B181" i="4" a="1"/>
  <c r="B181" i="4" s="1"/>
  <c r="C181" i="4" a="1"/>
  <c r="C181" i="4" s="1"/>
  <c r="B182" i="4" a="1"/>
  <c r="B182" i="4"/>
  <c r="C182" i="4" a="1"/>
  <c r="C182" i="4" s="1"/>
  <c r="B183" i="4" a="1"/>
  <c r="B183" i="4" s="1"/>
  <c r="C183" i="4" a="1"/>
  <c r="C183" i="4" s="1"/>
  <c r="B184" i="4" a="1"/>
  <c r="B184" i="4" s="1"/>
  <c r="C184" i="4" a="1"/>
  <c r="C184" i="4" s="1"/>
  <c r="B185" i="4" a="1"/>
  <c r="B185" i="4" s="1"/>
  <c r="C185" i="4" a="1"/>
  <c r="C185" i="4" s="1"/>
  <c r="B186" i="4" a="1"/>
  <c r="B186" i="4" s="1"/>
  <c r="C186" i="4" a="1"/>
  <c r="C186" i="4" s="1"/>
  <c r="B187" i="4" a="1"/>
  <c r="B187" i="4" s="1"/>
  <c r="C187" i="4" a="1"/>
  <c r="C187" i="4" s="1"/>
  <c r="B188" i="4" a="1"/>
  <c r="B188" i="4" s="1"/>
  <c r="C188" i="4" a="1"/>
  <c r="C188" i="4" s="1"/>
  <c r="B189" i="4" a="1"/>
  <c r="B189" i="4" s="1"/>
  <c r="C189" i="4" a="1"/>
  <c r="C189" i="4" s="1"/>
  <c r="B190" i="4" a="1"/>
  <c r="B190" i="4" s="1"/>
  <c r="C190" i="4" a="1"/>
  <c r="C190" i="4" s="1"/>
  <c r="B191" i="4" a="1"/>
  <c r="B191" i="4" s="1"/>
  <c r="C191" i="4" a="1"/>
  <c r="C191" i="4" s="1"/>
  <c r="B192" i="4" a="1"/>
  <c r="B192" i="4" s="1"/>
  <c r="C192" i="4" a="1"/>
  <c r="C192" i="4" s="1"/>
  <c r="B193" i="4" a="1"/>
  <c r="B193" i="4" s="1"/>
  <c r="C193" i="4" a="1"/>
  <c r="C193" i="4" s="1"/>
  <c r="B194" i="4" a="1"/>
  <c r="B194" i="4" s="1"/>
  <c r="C194" i="4" a="1"/>
  <c r="C194" i="4" s="1"/>
  <c r="B195" i="4" a="1"/>
  <c r="B195" i="4" s="1"/>
  <c r="C195" i="4" a="1"/>
  <c r="C195" i="4" s="1"/>
  <c r="B196" i="4" a="1"/>
  <c r="B196" i="4" s="1"/>
  <c r="C196" i="4" a="1"/>
  <c r="C196" i="4" s="1"/>
  <c r="B197" i="4" a="1"/>
  <c r="B197" i="4" s="1"/>
  <c r="C197" i="4" a="1"/>
  <c r="C197" i="4" s="1"/>
  <c r="B198" i="4" a="1"/>
  <c r="B198" i="4" s="1"/>
  <c r="C198" i="4" a="1"/>
  <c r="C198" i="4" s="1"/>
  <c r="B199" i="4" a="1"/>
  <c r="B199" i="4" s="1"/>
  <c r="C199" i="4" a="1"/>
  <c r="C199" i="4" s="1"/>
  <c r="B200" i="4" a="1"/>
  <c r="B200" i="4" s="1"/>
  <c r="C200" i="4" a="1"/>
  <c r="C200" i="4" s="1"/>
  <c r="B201" i="4" a="1"/>
  <c r="B201" i="4" s="1"/>
  <c r="C201" i="4" a="1"/>
  <c r="C201" i="4" s="1"/>
  <c r="B202" i="4" a="1"/>
  <c r="B202" i="4" s="1"/>
  <c r="C202" i="4" a="1"/>
  <c r="C202" i="4" s="1"/>
  <c r="B203" i="4" a="1"/>
  <c r="B203" i="4" s="1"/>
  <c r="C203" i="4" a="1"/>
  <c r="C203" i="4" s="1"/>
  <c r="B204" i="4" a="1"/>
  <c r="B204" i="4" s="1"/>
  <c r="C204" i="4" a="1"/>
  <c r="C204" i="4" s="1"/>
  <c r="B205" i="4" a="1"/>
  <c r="B205" i="4" s="1"/>
  <c r="C205" i="4" a="1"/>
  <c r="C205" i="4" s="1"/>
  <c r="B206" i="4" a="1"/>
  <c r="B206" i="4" s="1"/>
  <c r="C206" i="4" a="1"/>
  <c r="C206" i="4" s="1"/>
  <c r="B207" i="4" a="1"/>
  <c r="B207" i="4" s="1"/>
  <c r="C207" i="4" a="1"/>
  <c r="C207" i="4" s="1"/>
  <c r="B208" i="4" a="1"/>
  <c r="B208" i="4" s="1"/>
  <c r="C208" i="4" a="1"/>
  <c r="C208" i="4" s="1"/>
  <c r="B209" i="4" a="1"/>
  <c r="B209" i="4" s="1"/>
  <c r="C209" i="4" a="1"/>
  <c r="C209" i="4" s="1"/>
  <c r="B210" i="4" a="1"/>
  <c r="B210" i="4" s="1"/>
  <c r="C210" i="4" a="1"/>
  <c r="C210" i="4" s="1"/>
  <c r="B211" i="4" a="1"/>
  <c r="B211" i="4" s="1"/>
  <c r="C211" i="4" a="1"/>
  <c r="C211" i="4" s="1"/>
  <c r="B212" i="4" a="1"/>
  <c r="B212" i="4" s="1"/>
  <c r="C212" i="4" a="1"/>
  <c r="C212" i="4" s="1"/>
  <c r="B213" i="4" a="1"/>
  <c r="B213" i="4" s="1"/>
  <c r="C213" i="4" a="1"/>
  <c r="C213" i="4" s="1"/>
  <c r="B214" i="4" a="1"/>
  <c r="B214" i="4" s="1"/>
  <c r="C214" i="4" a="1"/>
  <c r="C214" i="4" s="1"/>
  <c r="B215" i="4" a="1"/>
  <c r="B215" i="4" s="1"/>
  <c r="C215" i="4" a="1"/>
  <c r="C215" i="4" s="1"/>
  <c r="B216" i="4" a="1"/>
  <c r="B216" i="4" s="1"/>
  <c r="C216" i="4" a="1"/>
  <c r="C216" i="4" s="1"/>
  <c r="B217" i="4" a="1"/>
  <c r="B217" i="4" s="1"/>
  <c r="C217" i="4" a="1"/>
  <c r="C217" i="4" s="1"/>
  <c r="B218" i="4" a="1"/>
  <c r="B218" i="4" s="1"/>
  <c r="C218" i="4" a="1"/>
  <c r="C218" i="4" s="1"/>
  <c r="B219" i="4" a="1"/>
  <c r="B219" i="4" s="1"/>
  <c r="C219" i="4" a="1"/>
  <c r="C219" i="4" s="1"/>
  <c r="B220" i="4" a="1"/>
  <c r="B220" i="4" s="1"/>
  <c r="C220" i="4" a="1"/>
  <c r="C220" i="4" s="1"/>
  <c r="B221" i="4" a="1"/>
  <c r="B221" i="4" s="1"/>
  <c r="C221" i="4" a="1"/>
  <c r="C221" i="4" s="1"/>
  <c r="B222" i="4" a="1"/>
  <c r="B222" i="4" s="1"/>
  <c r="C222" i="4" a="1"/>
  <c r="C222" i="4" s="1"/>
  <c r="B223" i="4" a="1"/>
  <c r="B223" i="4" s="1"/>
  <c r="C223" i="4" a="1"/>
  <c r="C223" i="4" s="1"/>
  <c r="B224" i="4" a="1"/>
  <c r="B224" i="4" s="1"/>
  <c r="C224" i="4" a="1"/>
  <c r="C224" i="4" s="1"/>
  <c r="B225" i="4" a="1"/>
  <c r="B225" i="4" s="1"/>
  <c r="C225" i="4" a="1"/>
  <c r="C225" i="4" s="1"/>
  <c r="B226" i="4" a="1"/>
  <c r="B226" i="4" s="1"/>
  <c r="C226" i="4" a="1"/>
  <c r="C226" i="4" s="1"/>
  <c r="B227" i="4" a="1"/>
  <c r="B227" i="4" s="1"/>
  <c r="C227" i="4" a="1"/>
  <c r="C227" i="4" s="1"/>
  <c r="B228" i="4" a="1"/>
  <c r="B228" i="4" s="1"/>
  <c r="C228" i="4" a="1"/>
  <c r="C228" i="4" s="1"/>
  <c r="B229" i="4" a="1"/>
  <c r="B229" i="4" s="1"/>
  <c r="C229" i="4" a="1"/>
  <c r="C229" i="4" s="1"/>
  <c r="B230" i="4" a="1"/>
  <c r="B230" i="4" s="1"/>
  <c r="C230" i="4" a="1"/>
  <c r="C230" i="4" s="1"/>
  <c r="B231" i="4" a="1"/>
  <c r="B231" i="4" s="1"/>
  <c r="C231" i="4" a="1"/>
  <c r="C231" i="4" s="1"/>
  <c r="B232" i="4" a="1"/>
  <c r="B232" i="4" s="1"/>
  <c r="C232" i="4" a="1"/>
  <c r="C232" i="4" s="1"/>
  <c r="B233" i="4" a="1"/>
  <c r="B233" i="4" s="1"/>
  <c r="C233" i="4" a="1"/>
  <c r="C233" i="4" s="1"/>
  <c r="D12" i="3" l="1"/>
  <c r="E12" i="3" s="1"/>
  <c r="D242" i="4"/>
  <c r="E242" i="4" s="1"/>
  <c r="D236" i="4"/>
  <c r="E236" i="4" s="1"/>
  <c r="D244" i="4"/>
  <c r="E244" i="4" s="1"/>
  <c r="D241" i="4"/>
  <c r="E241" i="4" s="1"/>
  <c r="D243" i="4"/>
  <c r="E243" i="4" s="1"/>
  <c r="D240" i="4"/>
  <c r="E240" i="4" s="1"/>
  <c r="D237" i="4"/>
  <c r="E237" i="4" s="1"/>
  <c r="D246" i="4"/>
  <c r="E246" i="4" s="1"/>
  <c r="D235" i="4"/>
  <c r="E235" i="4" s="1"/>
  <c r="D234" i="4"/>
  <c r="D171" i="4"/>
  <c r="E171" i="4" s="1"/>
  <c r="D155" i="4"/>
  <c r="E155" i="4" s="1"/>
  <c r="D131" i="4"/>
  <c r="E131" i="4" s="1"/>
  <c r="D115" i="4"/>
  <c r="E115" i="4" s="1"/>
  <c r="D114" i="4"/>
  <c r="E114" i="4" s="1"/>
  <c r="D121" i="4"/>
  <c r="E121" i="4" s="1"/>
  <c r="D219" i="4"/>
  <c r="E219" i="4" s="1"/>
  <c r="D136" i="4"/>
  <c r="E136" i="4" s="1"/>
  <c r="D48" i="4"/>
  <c r="E48" i="4" s="1"/>
  <c r="D42" i="4"/>
  <c r="E42" i="4" s="1"/>
  <c r="D39" i="4"/>
  <c r="E39" i="4" s="1"/>
  <c r="D8" i="4"/>
  <c r="E8" i="4" s="1"/>
  <c r="D2" i="4"/>
  <c r="D215" i="4"/>
  <c r="E215" i="4" s="1"/>
  <c r="D199" i="4"/>
  <c r="E199" i="4" s="1"/>
  <c r="D183" i="4"/>
  <c r="E183" i="4" s="1"/>
  <c r="D167" i="4"/>
  <c r="E167" i="4" s="1"/>
  <c r="D98" i="4"/>
  <c r="E98" i="4" s="1"/>
  <c r="D95" i="4"/>
  <c r="E95" i="4" s="1"/>
  <c r="D82" i="4"/>
  <c r="E82" i="4" s="1"/>
  <c r="D79" i="4"/>
  <c r="E79" i="4" s="1"/>
  <c r="D66" i="4"/>
  <c r="E66" i="4" s="1"/>
  <c r="D63" i="4"/>
  <c r="E63" i="4" s="1"/>
  <c r="D32" i="4"/>
  <c r="E32" i="4" s="1"/>
  <c r="D26" i="4"/>
  <c r="E26" i="4" s="1"/>
  <c r="D23" i="4"/>
  <c r="E23" i="4" s="1"/>
  <c r="D205" i="4"/>
  <c r="E205" i="4" s="1"/>
  <c r="D189" i="4"/>
  <c r="E189" i="4" s="1"/>
  <c r="D173" i="4"/>
  <c r="E173" i="4" s="1"/>
  <c r="D157" i="4"/>
  <c r="E157" i="4" s="1"/>
  <c r="D141" i="4"/>
  <c r="E141" i="4" s="1"/>
  <c r="D104" i="4"/>
  <c r="E104" i="4" s="1"/>
  <c r="D88" i="4"/>
  <c r="E88" i="4" s="1"/>
  <c r="D72" i="4"/>
  <c r="E72" i="4" s="1"/>
  <c r="D56" i="4"/>
  <c r="E56" i="4" s="1"/>
  <c r="D50" i="4"/>
  <c r="E50" i="4" s="1"/>
  <c r="D47" i="4"/>
  <c r="E47" i="4" s="1"/>
  <c r="D227" i="4"/>
  <c r="E227" i="4" s="1"/>
  <c r="D129" i="4"/>
  <c r="E129" i="4" s="1"/>
  <c r="D16" i="4"/>
  <c r="E16" i="4" s="1"/>
  <c r="D10" i="4"/>
  <c r="E10" i="4" s="1"/>
  <c r="D225" i="4"/>
  <c r="E225" i="4" s="1"/>
  <c r="D40" i="4"/>
  <c r="E40" i="4" s="1"/>
  <c r="D34" i="4"/>
  <c r="E34" i="4" s="1"/>
  <c r="D31" i="4"/>
  <c r="E31" i="4" s="1"/>
  <c r="D207" i="4"/>
  <c r="E207" i="4" s="1"/>
  <c r="D175" i="4"/>
  <c r="E175" i="4" s="1"/>
  <c r="D143" i="4"/>
  <c r="E143" i="4" s="1"/>
  <c r="D128" i="4"/>
  <c r="E128" i="4" s="1"/>
  <c r="D125" i="4"/>
  <c r="E125" i="4" s="1"/>
  <c r="D122" i="4"/>
  <c r="E122" i="4" s="1"/>
  <c r="D112" i="4"/>
  <c r="E112" i="4" s="1"/>
  <c r="D106" i="4"/>
  <c r="E106" i="4" s="1"/>
  <c r="D103" i="4"/>
  <c r="E103" i="4" s="1"/>
  <c r="D90" i="4"/>
  <c r="E90" i="4" s="1"/>
  <c r="D87" i="4"/>
  <c r="E87" i="4" s="1"/>
  <c r="D74" i="4"/>
  <c r="E74" i="4" s="1"/>
  <c r="D71" i="4"/>
  <c r="E71" i="4" s="1"/>
  <c r="D58" i="4"/>
  <c r="E58" i="4" s="1"/>
  <c r="D55" i="4"/>
  <c r="E55" i="4" s="1"/>
  <c r="D197" i="4"/>
  <c r="E197" i="4" s="1"/>
  <c r="D181" i="4"/>
  <c r="E181" i="4" s="1"/>
  <c r="D165" i="4"/>
  <c r="E165" i="4" s="1"/>
  <c r="D149" i="4"/>
  <c r="E149" i="4" s="1"/>
  <c r="D96" i="4"/>
  <c r="E96" i="4" s="1"/>
  <c r="D80" i="4"/>
  <c r="E80" i="4" s="1"/>
  <c r="D64" i="4"/>
  <c r="E64" i="4" s="1"/>
  <c r="D24" i="4"/>
  <c r="E24" i="4" s="1"/>
  <c r="D18" i="4"/>
  <c r="E18" i="4" s="1"/>
  <c r="D15" i="4"/>
  <c r="E15" i="4" s="1"/>
  <c r="D209" i="4"/>
  <c r="E209" i="4" s="1"/>
  <c r="D19" i="4"/>
  <c r="E19" i="4" s="1"/>
  <c r="D185" i="4"/>
  <c r="E185" i="4" s="1"/>
  <c r="D213" i="4"/>
  <c r="E213" i="4" s="1"/>
  <c r="D201" i="4"/>
  <c r="E201" i="4" s="1"/>
  <c r="D85" i="4"/>
  <c r="E85" i="4" s="1"/>
  <c r="D133" i="4"/>
  <c r="E133" i="4" s="1"/>
  <c r="D178" i="4"/>
  <c r="E178" i="4" s="1"/>
  <c r="D147" i="4"/>
  <c r="E147" i="4" s="1"/>
  <c r="D53" i="4"/>
  <c r="E53" i="4" s="1"/>
  <c r="D198" i="4"/>
  <c r="E198" i="4" s="1"/>
  <c r="D117" i="4"/>
  <c r="E117" i="4" s="1"/>
  <c r="D36" i="4"/>
  <c r="E36" i="4" s="1"/>
  <c r="D14" i="4"/>
  <c r="E14" i="4" s="1"/>
  <c r="D187" i="4"/>
  <c r="E187" i="4" s="1"/>
  <c r="D123" i="4"/>
  <c r="E123" i="4" s="1"/>
  <c r="D92" i="4"/>
  <c r="E92" i="4" s="1"/>
  <c r="D195" i="4"/>
  <c r="E195" i="4" s="1"/>
  <c r="D186" i="4"/>
  <c r="E186" i="4" s="1"/>
  <c r="D177" i="4"/>
  <c r="E177" i="4" s="1"/>
  <c r="D119" i="4"/>
  <c r="E119" i="4" s="1"/>
  <c r="D29" i="4"/>
  <c r="E29" i="4" s="1"/>
  <c r="D203" i="4"/>
  <c r="E203" i="4" s="1"/>
  <c r="D194" i="4"/>
  <c r="E194" i="4" s="1"/>
  <c r="D153" i="4"/>
  <c r="E153" i="4" s="1"/>
  <c r="D101" i="4"/>
  <c r="E101" i="4" s="1"/>
  <c r="D216" i="4"/>
  <c r="E216" i="4" s="1"/>
  <c r="D211" i="4"/>
  <c r="E211" i="4" s="1"/>
  <c r="D208" i="4"/>
  <c r="E208" i="4" s="1"/>
  <c r="D196" i="4"/>
  <c r="E196" i="4" s="1"/>
  <c r="D193" i="4"/>
  <c r="E193" i="4" s="1"/>
  <c r="D160" i="4"/>
  <c r="E160" i="4" s="1"/>
  <c r="D142" i="4"/>
  <c r="E142" i="4" s="1"/>
  <c r="D130" i="4"/>
  <c r="E130" i="4" s="1"/>
  <c r="D111" i="4"/>
  <c r="E111" i="4" s="1"/>
  <c r="D97" i="4"/>
  <c r="E97" i="4" s="1"/>
  <c r="D25" i="4"/>
  <c r="E25" i="4" s="1"/>
  <c r="D232" i="4"/>
  <c r="E232" i="4" s="1"/>
  <c r="D200" i="4"/>
  <c r="E200" i="4" s="1"/>
  <c r="D144" i="4"/>
  <c r="E144" i="4" s="1"/>
  <c r="D210" i="4"/>
  <c r="E210" i="4" s="1"/>
  <c r="D169" i="4"/>
  <c r="E169" i="4" s="1"/>
  <c r="D139" i="4"/>
  <c r="E139" i="4" s="1"/>
  <c r="D132" i="4"/>
  <c r="E132" i="4" s="1"/>
  <c r="D113" i="4"/>
  <c r="E113" i="4" s="1"/>
  <c r="D108" i="4"/>
  <c r="E108" i="4" s="1"/>
  <c r="D89" i="4"/>
  <c r="E89" i="4" s="1"/>
  <c r="D84" i="4"/>
  <c r="E84" i="4" s="1"/>
  <c r="D65" i="4"/>
  <c r="E65" i="4" s="1"/>
  <c r="D60" i="4"/>
  <c r="E60" i="4" s="1"/>
  <c r="D35" i="4"/>
  <c r="E35" i="4" s="1"/>
  <c r="D20" i="4"/>
  <c r="E20" i="4" s="1"/>
  <c r="D229" i="4"/>
  <c r="E229" i="4" s="1"/>
  <c r="D226" i="4"/>
  <c r="E226" i="4" s="1"/>
  <c r="D224" i="4"/>
  <c r="E224" i="4" s="1"/>
  <c r="D202" i="4"/>
  <c r="E202" i="4" s="1"/>
  <c r="D184" i="4"/>
  <c r="E184" i="4" s="1"/>
  <c r="D159" i="4"/>
  <c r="E159" i="4" s="1"/>
  <c r="D134" i="4"/>
  <c r="E134" i="4" s="1"/>
  <c r="D69" i="4"/>
  <c r="E69" i="4" s="1"/>
  <c r="D33" i="4"/>
  <c r="E33" i="4" s="1"/>
  <c r="D9" i="4"/>
  <c r="E9" i="4" s="1"/>
  <c r="D152" i="4"/>
  <c r="E152" i="4" s="1"/>
  <c r="D192" i="4"/>
  <c r="E192" i="4" s="1"/>
  <c r="D223" i="4"/>
  <c r="E223" i="4" s="1"/>
  <c r="D220" i="4"/>
  <c r="E220" i="4" s="1"/>
  <c r="D217" i="4"/>
  <c r="E217" i="4" s="1"/>
  <c r="D176" i="4"/>
  <c r="E176" i="4" s="1"/>
  <c r="D164" i="4"/>
  <c r="E164" i="4" s="1"/>
  <c r="D161" i="4"/>
  <c r="E161" i="4" s="1"/>
  <c r="D151" i="4"/>
  <c r="E151" i="4" s="1"/>
  <c r="D59" i="4"/>
  <c r="E59" i="4" s="1"/>
  <c r="D57" i="4"/>
  <c r="E57" i="4" s="1"/>
  <c r="D52" i="4"/>
  <c r="E52" i="4" s="1"/>
  <c r="D4" i="4"/>
  <c r="E4" i="4" s="1"/>
  <c r="D233" i="4"/>
  <c r="E233" i="4" s="1"/>
  <c r="D231" i="4"/>
  <c r="E231" i="4" s="1"/>
  <c r="D228" i="4"/>
  <c r="E228" i="4" s="1"/>
  <c r="D166" i="4"/>
  <c r="E166" i="4" s="1"/>
  <c r="D156" i="4"/>
  <c r="E156" i="4" s="1"/>
  <c r="D116" i="4"/>
  <c r="E116" i="4" s="1"/>
  <c r="D105" i="4"/>
  <c r="E105" i="4" s="1"/>
  <c r="D100" i="4"/>
  <c r="E100" i="4" s="1"/>
  <c r="D81" i="4"/>
  <c r="E81" i="4" s="1"/>
  <c r="D76" i="4"/>
  <c r="E76" i="4" s="1"/>
  <c r="D44" i="4"/>
  <c r="E44" i="4" s="1"/>
  <c r="D28" i="4"/>
  <c r="E28" i="4" s="1"/>
  <c r="D17" i="4"/>
  <c r="E17" i="4" s="1"/>
  <c r="D221" i="4"/>
  <c r="E221" i="4" s="1"/>
  <c r="D191" i="4"/>
  <c r="E191" i="4" s="1"/>
  <c r="D168" i="4"/>
  <c r="E168" i="4" s="1"/>
  <c r="D148" i="4"/>
  <c r="E148" i="4" s="1"/>
  <c r="D49" i="4"/>
  <c r="E49" i="4" s="1"/>
  <c r="D140" i="4"/>
  <c r="E140" i="4" s="1"/>
  <c r="D137" i="4"/>
  <c r="E137" i="4" s="1"/>
  <c r="D135" i="4"/>
  <c r="E135" i="4" s="1"/>
  <c r="D118" i="4"/>
  <c r="E118" i="4" s="1"/>
  <c r="D73" i="4"/>
  <c r="E73" i="4" s="1"/>
  <c r="D68" i="4"/>
  <c r="E68" i="4" s="1"/>
  <c r="D46" i="4"/>
  <c r="E46" i="4" s="1"/>
  <c r="D43" i="4"/>
  <c r="E43" i="4" s="1"/>
  <c r="D41" i="4"/>
  <c r="E41" i="4" s="1"/>
  <c r="D12" i="4"/>
  <c r="E12" i="4" s="1"/>
  <c r="D222" i="4"/>
  <c r="E222" i="4" s="1"/>
  <c r="D230" i="4"/>
  <c r="E230" i="4" s="1"/>
  <c r="D206" i="4"/>
  <c r="E206" i="4" s="1"/>
  <c r="D204" i="4"/>
  <c r="E204" i="4" s="1"/>
  <c r="D174" i="4"/>
  <c r="E174" i="4" s="1"/>
  <c r="D172" i="4"/>
  <c r="E172" i="4" s="1"/>
  <c r="D163" i="4"/>
  <c r="E163" i="4" s="1"/>
  <c r="D146" i="4"/>
  <c r="E146" i="4" s="1"/>
  <c r="D126" i="4"/>
  <c r="E126" i="4" s="1"/>
  <c r="D158" i="4"/>
  <c r="E158" i="4" s="1"/>
  <c r="D214" i="4"/>
  <c r="E214" i="4" s="1"/>
  <c r="D212" i="4"/>
  <c r="E212" i="4" s="1"/>
  <c r="D182" i="4"/>
  <c r="E182" i="4" s="1"/>
  <c r="D180" i="4"/>
  <c r="E180" i="4" s="1"/>
  <c r="D162" i="4"/>
  <c r="E162" i="4" s="1"/>
  <c r="D138" i="4"/>
  <c r="E138" i="4" s="1"/>
  <c r="D190" i="4"/>
  <c r="E190" i="4" s="1"/>
  <c r="D188" i="4"/>
  <c r="E188" i="4" s="1"/>
  <c r="D150" i="4"/>
  <c r="E150" i="4" s="1"/>
  <c r="D145" i="4"/>
  <c r="E145" i="4" s="1"/>
  <c r="D120" i="4"/>
  <c r="E120" i="4" s="1"/>
  <c r="D218" i="4"/>
  <c r="E218" i="4" s="1"/>
  <c r="D179" i="4"/>
  <c r="E179" i="4" s="1"/>
  <c r="D170" i="4"/>
  <c r="E170" i="4" s="1"/>
  <c r="D154" i="4"/>
  <c r="E154" i="4" s="1"/>
  <c r="D127" i="4"/>
  <c r="E127" i="4" s="1"/>
  <c r="D109" i="4"/>
  <c r="E109" i="4" s="1"/>
  <c r="D93" i="4"/>
  <c r="E93" i="4" s="1"/>
  <c r="D77" i="4"/>
  <c r="E77" i="4" s="1"/>
  <c r="D61" i="4"/>
  <c r="E61" i="4" s="1"/>
  <c r="D45" i="4"/>
  <c r="E45" i="4" s="1"/>
  <c r="D22" i="4"/>
  <c r="E22" i="4" s="1"/>
  <c r="D11" i="4"/>
  <c r="E11" i="4" s="1"/>
  <c r="D5" i="4"/>
  <c r="E5" i="4" s="1"/>
  <c r="D124" i="4"/>
  <c r="E124" i="4" s="1"/>
  <c r="D30" i="4"/>
  <c r="E30" i="4" s="1"/>
  <c r="D102" i="4"/>
  <c r="E102" i="4" s="1"/>
  <c r="D99" i="4"/>
  <c r="E99" i="4" s="1"/>
  <c r="D86" i="4"/>
  <c r="E86" i="4" s="1"/>
  <c r="D83" i="4"/>
  <c r="E83" i="4" s="1"/>
  <c r="D70" i="4"/>
  <c r="E70" i="4" s="1"/>
  <c r="D67" i="4"/>
  <c r="E67" i="4" s="1"/>
  <c r="D54" i="4"/>
  <c r="E54" i="4" s="1"/>
  <c r="D51" i="4"/>
  <c r="E51" i="4" s="1"/>
  <c r="D38" i="4"/>
  <c r="E38" i="4" s="1"/>
  <c r="D27" i="4"/>
  <c r="E27" i="4" s="1"/>
  <c r="D13" i="4"/>
  <c r="E13" i="4" s="1"/>
  <c r="D21" i="4"/>
  <c r="E21" i="4" s="1"/>
  <c r="D7" i="4"/>
  <c r="E7" i="4" s="1"/>
  <c r="D110" i="4"/>
  <c r="E110" i="4" s="1"/>
  <c r="D37" i="4"/>
  <c r="E37" i="4" s="1"/>
  <c r="D6" i="4"/>
  <c r="E6" i="4" s="1"/>
  <c r="D107" i="4"/>
  <c r="E107" i="4" s="1"/>
  <c r="D94" i="4"/>
  <c r="E94" i="4" s="1"/>
  <c r="D91" i="4"/>
  <c r="E91" i="4" s="1"/>
  <c r="D78" i="4"/>
  <c r="E78" i="4" s="1"/>
  <c r="D75" i="4"/>
  <c r="E75" i="4" s="1"/>
  <c r="D62" i="4"/>
  <c r="E62" i="4" s="1"/>
  <c r="D3" i="4"/>
  <c r="D248" i="4" l="1"/>
  <c r="E234" i="4"/>
  <c r="E2" i="4"/>
  <c r="E3" i="4"/>
  <c r="F3" i="4" s="1"/>
  <c r="F38" i="4" l="1"/>
  <c r="F36" i="4"/>
  <c r="F218" i="4"/>
  <c r="F119" i="4"/>
  <c r="F243" i="4"/>
  <c r="F61" i="4"/>
  <c r="F229" i="4"/>
  <c r="F131" i="4"/>
  <c r="F24" i="4"/>
  <c r="F39" i="4"/>
  <c r="F85" i="4"/>
  <c r="F95" i="4"/>
  <c r="F27" i="4"/>
  <c r="F29" i="4"/>
  <c r="F33" i="4"/>
  <c r="F240" i="4"/>
  <c r="F226" i="4"/>
  <c r="F205" i="4"/>
  <c r="F164" i="4"/>
  <c r="F115" i="4"/>
  <c r="F9" i="4"/>
  <c r="F58" i="4"/>
  <c r="F231" i="4"/>
  <c r="F8" i="4"/>
  <c r="F44" i="4"/>
  <c r="F64" i="4"/>
  <c r="F76" i="4"/>
  <c r="F189" i="4"/>
  <c r="F162" i="4"/>
  <c r="F201" i="4"/>
  <c r="F180" i="4"/>
  <c r="F55" i="4"/>
  <c r="F31" i="4"/>
  <c r="F200" i="4"/>
  <c r="F12" i="4"/>
  <c r="F37" i="4"/>
  <c r="F103" i="4"/>
  <c r="F84" i="4"/>
  <c r="F126" i="4"/>
  <c r="F235" i="4"/>
  <c r="F165" i="4"/>
  <c r="F184" i="4"/>
  <c r="F188" i="4"/>
  <c r="F236" i="4"/>
  <c r="F149" i="4"/>
  <c r="F159" i="4"/>
  <c r="F150" i="4"/>
  <c r="F10" i="4"/>
  <c r="F111" i="4"/>
  <c r="F68" i="4"/>
  <c r="F120" i="4"/>
  <c r="F23" i="4"/>
  <c r="F177" i="4"/>
  <c r="F81" i="4"/>
  <c r="F45" i="4"/>
  <c r="F106" i="4"/>
  <c r="F89" i="4"/>
  <c r="F146" i="4"/>
  <c r="F246" i="4"/>
  <c r="F181" i="4"/>
  <c r="F202" i="4"/>
  <c r="F190" i="4"/>
  <c r="F219" i="4"/>
  <c r="F209" i="4"/>
  <c r="F223" i="4"/>
  <c r="F127" i="4"/>
  <c r="F136" i="4"/>
  <c r="F19" i="4"/>
  <c r="F220" i="4"/>
  <c r="F124" i="4"/>
  <c r="F128" i="4"/>
  <c r="F139" i="4"/>
  <c r="F204" i="4"/>
  <c r="F102" i="4"/>
  <c r="F72" i="4"/>
  <c r="F211" i="4"/>
  <c r="F148" i="4"/>
  <c r="F161" i="4"/>
  <c r="F237" i="4"/>
  <c r="F197" i="4"/>
  <c r="F224" i="4"/>
  <c r="F138" i="4"/>
  <c r="F121" i="4"/>
  <c r="F15" i="4"/>
  <c r="F192" i="4"/>
  <c r="F154" i="4"/>
  <c r="F199" i="4"/>
  <c r="F147" i="4"/>
  <c r="F57" i="4"/>
  <c r="F5" i="4"/>
  <c r="F183" i="4"/>
  <c r="F53" i="4"/>
  <c r="F52" i="4"/>
  <c r="F244" i="4"/>
  <c r="F74" i="4"/>
  <c r="F35" i="4"/>
  <c r="F212" i="4"/>
  <c r="F107" i="4"/>
  <c r="F225" i="4"/>
  <c r="F97" i="4"/>
  <c r="F46" i="4"/>
  <c r="F99" i="4"/>
  <c r="F82" i="4"/>
  <c r="F14" i="4"/>
  <c r="F228" i="4"/>
  <c r="F114" i="4"/>
  <c r="F18" i="4"/>
  <c r="F152" i="4"/>
  <c r="F170" i="4"/>
  <c r="F215" i="4"/>
  <c r="F178" i="4"/>
  <c r="F59" i="4"/>
  <c r="F11" i="4"/>
  <c r="F63" i="4"/>
  <c r="F92" i="4"/>
  <c r="F116" i="4"/>
  <c r="F67" i="4"/>
  <c r="F32" i="4"/>
  <c r="F195" i="4"/>
  <c r="F105" i="4"/>
  <c r="F171" i="4"/>
  <c r="F96" i="4"/>
  <c r="F134" i="4"/>
  <c r="F145" i="4"/>
  <c r="F91" i="4"/>
  <c r="F125" i="4"/>
  <c r="F132" i="4"/>
  <c r="F174" i="4"/>
  <c r="F133" i="4"/>
  <c r="F151" i="4"/>
  <c r="F22" i="4"/>
  <c r="F66" i="4"/>
  <c r="F123" i="4"/>
  <c r="F156" i="4"/>
  <c r="F70" i="4"/>
  <c r="F141" i="4"/>
  <c r="F153" i="4"/>
  <c r="F221" i="4"/>
  <c r="F110" i="4"/>
  <c r="F104" i="4"/>
  <c r="F101" i="4"/>
  <c r="F191" i="4"/>
  <c r="F48" i="4"/>
  <c r="F185" i="4"/>
  <c r="F217" i="4"/>
  <c r="F93" i="4"/>
  <c r="F241" i="4"/>
  <c r="F71" i="4"/>
  <c r="F20" i="4"/>
  <c r="F182" i="4"/>
  <c r="F56" i="4"/>
  <c r="F208" i="4"/>
  <c r="F49" i="4"/>
  <c r="F94" i="4"/>
  <c r="F50" i="4"/>
  <c r="F196" i="4"/>
  <c r="F140" i="4"/>
  <c r="F79" i="4"/>
  <c r="F187" i="4"/>
  <c r="F166" i="4"/>
  <c r="F83" i="4"/>
  <c r="F157" i="4"/>
  <c r="F194" i="4"/>
  <c r="F17" i="4"/>
  <c r="F7" i="4"/>
  <c r="F129" i="4"/>
  <c r="F142" i="4"/>
  <c r="F118" i="4"/>
  <c r="F62" i="4"/>
  <c r="F16" i="4"/>
  <c r="F130" i="4"/>
  <c r="F73" i="4"/>
  <c r="F167" i="4"/>
  <c r="F198" i="4"/>
  <c r="F4" i="4"/>
  <c r="F30" i="4"/>
  <c r="F155" i="4"/>
  <c r="F80" i="4"/>
  <c r="F69" i="4"/>
  <c r="F77" i="4"/>
  <c r="F40" i="4"/>
  <c r="F43" i="4"/>
  <c r="F179" i="4"/>
  <c r="F34" i="4"/>
  <c r="F232" i="4"/>
  <c r="F41" i="4"/>
  <c r="F173" i="4"/>
  <c r="F203" i="4"/>
  <c r="F28" i="4"/>
  <c r="F21" i="4"/>
  <c r="F227" i="4"/>
  <c r="F160" i="4"/>
  <c r="F135" i="4"/>
  <c r="F75" i="4"/>
  <c r="F175" i="4"/>
  <c r="F210" i="4"/>
  <c r="F230" i="4"/>
  <c r="F109" i="4"/>
  <c r="F143" i="4"/>
  <c r="F169" i="4"/>
  <c r="F206" i="4"/>
  <c r="F26" i="4"/>
  <c r="F186" i="4"/>
  <c r="F100" i="4"/>
  <c r="F51" i="4"/>
  <c r="F42" i="4"/>
  <c r="F213" i="4"/>
  <c r="F176" i="4"/>
  <c r="F2" i="4"/>
  <c r="F239" i="4"/>
  <c r="F245" i="4"/>
  <c r="F238" i="4"/>
  <c r="F247" i="4"/>
  <c r="F25" i="4"/>
  <c r="F234" i="4"/>
  <c r="F122" i="4"/>
  <c r="F113" i="4"/>
  <c r="F172" i="4"/>
  <c r="F86" i="4"/>
  <c r="F112" i="4"/>
  <c r="F108" i="4"/>
  <c r="F163" i="4"/>
  <c r="F47" i="4"/>
  <c r="F193" i="4"/>
  <c r="F137" i="4"/>
  <c r="F78" i="4"/>
  <c r="F207" i="4"/>
  <c r="F144" i="4"/>
  <c r="F222" i="4"/>
  <c r="F242" i="4"/>
  <c r="F90" i="4"/>
  <c r="F65" i="4"/>
  <c r="F158" i="4"/>
  <c r="F54" i="4"/>
  <c r="F87" i="4"/>
  <c r="F60" i="4"/>
  <c r="F214" i="4"/>
  <c r="F88" i="4"/>
  <c r="F216" i="4"/>
  <c r="F168" i="4"/>
  <c r="F6" i="4"/>
  <c r="F98" i="4"/>
  <c r="F117" i="4"/>
  <c r="F233" i="4"/>
  <c r="F13" i="4"/>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 i="1"/>
  <c r="K4" i="4" l="1"/>
  <c r="K8" i="4"/>
  <c r="K12" i="4"/>
  <c r="K16" i="4"/>
  <c r="K20" i="4"/>
  <c r="K24" i="4"/>
  <c r="K28" i="4"/>
  <c r="K32" i="4"/>
  <c r="K36" i="4"/>
  <c r="K40" i="4"/>
  <c r="K44" i="4"/>
  <c r="K48" i="4"/>
  <c r="K52" i="4"/>
  <c r="K56" i="4"/>
  <c r="K60" i="4"/>
  <c r="K64" i="4"/>
  <c r="K68" i="4"/>
  <c r="K72" i="4"/>
  <c r="K76" i="4"/>
  <c r="K80" i="4"/>
  <c r="K84" i="4"/>
  <c r="K88" i="4"/>
  <c r="K92" i="4"/>
  <c r="K96" i="4"/>
  <c r="K100" i="4"/>
  <c r="K104" i="4"/>
  <c r="K108" i="4"/>
  <c r="K112" i="4"/>
  <c r="K116" i="4"/>
  <c r="K120" i="4"/>
  <c r="K124" i="4"/>
  <c r="K128" i="4"/>
  <c r="K132" i="4"/>
  <c r="K136" i="4"/>
  <c r="K140" i="4"/>
  <c r="K144" i="4"/>
  <c r="K148" i="4"/>
  <c r="K152" i="4"/>
  <c r="K156" i="4"/>
  <c r="K160" i="4"/>
  <c r="K164" i="4"/>
  <c r="K168" i="4"/>
  <c r="K172" i="4"/>
  <c r="K176" i="4"/>
  <c r="K180" i="4"/>
  <c r="K184" i="4"/>
  <c r="K188" i="4"/>
  <c r="K192" i="4"/>
  <c r="K196" i="4"/>
  <c r="K200" i="4"/>
  <c r="K204" i="4"/>
  <c r="K208" i="4"/>
  <c r="K212" i="4"/>
  <c r="K216" i="4"/>
  <c r="K220" i="4"/>
  <c r="K224" i="4"/>
  <c r="K228" i="4"/>
  <c r="K232" i="4"/>
  <c r="K236" i="4"/>
  <c r="K240" i="4"/>
  <c r="K244" i="4"/>
  <c r="J2" i="4"/>
  <c r="J5" i="4"/>
  <c r="J9" i="4"/>
  <c r="J13" i="4"/>
  <c r="J17" i="4"/>
  <c r="J21" i="4"/>
  <c r="J25" i="4"/>
  <c r="J29" i="4"/>
  <c r="J33" i="4"/>
  <c r="J37" i="4"/>
  <c r="J41" i="4"/>
  <c r="J45" i="4"/>
  <c r="J49" i="4"/>
  <c r="J53" i="4"/>
  <c r="J57" i="4"/>
  <c r="J61" i="4"/>
  <c r="J65" i="4"/>
  <c r="J69" i="4"/>
  <c r="J73" i="4"/>
  <c r="J77" i="4"/>
  <c r="J81" i="4"/>
  <c r="J85" i="4"/>
  <c r="J89" i="4"/>
  <c r="J93" i="4"/>
  <c r="J97" i="4"/>
  <c r="J101" i="4"/>
  <c r="J105" i="4"/>
  <c r="J109" i="4"/>
  <c r="J113" i="4"/>
  <c r="J117" i="4"/>
  <c r="J121" i="4"/>
  <c r="J125" i="4"/>
  <c r="J129" i="4"/>
  <c r="J133" i="4"/>
  <c r="J137" i="4"/>
  <c r="J141" i="4"/>
  <c r="J145" i="4"/>
  <c r="J149" i="4"/>
  <c r="J153" i="4"/>
  <c r="J157" i="4"/>
  <c r="J161" i="4"/>
  <c r="J165" i="4"/>
  <c r="J169" i="4"/>
  <c r="J173" i="4"/>
  <c r="J177" i="4"/>
  <c r="J181" i="4"/>
  <c r="J185" i="4"/>
  <c r="J189" i="4"/>
  <c r="J193" i="4"/>
  <c r="J197" i="4"/>
  <c r="J201" i="4"/>
  <c r="J205" i="4"/>
  <c r="J209" i="4"/>
  <c r="J213" i="4"/>
  <c r="J217" i="4"/>
  <c r="J221" i="4"/>
  <c r="J225" i="4"/>
  <c r="J229" i="4"/>
  <c r="J233" i="4"/>
  <c r="J237" i="4"/>
  <c r="J241" i="4"/>
  <c r="J245" i="4"/>
  <c r="K5" i="4"/>
  <c r="K9" i="4"/>
  <c r="K13" i="4"/>
  <c r="K17" i="4"/>
  <c r="K21" i="4"/>
  <c r="K25" i="4"/>
  <c r="K29" i="4"/>
  <c r="K33" i="4"/>
  <c r="K37" i="4"/>
  <c r="K41" i="4"/>
  <c r="K45" i="4"/>
  <c r="K49" i="4"/>
  <c r="K53" i="4"/>
  <c r="K57" i="4"/>
  <c r="K61" i="4"/>
  <c r="K65" i="4"/>
  <c r="K69" i="4"/>
  <c r="K73" i="4"/>
  <c r="K77" i="4"/>
  <c r="K81" i="4"/>
  <c r="K85" i="4"/>
  <c r="K89" i="4"/>
  <c r="K93" i="4"/>
  <c r="K97" i="4"/>
  <c r="K101" i="4"/>
  <c r="K105" i="4"/>
  <c r="K109" i="4"/>
  <c r="K113" i="4"/>
  <c r="K117" i="4"/>
  <c r="K121" i="4"/>
  <c r="K125" i="4"/>
  <c r="K129" i="4"/>
  <c r="K133" i="4"/>
  <c r="K137" i="4"/>
  <c r="K141" i="4"/>
  <c r="K145" i="4"/>
  <c r="K149" i="4"/>
  <c r="K153" i="4"/>
  <c r="K157" i="4"/>
  <c r="K161" i="4"/>
  <c r="K165" i="4"/>
  <c r="K169" i="4"/>
  <c r="K173" i="4"/>
  <c r="K177" i="4"/>
  <c r="K181" i="4"/>
  <c r="K185" i="4"/>
  <c r="K189" i="4"/>
  <c r="K193" i="4"/>
  <c r="K197" i="4"/>
  <c r="K201" i="4"/>
  <c r="K205" i="4"/>
  <c r="K209" i="4"/>
  <c r="K213" i="4"/>
  <c r="K217" i="4"/>
  <c r="K221" i="4"/>
  <c r="K225" i="4"/>
  <c r="K229" i="4"/>
  <c r="K233" i="4"/>
  <c r="K237" i="4"/>
  <c r="K241" i="4"/>
  <c r="K245" i="4"/>
  <c r="J6" i="4"/>
  <c r="J10" i="4"/>
  <c r="J14" i="4"/>
  <c r="J18" i="4"/>
  <c r="J22" i="4"/>
  <c r="J26" i="4"/>
  <c r="J30" i="4"/>
  <c r="J34" i="4"/>
  <c r="J38" i="4"/>
  <c r="J42" i="4"/>
  <c r="J46" i="4"/>
  <c r="J50" i="4"/>
  <c r="J54" i="4"/>
  <c r="J58" i="4"/>
  <c r="J62" i="4"/>
  <c r="J66" i="4"/>
  <c r="J70" i="4"/>
  <c r="J74" i="4"/>
  <c r="J78" i="4"/>
  <c r="J82" i="4"/>
  <c r="J86" i="4"/>
  <c r="J90" i="4"/>
  <c r="J94" i="4"/>
  <c r="J98" i="4"/>
  <c r="J102" i="4"/>
  <c r="J106" i="4"/>
  <c r="J110" i="4"/>
  <c r="J114" i="4"/>
  <c r="J118" i="4"/>
  <c r="J122" i="4"/>
  <c r="J126" i="4"/>
  <c r="J130" i="4"/>
  <c r="J134" i="4"/>
  <c r="J138" i="4"/>
  <c r="J142" i="4"/>
  <c r="J146" i="4"/>
  <c r="J150" i="4"/>
  <c r="J154" i="4"/>
  <c r="J158" i="4"/>
  <c r="J162" i="4"/>
  <c r="J166" i="4"/>
  <c r="J170" i="4"/>
  <c r="J174" i="4"/>
  <c r="J178" i="4"/>
  <c r="J182" i="4"/>
  <c r="J186" i="4"/>
  <c r="J190" i="4"/>
  <c r="J194" i="4"/>
  <c r="J198" i="4"/>
  <c r="J202" i="4"/>
  <c r="J206" i="4"/>
  <c r="J210" i="4"/>
  <c r="J214" i="4"/>
  <c r="J218" i="4"/>
  <c r="J222" i="4"/>
  <c r="J226" i="4"/>
  <c r="J230" i="4"/>
  <c r="J234" i="4"/>
  <c r="J238" i="4"/>
  <c r="J242" i="4"/>
  <c r="J246" i="4"/>
  <c r="K6" i="4"/>
  <c r="K10" i="4"/>
  <c r="K14" i="4"/>
  <c r="K18" i="4"/>
  <c r="K22" i="4"/>
  <c r="K26" i="4"/>
  <c r="K30" i="4"/>
  <c r="K34" i="4"/>
  <c r="K38" i="4"/>
  <c r="K42" i="4"/>
  <c r="K46" i="4"/>
  <c r="K50" i="4"/>
  <c r="K54" i="4"/>
  <c r="K58" i="4"/>
  <c r="K62" i="4"/>
  <c r="K66" i="4"/>
  <c r="K70" i="4"/>
  <c r="K74" i="4"/>
  <c r="K78" i="4"/>
  <c r="K82" i="4"/>
  <c r="K86" i="4"/>
  <c r="K90" i="4"/>
  <c r="K94" i="4"/>
  <c r="K98" i="4"/>
  <c r="K102" i="4"/>
  <c r="K106" i="4"/>
  <c r="K110" i="4"/>
  <c r="K114" i="4"/>
  <c r="K118" i="4"/>
  <c r="K122" i="4"/>
  <c r="K126" i="4"/>
  <c r="K130" i="4"/>
  <c r="K134" i="4"/>
  <c r="K138" i="4"/>
  <c r="K142" i="4"/>
  <c r="K146" i="4"/>
  <c r="K150" i="4"/>
  <c r="K154" i="4"/>
  <c r="K158" i="4"/>
  <c r="K162" i="4"/>
  <c r="K166" i="4"/>
  <c r="K170" i="4"/>
  <c r="K174" i="4"/>
  <c r="K178" i="4"/>
  <c r="K182" i="4"/>
  <c r="K186" i="4"/>
  <c r="K190" i="4"/>
  <c r="K194" i="4"/>
  <c r="K198" i="4"/>
  <c r="K202" i="4"/>
  <c r="K206" i="4"/>
  <c r="K210" i="4"/>
  <c r="K214" i="4"/>
  <c r="K218" i="4"/>
  <c r="K222" i="4"/>
  <c r="K226" i="4"/>
  <c r="K230" i="4"/>
  <c r="K234" i="4"/>
  <c r="K238" i="4"/>
  <c r="K242" i="4"/>
  <c r="K246" i="4"/>
  <c r="J3" i="4"/>
  <c r="J7" i="4"/>
  <c r="J11" i="4"/>
  <c r="J15" i="4"/>
  <c r="J19" i="4"/>
  <c r="J23" i="4"/>
  <c r="J27" i="4"/>
  <c r="J31" i="4"/>
  <c r="J35" i="4"/>
  <c r="J39" i="4"/>
  <c r="J43" i="4"/>
  <c r="J47" i="4"/>
  <c r="J51" i="4"/>
  <c r="J55" i="4"/>
  <c r="J59" i="4"/>
  <c r="J63" i="4"/>
  <c r="J67" i="4"/>
  <c r="J71" i="4"/>
  <c r="J75" i="4"/>
  <c r="J79" i="4"/>
  <c r="J83" i="4"/>
  <c r="J87" i="4"/>
  <c r="J91" i="4"/>
  <c r="J95" i="4"/>
  <c r="J99" i="4"/>
  <c r="J103" i="4"/>
  <c r="J107" i="4"/>
  <c r="J111" i="4"/>
  <c r="J115" i="4"/>
  <c r="J119" i="4"/>
  <c r="J123" i="4"/>
  <c r="J127" i="4"/>
  <c r="J131" i="4"/>
  <c r="J135" i="4"/>
  <c r="J139" i="4"/>
  <c r="J143" i="4"/>
  <c r="J147" i="4"/>
  <c r="J151" i="4"/>
  <c r="J155" i="4"/>
  <c r="J159" i="4"/>
  <c r="J163" i="4"/>
  <c r="J167" i="4"/>
  <c r="J171" i="4"/>
  <c r="J175" i="4"/>
  <c r="J179" i="4"/>
  <c r="J183" i="4"/>
  <c r="J187" i="4"/>
  <c r="J191" i="4"/>
  <c r="J195" i="4"/>
  <c r="J199" i="4"/>
  <c r="J203" i="4"/>
  <c r="J207" i="4"/>
  <c r="J211" i="4"/>
  <c r="J215" i="4"/>
  <c r="J219" i="4"/>
  <c r="J223" i="4"/>
  <c r="J227" i="4"/>
  <c r="J231" i="4"/>
  <c r="J235" i="4"/>
  <c r="J239" i="4"/>
  <c r="J243" i="4"/>
  <c r="J247" i="4"/>
  <c r="K3" i="4"/>
  <c r="K7" i="4"/>
  <c r="K11" i="4"/>
  <c r="K15" i="4"/>
  <c r="K19" i="4"/>
  <c r="K23" i="4"/>
  <c r="K27" i="4"/>
  <c r="K31" i="4"/>
  <c r="K35" i="4"/>
  <c r="K39" i="4"/>
  <c r="K43" i="4"/>
  <c r="K47" i="4"/>
  <c r="K51" i="4"/>
  <c r="K55" i="4"/>
  <c r="K59" i="4"/>
  <c r="K63" i="4"/>
  <c r="K67" i="4"/>
  <c r="K71" i="4"/>
  <c r="K75" i="4"/>
  <c r="K79" i="4"/>
  <c r="K83" i="4"/>
  <c r="K87" i="4"/>
  <c r="K91" i="4"/>
  <c r="K95" i="4"/>
  <c r="K99" i="4"/>
  <c r="K103" i="4"/>
  <c r="K107" i="4"/>
  <c r="K111" i="4"/>
  <c r="K115" i="4"/>
  <c r="K119" i="4"/>
  <c r="K123" i="4"/>
  <c r="K127" i="4"/>
  <c r="K131" i="4"/>
  <c r="K135" i="4"/>
  <c r="K139" i="4"/>
  <c r="K143" i="4"/>
  <c r="K147" i="4"/>
  <c r="K151" i="4"/>
  <c r="K155" i="4"/>
  <c r="K159" i="4"/>
  <c r="K163" i="4"/>
  <c r="K167" i="4"/>
  <c r="K171" i="4"/>
  <c r="K175" i="4"/>
  <c r="K179" i="4"/>
  <c r="K183" i="4"/>
  <c r="K187" i="4"/>
  <c r="K191" i="4"/>
  <c r="K195" i="4"/>
  <c r="K199" i="4"/>
  <c r="K203" i="4"/>
  <c r="K207" i="4"/>
  <c r="K211" i="4"/>
  <c r="K215" i="4"/>
  <c r="K219" i="4"/>
  <c r="K223" i="4"/>
  <c r="K227" i="4"/>
  <c r="K231" i="4"/>
  <c r="K235" i="4"/>
  <c r="K239" i="4"/>
  <c r="K243" i="4"/>
  <c r="K247" i="4"/>
  <c r="J4" i="4"/>
  <c r="J8" i="4"/>
  <c r="J12" i="4"/>
  <c r="J16" i="4"/>
  <c r="J20" i="4"/>
  <c r="J24" i="4"/>
  <c r="J28" i="4"/>
  <c r="J32" i="4"/>
  <c r="J36" i="4"/>
  <c r="J40" i="4"/>
  <c r="J44" i="4"/>
  <c r="J48" i="4"/>
  <c r="J52" i="4"/>
  <c r="J56" i="4"/>
  <c r="J60" i="4"/>
  <c r="J64" i="4"/>
  <c r="J68" i="4"/>
  <c r="J72" i="4"/>
  <c r="J76" i="4"/>
  <c r="J80" i="4"/>
  <c r="J84" i="4"/>
  <c r="J88" i="4"/>
  <c r="J92" i="4"/>
  <c r="J96" i="4"/>
  <c r="J100" i="4"/>
  <c r="J104" i="4"/>
  <c r="J108" i="4"/>
  <c r="J112" i="4"/>
  <c r="J116" i="4"/>
  <c r="J120" i="4"/>
  <c r="J124" i="4"/>
  <c r="J128" i="4"/>
  <c r="J132" i="4"/>
  <c r="J136" i="4"/>
  <c r="J140" i="4"/>
  <c r="J144" i="4"/>
  <c r="J148" i="4"/>
  <c r="J152" i="4"/>
  <c r="J156" i="4"/>
  <c r="J160" i="4"/>
  <c r="J164" i="4"/>
  <c r="J168" i="4"/>
  <c r="J172" i="4"/>
  <c r="J176" i="4"/>
  <c r="J180" i="4"/>
  <c r="J184" i="4"/>
  <c r="J188" i="4"/>
  <c r="J192" i="4"/>
  <c r="J196" i="4"/>
  <c r="J200" i="4"/>
  <c r="J204" i="4"/>
  <c r="J208" i="4"/>
  <c r="J212" i="4"/>
  <c r="J216" i="4"/>
  <c r="J220" i="4"/>
  <c r="J224" i="4"/>
  <c r="J228" i="4"/>
  <c r="J232" i="4"/>
  <c r="J236" i="4"/>
  <c r="J240" i="4"/>
  <c r="J244" i="4"/>
  <c r="K2" i="4"/>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2" i="2"/>
  <c r="I3" i="1" l="1"/>
  <c r="I2" i="1"/>
  <c r="I5" i="1" l="1"/>
  <c r="I172" i="2"/>
  <c r="J170" i="2"/>
  <c r="I170" i="2"/>
  <c r="I166" i="2"/>
  <c r="I168" i="2"/>
  <c r="J394" i="2"/>
  <c r="I416" i="2"/>
  <c r="J418" i="2"/>
  <c r="J417" i="2"/>
  <c r="J415" i="2"/>
  <c r="J414" i="2"/>
  <c r="I418" i="2"/>
  <c r="I414" i="2"/>
  <c r="I412" i="2"/>
  <c r="I409" i="2"/>
  <c r="I405" i="2"/>
  <c r="I403" i="2"/>
  <c r="J400" i="2"/>
  <c r="J398" i="2"/>
  <c r="J397" i="2"/>
  <c r="I400" i="2"/>
  <c r="I397" i="2"/>
  <c r="I395" i="2"/>
  <c r="I394" i="2"/>
  <c r="I391" i="2"/>
  <c r="I389" i="2"/>
  <c r="I380" i="2"/>
  <c r="I378" i="2"/>
  <c r="I376" i="2"/>
  <c r="I373" i="2"/>
  <c r="I371" i="2"/>
  <c r="I368" i="2"/>
  <c r="I365" i="2"/>
  <c r="J363" i="2"/>
  <c r="I362" i="2"/>
  <c r="I360" i="2"/>
  <c r="I357" i="2"/>
  <c r="I355" i="2"/>
  <c r="I353" i="2"/>
  <c r="I347" i="2"/>
  <c r="I343" i="2"/>
  <c r="J342" i="2"/>
  <c r="J341" i="2"/>
  <c r="I341" i="2"/>
  <c r="I339" i="2"/>
  <c r="I335" i="2"/>
  <c r="J338" i="2"/>
  <c r="J337" i="2"/>
  <c r="J334" i="2"/>
  <c r="I336" i="2"/>
  <c r="I334" i="2"/>
  <c r="I332" i="2"/>
  <c r="I331" i="2"/>
  <c r="I329" i="2"/>
  <c r="I328" i="2"/>
  <c r="I326" i="2"/>
  <c r="I323" i="2"/>
  <c r="I319" i="2"/>
  <c r="J318" i="2"/>
  <c r="I317" i="2"/>
  <c r="I315" i="2"/>
  <c r="J316" i="2"/>
  <c r="I311" i="2"/>
  <c r="I307" i="2"/>
  <c r="I304" i="2"/>
  <c r="I303" i="2"/>
  <c r="I301" i="2"/>
  <c r="I296" i="2"/>
  <c r="I295" i="2"/>
  <c r="J294" i="2"/>
  <c r="I293" i="2"/>
  <c r="I289" i="2"/>
  <c r="I287" i="2"/>
  <c r="I286" i="2"/>
  <c r="I283" i="2"/>
  <c r="J282" i="2"/>
  <c r="J281" i="2"/>
  <c r="I281" i="2"/>
  <c r="I280" i="2"/>
  <c r="I278" i="2"/>
  <c r="I277" i="2"/>
  <c r="I275" i="2"/>
  <c r="I273" i="2"/>
  <c r="J263" i="2"/>
  <c r="J262" i="2"/>
  <c r="I262" i="2"/>
  <c r="I255" i="2"/>
  <c r="J249" i="2"/>
  <c r="J250" i="2"/>
  <c r="I250" i="2"/>
  <c r="I249" i="2"/>
  <c r="I248" i="2"/>
  <c r="I247" i="2"/>
  <c r="I231" i="2"/>
  <c r="I225" i="2"/>
  <c r="J221" i="2"/>
  <c r="J220" i="2"/>
  <c r="I220" i="2"/>
  <c r="I218" i="2"/>
  <c r="I216" i="2"/>
  <c r="I215" i="2"/>
  <c r="I213" i="2"/>
  <c r="I209" i="2"/>
  <c r="J210" i="2"/>
  <c r="J207" i="2"/>
  <c r="I207" i="2"/>
  <c r="I201" i="2"/>
  <c r="I198" i="2"/>
  <c r="I197" i="2"/>
  <c r="I192" i="2"/>
  <c r="J190" i="2"/>
  <c r="J189" i="2"/>
  <c r="I191" i="2"/>
  <c r="I189" i="2"/>
  <c r="I188" i="2"/>
  <c r="J360" i="2"/>
  <c r="J349" i="2"/>
  <c r="M334" i="2"/>
  <c r="I261" i="2"/>
  <c r="I259" i="2"/>
  <c r="I242" i="2"/>
  <c r="I241" i="2"/>
  <c r="I239" i="2"/>
  <c r="J241" i="2"/>
  <c r="J240" i="2"/>
  <c r="J239" i="2"/>
  <c r="J230" i="2"/>
  <c r="J229" i="2"/>
  <c r="J228" i="2"/>
  <c r="I230" i="2"/>
  <c r="I228" i="2"/>
  <c r="I180" i="2"/>
  <c r="I178" i="2"/>
  <c r="I175" i="2"/>
  <c r="I165" i="2"/>
  <c r="J162" i="2"/>
  <c r="J163" i="2"/>
  <c r="I162" i="2"/>
  <c r="I160" i="2"/>
  <c r="J157" i="2"/>
  <c r="J156" i="2"/>
  <c r="I156" i="2"/>
  <c r="I151" i="2"/>
  <c r="J148" i="2"/>
  <c r="J147" i="2"/>
  <c r="J146" i="2"/>
  <c r="I149" i="2"/>
  <c r="I148" i="2"/>
  <c r="I146" i="2"/>
  <c r="I145" i="2"/>
  <c r="I135" i="2"/>
  <c r="I132" i="2"/>
  <c r="I130" i="2"/>
  <c r="I128" i="2"/>
  <c r="J127" i="2"/>
  <c r="I127" i="2"/>
  <c r="I124" i="2"/>
  <c r="I122" i="2"/>
  <c r="I119" i="2"/>
  <c r="I118" i="2"/>
  <c r="J113" i="2"/>
  <c r="J114" i="2"/>
  <c r="I115" i="2"/>
  <c r="I113" i="2"/>
  <c r="I111" i="2"/>
  <c r="I109" i="2"/>
  <c r="I107" i="2"/>
  <c r="I104" i="2"/>
  <c r="I102" i="2"/>
  <c r="J99" i="2"/>
  <c r="J98" i="2"/>
  <c r="I98" i="2"/>
  <c r="I96" i="2"/>
  <c r="I93" i="2"/>
  <c r="I92" i="2"/>
  <c r="I88" i="2"/>
  <c r="I85" i="2"/>
  <c r="I84" i="2"/>
  <c r="I83" i="2"/>
  <c r="I82" i="2"/>
  <c r="I79" i="2"/>
  <c r="J77" i="2"/>
  <c r="J76" i="2"/>
  <c r="I76" i="2"/>
  <c r="I74" i="2"/>
  <c r="I72" i="2"/>
  <c r="I70" i="2"/>
  <c r="I67" i="2"/>
  <c r="J65" i="2"/>
  <c r="J64" i="2"/>
  <c r="I64" i="2"/>
  <c r="I59" i="2"/>
  <c r="I57" i="2"/>
  <c r="I52" i="2"/>
  <c r="I49" i="2"/>
  <c r="I48" i="2"/>
  <c r="I46" i="2"/>
  <c r="I44" i="2"/>
  <c r="J41" i="2"/>
  <c r="J42" i="2"/>
  <c r="I41" i="2"/>
  <c r="J37" i="2"/>
  <c r="I37" i="2"/>
  <c r="I35" i="2"/>
  <c r="I123" i="2"/>
  <c r="M95" i="2"/>
  <c r="J27" i="2"/>
  <c r="J26" i="2"/>
  <c r="J25" i="2"/>
  <c r="J23" i="2"/>
  <c r="J22" i="2"/>
  <c r="J17" i="2"/>
  <c r="I17" i="2"/>
  <c r="J33" i="2"/>
  <c r="I30" i="2"/>
  <c r="J29" i="2"/>
  <c r="J28" i="2"/>
  <c r="J32" i="2"/>
  <c r="I32" i="2"/>
  <c r="I28" i="2"/>
  <c r="I22" i="2"/>
  <c r="J21" i="2"/>
  <c r="I21" i="2"/>
  <c r="J18" i="2"/>
  <c r="I15" i="2"/>
  <c r="I14" i="2"/>
  <c r="I13" i="2"/>
  <c r="I11" i="2"/>
  <c r="Q209" i="1"/>
  <c r="J2" i="2"/>
  <c r="J3" i="2"/>
  <c r="I10" i="2"/>
  <c r="J7" i="2"/>
  <c r="J6" i="2"/>
  <c r="I7" i="2"/>
  <c r="I3" i="2"/>
  <c r="J232" i="1"/>
  <c r="T4" i="1"/>
  <c r="T3" i="1"/>
  <c r="J253" i="1"/>
  <c r="J252" i="1"/>
  <c r="I252" i="1"/>
  <c r="I251" i="1"/>
  <c r="J249" i="1"/>
  <c r="I249" i="1"/>
  <c r="I245" i="1"/>
  <c r="I240" i="1"/>
  <c r="I234" i="1"/>
  <c r="I233" i="1"/>
  <c r="I230" i="1"/>
  <c r="I225" i="1"/>
  <c r="I222" i="1"/>
  <c r="J220" i="1"/>
  <c r="J219" i="1"/>
  <c r="I221" i="1"/>
  <c r="I219" i="1"/>
  <c r="I217" i="1"/>
  <c r="I215" i="1"/>
  <c r="I214" i="1"/>
  <c r="J212" i="1"/>
  <c r="I212" i="1"/>
  <c r="J210" i="1"/>
  <c r="J209" i="1"/>
  <c r="I209" i="1"/>
  <c r="J208" i="1"/>
  <c r="I208" i="1"/>
  <c r="J206" i="1"/>
  <c r="I196" i="1"/>
  <c r="I191" i="1"/>
  <c r="I188" i="1"/>
  <c r="I187" i="1"/>
  <c r="I182" i="1"/>
  <c r="J179" i="1"/>
  <c r="J178" i="1"/>
  <c r="I178" i="1"/>
  <c r="I171" i="1"/>
  <c r="I157" i="1"/>
  <c r="I155" i="1"/>
  <c r="I153" i="1"/>
  <c r="I152" i="1"/>
  <c r="I150" i="1"/>
  <c r="J140" i="1"/>
  <c r="I139" i="1"/>
  <c r="I162" i="1"/>
  <c r="I161" i="1"/>
  <c r="I148" i="1"/>
  <c r="I145" i="1"/>
  <c r="I142" i="1"/>
  <c r="I140" i="1"/>
  <c r="I136" i="1"/>
  <c r="I131" i="1"/>
  <c r="I118" i="1"/>
  <c r="I125" i="1"/>
  <c r="I126" i="1"/>
  <c r="I128" i="1"/>
  <c r="I124" i="1"/>
  <c r="I110" i="1"/>
  <c r="I107" i="1"/>
  <c r="I105" i="1"/>
  <c r="I104" i="1"/>
  <c r="I102" i="1"/>
  <c r="I97" i="1"/>
  <c r="I90" i="1"/>
  <c r="I88" i="1"/>
  <c r="J85" i="1"/>
  <c r="I85" i="1"/>
  <c r="I81" i="1"/>
  <c r="I78" i="1"/>
  <c r="J76" i="1"/>
  <c r="J75" i="1"/>
  <c r="I75" i="1"/>
  <c r="I73" i="1"/>
  <c r="I71" i="1"/>
  <c r="I68" i="1"/>
  <c r="I67" i="1"/>
  <c r="I64" i="1"/>
  <c r="I60" i="1"/>
  <c r="J56" i="1"/>
  <c r="J57" i="1"/>
  <c r="J53" i="1"/>
  <c r="J52" i="1"/>
  <c r="I57" i="1"/>
  <c r="I51" i="1"/>
  <c r="I49" i="1"/>
  <c r="I42" i="1"/>
  <c r="J42" i="1"/>
  <c r="J43" i="1"/>
  <c r="I41" i="1"/>
  <c r="J39" i="1"/>
  <c r="I32" i="1"/>
  <c r="I29" i="1"/>
  <c r="I25" i="1"/>
  <c r="I10" i="1"/>
  <c r="I9" i="1"/>
  <c r="J14" i="1"/>
  <c r="I15" i="1"/>
  <c r="I423" i="2" l="1"/>
  <c r="I25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<sst xmlns="http://schemas.openxmlformats.org/spreadsheetml/2006/main" count="4019" uniqueCount="548">
  <si>
    <t>Folio</t>
  </si>
  <si>
    <t>Cargo</t>
  </si>
  <si>
    <t>Nombre indicado</t>
  </si>
  <si>
    <t>Segundo contribuyente</t>
  </si>
  <si>
    <t>Fecha</t>
  </si>
  <si>
    <t>Producto</t>
  </si>
  <si>
    <t>Cantidad</t>
  </si>
  <si>
    <t>Valor (pesos de a 8)</t>
  </si>
  <si>
    <t>Siete por ciento (pagado en pesos)* (el oro paga menos)</t>
  </si>
  <si>
    <t>Reales</t>
  </si>
  <si>
    <t>Producto sin gravar / comentarios</t>
  </si>
  <si>
    <t>Plata amonedada</t>
  </si>
  <si>
    <t>Lana de vicuña</t>
  </si>
  <si>
    <t>1000 pesos</t>
  </si>
  <si>
    <t>1400 pesos</t>
  </si>
  <si>
    <t>Capitan</t>
  </si>
  <si>
    <t>Valladares, Juan Antonio de</t>
  </si>
  <si>
    <t>10 p 4 r cada saca</t>
  </si>
  <si>
    <t>11v</t>
  </si>
  <si>
    <t>Maestre</t>
  </si>
  <si>
    <t>6000 pesos</t>
  </si>
  <si>
    <t>Padres priores</t>
  </si>
  <si>
    <t>2 cajones de reales</t>
  </si>
  <si>
    <t>Impuesto (%)</t>
  </si>
  <si>
    <t>Ambos mares</t>
  </si>
  <si>
    <t>Mar del Sur</t>
  </si>
  <si>
    <t>Destino</t>
  </si>
  <si>
    <t>Guayaquil</t>
  </si>
  <si>
    <t>Rodriguez de Pelasco</t>
  </si>
  <si>
    <t>Quito</t>
  </si>
  <si>
    <t>Panamá</t>
  </si>
  <si>
    <t>López, Juan</t>
  </si>
  <si>
    <t>Esquiza, Nicolás de</t>
  </si>
  <si>
    <t>Alferez</t>
  </si>
  <si>
    <t>Peña, Pedro de la</t>
  </si>
  <si>
    <t>Isais, Juan de</t>
  </si>
  <si>
    <t>Gómez, Juan</t>
  </si>
  <si>
    <t>2 barras de plata</t>
  </si>
  <si>
    <t>1 barra de plata</t>
  </si>
  <si>
    <t>3 cajones de reales</t>
  </si>
  <si>
    <t>9 cajones de reales</t>
  </si>
  <si>
    <t>14 cajones de reales</t>
  </si>
  <si>
    <t>75 barras de plata</t>
  </si>
  <si>
    <t>250 marcos de plata</t>
  </si>
  <si>
    <t>Tesorero</t>
  </si>
  <si>
    <t>3 barras de plata</t>
  </si>
  <si>
    <t>1 cajón de plata labrada</t>
  </si>
  <si>
    <t>Velarde, Alonso</t>
  </si>
  <si>
    <t>1 cajón de reales</t>
  </si>
  <si>
    <t>500 pesos</t>
  </si>
  <si>
    <t>50 marcos de plata labrada</t>
  </si>
  <si>
    <t>50 marcos de plata</t>
  </si>
  <si>
    <t>Topete, Alonso</t>
  </si>
  <si>
    <t>1 petaca de plata labrada</t>
  </si>
  <si>
    <t>2500 pesos</t>
  </si>
  <si>
    <t>Parece haberse equivocado al cobrar o haberle hecho rebaja</t>
  </si>
  <si>
    <t>6 petacas de plata labrada</t>
  </si>
  <si>
    <t>Olarte, Joseph de</t>
  </si>
  <si>
    <t>150 marcos de plata</t>
  </si>
  <si>
    <t>240 pesos</t>
  </si>
  <si>
    <t>4 barras de plata</t>
  </si>
  <si>
    <t>Creta, Cristóbal de</t>
  </si>
  <si>
    <t>1 cajon de reales</t>
  </si>
  <si>
    <t>5 barras de plata</t>
  </si>
  <si>
    <t>Torres, Juan Simón de</t>
  </si>
  <si>
    <t>1 baul de plata labrada</t>
  </si>
  <si>
    <t>227 pesos</t>
  </si>
  <si>
    <t>80 marcos de plata</t>
  </si>
  <si>
    <t>Maestre de campo</t>
  </si>
  <si>
    <t>Blanco Rejón, Alonso</t>
  </si>
  <si>
    <t>16 cajones de reales</t>
  </si>
  <si>
    <t>14 barras de plata</t>
  </si>
  <si>
    <t>12v</t>
  </si>
  <si>
    <t>Sánchez Barragan, Alonso</t>
  </si>
  <si>
    <t>Romero, Gabriel</t>
  </si>
  <si>
    <t>2400 pesos</t>
  </si>
  <si>
    <t>40 marcos de plata</t>
  </si>
  <si>
    <t>Hurtado de Salcedo, Juan</t>
  </si>
  <si>
    <t>112 pesos</t>
  </si>
  <si>
    <t>24 marcos de plata labrada</t>
  </si>
  <si>
    <t>Hurtado, Francisco</t>
  </si>
  <si>
    <t>100 marcos de plata labrada</t>
  </si>
  <si>
    <t>400 pesos</t>
  </si>
  <si>
    <t>Espínola, Baltazar de</t>
  </si>
  <si>
    <t>3000 pesos</t>
  </si>
  <si>
    <t>13v</t>
  </si>
  <si>
    <t>Cueto, Andrés de</t>
  </si>
  <si>
    <t>65 sacas de lana de vicuña</t>
  </si>
  <si>
    <t>1600 pesos</t>
  </si>
  <si>
    <t>López de Aguirre, Juan</t>
  </si>
  <si>
    <t>600 pesos</t>
  </si>
  <si>
    <t>Rodríguez de Otero, Andrés</t>
  </si>
  <si>
    <t>Torre, Santiago de la</t>
  </si>
  <si>
    <t>12 barras de plata</t>
  </si>
  <si>
    <t>Gadorazo, Juan de</t>
  </si>
  <si>
    <t>Sartes de Quezada, Juan de</t>
  </si>
  <si>
    <t>Navarrete, Esteban de</t>
  </si>
  <si>
    <t>Zapata, Manuel</t>
  </si>
  <si>
    <t>Manuel Eugenio</t>
  </si>
  <si>
    <t>Castillejo, Fernando</t>
  </si>
  <si>
    <t>90 marcos de plata</t>
  </si>
  <si>
    <t>5 cajones de reales</t>
  </si>
  <si>
    <t>1 cajon de plata labrada</t>
  </si>
  <si>
    <t>60 marcos de plata labrada</t>
  </si>
  <si>
    <t>22 cajones de reales</t>
  </si>
  <si>
    <t>22 barras de plata</t>
  </si>
  <si>
    <t>80 marcos de plata labrada</t>
  </si>
  <si>
    <t>14v</t>
  </si>
  <si>
    <t>Rubin, Manuel</t>
  </si>
  <si>
    <t>Casanova, Joseph de</t>
  </si>
  <si>
    <t>Freire, Antonio</t>
  </si>
  <si>
    <t>Alcaiz, Francisco Tercero de</t>
  </si>
  <si>
    <t>Ruiz Pacheco, Bartolomé</t>
  </si>
  <si>
    <t>4000 pesos</t>
  </si>
  <si>
    <t>40 marcos de plata labrada</t>
  </si>
  <si>
    <t>8 cajones de reales</t>
  </si>
  <si>
    <t>25 marcos de plata labrada</t>
  </si>
  <si>
    <t>2700 pesos</t>
  </si>
  <si>
    <t>Fernán, Juan</t>
  </si>
  <si>
    <t>Betancur, Miguel de</t>
  </si>
  <si>
    <t>Retana, Francisco de</t>
  </si>
  <si>
    <t>López de Solorzano, Juan</t>
  </si>
  <si>
    <t>Ugarte, Juan de</t>
  </si>
  <si>
    <t>Sanz de Valdivieso, Domingo</t>
  </si>
  <si>
    <t>4 cajones de reales</t>
  </si>
  <si>
    <t>6 cajones de reales</t>
  </si>
  <si>
    <t>312 marcos de plata</t>
  </si>
  <si>
    <t>200 marcos de plata</t>
  </si>
  <si>
    <t>300 pesos</t>
  </si>
  <si>
    <t>1300 pesos</t>
  </si>
  <si>
    <t>15v</t>
  </si>
  <si>
    <t>Impuesto unitario</t>
  </si>
  <si>
    <t>20 pesos</t>
  </si>
  <si>
    <t>50 pesos</t>
  </si>
  <si>
    <t>16 pesos</t>
  </si>
  <si>
    <t>2 petacas de plata labrada</t>
  </si>
  <si>
    <t>2 baules</t>
  </si>
  <si>
    <t>Error, salía 12 pesos</t>
  </si>
  <si>
    <t>Plata labrada</t>
  </si>
  <si>
    <t>Aranzus Delgadillo, Antonio</t>
  </si>
  <si>
    <t>Contador*</t>
  </si>
  <si>
    <t>Valle, Andrés del</t>
  </si>
  <si>
    <t>Urrutia, Pedro de</t>
  </si>
  <si>
    <t>Fernández de Quintana, Domingo</t>
  </si>
  <si>
    <t>Aldecua, Juan de</t>
  </si>
  <si>
    <t>Concha, Luis de la</t>
  </si>
  <si>
    <t>García Negrete, Juan Eusebio</t>
  </si>
  <si>
    <t>Romero, Juan Claudio</t>
  </si>
  <si>
    <t>Licenciado</t>
  </si>
  <si>
    <t>125 marcos de plata</t>
  </si>
  <si>
    <t>800 pesos</t>
  </si>
  <si>
    <t>20 sacas de lana de vicuña</t>
  </si>
  <si>
    <t>2000 pesos</t>
  </si>
  <si>
    <t>17 cajones de reales</t>
  </si>
  <si>
    <t>López Vélez, Francisco</t>
  </si>
  <si>
    <t>Balsera, Pedro</t>
  </si>
  <si>
    <t>López de Torres, Francisco</t>
  </si>
  <si>
    <t>1 saca de lana de vicuña</t>
  </si>
  <si>
    <t>7 barras de pata</t>
  </si>
  <si>
    <t>Ávila, Juan Luis de</t>
  </si>
  <si>
    <t>2 cajonesde reales</t>
  </si>
  <si>
    <t>5 sacas de lana de vicuña</t>
  </si>
  <si>
    <t>1473 pesos</t>
  </si>
  <si>
    <t>56 marcos de plata</t>
  </si>
  <si>
    <t>4 petacas de plata labrada</t>
  </si>
  <si>
    <t>16v</t>
  </si>
  <si>
    <t>Olivar, Gerónimo de</t>
  </si>
  <si>
    <t>Valverde, Esteban de</t>
  </si>
  <si>
    <t>Ursaín, Gabriel de</t>
  </si>
  <si>
    <t>Gonzáles Cano, Juan</t>
  </si>
  <si>
    <t>Vergara, Lucas de</t>
  </si>
  <si>
    <t>Vera, Diego de</t>
  </si>
  <si>
    <t>García Ciudad, Gregorio</t>
  </si>
  <si>
    <t>200 marcos de plata labrada</t>
  </si>
  <si>
    <t>1200 pesos</t>
  </si>
  <si>
    <t>86 marcos de plata labrada</t>
  </si>
  <si>
    <t>2 cajas de plata labrada</t>
  </si>
  <si>
    <t>19 sacas de lana de vicuña</t>
  </si>
  <si>
    <t>Error</t>
  </si>
  <si>
    <t>Hermosilla, Francisco de</t>
  </si>
  <si>
    <t>Rodriguez Cortés, Andrés</t>
  </si>
  <si>
    <t>Mendía, Gerónimo de</t>
  </si>
  <si>
    <t>Pinedo, Pedro de</t>
  </si>
  <si>
    <t>Muñoz, Nicolás</t>
  </si>
  <si>
    <t>Pérez del Castillo, Hipólito</t>
  </si>
  <si>
    <t>Sabogal, Bartolomé de</t>
  </si>
  <si>
    <t>Mariscal, Juan de</t>
  </si>
  <si>
    <t>17v</t>
  </si>
  <si>
    <t>Aguilar, Juan de</t>
  </si>
  <si>
    <t>Barco, Antonio del</t>
  </si>
  <si>
    <t>Martínez de Valle, Domingo</t>
  </si>
  <si>
    <t>Espinosa, Pedro de</t>
  </si>
  <si>
    <t>Ronda, Juan de la</t>
  </si>
  <si>
    <t>Lizarriturri, Joseph</t>
  </si>
  <si>
    <t>Martínez Roldán, Francisco</t>
  </si>
  <si>
    <t>Dueñas, Joseph de</t>
  </si>
  <si>
    <t>Garrido, Miguel</t>
  </si>
  <si>
    <t>Salazar, Joseph de</t>
  </si>
  <si>
    <t>García Baquero, Francisco</t>
  </si>
  <si>
    <t>Castro, Agustín de</t>
  </si>
  <si>
    <t>Prado, Andrés de</t>
  </si>
  <si>
    <t>Sargento Mayor</t>
  </si>
  <si>
    <t>García, Bartolomé</t>
  </si>
  <si>
    <t>Fernández del Casal, Mateo</t>
  </si>
  <si>
    <t>Nuñovero, Gabriel de</t>
  </si>
  <si>
    <t>18v</t>
  </si>
  <si>
    <t>Pimienta, Antonio</t>
  </si>
  <si>
    <t>Puente, Isidoro de la</t>
  </si>
  <si>
    <t>Pino, Juan del</t>
  </si>
  <si>
    <t>García de la Cuesta, Juan</t>
  </si>
  <si>
    <t>Obrero, Sebastián</t>
  </si>
  <si>
    <t>Arechavaleta, Baltazar de</t>
  </si>
  <si>
    <t>Herrado, Fernando de</t>
  </si>
  <si>
    <t>Pérez de la Torre, Diego</t>
  </si>
  <si>
    <t>Fernández de Córdova, Luisa</t>
  </si>
  <si>
    <t>Sancho de Ávila, Antonio</t>
  </si>
  <si>
    <t>19v</t>
  </si>
  <si>
    <t>"Me hago cargo de 167 p que han entrado en mi poder por razón de avería de todos los bajeles que han ido por los puertos y costa debajo a razón de 1p cada día desde que se fondea hasta que sale desde primero de diciembre del año pasado de 674 hasta 12 de junio de 675</t>
  </si>
  <si>
    <t>Ochoa de Achurí, Martín</t>
  </si>
  <si>
    <t>8000 pesos</t>
  </si>
  <si>
    <t>Permiso de prior y consules</t>
  </si>
  <si>
    <t>1500 pesos</t>
  </si>
  <si>
    <t>9 sacas de lana de vicuña</t>
  </si>
  <si>
    <t>11 cajones de reales</t>
  </si>
  <si>
    <t>31 barras de plata</t>
  </si>
  <si>
    <t>20 cajones de reales</t>
  </si>
  <si>
    <t>25 barras de plata</t>
  </si>
  <si>
    <t>700 pesos</t>
  </si>
  <si>
    <t>1 barretón de plata</t>
  </si>
  <si>
    <t>6 barras de plata</t>
  </si>
  <si>
    <t>4 cajones de plata labrada</t>
  </si>
  <si>
    <t>Arauz, Tomás de</t>
  </si>
  <si>
    <t>32 barras de plata</t>
  </si>
  <si>
    <t>34 barras de plata</t>
  </si>
  <si>
    <t>13 cajones de reales</t>
  </si>
  <si>
    <t>9 barras de plata</t>
  </si>
  <si>
    <t>800 marcos de plata labrada</t>
  </si>
  <si>
    <t>16 barras de plata</t>
  </si>
  <si>
    <t>145 marcos de plata labrada</t>
  </si>
  <si>
    <t>3 sacas de lana de vicuña</t>
  </si>
  <si>
    <t>130 marcos de plata labrada</t>
  </si>
  <si>
    <t>200 pesos</t>
  </si>
  <si>
    <t>30 marcos de plata labrada</t>
  </si>
  <si>
    <t>280 marcos de plata labrada</t>
  </si>
  <si>
    <t>8 sacas de lana de vicuña</t>
  </si>
  <si>
    <t>7000 pesos</t>
  </si>
  <si>
    <t>18 cajones de reales</t>
  </si>
  <si>
    <t>1560 pesos</t>
  </si>
  <si>
    <t>A cuenta de</t>
  </si>
  <si>
    <t>6 cajones de plata labrada</t>
  </si>
  <si>
    <t>Hay un extra de 100 pesos no cobrado</t>
  </si>
  <si>
    <t>La suma de la cobranza no cuadra</t>
  </si>
  <si>
    <t>Parece habersele reducido un peso</t>
  </si>
  <si>
    <t>*Lo mismo</t>
  </si>
  <si>
    <t>52 sacas de lana de vicuña</t>
  </si>
  <si>
    <t>4 sacas de lana de vicuña</t>
  </si>
  <si>
    <t>Plata en barras</t>
  </si>
  <si>
    <r>
      <t>2 cajones de reales/</t>
    </r>
    <r>
      <rPr>
        <sz val="10"/>
        <color rgb="FFFF0000"/>
        <rFont val="Calibri"/>
        <family val="2"/>
        <scheme val="minor"/>
      </rPr>
      <t>2500</t>
    </r>
    <r>
      <rPr>
        <sz val="10"/>
        <color theme="1"/>
        <rFont val="Calibri"/>
        <family val="2"/>
        <scheme val="minor"/>
      </rPr>
      <t xml:space="preserve"> </t>
    </r>
    <r>
      <rPr>
        <sz val="10"/>
        <color rgb="FFFF0000"/>
        <rFont val="Calibri"/>
        <family val="2"/>
        <scheme val="minor"/>
      </rPr>
      <t>pesos</t>
    </r>
  </si>
  <si>
    <r>
      <t>4 cajones de reales /</t>
    </r>
    <r>
      <rPr>
        <sz val="10"/>
        <color rgb="FFFF0000"/>
        <rFont val="Calibri"/>
        <family val="2"/>
        <scheme val="minor"/>
      </rPr>
      <t>2500 pesos</t>
    </r>
  </si>
  <si>
    <r>
      <t>4 cajones de reales/</t>
    </r>
    <r>
      <rPr>
        <sz val="10"/>
        <color rgb="FFFF0000"/>
        <rFont val="Calibri"/>
        <family val="2"/>
        <scheme val="minor"/>
      </rPr>
      <t>2500 pesos</t>
    </r>
  </si>
  <si>
    <t>Coello de Fonseca, Manuel</t>
  </si>
  <si>
    <t>Eximido</t>
  </si>
  <si>
    <t>Razón de la plata que se va enterando en la Real Administración de Lima de las partidas que se van embarcando en la Real Armada que este año de 675 baja con el Real Tesoro de Su Majestad y de particulares al reino de Tierra Firme</t>
  </si>
  <si>
    <t>25v</t>
  </si>
  <si>
    <t>Monto cobrado</t>
  </si>
  <si>
    <t>24 cajones de reales</t>
  </si>
  <si>
    <t>16.VI.1674</t>
  </si>
  <si>
    <t>22.V.1675</t>
  </si>
  <si>
    <t>No lo realizó y lo lleva este año</t>
  </si>
  <si>
    <t>66 barras de plata</t>
  </si>
  <si>
    <t>4 cajas de plata labrada</t>
  </si>
  <si>
    <t>Ruiz de Mendoza, Francisco</t>
  </si>
  <si>
    <t>Es probable que se hayan cobrado parte de lo que debía a cuenta</t>
  </si>
  <si>
    <t>Herboso, Francisco de</t>
  </si>
  <si>
    <t>Velaochaga, Francisco de</t>
  </si>
  <si>
    <t>Pérez de Arozqueta, Juan</t>
  </si>
  <si>
    <t>Ortiz, Tomás</t>
  </si>
  <si>
    <t>28 cajones de reales</t>
  </si>
  <si>
    <t>112 barras de plata</t>
  </si>
  <si>
    <t>35 barras de plata</t>
  </si>
  <si>
    <t>8 pozuelos de plata labrada</t>
  </si>
  <si>
    <t>23 cajones de reales</t>
  </si>
  <si>
    <t>5 cajones de plata labrada</t>
  </si>
  <si>
    <t>42 cajones de reales</t>
  </si>
  <si>
    <t>13 barras de plata</t>
  </si>
  <si>
    <t>23 sacas de lana de vicuña</t>
  </si>
  <si>
    <t>50 barras de plata</t>
  </si>
  <si>
    <t>2 cajones de plata labrada</t>
  </si>
  <si>
    <t>5 pozuelos de plata labrada</t>
  </si>
  <si>
    <t>7 cajones de reales</t>
  </si>
  <si>
    <t>26v</t>
  </si>
  <si>
    <t>Cementerio, Juan Antonio</t>
  </si>
  <si>
    <t>Montijo, Nicolás</t>
  </si>
  <si>
    <t>Mena Caballero, Juan de</t>
  </si>
  <si>
    <t>Fernández del Campo, Diego</t>
  </si>
  <si>
    <t>Lucen, Pablo de</t>
  </si>
  <si>
    <t>Pérez de Ircio, Pedro</t>
  </si>
  <si>
    <t>Troncoso, Juan</t>
  </si>
  <si>
    <t>Ramos de Arana, Francisco</t>
  </si>
  <si>
    <t>Caicuegui, Agustín de</t>
  </si>
  <si>
    <t>27v</t>
  </si>
  <si>
    <t>García Prieto, Juan</t>
  </si>
  <si>
    <t>Torres, Bernardo de</t>
  </si>
  <si>
    <t>Martínez Fajardo, Julián</t>
  </si>
  <si>
    <t>Doctor</t>
  </si>
  <si>
    <t>Agüero, Rodrigo</t>
  </si>
  <si>
    <t>Centeno, Antonio</t>
  </si>
  <si>
    <t>28v</t>
  </si>
  <si>
    <t>Fernández de Otero, Alonso</t>
  </si>
  <si>
    <t>Valdés, Andrés de</t>
  </si>
  <si>
    <t>Gómez de los Ríos, Jacinto</t>
  </si>
  <si>
    <t>Fernández Montejo, Melchor</t>
  </si>
  <si>
    <t>Valle, Juan Ambrosio del</t>
  </si>
  <si>
    <t>Díaz de Remolino, Pedro</t>
  </si>
  <si>
    <t>Martínez de Velasco, Juan</t>
  </si>
  <si>
    <t>29v</t>
  </si>
  <si>
    <t>Pérez Castellanos, Alonso</t>
  </si>
  <si>
    <t>Ruiz de Arriola, Pedro</t>
  </si>
  <si>
    <t>Cosreya, Joseph de</t>
  </si>
  <si>
    <t>Fernández, Juan Francisco</t>
  </si>
  <si>
    <t>Navarro, Nicolás</t>
  </si>
  <si>
    <t>Gómez Garrido, Fernando</t>
  </si>
  <si>
    <t>Delgado Rico, Juan</t>
  </si>
  <si>
    <t>Romero Soriano, Domingo</t>
  </si>
  <si>
    <t>Rodríguez, Andrés</t>
  </si>
  <si>
    <t>10 barras de plata</t>
  </si>
  <si>
    <t>18 barras de plata</t>
  </si>
  <si>
    <t>8 barras de plata</t>
  </si>
  <si>
    <t>38 cajones de reales</t>
  </si>
  <si>
    <t>84 barras de plata</t>
  </si>
  <si>
    <t>21 cajones de reales</t>
  </si>
  <si>
    <t>26 barras de plata</t>
  </si>
  <si>
    <t>1000 marcos de plata</t>
  </si>
  <si>
    <t>104 barras de plata</t>
  </si>
  <si>
    <t>41 barras de plata</t>
  </si>
  <si>
    <t>30 cajones de reales</t>
  </si>
  <si>
    <t>30 barras de plata</t>
  </si>
  <si>
    <t>75 cajones de reales</t>
  </si>
  <si>
    <t>28 barras de plata</t>
  </si>
  <si>
    <t>13 sacas de lana de vicuña</t>
  </si>
  <si>
    <t>15 cajones de reales</t>
  </si>
  <si>
    <t>11 barras de plata</t>
  </si>
  <si>
    <t>15 barras de plata</t>
  </si>
  <si>
    <t>13 cajones de plata labrada</t>
  </si>
  <si>
    <t>19 barras de plata</t>
  </si>
  <si>
    <t>20 barras de plata</t>
  </si>
  <si>
    <t>7 barras de plata</t>
  </si>
  <si>
    <t>33 barras de plata</t>
  </si>
  <si>
    <t>36 barras de plata</t>
  </si>
  <si>
    <t>27 barras de plata</t>
  </si>
  <si>
    <t>García de las Alas, Francisco</t>
  </si>
  <si>
    <t>8 petacas de plata labrada</t>
  </si>
  <si>
    <t>150 marcos de plata labrada</t>
  </si>
  <si>
    <t>17 barras de plata</t>
  </si>
  <si>
    <t>32 cajones de reales</t>
  </si>
  <si>
    <t>44 barras de plata</t>
  </si>
  <si>
    <t>6.5 fardos de lana de vicuña</t>
  </si>
  <si>
    <t>21 barras de plata</t>
  </si>
  <si>
    <t>23 barras de plata</t>
  </si>
  <si>
    <t>2 baules de plata labrada</t>
  </si>
  <si>
    <t>1 pozuelo de plata labrada</t>
  </si>
  <si>
    <t>1 petaca de plata labrada/ 200 marcos</t>
  </si>
  <si>
    <t>Error de cálculo o rebaja</t>
  </si>
  <si>
    <t>30v</t>
  </si>
  <si>
    <t>12 cajones de reales</t>
  </si>
  <si>
    <t>27 cajones de reales</t>
  </si>
  <si>
    <t>49 barras de plata</t>
  </si>
  <si>
    <t>Cueto, Domingo de</t>
  </si>
  <si>
    <t>80 barras de plata</t>
  </si>
  <si>
    <t>Carrillo, Joseph</t>
  </si>
  <si>
    <t>Valdés, Pedro de</t>
  </si>
  <si>
    <t>5 pozuelos de plata labrada/ 200 marcos</t>
  </si>
  <si>
    <t>Malaver, Francisco de</t>
  </si>
  <si>
    <t>Díaz Zorrilla, Pedro</t>
  </si>
  <si>
    <t>Riquelme, Cristóbal</t>
  </si>
  <si>
    <t>Fermín, Juan</t>
  </si>
  <si>
    <t>2 pozuelos de plata labrada</t>
  </si>
  <si>
    <t>Jiménez, Diego</t>
  </si>
  <si>
    <t>Gonzáles Galeano, Francisco</t>
  </si>
  <si>
    <t>León Carnero, Antonio</t>
  </si>
  <si>
    <t>Martínez de Castro, Andrés</t>
  </si>
  <si>
    <t>43 barras de plata</t>
  </si>
  <si>
    <t>31v</t>
  </si>
  <si>
    <t>40 barras de plata</t>
  </si>
  <si>
    <t>Peñabal, Manuel de</t>
  </si>
  <si>
    <t>Torres, Andrés de</t>
  </si>
  <si>
    <t>García, Lorenzo de</t>
  </si>
  <si>
    <t>Aldecoa, Juan de</t>
  </si>
  <si>
    <t>92 cajones de reales</t>
  </si>
  <si>
    <t>86 barras de plata</t>
  </si>
  <si>
    <t>12 cajones de plata labrada</t>
  </si>
  <si>
    <t>baules</t>
  </si>
  <si>
    <t>3 petacas de plata labrada</t>
  </si>
  <si>
    <t>10 sacas de lana de vicuña</t>
  </si>
  <si>
    <t>Méndez de Alanparte, Jacinto</t>
  </si>
  <si>
    <t>38 barras de plata</t>
  </si>
  <si>
    <t>Saavedra, Juan de</t>
  </si>
  <si>
    <t>Martínez del Portillo, Antonio</t>
  </si>
  <si>
    <t>Contador</t>
  </si>
  <si>
    <t>Torres, Cristóbal de</t>
  </si>
  <si>
    <t>130 cajones de reales</t>
  </si>
  <si>
    <t>100 barras de plata</t>
  </si>
  <si>
    <t>30 cajones de plata labrada</t>
  </si>
  <si>
    <t>43 cajones de reales</t>
  </si>
  <si>
    <t>6 pozuelos de plata labrada</t>
  </si>
  <si>
    <t>Martínez del Valle, Domingo</t>
  </si>
  <si>
    <t>Martínez del Valle, Miguel</t>
  </si>
  <si>
    <t>10 cajones de reales</t>
  </si>
  <si>
    <t>Serrano, Juan</t>
  </si>
  <si>
    <t>López Zambrano, Francisco</t>
  </si>
  <si>
    <t>26 cajones de reales</t>
  </si>
  <si>
    <t>Venegas, Bernabé</t>
  </si>
  <si>
    <t>8 cajones de plata labrada</t>
  </si>
  <si>
    <t>Ubinza, Miguel de</t>
  </si>
  <si>
    <t>Cuesta, Martín de la</t>
  </si>
  <si>
    <t>32v</t>
  </si>
  <si>
    <t>Roque Romero, Diego</t>
  </si>
  <si>
    <t>García, Juan Eusebio</t>
  </si>
  <si>
    <t>72 barras de plata</t>
  </si>
  <si>
    <t>14 cajones de plata labrada</t>
  </si>
  <si>
    <t>Rodríguez Álvarez, Domingo</t>
  </si>
  <si>
    <t>Fernández Barceda, Joseph</t>
  </si>
  <si>
    <t>Gómez de Herrera, Diego</t>
  </si>
  <si>
    <t>Tras, Gabriel de la</t>
  </si>
  <si>
    <t>Pérez, Fernando</t>
  </si>
  <si>
    <t>633 marcos de plata labrada</t>
  </si>
  <si>
    <t>Ossio Ibáñez, Antonio de</t>
  </si>
  <si>
    <t>250 marcos de plata labrada</t>
  </si>
  <si>
    <t>Valdemoros, Juan de</t>
  </si>
  <si>
    <t>Calderón, Cristóbal</t>
  </si>
  <si>
    <t>Herrera, Sebastián de</t>
  </si>
  <si>
    <t>Alférez</t>
  </si>
  <si>
    <t>33v</t>
  </si>
  <si>
    <t>Arriano, Juan de</t>
  </si>
  <si>
    <t>5 baules de plata labrada</t>
  </si>
  <si>
    <t>55 barras de plata</t>
  </si>
  <si>
    <t>5 petacas de plata labrada</t>
  </si>
  <si>
    <t>Prior y cónsules</t>
  </si>
  <si>
    <t>Comisarios de Panamá</t>
  </si>
  <si>
    <t>en reales</t>
  </si>
  <si>
    <t>7 cajones de reales/ 2000 pesos</t>
  </si>
  <si>
    <t>Sánchez Maldonado, Alonso</t>
  </si>
  <si>
    <t>Ibáñez, Lucas</t>
  </si>
  <si>
    <t>Torre, Manuel de la</t>
  </si>
  <si>
    <t>Alcedo, Santiago de</t>
  </si>
  <si>
    <t>Alcedo, Cristóbal de</t>
  </si>
  <si>
    <t>34v</t>
  </si>
  <si>
    <t>García Varela, Juan</t>
  </si>
  <si>
    <t>950 marcos de plata labrada</t>
  </si>
  <si>
    <t>Capetillo, Diego</t>
  </si>
  <si>
    <t>Sabogal, Tomás de</t>
  </si>
  <si>
    <t>Dominguez López, Juan</t>
  </si>
  <si>
    <t>Zuñiga, Francisco de</t>
  </si>
  <si>
    <t>Barnechea, Roque de</t>
  </si>
  <si>
    <t>35v</t>
  </si>
  <si>
    <t>82 cajones de reales</t>
  </si>
  <si>
    <t>102 barras de plata</t>
  </si>
  <si>
    <t>Fernández de Paredes, Francisco</t>
  </si>
  <si>
    <t>45 barras de plata</t>
  </si>
  <si>
    <t>Álvarez, Gabriel</t>
  </si>
  <si>
    <t>Error de cobro/ pago previo</t>
  </si>
  <si>
    <t>Rodríguez Gárate, Joseph</t>
  </si>
  <si>
    <t>300 marcos de plata</t>
  </si>
  <si>
    <t>1800 pesos</t>
  </si>
  <si>
    <t>Armada de 1675</t>
  </si>
  <si>
    <t>Total 1</t>
  </si>
  <si>
    <t>Total 2</t>
  </si>
  <si>
    <t>Total Final</t>
  </si>
  <si>
    <t>Arbizu, Francisco de</t>
  </si>
  <si>
    <t>Fernández Dávila, Marcos</t>
  </si>
  <si>
    <t>ID</t>
  </si>
  <si>
    <t>Rodríguez Cortés, Andrés</t>
  </si>
  <si>
    <t>Céspedes, Juan de</t>
  </si>
  <si>
    <t>Peña Zevallos, Diego</t>
  </si>
  <si>
    <t>Arana Jáuregui, Gerónimo de</t>
  </si>
  <si>
    <t>Oláez, Esteban de</t>
  </si>
  <si>
    <t>Vásquez de Acuña, Ignacio</t>
  </si>
  <si>
    <t>Taborga, Juan Bautista de</t>
  </si>
  <si>
    <t>Otárola, Roque de</t>
  </si>
  <si>
    <t>Castañeda, Francisco de</t>
  </si>
  <si>
    <t>Urrieta, Cristóbal de</t>
  </si>
  <si>
    <t>Fajardo de Córdova, Luis</t>
  </si>
  <si>
    <t>Lamas y Sandi, Andrés de</t>
  </si>
  <si>
    <t>Rodríguez Rivadeneira, Francisco</t>
  </si>
  <si>
    <t>Serrao, Francisco</t>
  </si>
  <si>
    <t>Orue Sagasti, Juan</t>
  </si>
  <si>
    <t>Italia y Aréstegui, Martín de</t>
  </si>
  <si>
    <t>León, Joseph Bernardo de</t>
  </si>
  <si>
    <t>Sánchez de Bada, Francisco</t>
  </si>
  <si>
    <t>Hoz, Sebastián de la</t>
  </si>
  <si>
    <t>Jímenez Vela de Lara, Alonso</t>
  </si>
  <si>
    <t>Ortiz Peroso, Gonzalo</t>
  </si>
  <si>
    <t>Quesada, Juan Santos de</t>
  </si>
  <si>
    <t>Meza, Andrés de</t>
  </si>
  <si>
    <t>Meza, Andrés Antonio</t>
  </si>
  <si>
    <t>Rotalde, Domingo de</t>
  </si>
  <si>
    <t>Vásquez Lozano, Alonso</t>
  </si>
  <si>
    <t>Vásquez de Ávila, Íñigo</t>
  </si>
  <si>
    <t>López de Altozano, Juan</t>
  </si>
  <si>
    <t>Panes, Tomás de</t>
  </si>
  <si>
    <t>Quesada, Diego de</t>
  </si>
  <si>
    <t>Valverde y Mercado, Joseph de</t>
  </si>
  <si>
    <t>Ramos de Azu, Juan</t>
  </si>
  <si>
    <t>Bolívar, Gerónimo de</t>
  </si>
  <si>
    <t>Sánchez Tagle, Francisco</t>
  </si>
  <si>
    <t>Torresillas, Joseph de</t>
  </si>
  <si>
    <t>Zumarraga, Pedro de</t>
  </si>
  <si>
    <t>Lascuraín, Pedro de</t>
  </si>
  <si>
    <t>Monasterio Guren, Antonio de</t>
  </si>
  <si>
    <t>Mugaburu, Pedro de</t>
  </si>
  <si>
    <t>Gortairi, Martín de</t>
  </si>
  <si>
    <t>Puerto Marino, Domingo del</t>
  </si>
  <si>
    <t>Baquero, Francisco</t>
  </si>
  <si>
    <t>Legorburu</t>
  </si>
  <si>
    <t>Lastra, Francisco de</t>
  </si>
  <si>
    <t>Muñoz de la Calzada, Nicolás</t>
  </si>
  <si>
    <t>Royo, Joseph de</t>
  </si>
  <si>
    <t>Bedia, Joseph de</t>
  </si>
  <si>
    <t>Luján, Luis Antonio</t>
  </si>
  <si>
    <t>Peña, Diego de la</t>
  </si>
  <si>
    <t>Arauz, Francisco de</t>
  </si>
  <si>
    <t>Meza, Martín de</t>
  </si>
  <si>
    <t>Elgorriaga, Juan</t>
  </si>
  <si>
    <t>Rueda, Domingo de</t>
  </si>
  <si>
    <t>Lártiga y de la Torre, Francisco de</t>
  </si>
  <si>
    <t>Martínez Carrillo, Joseph</t>
  </si>
  <si>
    <t>Baldovinos Quint, Diego de</t>
  </si>
  <si>
    <t>Corro, Fernando</t>
  </si>
  <si>
    <t>Riva, Pedro de la</t>
  </si>
  <si>
    <t>Tellez de la Fuente, Juan</t>
  </si>
  <si>
    <t>Revollar Zevallos, Joseph de</t>
  </si>
  <si>
    <t>Iturrain, Martín de</t>
  </si>
  <si>
    <t>Ortiz de Foronda, Juan</t>
  </si>
  <si>
    <t>Ortiz de Lartanda, José</t>
  </si>
  <si>
    <t>Nombres</t>
  </si>
  <si>
    <t>Desempate</t>
  </si>
  <si>
    <t>Jerarquía</t>
  </si>
  <si>
    <t>Sumaproducto1</t>
  </si>
  <si>
    <t>Sumaproducto2</t>
  </si>
  <si>
    <t>SumaTotal</t>
  </si>
  <si>
    <t>Fila</t>
  </si>
  <si>
    <t>Mayores exportadores</t>
  </si>
  <si>
    <t>Suma</t>
  </si>
  <si>
    <t>Espinosa, Juan</t>
  </si>
  <si>
    <t>Díaz del Rincón, Pedro</t>
  </si>
  <si>
    <t>Plata</t>
  </si>
  <si>
    <t>Otros</t>
  </si>
  <si>
    <t>Desagregado de productos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</si>
</sst>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b/>
      <sz val="10"/>
      <color theme="1"/>
      <name val="Calibri"/>
      <family val="2"/>
      <scheme val="minor"/>
    </font>
    <font>
      <b/>
      <sz val="10"/>
      <name val="Calibri"/>
      <family val="2"/>
      <scheme val="minor"/>
    </font>
    <font>
      <sz val="10"/>
      <name val="Calibri"/>
      <family val="2"/>
      <scheme val="minor"/>
    </font>
    <font>
      <sz val="10"/>
      <color rgb="FFFF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theme="8"/>
      </right>
      <top style="thin">
        <color theme="8"/>
      </top>
      <bottom/>
      <diagonal/>
    </border>
  </borders>
  <cellStyleXfs count="1">
    <xf numFmtId="0" fontId="0" fillId="0" borderId="0"/>
  </cellStyleXfs>
  <cellXfs count="107">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center" vertical="center" wrapText="1"/>
    </xf>
    <xf numFmtId="0" fontId="1" fillId="0" borderId="1" xfId="0" applyNumberFormat="1" applyFont="1" applyBorder="1" applyAlignment="1">
      <alignment horizontal="center" vertical="center" wrapText="1"/>
    </xf>
    <xf numFmtId="0" fontId="1" fillId="0" borderId="3" xfId="0" applyNumberFormat="1" applyFont="1" applyBorder="1" applyAlignment="1">
      <alignment vertical="center" wrapText="1"/>
    </xf>
    <xf numFmtId="0" fontId="4" fillId="0" borderId="1" xfId="0" applyNumberFormat="1" applyFont="1" applyBorder="1" applyAlignment="1">
      <alignment horizontal="center" vertical="center" wrapText="1"/>
    </xf>
    <xf numFmtId="2" fontId="1" fillId="0" borderId="1" xfId="0" applyNumberFormat="1" applyFont="1" applyBorder="1" applyAlignment="1">
      <alignment horizontal="center" vertical="center" wrapText="1"/>
    </xf>
    <xf numFmtId="1" fontId="1" fillId="0" borderId="1" xfId="0" applyNumberFormat="1" applyFont="1" applyBorder="1" applyAlignment="1">
      <alignment horizontal="center" vertical="center" wrapText="1"/>
    </xf>
    <xf numFmtId="16" fontId="1" fillId="0" borderId="1" xfId="0" applyNumberFormat="1" applyFont="1" applyBorder="1" applyAlignment="1">
      <alignment horizontal="center" vertical="center" wrapText="1"/>
    </xf>
    <xf numFmtId="0" fontId="5" fillId="0" borderId="1" xfId="0" applyNumberFormat="1" applyFont="1" applyBorder="1" applyAlignment="1">
      <alignment horizontal="center" vertical="center" wrapText="1"/>
    </xf>
    <xf numFmtId="16" fontId="1" fillId="0" borderId="3" xfId="0" applyNumberFormat="1" applyFont="1" applyBorder="1" applyAlignment="1">
      <alignment vertical="center" wrapText="1"/>
    </xf>
    <xf numFmtId="0" fontId="1" fillId="0" borderId="3" xfId="0" applyNumberFormat="1" applyFont="1" applyBorder="1" applyAlignment="1">
      <alignment horizontal="center" vertical="center" wrapText="1"/>
    </xf>
    <xf numFmtId="0" fontId="5" fillId="0" borderId="3" xfId="0" applyNumberFormat="1" applyFont="1" applyBorder="1" applyAlignment="1">
      <alignment horizontal="center" vertical="center" wrapText="1"/>
    </xf>
    <xf numFmtId="0" fontId="4" fillId="0" borderId="3" xfId="0" applyNumberFormat="1" applyFont="1" applyBorder="1" applyAlignment="1">
      <alignment horizontal="center" vertical="center" wrapText="1"/>
    </xf>
    <xf numFmtId="2" fontId="1" fillId="0" borderId="3" xfId="0" applyNumberFormat="1" applyFont="1" applyBorder="1" applyAlignment="1">
      <alignment horizontal="center" vertical="center" wrapText="1"/>
    </xf>
    <xf numFmtId="1" fontId="1" fillId="0" borderId="3" xfId="0" applyNumberFormat="1" applyFont="1" applyBorder="1" applyAlignment="1">
      <alignment horizontal="center" vertical="center" wrapText="1"/>
    </xf>
    <xf numFmtId="0" fontId="1" fillId="0" borderId="1" xfId="0" applyFont="1" applyBorder="1"/>
    <xf numFmtId="0" fontId="1" fillId="0" borderId="1" xfId="0" applyNumberFormat="1" applyFont="1" applyFill="1" applyBorder="1" applyAlignment="1">
      <alignment horizontal="center" vertical="center" wrapText="1"/>
    </xf>
    <xf numFmtId="0" fontId="5" fillId="0" borderId="1" xfId="0" applyNumberFormat="1" applyFont="1" applyBorder="1" applyAlignment="1">
      <alignment horizontal="center" vertical="center"/>
    </xf>
    <xf numFmtId="0" fontId="4" fillId="0" borderId="1" xfId="0" applyNumberFormat="1" applyFont="1" applyBorder="1" applyAlignment="1">
      <alignment horizontal="center" vertical="center"/>
    </xf>
    <xf numFmtId="2" fontId="1" fillId="0" borderId="1" xfId="0" applyNumberFormat="1" applyFont="1" applyFill="1" applyBorder="1" applyAlignment="1">
      <alignment horizontal="center" vertical="center" wrapText="1"/>
    </xf>
    <xf numFmtId="1" fontId="1" fillId="0" borderId="1" xfId="0" applyNumberFormat="1"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wrapText="1"/>
    </xf>
    <xf numFmtId="0" fontId="1" fillId="0" borderId="1" xfId="0" applyNumberFormat="1" applyFont="1" applyBorder="1" applyAlignment="1">
      <alignment horizontal="center" vertical="center"/>
    </xf>
    <xf numFmtId="0" fontId="1" fillId="0" borderId="1" xfId="0" applyFont="1" applyFill="1" applyBorder="1" applyAlignment="1">
      <alignment wrapText="1"/>
    </xf>
    <xf numFmtId="0" fontId="5" fillId="3" borderId="1" xfId="0" applyNumberFormat="1" applyFont="1" applyFill="1" applyBorder="1" applyAlignment="1">
      <alignment horizontal="center" vertical="center"/>
    </xf>
    <xf numFmtId="0" fontId="4" fillId="3" borderId="1"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0" fontId="4" fillId="0" borderId="1" xfId="0" applyNumberFormat="1"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3" borderId="1" xfId="0" applyFont="1" applyFill="1" applyBorder="1" applyAlignment="1">
      <alignment wrapText="1"/>
    </xf>
    <xf numFmtId="16" fontId="1" fillId="0" borderId="1" xfId="0" applyNumberFormat="1" applyFont="1" applyBorder="1"/>
    <xf numFmtId="0" fontId="1" fillId="0" borderId="0" xfId="0" applyFont="1" applyAlignment="1">
      <alignment horizontal="center" vertical="center"/>
    </xf>
    <xf numFmtId="0" fontId="1" fillId="0" borderId="0" xfId="0" applyFont="1"/>
    <xf numFmtId="0" fontId="1" fillId="0" borderId="0" xfId="0" applyFont="1" applyAlignment="1">
      <alignment horizontal="center"/>
    </xf>
    <xf numFmtId="0" fontId="1" fillId="0" borderId="0" xfId="0" applyNumberFormat="1" applyFont="1" applyAlignment="1">
      <alignment horizontal="center" vertical="center"/>
    </xf>
    <xf numFmtId="0" fontId="4" fillId="0" borderId="0" xfId="0" applyNumberFormat="1" applyFont="1" applyAlignment="1">
      <alignment horizontal="center" vertical="center"/>
    </xf>
    <xf numFmtId="0" fontId="1" fillId="3" borderId="1" xfId="0" applyFont="1" applyFill="1" applyBorder="1" applyAlignment="1">
      <alignment horizontal="center" vertical="center" wrapText="1"/>
    </xf>
    <xf numFmtId="0" fontId="1" fillId="0" borderId="3" xfId="0" applyFont="1" applyBorder="1" applyAlignment="1">
      <alignment horizontal="center" vertical="center"/>
    </xf>
    <xf numFmtId="0" fontId="5" fillId="0" borderId="1" xfId="0" applyNumberFormat="1" applyFont="1" applyFill="1" applyBorder="1" applyAlignment="1">
      <alignment horizontal="center" vertical="center"/>
    </xf>
    <xf numFmtId="0" fontId="1" fillId="0" borderId="3" xfId="0" applyFont="1" applyBorder="1" applyAlignment="1">
      <alignment vertical="center"/>
    </xf>
    <xf numFmtId="0" fontId="1" fillId="0" borderId="4" xfId="0" applyFont="1" applyBorder="1" applyAlignment="1">
      <alignment vertical="center"/>
    </xf>
    <xf numFmtId="0" fontId="4" fillId="0" borderId="3" xfId="0" applyNumberFormat="1" applyFont="1" applyFill="1" applyBorder="1" applyAlignment="1">
      <alignment vertical="center"/>
    </xf>
    <xf numFmtId="0" fontId="4" fillId="0" borderId="4" xfId="0" applyNumberFormat="1" applyFont="1" applyFill="1" applyBorder="1" applyAlignment="1">
      <alignment vertical="center"/>
    </xf>
    <xf numFmtId="0" fontId="4" fillId="0" borderId="5" xfId="0" applyNumberFormat="1" applyFont="1" applyFill="1" applyBorder="1" applyAlignment="1">
      <alignment vertical="center"/>
    </xf>
    <xf numFmtId="0" fontId="1" fillId="0" borderId="5" xfId="0" applyFont="1" applyBorder="1" applyAlignment="1">
      <alignment vertical="center"/>
    </xf>
    <xf numFmtId="0" fontId="1" fillId="0" borderId="1" xfId="0" applyFont="1" applyBorder="1" applyAlignment="1">
      <alignment vertical="center"/>
    </xf>
    <xf numFmtId="0" fontId="4" fillId="0" borderId="1" xfId="0" applyNumberFormat="1" applyFont="1" applyBorder="1" applyAlignment="1">
      <alignment vertical="center"/>
    </xf>
    <xf numFmtId="0" fontId="5" fillId="0" borderId="1" xfId="0" applyNumberFormat="1" applyFont="1" applyFill="1" applyBorder="1" applyAlignment="1">
      <alignment vertical="center"/>
    </xf>
    <xf numFmtId="0" fontId="5" fillId="0" borderId="1" xfId="0" applyFont="1" applyBorder="1" applyAlignment="1">
      <alignment vertical="center"/>
    </xf>
    <xf numFmtId="1" fontId="1" fillId="0" borderId="1" xfId="0" applyNumberFormat="1" applyFont="1" applyFill="1" applyBorder="1" applyAlignment="1">
      <alignment vertical="center" wrapText="1"/>
    </xf>
    <xf numFmtId="0" fontId="1" fillId="3"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4" fillId="0" borderId="1" xfId="0" applyNumberFormat="1" applyFont="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xf numFmtId="0" fontId="5" fillId="3" borderId="1" xfId="0" applyNumberFormat="1" applyFont="1" applyFill="1" applyBorder="1" applyAlignment="1">
      <alignment horizontal="center" vertical="center" wrapText="1"/>
    </xf>
    <xf numFmtId="3" fontId="0" fillId="0" borderId="0" xfId="0" applyNumberFormat="1"/>
    <xf numFmtId="0" fontId="1" fillId="0" borderId="3" xfId="0" applyNumberFormat="1" applyFont="1" applyBorder="1" applyAlignment="1">
      <alignment horizontal="center" vertical="center" wrapText="1"/>
    </xf>
    <xf numFmtId="0" fontId="0" fillId="0" borderId="6" xfId="0" applyBorder="1"/>
    <xf numFmtId="0" fontId="1" fillId="0" borderId="6" xfId="0" applyFont="1" applyBorder="1"/>
    <xf numFmtId="0" fontId="1" fillId="0" borderId="6" xfId="0" applyFont="1" applyFill="1" applyBorder="1"/>
    <xf numFmtId="0" fontId="0" fillId="0" borderId="0" xfId="0" applyBorder="1" applyAlignment="1">
      <alignment horizontal="center" vertical="center" wrapText="1"/>
    </xf>
    <xf numFmtId="0" fontId="0" fillId="0" borderId="0" xfId="0" applyBorder="1" applyAlignment="1">
      <alignment horizontal="center"/>
    </xf>
    <xf numFmtId="0" fontId="1" fillId="0" borderId="0" xfId="0" applyFont="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5" xfId="0" applyFont="1" applyBorder="1" applyAlignment="1">
      <alignment horizontal="center" vertical="center"/>
    </xf>
    <xf numFmtId="0" fontId="4" fillId="0" borderId="3" xfId="0" applyNumberFormat="1" applyFont="1" applyFill="1" applyBorder="1" applyAlignment="1">
      <alignment horizontal="center" vertical="center"/>
    </xf>
    <xf numFmtId="0" fontId="4" fillId="0" borderId="4" xfId="0" applyNumberFormat="1" applyFont="1" applyFill="1" applyBorder="1" applyAlignment="1">
      <alignment horizontal="center" vertical="center"/>
    </xf>
    <xf numFmtId="0" fontId="4" fillId="0" borderId="5" xfId="0" applyNumberFormat="1" applyFont="1" applyFill="1" applyBorder="1" applyAlignment="1">
      <alignment horizontal="center" vertical="center"/>
    </xf>
    <xf numFmtId="0" fontId="1" fillId="0" borderId="1" xfId="0" applyFont="1" applyBorder="1" applyAlignment="1">
      <alignment horizontal="center" vertical="center" wrapText="1"/>
    </xf>
    <xf numFmtId="1" fontId="1" fillId="0" borderId="3" xfId="0" applyNumberFormat="1" applyFont="1" applyBorder="1" applyAlignment="1">
      <alignment horizontal="center" vertical="center" wrapText="1"/>
    </xf>
    <xf numFmtId="1" fontId="1" fillId="0" borderId="4" xfId="0" applyNumberFormat="1" applyFont="1" applyBorder="1" applyAlignment="1">
      <alignment horizontal="center" vertical="center" wrapText="1"/>
    </xf>
    <xf numFmtId="1" fontId="1" fillId="0" borderId="1" xfId="0" applyNumberFormat="1" applyFont="1" applyFill="1" applyBorder="1" applyAlignment="1">
      <alignment horizontal="center" vertical="center" wrapText="1"/>
    </xf>
    <xf numFmtId="0" fontId="4" fillId="0" borderId="1" xfId="0" applyNumberFormat="1" applyFont="1" applyBorder="1" applyAlignment="1">
      <alignment horizontal="center" vertical="center"/>
    </xf>
    <xf numFmtId="0" fontId="5" fillId="0" borderId="1" xfId="0" applyNumberFormat="1" applyFont="1" applyFill="1" applyBorder="1" applyAlignment="1">
      <alignment horizontal="center" vertical="center"/>
    </xf>
    <xf numFmtId="0" fontId="5" fillId="0" borderId="1" xfId="0" applyFont="1" applyBorder="1" applyAlignment="1">
      <alignment horizontal="center" vertical="center"/>
    </xf>
    <xf numFmtId="1" fontId="1" fillId="0" borderId="5" xfId="0" applyNumberFormat="1" applyFont="1" applyBorder="1" applyAlignment="1">
      <alignment horizontal="center" vertical="center" wrapText="1"/>
    </xf>
    <xf numFmtId="0" fontId="1" fillId="0" borderId="3" xfId="0" applyNumberFormat="1" applyFont="1" applyBorder="1" applyAlignment="1">
      <alignment horizontal="center" vertical="center" wrapText="1"/>
    </xf>
    <xf numFmtId="0" fontId="1" fillId="0" borderId="5" xfId="0" applyNumberFormat="1" applyFont="1" applyBorder="1" applyAlignment="1">
      <alignment horizontal="center" vertical="center" wrapText="1"/>
    </xf>
    <xf numFmtId="0" fontId="1" fillId="0" borderId="4" xfId="0" applyNumberFormat="1" applyFont="1" applyBorder="1" applyAlignment="1">
      <alignment horizontal="center" vertical="center" wrapText="1"/>
    </xf>
    <xf numFmtId="0" fontId="1" fillId="0" borderId="3" xfId="0" applyFont="1" applyBorder="1" applyAlignment="1">
      <alignment horizontal="center" wrapText="1"/>
    </xf>
    <xf numFmtId="0" fontId="1" fillId="0" borderId="5" xfId="0" applyFont="1" applyBorder="1" applyAlignment="1">
      <alignment horizontal="center" wrapText="1"/>
    </xf>
    <xf numFmtId="0" fontId="1" fillId="0" borderId="4" xfId="0" applyFont="1" applyBorder="1" applyAlignment="1">
      <alignment horizont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5" fillId="0" borderId="3" xfId="0" applyFont="1" applyBorder="1" applyAlignment="1">
      <alignment horizontal="center" vertical="center"/>
    </xf>
    <xf numFmtId="0" fontId="5" fillId="0" borderId="5" xfId="0" applyFont="1" applyBorder="1" applyAlignment="1">
      <alignment horizontal="center" vertical="center"/>
    </xf>
    <xf numFmtId="0" fontId="0" fillId="0" borderId="0" xfId="0" applyAlignment="1">
      <alignment horizontal="center"/>
    </xf>
    <xf numFmtId="3" fontId="0" fillId="0" borderId="0" xfId="0" applyNumberFormat="1" applyAlignment="1">
      <alignment horizontal="center"/>
    </xf>
    <xf numFmtId="3" fontId="0" fillId="0" borderId="0" xfId="0" applyNumberFormat="1" applyAlignment="1">
      <alignment horizontal="center" vertical="center"/>
    </xf>
  </cellXfs>
  <cellStyles count="1">
    <cellStyle name="Normal" xfId="0" builtinId="0"/>
  </cellStyles>
  <dxfs count="5">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oems/Desktop/Diplomado/Base%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D"/>
      <sheetName val="Productos"/>
      <sheetName val="1662"/>
      <sheetName val="1670"/>
      <sheetName val="1672"/>
      <sheetName val="1675"/>
      <sheetName val="1678"/>
      <sheetName val="1681"/>
      <sheetName val="1686"/>
      <sheetName val="1691"/>
      <sheetName val="1696"/>
      <sheetName val="1708"/>
      <sheetName val="1726"/>
      <sheetName val="Totales"/>
      <sheetName val="Base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57E751-2BDF-4612-B9CA-DA27C6FD7B51}" name="Tabla1" displayName="Tabla1" ref="I1:K247" totalsRowShown="0" headerRowDxfId="4" dataDxfId="3">
  <autoFilter ref="I1:K247" xr:uid="{F757E751-2BDF-4612-B9CA-DA27C6FD7B51}"/>
  <tableColumns count="3">
    <tableColumn id="1" xr3:uid="{42152806-4306-4F6E-91D6-8AE62BBAEDC4}" name="Fila" dataDxfId="2"/>
    <tableColumn id="2" xr3:uid="{77DDB9C5-DB66-4F64-9701-EEEE744E9801}" name="Mayores exportadores" dataDxfId="1">
      <calculatedColumnFormula>INDEX($A$2:$A$247,MATCH(I2,$F$2:$F$247,0))</calculatedColumnFormula>
    </tableColumn>
    <tableColumn id="3" xr3:uid="{AF7B5C6B-CCD3-4966-AD00-559FAB8307C3}" name="Suma" dataDxfId="0">
      <calculatedColumnFormula>INDEX($D$2:$D$247,MATCH(I2,$F$2:$F$247,0))</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62"/>
  <sheetViews>
    <sheetView topLeftCell="A236" workbookViewId="0">
      <selection activeCell="G88" sqref="G88:H252"/>
    </sheetView>
  </sheetViews>
  <sheetFormatPr baseColWidth="10" defaultColWidth="9.140625" defaultRowHeight="15" x14ac:dyDescent="0.25"/>
  <cols>
    <col min="1" max="1" width="9.140625" style="42"/>
    <col min="2" max="3" width="9.140625" style="43"/>
    <col min="4" max="4" width="15.7109375" style="2" customWidth="1"/>
    <col min="5" max="6" width="9.140625" style="43"/>
    <col min="7" max="7" width="11.85546875" style="44" bestFit="1" customWidth="1"/>
    <col min="8" max="8" width="16.28515625" style="3" customWidth="1"/>
    <col min="9" max="9" width="9.42578125" style="45" bestFit="1" customWidth="1"/>
    <col min="10" max="10" width="9.42578125" style="46" customWidth="1"/>
    <col min="11" max="11" width="9.140625" style="43"/>
    <col min="12" max="12" width="9.85546875" style="43" customWidth="1"/>
    <col min="13" max="14" width="9.140625" style="42"/>
    <col min="15" max="15" width="9.140625" style="43"/>
    <col min="20" max="20" width="9.42578125" bestFit="1" customWidth="1"/>
  </cols>
  <sheetData>
    <row r="1" spans="1:20" ht="102" x14ac:dyDescent="0.25">
      <c r="A1" s="4" t="s">
        <v>0</v>
      </c>
      <c r="B1" s="5" t="s">
        <v>1</v>
      </c>
      <c r="C1" s="5" t="s">
        <v>470</v>
      </c>
      <c r="D1" s="4" t="s">
        <v>2</v>
      </c>
      <c r="E1" s="4" t="s">
        <v>3</v>
      </c>
      <c r="F1" s="4" t="s">
        <v>4</v>
      </c>
      <c r="G1" s="4" t="s">
        <v>5</v>
      </c>
      <c r="H1" s="4" t="s">
        <v>6</v>
      </c>
      <c r="I1" s="6" t="s">
        <v>7</v>
      </c>
      <c r="J1" s="7" t="s">
        <v>131</v>
      </c>
      <c r="K1" s="4" t="s">
        <v>23</v>
      </c>
      <c r="L1" s="4" t="s">
        <v>26</v>
      </c>
      <c r="M1" s="4" t="s">
        <v>8</v>
      </c>
      <c r="N1" s="4" t="s">
        <v>9</v>
      </c>
      <c r="O1" s="4" t="s">
        <v>10</v>
      </c>
    </row>
    <row r="2" spans="1:20" ht="60" customHeight="1" x14ac:dyDescent="0.25">
      <c r="A2" s="8">
        <v>11</v>
      </c>
      <c r="B2" s="8" t="s">
        <v>15</v>
      </c>
      <c r="C2" s="69">
        <f>MATCH(D2,[1]!Tabla1[Consignatario],0)</f>
        <v>2586</v>
      </c>
      <c r="D2" s="9" t="s">
        <v>16</v>
      </c>
      <c r="E2" s="8"/>
      <c r="F2" s="8"/>
      <c r="G2" s="8" t="s">
        <v>12</v>
      </c>
      <c r="H2" s="8" t="s">
        <v>254</v>
      </c>
      <c r="I2" s="8">
        <f>52*150</f>
        <v>7800</v>
      </c>
      <c r="J2" s="10"/>
      <c r="K2" s="11" t="s">
        <v>24</v>
      </c>
      <c r="L2" s="11"/>
      <c r="M2" s="12">
        <v>546</v>
      </c>
      <c r="N2" s="12">
        <v>4</v>
      </c>
      <c r="O2" s="8" t="s">
        <v>17</v>
      </c>
    </row>
    <row r="3" spans="1:20" ht="25.5" x14ac:dyDescent="0.25">
      <c r="A3" s="8">
        <v>11</v>
      </c>
      <c r="B3" s="8" t="s">
        <v>15</v>
      </c>
      <c r="C3" s="69">
        <f>MATCH(D3,[1]!Tabla1[Consignatario],0)</f>
        <v>2586</v>
      </c>
      <c r="D3" s="9" t="s">
        <v>16</v>
      </c>
      <c r="E3" s="8"/>
      <c r="F3" s="13">
        <v>44216</v>
      </c>
      <c r="G3" s="8" t="s">
        <v>12</v>
      </c>
      <c r="H3" s="8" t="s">
        <v>161</v>
      </c>
      <c r="I3" s="8">
        <f>5*150</f>
        <v>750</v>
      </c>
      <c r="J3" s="10"/>
      <c r="K3" s="11" t="s">
        <v>24</v>
      </c>
      <c r="L3" s="11"/>
      <c r="M3" s="12">
        <v>52</v>
      </c>
      <c r="N3" s="12">
        <v>4</v>
      </c>
      <c r="O3" s="8"/>
      <c r="R3" t="s">
        <v>38</v>
      </c>
      <c r="S3" t="s">
        <v>132</v>
      </c>
      <c r="T3">
        <f>20*100/2</f>
        <v>1000</v>
      </c>
    </row>
    <row r="4" spans="1:20" ht="25.5" x14ac:dyDescent="0.25">
      <c r="A4" s="8" t="s">
        <v>18</v>
      </c>
      <c r="B4" s="8"/>
      <c r="C4" s="69">
        <f>MATCH(D4,[1]!Tabla1[Consignatario],0)</f>
        <v>1294</v>
      </c>
      <c r="D4" s="8" t="s">
        <v>507</v>
      </c>
      <c r="E4" s="8"/>
      <c r="F4" s="13">
        <v>44347</v>
      </c>
      <c r="G4" s="8" t="s">
        <v>11</v>
      </c>
      <c r="H4" s="8" t="s">
        <v>257</v>
      </c>
      <c r="I4" s="14">
        <v>5000</v>
      </c>
      <c r="J4" s="10"/>
      <c r="K4" s="11" t="s">
        <v>25</v>
      </c>
      <c r="L4" s="11" t="s">
        <v>27</v>
      </c>
      <c r="M4" s="12">
        <v>100</v>
      </c>
      <c r="N4" s="12"/>
      <c r="O4" s="8"/>
      <c r="R4" t="s">
        <v>48</v>
      </c>
      <c r="S4" t="s">
        <v>133</v>
      </c>
      <c r="T4">
        <f>50*100/2</f>
        <v>2500</v>
      </c>
    </row>
    <row r="5" spans="1:20" ht="25.5" x14ac:dyDescent="0.25">
      <c r="A5" s="8" t="s">
        <v>18</v>
      </c>
      <c r="B5" s="8"/>
      <c r="C5" s="69">
        <f>MATCH(D5,[1]!Tabla1[Consignatario],0)</f>
        <v>2148</v>
      </c>
      <c r="D5" s="8" t="s">
        <v>28</v>
      </c>
      <c r="E5" s="8"/>
      <c r="F5" s="13">
        <v>44347</v>
      </c>
      <c r="G5" s="8" t="s">
        <v>11</v>
      </c>
      <c r="H5" s="8" t="s">
        <v>22</v>
      </c>
      <c r="I5" s="67">
        <f>60*100/2</f>
        <v>3000</v>
      </c>
      <c r="J5" s="10"/>
      <c r="K5" s="11" t="s">
        <v>25</v>
      </c>
      <c r="L5" s="11" t="s">
        <v>29</v>
      </c>
      <c r="M5" s="12">
        <v>60</v>
      </c>
      <c r="N5" s="12"/>
      <c r="O5" s="8"/>
      <c r="R5" t="s">
        <v>102</v>
      </c>
      <c r="S5" t="s">
        <v>133</v>
      </c>
      <c r="T5">
        <v>2500</v>
      </c>
    </row>
    <row r="6" spans="1:20" ht="25.5" x14ac:dyDescent="0.25">
      <c r="A6" s="8" t="s">
        <v>18</v>
      </c>
      <c r="B6" s="8" t="s">
        <v>19</v>
      </c>
      <c r="C6" s="69">
        <f>MATCH(D6,[1]!Tabla1[Consignatario],0)</f>
        <v>734</v>
      </c>
      <c r="D6" s="8" t="s">
        <v>32</v>
      </c>
      <c r="E6" s="8"/>
      <c r="F6" s="13">
        <v>44347</v>
      </c>
      <c r="G6" s="8" t="s">
        <v>11</v>
      </c>
      <c r="H6" s="8" t="s">
        <v>20</v>
      </c>
      <c r="I6" s="8">
        <v>6000</v>
      </c>
      <c r="J6" s="10"/>
      <c r="K6" s="11" t="s">
        <v>25</v>
      </c>
      <c r="L6" s="11" t="s">
        <v>27</v>
      </c>
      <c r="M6" s="12" t="s">
        <v>261</v>
      </c>
      <c r="N6" s="12"/>
      <c r="O6" s="8" t="s">
        <v>21</v>
      </c>
      <c r="R6" t="s">
        <v>81</v>
      </c>
      <c r="S6" t="s">
        <v>134</v>
      </c>
      <c r="T6">
        <v>800</v>
      </c>
    </row>
    <row r="7" spans="1:20" ht="25.5" x14ac:dyDescent="0.25">
      <c r="A7" s="8" t="s">
        <v>18</v>
      </c>
      <c r="B7" s="8"/>
      <c r="C7" s="69">
        <f>MATCH(D7,[1]!Tabla1[Consignatario],0)</f>
        <v>1394</v>
      </c>
      <c r="D7" s="8" t="s">
        <v>31</v>
      </c>
      <c r="E7" s="8"/>
      <c r="F7" s="15">
        <v>44347</v>
      </c>
      <c r="G7" s="8" t="s">
        <v>11</v>
      </c>
      <c r="H7" s="8" t="s">
        <v>258</v>
      </c>
      <c r="I7" s="14">
        <v>10000</v>
      </c>
      <c r="J7" s="10">
        <v>200</v>
      </c>
      <c r="K7" s="11" t="s">
        <v>25</v>
      </c>
      <c r="L7" s="11" t="s">
        <v>30</v>
      </c>
      <c r="M7" s="86">
        <v>240</v>
      </c>
      <c r="N7" s="12"/>
      <c r="O7" s="8"/>
    </row>
    <row r="8" spans="1:20" ht="25.5" x14ac:dyDescent="0.25">
      <c r="A8" s="8"/>
      <c r="B8" s="8"/>
      <c r="C8" s="69">
        <f>MATCH(D8,[1]!Tabla1[Consignatario],0)</f>
        <v>1394</v>
      </c>
      <c r="D8" s="8" t="s">
        <v>31</v>
      </c>
      <c r="E8" s="8"/>
      <c r="F8" s="15">
        <v>44347</v>
      </c>
      <c r="G8" s="8" t="s">
        <v>256</v>
      </c>
      <c r="H8" s="8" t="s">
        <v>37</v>
      </c>
      <c r="I8" s="14">
        <v>2000</v>
      </c>
      <c r="J8" s="10">
        <v>40</v>
      </c>
      <c r="K8" s="11" t="s">
        <v>25</v>
      </c>
      <c r="L8" s="11" t="s">
        <v>30</v>
      </c>
      <c r="M8" s="87"/>
      <c r="N8" s="12"/>
      <c r="O8" s="8"/>
    </row>
    <row r="9" spans="1:20" ht="25.5" x14ac:dyDescent="0.25">
      <c r="A9" s="16" t="s">
        <v>18</v>
      </c>
      <c r="B9" s="16"/>
      <c r="C9" s="69">
        <f>MATCH(D9,[1]!Tabla1[Consignatario],0)</f>
        <v>305</v>
      </c>
      <c r="D9" s="16" t="s">
        <v>517</v>
      </c>
      <c r="E9" s="16"/>
      <c r="F9" s="16"/>
      <c r="G9" s="16" t="s">
        <v>11</v>
      </c>
      <c r="H9" s="16" t="s">
        <v>39</v>
      </c>
      <c r="I9" s="17">
        <f>2500*3</f>
        <v>7500</v>
      </c>
      <c r="J9" s="18">
        <v>50</v>
      </c>
      <c r="K9" s="19" t="s">
        <v>25</v>
      </c>
      <c r="L9" s="19" t="s">
        <v>30</v>
      </c>
      <c r="M9" s="20">
        <v>150</v>
      </c>
      <c r="N9" s="20"/>
      <c r="O9" s="16"/>
    </row>
    <row r="10" spans="1:20" ht="25.5" x14ac:dyDescent="0.25">
      <c r="A10" s="8" t="s">
        <v>18</v>
      </c>
      <c r="B10" s="21" t="s">
        <v>33</v>
      </c>
      <c r="C10" s="69">
        <f>MATCH(D10,[1]!Tabla1[Consignatario],0)</f>
        <v>1902</v>
      </c>
      <c r="D10" s="22" t="s">
        <v>34</v>
      </c>
      <c r="E10" s="21" t="s">
        <v>35</v>
      </c>
      <c r="F10" s="21"/>
      <c r="G10" s="8" t="s">
        <v>11</v>
      </c>
      <c r="H10" s="22" t="s">
        <v>40</v>
      </c>
      <c r="I10" s="23">
        <f>9*2500</f>
        <v>22500</v>
      </c>
      <c r="J10" s="24">
        <v>50</v>
      </c>
      <c r="K10" s="11" t="s">
        <v>25</v>
      </c>
      <c r="L10" s="25" t="s">
        <v>30</v>
      </c>
      <c r="M10" s="26">
        <v>450</v>
      </c>
      <c r="N10" s="27"/>
      <c r="O10" s="21"/>
    </row>
    <row r="11" spans="1:20" ht="25.5" x14ac:dyDescent="0.25">
      <c r="A11" s="8" t="s">
        <v>18</v>
      </c>
      <c r="B11" s="21"/>
      <c r="C11" s="69">
        <f>MATCH(D11,[1]!Tabla1[Consignatario],0)</f>
        <v>1024</v>
      </c>
      <c r="D11" s="22" t="s">
        <v>36</v>
      </c>
      <c r="E11" s="21"/>
      <c r="F11" s="21"/>
      <c r="G11" s="8" t="s">
        <v>11</v>
      </c>
      <c r="H11" s="22" t="s">
        <v>259</v>
      </c>
      <c r="I11" s="23">
        <v>10000</v>
      </c>
      <c r="J11" s="24">
        <v>200</v>
      </c>
      <c r="K11" s="11" t="s">
        <v>25</v>
      </c>
      <c r="L11" s="25" t="s">
        <v>30</v>
      </c>
      <c r="M11" s="88">
        <v>220</v>
      </c>
      <c r="N11" s="27"/>
      <c r="O11" s="21"/>
    </row>
    <row r="12" spans="1:20" ht="25.5" x14ac:dyDescent="0.25">
      <c r="A12" s="8" t="s">
        <v>18</v>
      </c>
      <c r="B12" s="21"/>
      <c r="C12" s="69">
        <f>MATCH(D12,[1]!Tabla1[Consignatario],0)</f>
        <v>1024</v>
      </c>
      <c r="D12" s="22" t="s">
        <v>36</v>
      </c>
      <c r="E12" s="21"/>
      <c r="F12" s="21"/>
      <c r="G12" s="8" t="s">
        <v>256</v>
      </c>
      <c r="H12" s="22" t="s">
        <v>38</v>
      </c>
      <c r="I12" s="23">
        <v>1000</v>
      </c>
      <c r="J12" s="24">
        <v>20</v>
      </c>
      <c r="K12" s="11" t="s">
        <v>25</v>
      </c>
      <c r="L12" s="25" t="s">
        <v>30</v>
      </c>
      <c r="M12" s="88"/>
      <c r="N12" s="27"/>
      <c r="O12" s="21"/>
    </row>
    <row r="13" spans="1:20" ht="25.5" x14ac:dyDescent="0.25">
      <c r="A13" s="27">
        <v>12</v>
      </c>
      <c r="B13" s="21" t="s">
        <v>15</v>
      </c>
      <c r="C13" s="69">
        <f>MATCH(D13,[1]!Tabla1[Consignatario],0)</f>
        <v>1421</v>
      </c>
      <c r="D13" s="22" t="s">
        <v>518</v>
      </c>
      <c r="E13" s="21"/>
      <c r="F13" s="21"/>
      <c r="G13" s="8" t="s">
        <v>11</v>
      </c>
      <c r="H13" s="22" t="s">
        <v>41</v>
      </c>
      <c r="I13" s="23">
        <v>35000</v>
      </c>
      <c r="J13" s="28">
        <v>700</v>
      </c>
      <c r="K13" s="11" t="s">
        <v>25</v>
      </c>
      <c r="L13" s="25" t="s">
        <v>30</v>
      </c>
      <c r="M13" s="79">
        <v>2224</v>
      </c>
      <c r="N13" s="27"/>
      <c r="O13" s="78" t="s">
        <v>55</v>
      </c>
    </row>
    <row r="14" spans="1:20" ht="25.5" x14ac:dyDescent="0.25">
      <c r="A14" s="27">
        <v>12</v>
      </c>
      <c r="B14" s="21" t="s">
        <v>15</v>
      </c>
      <c r="C14" s="69">
        <f>MATCH(D14,[1]!Tabla1[Consignatario],0)</f>
        <v>1421</v>
      </c>
      <c r="D14" s="22" t="s">
        <v>518</v>
      </c>
      <c r="E14" s="21"/>
      <c r="F14" s="21"/>
      <c r="G14" s="8" t="s">
        <v>256</v>
      </c>
      <c r="H14" s="22" t="s">
        <v>42</v>
      </c>
      <c r="I14" s="23">
        <v>74200</v>
      </c>
      <c r="J14" s="28">
        <f>75*20</f>
        <v>1500</v>
      </c>
      <c r="K14" s="11" t="s">
        <v>25</v>
      </c>
      <c r="L14" s="25" t="s">
        <v>30</v>
      </c>
      <c r="M14" s="79"/>
      <c r="N14" s="27"/>
      <c r="O14" s="78"/>
    </row>
    <row r="15" spans="1:20" ht="25.5" x14ac:dyDescent="0.25">
      <c r="A15" s="27">
        <v>12</v>
      </c>
      <c r="B15" s="21" t="s">
        <v>15</v>
      </c>
      <c r="C15" s="69">
        <f>MATCH(D15,[1]!Tabla1[Consignatario],0)</f>
        <v>1421</v>
      </c>
      <c r="D15" s="22" t="s">
        <v>518</v>
      </c>
      <c r="E15" s="21"/>
      <c r="F15" s="21"/>
      <c r="G15" s="30" t="s">
        <v>138</v>
      </c>
      <c r="H15" s="22" t="s">
        <v>43</v>
      </c>
      <c r="I15" s="23">
        <f>250*8</f>
        <v>2000</v>
      </c>
      <c r="J15" s="28">
        <v>40</v>
      </c>
      <c r="K15" s="11" t="s">
        <v>25</v>
      </c>
      <c r="L15" s="25" t="s">
        <v>30</v>
      </c>
      <c r="M15" s="79"/>
      <c r="N15" s="27"/>
      <c r="O15" s="78"/>
    </row>
    <row r="16" spans="1:20" ht="38.25" x14ac:dyDescent="0.25">
      <c r="A16" s="27">
        <v>12</v>
      </c>
      <c r="B16" s="21" t="s">
        <v>44</v>
      </c>
      <c r="C16" s="69">
        <f>MATCH(D16,[1]!Tabla1[Consignatario],0)</f>
        <v>790</v>
      </c>
      <c r="D16" s="22" t="s">
        <v>143</v>
      </c>
      <c r="E16" s="21"/>
      <c r="F16" s="21"/>
      <c r="G16" s="8" t="s">
        <v>11</v>
      </c>
      <c r="H16" s="22" t="s">
        <v>22</v>
      </c>
      <c r="I16" s="23">
        <v>5000</v>
      </c>
      <c r="J16" s="24">
        <v>100</v>
      </c>
      <c r="K16" s="11" t="s">
        <v>25</v>
      </c>
      <c r="L16" s="25" t="s">
        <v>30</v>
      </c>
      <c r="M16" s="79">
        <v>210</v>
      </c>
      <c r="N16" s="27"/>
      <c r="O16" s="21"/>
    </row>
    <row r="17" spans="1:15" ht="38.25" x14ac:dyDescent="0.25">
      <c r="A17" s="27">
        <v>12</v>
      </c>
      <c r="B17" s="21" t="s">
        <v>44</v>
      </c>
      <c r="C17" s="69">
        <f>MATCH(D17,[1]!Tabla1[Consignatario],0)</f>
        <v>790</v>
      </c>
      <c r="D17" s="22" t="s">
        <v>143</v>
      </c>
      <c r="E17" s="21"/>
      <c r="F17" s="21"/>
      <c r="G17" s="8" t="s">
        <v>256</v>
      </c>
      <c r="H17" s="22" t="s">
        <v>45</v>
      </c>
      <c r="I17" s="23">
        <v>3000</v>
      </c>
      <c r="J17" s="24">
        <v>60</v>
      </c>
      <c r="K17" s="11" t="s">
        <v>25</v>
      </c>
      <c r="L17" s="25" t="s">
        <v>30</v>
      </c>
      <c r="M17" s="79"/>
      <c r="N17" s="27"/>
      <c r="O17" s="21"/>
    </row>
    <row r="18" spans="1:15" ht="38.25" x14ac:dyDescent="0.25">
      <c r="A18" s="27">
        <v>12</v>
      </c>
      <c r="B18" s="21" t="s">
        <v>44</v>
      </c>
      <c r="C18" s="69">
        <f>MATCH(D18,[1]!Tabla1[Consignatario],0)</f>
        <v>790</v>
      </c>
      <c r="D18" s="22" t="s">
        <v>143</v>
      </c>
      <c r="E18" s="21"/>
      <c r="F18" s="21"/>
      <c r="G18" s="30" t="s">
        <v>138</v>
      </c>
      <c r="H18" s="22" t="s">
        <v>46</v>
      </c>
      <c r="I18" s="23">
        <v>2500</v>
      </c>
      <c r="J18" s="24">
        <v>50</v>
      </c>
      <c r="K18" s="11" t="s">
        <v>25</v>
      </c>
      <c r="L18" s="25" t="s">
        <v>30</v>
      </c>
      <c r="M18" s="79"/>
      <c r="N18" s="27"/>
      <c r="O18" s="21"/>
    </row>
    <row r="19" spans="1:15" ht="25.5" x14ac:dyDescent="0.25">
      <c r="A19" s="27">
        <v>12</v>
      </c>
      <c r="B19" s="21"/>
      <c r="C19" s="69">
        <f>MATCH(D19,[1]!Tabla1[Consignatario],0)</f>
        <v>2632</v>
      </c>
      <c r="D19" s="31" t="s">
        <v>47</v>
      </c>
      <c r="E19" s="21"/>
      <c r="F19" s="21"/>
      <c r="G19" s="8" t="s">
        <v>11</v>
      </c>
      <c r="H19" s="38" t="s">
        <v>48</v>
      </c>
      <c r="I19" s="23">
        <v>2500</v>
      </c>
      <c r="J19" s="24"/>
      <c r="K19" s="11" t="s">
        <v>25</v>
      </c>
      <c r="L19" s="25" t="s">
        <v>30</v>
      </c>
      <c r="M19" s="27">
        <v>50</v>
      </c>
      <c r="N19" s="27"/>
      <c r="O19" s="21"/>
    </row>
    <row r="20" spans="1:15" ht="25.5" x14ac:dyDescent="0.25">
      <c r="A20" s="27">
        <v>12</v>
      </c>
      <c r="B20" s="21" t="s">
        <v>15</v>
      </c>
      <c r="C20" s="69">
        <f>MATCH(D20,[1]!Tabla1[Consignatario],0)</f>
        <v>1898</v>
      </c>
      <c r="D20" s="31" t="s">
        <v>519</v>
      </c>
      <c r="E20" s="21"/>
      <c r="F20" s="21"/>
      <c r="G20" s="8" t="s">
        <v>11</v>
      </c>
      <c r="H20" s="38" t="s">
        <v>49</v>
      </c>
      <c r="I20" s="32">
        <v>500</v>
      </c>
      <c r="J20" s="24"/>
      <c r="K20" s="11" t="s">
        <v>25</v>
      </c>
      <c r="L20" s="25" t="s">
        <v>30</v>
      </c>
      <c r="M20" s="27">
        <v>10</v>
      </c>
      <c r="N20" s="27"/>
      <c r="O20" s="21"/>
    </row>
    <row r="21" spans="1:15" ht="26.25" x14ac:dyDescent="0.25">
      <c r="A21" s="27">
        <v>12</v>
      </c>
      <c r="B21" s="21"/>
      <c r="C21" s="69">
        <f>MATCH(D21,[1]!Tabla1[Consignatario],0)</f>
        <v>146</v>
      </c>
      <c r="D21" s="31" t="s">
        <v>520</v>
      </c>
      <c r="E21" s="21"/>
      <c r="F21" s="21"/>
      <c r="G21" s="8" t="s">
        <v>11</v>
      </c>
      <c r="H21" s="38" t="s">
        <v>22</v>
      </c>
      <c r="I21" s="23">
        <v>5000</v>
      </c>
      <c r="J21" s="24"/>
      <c r="K21" s="11" t="s">
        <v>25</v>
      </c>
      <c r="L21" s="25" t="s">
        <v>30</v>
      </c>
      <c r="M21" s="79">
        <v>108</v>
      </c>
      <c r="N21" s="27"/>
      <c r="O21" s="21"/>
    </row>
    <row r="22" spans="1:15" ht="26.25" x14ac:dyDescent="0.25">
      <c r="A22" s="27">
        <v>12</v>
      </c>
      <c r="B22" s="21"/>
      <c r="C22" s="69">
        <f>MATCH(D22,[1]!Tabla1[Consignatario],0)</f>
        <v>146</v>
      </c>
      <c r="D22" s="31" t="s">
        <v>520</v>
      </c>
      <c r="E22" s="21"/>
      <c r="F22" s="21"/>
      <c r="G22" s="30" t="s">
        <v>138</v>
      </c>
      <c r="H22" s="38" t="s">
        <v>51</v>
      </c>
      <c r="I22" s="23">
        <v>400</v>
      </c>
      <c r="J22" s="24"/>
      <c r="K22" s="11" t="s">
        <v>25</v>
      </c>
      <c r="L22" s="25" t="s">
        <v>30</v>
      </c>
      <c r="M22" s="79"/>
      <c r="N22" s="27"/>
      <c r="O22" s="21"/>
    </row>
    <row r="23" spans="1:15" ht="25.5" x14ac:dyDescent="0.25">
      <c r="A23" s="27">
        <v>12</v>
      </c>
      <c r="B23" s="21"/>
      <c r="C23" s="69">
        <f>MATCH(D23,[1]!Tabla1[Consignatario],0)</f>
        <v>2468</v>
      </c>
      <c r="D23" s="31" t="s">
        <v>52</v>
      </c>
      <c r="E23" s="21"/>
      <c r="F23" s="21"/>
      <c r="G23" s="8" t="s">
        <v>256</v>
      </c>
      <c r="H23" s="38" t="s">
        <v>38</v>
      </c>
      <c r="I23" s="23">
        <v>1000</v>
      </c>
      <c r="J23" s="24"/>
      <c r="K23" s="11" t="s">
        <v>25</v>
      </c>
      <c r="L23" s="25" t="s">
        <v>30</v>
      </c>
      <c r="M23" s="27">
        <v>80</v>
      </c>
      <c r="N23" s="27"/>
      <c r="O23" s="21"/>
    </row>
    <row r="24" spans="1:15" ht="25.5" x14ac:dyDescent="0.25">
      <c r="A24" s="27">
        <v>12</v>
      </c>
      <c r="B24" s="21"/>
      <c r="C24" s="69">
        <f>MATCH(D24,[1]!Tabla1[Consignatario],0)</f>
        <v>1585</v>
      </c>
      <c r="D24" s="31" t="s">
        <v>521</v>
      </c>
      <c r="E24" s="21"/>
      <c r="F24" s="21"/>
      <c r="G24" s="8" t="s">
        <v>11</v>
      </c>
      <c r="H24" s="38" t="s">
        <v>13</v>
      </c>
      <c r="I24" s="24">
        <v>1000</v>
      </c>
      <c r="J24" s="24"/>
      <c r="K24" s="11" t="s">
        <v>25</v>
      </c>
      <c r="L24" s="25" t="s">
        <v>30</v>
      </c>
      <c r="M24" s="27">
        <v>20</v>
      </c>
      <c r="N24" s="27"/>
      <c r="O24" s="21"/>
    </row>
    <row r="25" spans="1:15" ht="25.5" x14ac:dyDescent="0.25">
      <c r="A25" s="27">
        <v>12</v>
      </c>
      <c r="B25" s="21" t="s">
        <v>15</v>
      </c>
      <c r="C25" s="69">
        <f>MATCH(D25,[1]!Tabla1[Consignatario],0)</f>
        <v>1745</v>
      </c>
      <c r="D25" s="31" t="s">
        <v>475</v>
      </c>
      <c r="E25" s="21"/>
      <c r="F25" s="21"/>
      <c r="G25" s="8" t="s">
        <v>11</v>
      </c>
      <c r="H25" s="38" t="s">
        <v>39</v>
      </c>
      <c r="I25" s="23">
        <f>3*2500</f>
        <v>7500</v>
      </c>
      <c r="J25" s="24">
        <v>150</v>
      </c>
      <c r="K25" s="11" t="s">
        <v>25</v>
      </c>
      <c r="L25" s="25" t="s">
        <v>30</v>
      </c>
      <c r="M25" s="79">
        <v>200</v>
      </c>
      <c r="N25" s="27"/>
      <c r="O25" s="21"/>
    </row>
    <row r="26" spans="1:15" ht="25.5" x14ac:dyDescent="0.25">
      <c r="A26" s="27">
        <v>12</v>
      </c>
      <c r="B26" s="21" t="s">
        <v>15</v>
      </c>
      <c r="C26" s="69">
        <f>MATCH(D26,[1]!Tabla1[Consignatario],0)</f>
        <v>1745</v>
      </c>
      <c r="D26" s="31" t="s">
        <v>475</v>
      </c>
      <c r="E26" s="21"/>
      <c r="F26" s="21"/>
      <c r="G26" s="30" t="s">
        <v>138</v>
      </c>
      <c r="H26" s="38" t="s">
        <v>53</v>
      </c>
      <c r="I26" s="23">
        <v>2500</v>
      </c>
      <c r="J26" s="24">
        <v>50</v>
      </c>
      <c r="K26" s="11" t="s">
        <v>25</v>
      </c>
      <c r="L26" s="25" t="s">
        <v>30</v>
      </c>
      <c r="M26" s="79"/>
      <c r="N26" s="27"/>
      <c r="O26" s="21"/>
    </row>
    <row r="27" spans="1:15" ht="25.5" x14ac:dyDescent="0.25">
      <c r="A27" s="27">
        <v>12</v>
      </c>
      <c r="B27" s="21" t="s">
        <v>15</v>
      </c>
      <c r="C27" s="69">
        <f>MATCH(D27,[1]!Tabla1[Consignatario],0)</f>
        <v>948</v>
      </c>
      <c r="D27" s="31" t="s">
        <v>301</v>
      </c>
      <c r="E27" s="21"/>
      <c r="F27" s="21"/>
      <c r="G27" s="8" t="s">
        <v>11</v>
      </c>
      <c r="H27" s="38" t="s">
        <v>54</v>
      </c>
      <c r="I27" s="32">
        <v>2500</v>
      </c>
      <c r="J27" s="24"/>
      <c r="K27" s="11" t="s">
        <v>25</v>
      </c>
      <c r="L27" s="25" t="s">
        <v>30</v>
      </c>
      <c r="M27" s="27">
        <v>50</v>
      </c>
      <c r="N27" s="27"/>
      <c r="O27" s="21"/>
    </row>
    <row r="28" spans="1:15" ht="26.25" x14ac:dyDescent="0.25">
      <c r="A28" s="27">
        <v>12</v>
      </c>
      <c r="B28" s="21"/>
      <c r="C28" s="69">
        <f>MATCH(D28,[1]!Tabla1[Consignatario],0)</f>
        <v>1508</v>
      </c>
      <c r="D28" s="31" t="s">
        <v>194</v>
      </c>
      <c r="E28" s="21"/>
      <c r="F28" s="21"/>
      <c r="G28" s="8" t="s">
        <v>256</v>
      </c>
      <c r="H28" s="38" t="s">
        <v>45</v>
      </c>
      <c r="I28" s="23">
        <v>3000</v>
      </c>
      <c r="J28" s="24"/>
      <c r="K28" s="11" t="s">
        <v>25</v>
      </c>
      <c r="L28" s="25" t="s">
        <v>30</v>
      </c>
      <c r="M28" s="27">
        <v>60</v>
      </c>
      <c r="N28" s="27"/>
      <c r="O28" s="21"/>
    </row>
    <row r="29" spans="1:15" ht="26.25" x14ac:dyDescent="0.25">
      <c r="A29" s="27" t="s">
        <v>72</v>
      </c>
      <c r="B29" s="21" t="s">
        <v>33</v>
      </c>
      <c r="C29" s="69">
        <f>MATCH(D29,[1]!Tabla1[Consignatario],0)</f>
        <v>2436</v>
      </c>
      <c r="D29" s="31" t="s">
        <v>477</v>
      </c>
      <c r="E29" s="21"/>
      <c r="F29" s="21"/>
      <c r="G29" s="30" t="s">
        <v>138</v>
      </c>
      <c r="H29" s="38" t="s">
        <v>56</v>
      </c>
      <c r="I29" s="23">
        <f>6*2500</f>
        <v>15000</v>
      </c>
      <c r="J29" s="24"/>
      <c r="K29" s="11" t="s">
        <v>25</v>
      </c>
      <c r="L29" s="25" t="s">
        <v>30</v>
      </c>
      <c r="M29" s="27">
        <v>300</v>
      </c>
      <c r="N29" s="27"/>
      <c r="O29" s="21"/>
    </row>
    <row r="30" spans="1:15" ht="25.5" x14ac:dyDescent="0.25">
      <c r="A30" s="27" t="s">
        <v>72</v>
      </c>
      <c r="B30" s="21"/>
      <c r="C30" s="69">
        <f>MATCH(D30,[1]!Tabla1[Consignatario],0)</f>
        <v>1749</v>
      </c>
      <c r="D30" s="31" t="s">
        <v>57</v>
      </c>
      <c r="E30" s="21"/>
      <c r="F30" s="21"/>
      <c r="G30" s="8" t="s">
        <v>11</v>
      </c>
      <c r="H30" s="38" t="s">
        <v>22</v>
      </c>
      <c r="I30" s="23">
        <v>5000</v>
      </c>
      <c r="J30" s="24"/>
      <c r="K30" s="11" t="s">
        <v>25</v>
      </c>
      <c r="L30" s="25" t="s">
        <v>30</v>
      </c>
      <c r="M30" s="79">
        <v>252</v>
      </c>
      <c r="N30" s="27"/>
      <c r="O30" s="21"/>
    </row>
    <row r="31" spans="1:15" ht="25.5" x14ac:dyDescent="0.25">
      <c r="A31" s="27" t="s">
        <v>72</v>
      </c>
      <c r="B31" s="21"/>
      <c r="C31" s="69">
        <f>MATCH(D31,[1]!Tabla1[Consignatario],0)</f>
        <v>1749</v>
      </c>
      <c r="D31" s="31" t="s">
        <v>57</v>
      </c>
      <c r="E31" s="21"/>
      <c r="F31" s="21"/>
      <c r="G31" s="8" t="s">
        <v>256</v>
      </c>
      <c r="H31" s="38" t="s">
        <v>60</v>
      </c>
      <c r="I31" s="23">
        <v>4000</v>
      </c>
      <c r="J31" s="24"/>
      <c r="K31" s="11" t="s">
        <v>25</v>
      </c>
      <c r="L31" s="25" t="s">
        <v>30</v>
      </c>
      <c r="M31" s="79"/>
      <c r="N31" s="27"/>
      <c r="O31" s="21"/>
    </row>
    <row r="32" spans="1:15" ht="25.5" x14ac:dyDescent="0.25">
      <c r="A32" s="27" t="s">
        <v>72</v>
      </c>
      <c r="B32" s="21"/>
      <c r="C32" s="69">
        <f>MATCH(D32,[1]!Tabla1[Consignatario],0)</f>
        <v>1749</v>
      </c>
      <c r="D32" s="31" t="s">
        <v>57</v>
      </c>
      <c r="E32" s="21"/>
      <c r="F32" s="21"/>
      <c r="G32" s="30" t="s">
        <v>138</v>
      </c>
      <c r="H32" s="38" t="s">
        <v>58</v>
      </c>
      <c r="I32" s="23">
        <f>150*8</f>
        <v>1200</v>
      </c>
      <c r="J32" s="24"/>
      <c r="K32" s="11" t="s">
        <v>25</v>
      </c>
      <c r="L32" s="25" t="s">
        <v>30</v>
      </c>
      <c r="M32" s="79"/>
      <c r="N32" s="27"/>
      <c r="O32" s="21"/>
    </row>
    <row r="33" spans="1:15" ht="25.5" x14ac:dyDescent="0.25">
      <c r="A33" s="27" t="s">
        <v>72</v>
      </c>
      <c r="B33" s="21"/>
      <c r="C33" s="69">
        <f>MATCH(D33,[1]!Tabla1[Consignatario],0)</f>
        <v>1749</v>
      </c>
      <c r="D33" s="31" t="s">
        <v>57</v>
      </c>
      <c r="E33" s="21"/>
      <c r="F33" s="21"/>
      <c r="G33" s="8" t="s">
        <v>11</v>
      </c>
      <c r="H33" s="38" t="s">
        <v>59</v>
      </c>
      <c r="I33" s="23">
        <v>240</v>
      </c>
      <c r="J33" s="24"/>
      <c r="K33" s="11" t="s">
        <v>25</v>
      </c>
      <c r="L33" s="25" t="s">
        <v>30</v>
      </c>
      <c r="M33" s="79"/>
      <c r="N33" s="27"/>
      <c r="O33" s="21"/>
    </row>
    <row r="34" spans="1:15" ht="25.5" x14ac:dyDescent="0.25">
      <c r="A34" s="27" t="s">
        <v>72</v>
      </c>
      <c r="B34" s="21"/>
      <c r="C34" s="69">
        <f>MATCH(D34,[1]!Tabla1[Consignatario],0)</f>
        <v>688</v>
      </c>
      <c r="D34" s="31" t="s">
        <v>522</v>
      </c>
      <c r="E34" s="21"/>
      <c r="F34" s="21"/>
      <c r="G34" s="8" t="s">
        <v>11</v>
      </c>
      <c r="H34" s="38" t="s">
        <v>22</v>
      </c>
      <c r="I34" s="23">
        <v>5000</v>
      </c>
      <c r="J34" s="24"/>
      <c r="K34" s="11" t="s">
        <v>25</v>
      </c>
      <c r="L34" s="25" t="s">
        <v>30</v>
      </c>
      <c r="M34" s="79">
        <v>120</v>
      </c>
      <c r="N34" s="27"/>
      <c r="O34" s="21"/>
    </row>
    <row r="35" spans="1:15" ht="25.5" x14ac:dyDescent="0.25">
      <c r="A35" s="27" t="s">
        <v>72</v>
      </c>
      <c r="B35" s="21"/>
      <c r="C35" s="69">
        <f>MATCH(D35,[1]!Tabla1[Consignatario],0)</f>
        <v>688</v>
      </c>
      <c r="D35" s="31" t="s">
        <v>522</v>
      </c>
      <c r="E35" s="21"/>
      <c r="F35" s="21"/>
      <c r="G35" s="8" t="s">
        <v>11</v>
      </c>
      <c r="H35" s="38" t="s">
        <v>13</v>
      </c>
      <c r="I35" s="23">
        <v>1000</v>
      </c>
      <c r="J35" s="24"/>
      <c r="K35" s="11" t="s">
        <v>25</v>
      </c>
      <c r="L35" s="25" t="s">
        <v>30</v>
      </c>
      <c r="M35" s="79"/>
      <c r="N35" s="27"/>
      <c r="O35" s="21"/>
    </row>
    <row r="36" spans="1:15" ht="25.5" x14ac:dyDescent="0.25">
      <c r="A36" s="27" t="s">
        <v>72</v>
      </c>
      <c r="B36" s="21"/>
      <c r="C36" s="69">
        <f>MATCH(D36,[1]!Tabla1[Consignatario],0)</f>
        <v>588</v>
      </c>
      <c r="D36" s="31" t="s">
        <v>61</v>
      </c>
      <c r="E36" s="21"/>
      <c r="F36" s="21"/>
      <c r="G36" s="8" t="s">
        <v>11</v>
      </c>
      <c r="H36" s="38" t="s">
        <v>62</v>
      </c>
      <c r="I36" s="23">
        <v>2500</v>
      </c>
      <c r="J36" s="24"/>
      <c r="K36" s="11" t="s">
        <v>25</v>
      </c>
      <c r="L36" s="25" t="s">
        <v>30</v>
      </c>
      <c r="M36" s="79">
        <v>170</v>
      </c>
      <c r="N36" s="27"/>
      <c r="O36" s="21"/>
    </row>
    <row r="37" spans="1:15" ht="25.5" x14ac:dyDescent="0.25">
      <c r="A37" s="27" t="s">
        <v>72</v>
      </c>
      <c r="B37" s="21"/>
      <c r="C37" s="69">
        <f>MATCH(D37,[1]!Tabla1[Consignatario],0)</f>
        <v>588</v>
      </c>
      <c r="D37" s="31" t="s">
        <v>61</v>
      </c>
      <c r="E37" s="21"/>
      <c r="F37" s="21"/>
      <c r="G37" s="8" t="s">
        <v>256</v>
      </c>
      <c r="H37" s="38" t="s">
        <v>63</v>
      </c>
      <c r="I37" s="23">
        <v>5000</v>
      </c>
      <c r="J37" s="24"/>
      <c r="K37" s="11" t="s">
        <v>25</v>
      </c>
      <c r="L37" s="25" t="s">
        <v>30</v>
      </c>
      <c r="M37" s="79"/>
      <c r="N37" s="27"/>
      <c r="O37" s="21"/>
    </row>
    <row r="38" spans="1:15" ht="26.25" x14ac:dyDescent="0.25">
      <c r="A38" s="27" t="s">
        <v>72</v>
      </c>
      <c r="B38" s="21"/>
      <c r="C38" s="69">
        <f>MATCH(D38,[1]!Tabla1[Consignatario],0)</f>
        <v>2497</v>
      </c>
      <c r="D38" s="31" t="s">
        <v>64</v>
      </c>
      <c r="E38" s="21"/>
      <c r="F38" s="21"/>
      <c r="G38" s="30" t="s">
        <v>138</v>
      </c>
      <c r="H38" s="38" t="s">
        <v>65</v>
      </c>
      <c r="I38" s="23">
        <v>3250</v>
      </c>
      <c r="J38" s="23">
        <v>65</v>
      </c>
      <c r="K38" s="11" t="s">
        <v>25</v>
      </c>
      <c r="L38" s="25" t="s">
        <v>30</v>
      </c>
      <c r="M38" s="79">
        <v>70</v>
      </c>
      <c r="N38" s="27"/>
      <c r="O38" s="21"/>
    </row>
    <row r="39" spans="1:15" ht="26.25" x14ac:dyDescent="0.25">
      <c r="A39" s="27" t="s">
        <v>72</v>
      </c>
      <c r="B39" s="21"/>
      <c r="C39" s="69">
        <f>MATCH(D39,[1]!Tabla1[Consignatario],0)</f>
        <v>2497</v>
      </c>
      <c r="D39" s="31" t="s">
        <v>64</v>
      </c>
      <c r="E39" s="21"/>
      <c r="F39" s="21"/>
      <c r="G39" s="8" t="s">
        <v>11</v>
      </c>
      <c r="H39" s="38" t="s">
        <v>66</v>
      </c>
      <c r="I39" s="23">
        <v>227</v>
      </c>
      <c r="J39" s="23">
        <f>227*2/100</f>
        <v>4.54</v>
      </c>
      <c r="K39" s="11" t="s">
        <v>25</v>
      </c>
      <c r="L39" s="25" t="s">
        <v>30</v>
      </c>
      <c r="M39" s="79"/>
      <c r="N39" s="27"/>
      <c r="O39" s="21"/>
    </row>
    <row r="40" spans="1:15" ht="26.25" x14ac:dyDescent="0.25">
      <c r="A40" s="27" t="s">
        <v>72</v>
      </c>
      <c r="B40" s="21"/>
      <c r="C40" s="69">
        <f>MATCH(D40,[1]!Tabla1[Consignatario],0)</f>
        <v>1274</v>
      </c>
      <c r="D40" s="31" t="s">
        <v>482</v>
      </c>
      <c r="E40" s="21"/>
      <c r="F40" s="21"/>
      <c r="G40" s="8" t="s">
        <v>11</v>
      </c>
      <c r="H40" s="38" t="s">
        <v>22</v>
      </c>
      <c r="I40" s="23">
        <v>5000</v>
      </c>
      <c r="J40" s="24"/>
      <c r="K40" s="11" t="s">
        <v>25</v>
      </c>
      <c r="L40" s="25" t="s">
        <v>30</v>
      </c>
      <c r="M40" s="79">
        <v>112</v>
      </c>
      <c r="N40" s="27"/>
      <c r="O40" s="21"/>
    </row>
    <row r="41" spans="1:15" ht="26.25" x14ac:dyDescent="0.25">
      <c r="A41" s="27" t="s">
        <v>72</v>
      </c>
      <c r="B41" s="21"/>
      <c r="C41" s="69">
        <f>MATCH(D41,[1]!Tabla1[Consignatario],0)</f>
        <v>1274</v>
      </c>
      <c r="D41" s="31" t="s">
        <v>482</v>
      </c>
      <c r="E41" s="21"/>
      <c r="F41" s="21"/>
      <c r="G41" s="30" t="s">
        <v>138</v>
      </c>
      <c r="H41" s="38" t="s">
        <v>67</v>
      </c>
      <c r="I41" s="23">
        <f>8*80</f>
        <v>640</v>
      </c>
      <c r="J41" s="24"/>
      <c r="K41" s="11" t="s">
        <v>25</v>
      </c>
      <c r="L41" s="25" t="s">
        <v>30</v>
      </c>
      <c r="M41" s="79"/>
      <c r="N41" s="27"/>
      <c r="O41" s="21"/>
    </row>
    <row r="42" spans="1:15" ht="26.25" x14ac:dyDescent="0.25">
      <c r="A42" s="27" t="s">
        <v>72</v>
      </c>
      <c r="B42" s="21" t="s">
        <v>68</v>
      </c>
      <c r="C42" s="69">
        <f>MATCH(D42,[1]!Tabla1[Consignatario],0)</f>
        <v>341</v>
      </c>
      <c r="D42" s="31" t="s">
        <v>69</v>
      </c>
      <c r="E42" s="21"/>
      <c r="F42" s="21"/>
      <c r="G42" s="8" t="s">
        <v>11</v>
      </c>
      <c r="H42" s="38" t="s">
        <v>70</v>
      </c>
      <c r="I42" s="23">
        <f>16*2500</f>
        <v>40000</v>
      </c>
      <c r="J42" s="24">
        <f>16*50</f>
        <v>800</v>
      </c>
      <c r="K42" s="11" t="s">
        <v>25</v>
      </c>
      <c r="L42" s="25" t="s">
        <v>30</v>
      </c>
      <c r="M42" s="79">
        <v>2000</v>
      </c>
      <c r="N42" s="27"/>
      <c r="O42" s="21"/>
    </row>
    <row r="43" spans="1:15" ht="26.25" x14ac:dyDescent="0.25">
      <c r="A43" s="27" t="s">
        <v>72</v>
      </c>
      <c r="B43" s="21" t="s">
        <v>68</v>
      </c>
      <c r="C43" s="69">
        <f>MATCH(D43,[1]!Tabla1[Consignatario],0)</f>
        <v>341</v>
      </c>
      <c r="D43" s="31" t="s">
        <v>69</v>
      </c>
      <c r="E43" s="21"/>
      <c r="F43" s="21"/>
      <c r="G43" s="8" t="s">
        <v>256</v>
      </c>
      <c r="H43" s="38" t="s">
        <v>71</v>
      </c>
      <c r="I43" s="23">
        <v>14000</v>
      </c>
      <c r="J43" s="24">
        <f>14*20</f>
        <v>280</v>
      </c>
      <c r="K43" s="11" t="s">
        <v>25</v>
      </c>
      <c r="L43" s="25" t="s">
        <v>30</v>
      </c>
      <c r="M43" s="79"/>
      <c r="N43" s="27"/>
      <c r="O43" s="21"/>
    </row>
    <row r="44" spans="1:15" ht="26.25" x14ac:dyDescent="0.25">
      <c r="A44" s="27" t="s">
        <v>72</v>
      </c>
      <c r="B44" s="21" t="s">
        <v>68</v>
      </c>
      <c r="C44" s="69">
        <f>MATCH(D44,[1]!Tabla1[Consignatario],0)</f>
        <v>341</v>
      </c>
      <c r="D44" s="31" t="s">
        <v>69</v>
      </c>
      <c r="E44" s="21"/>
      <c r="F44" s="21"/>
      <c r="G44" s="30" t="s">
        <v>138</v>
      </c>
      <c r="H44" s="38" t="s">
        <v>136</v>
      </c>
      <c r="I44" s="23">
        <v>41000</v>
      </c>
      <c r="J44" s="24">
        <v>820</v>
      </c>
      <c r="K44" s="11" t="s">
        <v>25</v>
      </c>
      <c r="L44" s="25" t="s">
        <v>30</v>
      </c>
      <c r="M44" s="79"/>
      <c r="N44" s="27"/>
      <c r="O44" s="21"/>
    </row>
    <row r="45" spans="1:15" ht="26.25" x14ac:dyDescent="0.25">
      <c r="A45" s="27" t="s">
        <v>72</v>
      </c>
      <c r="B45" s="21" t="s">
        <v>68</v>
      </c>
      <c r="C45" s="69">
        <f>MATCH(D45,[1]!Tabla1[Consignatario],0)</f>
        <v>341</v>
      </c>
      <c r="D45" s="31" t="s">
        <v>69</v>
      </c>
      <c r="E45" s="21"/>
      <c r="F45" s="21"/>
      <c r="G45" s="30" t="s">
        <v>138</v>
      </c>
      <c r="H45" s="38" t="s">
        <v>135</v>
      </c>
      <c r="I45" s="23">
        <v>5000</v>
      </c>
      <c r="J45" s="24">
        <v>100</v>
      </c>
      <c r="K45" s="11" t="s">
        <v>25</v>
      </c>
      <c r="L45" s="25" t="s">
        <v>30</v>
      </c>
      <c r="M45" s="79"/>
      <c r="N45" s="27"/>
      <c r="O45" s="21"/>
    </row>
    <row r="46" spans="1:15" ht="26.25" x14ac:dyDescent="0.25">
      <c r="A46" s="27">
        <v>13</v>
      </c>
      <c r="B46" s="21"/>
      <c r="C46" s="69">
        <f>MATCH(D46,[1]!Tabla1[Consignatario],0)</f>
        <v>2296</v>
      </c>
      <c r="D46" s="31" t="s">
        <v>73</v>
      </c>
      <c r="E46" s="21"/>
      <c r="F46" s="21"/>
      <c r="G46" s="30" t="s">
        <v>138</v>
      </c>
      <c r="H46" s="38" t="s">
        <v>135</v>
      </c>
      <c r="I46" s="23">
        <v>5000</v>
      </c>
      <c r="J46" s="24"/>
      <c r="K46" s="11" t="s">
        <v>25</v>
      </c>
      <c r="L46" s="25" t="s">
        <v>30</v>
      </c>
      <c r="M46" s="27">
        <v>100</v>
      </c>
      <c r="N46" s="27"/>
      <c r="O46" s="21"/>
    </row>
    <row r="47" spans="1:15" ht="25.5" x14ac:dyDescent="0.25">
      <c r="A47" s="27">
        <v>13</v>
      </c>
      <c r="B47" s="21"/>
      <c r="C47" s="69">
        <f>MATCH(D47,[1]!Tabla1[Consignatario],0)</f>
        <v>2189</v>
      </c>
      <c r="D47" s="31" t="s">
        <v>74</v>
      </c>
      <c r="E47" s="21"/>
      <c r="F47" s="21"/>
      <c r="G47" s="8" t="s">
        <v>11</v>
      </c>
      <c r="H47" s="38" t="s">
        <v>49</v>
      </c>
      <c r="I47" s="23">
        <v>500</v>
      </c>
      <c r="J47" s="24"/>
      <c r="K47" s="11" t="s">
        <v>25</v>
      </c>
      <c r="L47" s="25" t="s">
        <v>30</v>
      </c>
      <c r="M47" s="27">
        <v>10</v>
      </c>
      <c r="N47" s="27"/>
      <c r="O47" s="21"/>
    </row>
    <row r="48" spans="1:15" ht="26.25" x14ac:dyDescent="0.25">
      <c r="A48" s="27">
        <v>13</v>
      </c>
      <c r="B48" s="21"/>
      <c r="C48" s="69">
        <f>MATCH(D48,[1]!Tabla1[Consignatario],0)</f>
        <v>1005</v>
      </c>
      <c r="D48" s="31" t="s">
        <v>310</v>
      </c>
      <c r="E48" s="21"/>
      <c r="F48" s="21"/>
      <c r="G48" s="8" t="s">
        <v>11</v>
      </c>
      <c r="H48" s="38" t="s">
        <v>75</v>
      </c>
      <c r="I48" s="23">
        <v>2400</v>
      </c>
      <c r="J48" s="24"/>
      <c r="K48" s="11" t="s">
        <v>25</v>
      </c>
      <c r="L48" s="25" t="s">
        <v>30</v>
      </c>
      <c r="M48" s="27">
        <v>54</v>
      </c>
      <c r="N48" s="27"/>
      <c r="O48" s="21"/>
    </row>
    <row r="49" spans="1:15" ht="26.25" x14ac:dyDescent="0.25">
      <c r="A49" s="27">
        <v>13</v>
      </c>
      <c r="B49" s="21"/>
      <c r="C49" s="69">
        <f>MATCH(D49,[1]!Tabla1[Consignatario],0)</f>
        <v>2222</v>
      </c>
      <c r="D49" s="31" t="s">
        <v>523</v>
      </c>
      <c r="E49" s="21"/>
      <c r="F49" s="21"/>
      <c r="G49" s="30" t="s">
        <v>138</v>
      </c>
      <c r="H49" s="38" t="s">
        <v>76</v>
      </c>
      <c r="I49" s="23">
        <f>40*8</f>
        <v>320</v>
      </c>
      <c r="J49" s="24"/>
      <c r="K49" s="11" t="s">
        <v>25</v>
      </c>
      <c r="L49" s="25" t="s">
        <v>30</v>
      </c>
      <c r="M49" s="27">
        <v>6</v>
      </c>
      <c r="N49" s="27">
        <v>4</v>
      </c>
      <c r="O49" s="21"/>
    </row>
    <row r="50" spans="1:15" ht="26.25" x14ac:dyDescent="0.25">
      <c r="A50" s="27">
        <v>13</v>
      </c>
      <c r="B50" s="21"/>
      <c r="C50" s="69">
        <f>MATCH(D50,[1]!Tabla1[Consignatario],0)</f>
        <v>1181</v>
      </c>
      <c r="D50" s="31" t="s">
        <v>77</v>
      </c>
      <c r="E50" s="21"/>
      <c r="F50" s="21"/>
      <c r="G50" s="8" t="s">
        <v>11</v>
      </c>
      <c r="H50" s="38" t="s">
        <v>78</v>
      </c>
      <c r="I50" s="23">
        <v>112</v>
      </c>
      <c r="J50" s="24"/>
      <c r="K50" s="11" t="s">
        <v>25</v>
      </c>
      <c r="L50" s="25" t="s">
        <v>30</v>
      </c>
      <c r="M50" s="79">
        <v>12</v>
      </c>
      <c r="N50" s="27"/>
      <c r="O50" s="21"/>
    </row>
    <row r="51" spans="1:15" ht="26.25" x14ac:dyDescent="0.25">
      <c r="A51" s="27">
        <v>13</v>
      </c>
      <c r="B51" s="21"/>
      <c r="C51" s="69">
        <f>MATCH(D51,[1]!Tabla1[Consignatario],0)</f>
        <v>1181</v>
      </c>
      <c r="D51" s="31" t="s">
        <v>77</v>
      </c>
      <c r="E51" s="21"/>
      <c r="F51" s="21"/>
      <c r="G51" s="30" t="s">
        <v>138</v>
      </c>
      <c r="H51" s="38" t="s">
        <v>79</v>
      </c>
      <c r="I51" s="23">
        <f>24*8</f>
        <v>192</v>
      </c>
      <c r="J51" s="24"/>
      <c r="K51" s="11" t="s">
        <v>25</v>
      </c>
      <c r="L51" s="25" t="s">
        <v>30</v>
      </c>
      <c r="M51" s="79"/>
      <c r="N51" s="27"/>
      <c r="O51" s="21"/>
    </row>
    <row r="52" spans="1:15" ht="26.25" x14ac:dyDescent="0.25">
      <c r="A52" s="27">
        <v>13</v>
      </c>
      <c r="B52" s="21"/>
      <c r="C52" s="69">
        <f>MATCH(D52,[1]!Tabla1[Consignatario],0)</f>
        <v>1183</v>
      </c>
      <c r="D52" s="31" t="s">
        <v>80</v>
      </c>
      <c r="E52" s="21"/>
      <c r="F52" s="21"/>
      <c r="G52" s="30" t="s">
        <v>138</v>
      </c>
      <c r="H52" s="38" t="s">
        <v>81</v>
      </c>
      <c r="I52" s="23">
        <v>800</v>
      </c>
      <c r="J52" s="24">
        <f>800*2/100</f>
        <v>16</v>
      </c>
      <c r="K52" s="11" t="s">
        <v>25</v>
      </c>
      <c r="L52" s="25" t="s">
        <v>30</v>
      </c>
      <c r="M52" s="91">
        <v>24</v>
      </c>
      <c r="N52" s="27"/>
      <c r="O52" s="21" t="s">
        <v>137</v>
      </c>
    </row>
    <row r="53" spans="1:15" ht="26.25" x14ac:dyDescent="0.25">
      <c r="A53" s="27">
        <v>13</v>
      </c>
      <c r="B53" s="21"/>
      <c r="C53" s="69">
        <f>MATCH(D53,[1]!Tabla1[Consignatario],0)</f>
        <v>1183</v>
      </c>
      <c r="D53" s="31" t="s">
        <v>80</v>
      </c>
      <c r="E53" s="21"/>
      <c r="F53" s="21"/>
      <c r="G53" s="8" t="s">
        <v>11</v>
      </c>
      <c r="H53" s="38" t="s">
        <v>82</v>
      </c>
      <c r="I53" s="23">
        <v>400</v>
      </c>
      <c r="J53" s="24">
        <f>400*2/100</f>
        <v>8</v>
      </c>
      <c r="K53" s="11" t="s">
        <v>25</v>
      </c>
      <c r="L53" s="25" t="s">
        <v>30</v>
      </c>
      <c r="M53" s="91"/>
      <c r="N53" s="27"/>
      <c r="O53" s="21"/>
    </row>
    <row r="54" spans="1:15" ht="26.25" x14ac:dyDescent="0.25">
      <c r="A54" s="27">
        <v>13</v>
      </c>
      <c r="B54" s="21"/>
      <c r="C54" s="69">
        <f>MATCH(D54,[1]!Tabla1[Consignatario],0)</f>
        <v>720</v>
      </c>
      <c r="D54" s="31" t="s">
        <v>83</v>
      </c>
      <c r="E54" s="21"/>
      <c r="F54" s="21"/>
      <c r="G54" s="8" t="s">
        <v>11</v>
      </c>
      <c r="H54" s="38" t="s">
        <v>13</v>
      </c>
      <c r="I54" s="23">
        <v>1000</v>
      </c>
      <c r="J54" s="24"/>
      <c r="K54" s="11" t="s">
        <v>25</v>
      </c>
      <c r="L54" s="25" t="s">
        <v>30</v>
      </c>
      <c r="M54" s="27">
        <v>20</v>
      </c>
      <c r="N54" s="27"/>
      <c r="O54" s="21"/>
    </row>
    <row r="55" spans="1:15" ht="26.25" x14ac:dyDescent="0.25">
      <c r="A55" s="27">
        <v>13</v>
      </c>
      <c r="B55" s="21"/>
      <c r="C55" s="69">
        <f>MATCH(D55,[1]!Tabla1[Consignatario],0)</f>
        <v>1174</v>
      </c>
      <c r="D55" s="31" t="s">
        <v>489</v>
      </c>
      <c r="E55" s="21"/>
      <c r="F55" s="21"/>
      <c r="G55" s="8" t="s">
        <v>11</v>
      </c>
      <c r="H55" s="38" t="s">
        <v>84</v>
      </c>
      <c r="I55" s="23">
        <v>3000</v>
      </c>
      <c r="J55" s="24"/>
      <c r="K55" s="11" t="s">
        <v>25</v>
      </c>
      <c r="L55" s="25" t="s">
        <v>30</v>
      </c>
      <c r="M55" s="27">
        <v>60</v>
      </c>
      <c r="N55" s="27"/>
      <c r="O55" s="21"/>
    </row>
    <row r="56" spans="1:15" ht="39" x14ac:dyDescent="0.25">
      <c r="A56" s="27" t="s">
        <v>85</v>
      </c>
      <c r="B56" s="21" t="s">
        <v>33</v>
      </c>
      <c r="C56" s="69">
        <f>MATCH(D56,[1]!Tabla1[Consignatario],0)</f>
        <v>1291</v>
      </c>
      <c r="D56" s="31" t="s">
        <v>524</v>
      </c>
      <c r="E56" s="21"/>
      <c r="F56" s="21"/>
      <c r="G56" s="8" t="s">
        <v>11</v>
      </c>
      <c r="H56" s="38" t="s">
        <v>14</v>
      </c>
      <c r="I56" s="23">
        <v>1400</v>
      </c>
      <c r="J56" s="24">
        <f>1400*2/100</f>
        <v>28</v>
      </c>
      <c r="K56" s="11" t="s">
        <v>25</v>
      </c>
      <c r="L56" s="25" t="s">
        <v>30</v>
      </c>
      <c r="M56" s="79">
        <v>52</v>
      </c>
      <c r="N56" s="27"/>
      <c r="O56" s="21"/>
    </row>
    <row r="57" spans="1:15" ht="39" x14ac:dyDescent="0.25">
      <c r="A57" s="27" t="s">
        <v>85</v>
      </c>
      <c r="B57" s="21" t="s">
        <v>33</v>
      </c>
      <c r="C57" s="69">
        <f>MATCH(D57,[1]!Tabla1[Consignatario],0)</f>
        <v>1291</v>
      </c>
      <c r="D57" s="31" t="s">
        <v>524</v>
      </c>
      <c r="E57" s="21"/>
      <c r="F57" s="21"/>
      <c r="G57" s="30" t="s">
        <v>138</v>
      </c>
      <c r="H57" s="38" t="s">
        <v>58</v>
      </c>
      <c r="I57" s="23">
        <f>150*8</f>
        <v>1200</v>
      </c>
      <c r="J57" s="24">
        <f>1200*2/100</f>
        <v>24</v>
      </c>
      <c r="K57" s="11" t="s">
        <v>25</v>
      </c>
      <c r="L57" s="25" t="s">
        <v>30</v>
      </c>
      <c r="M57" s="79"/>
      <c r="N57" s="27"/>
      <c r="O57" s="21"/>
    </row>
    <row r="58" spans="1:15" ht="26.25" x14ac:dyDescent="0.25">
      <c r="A58" s="27" t="s">
        <v>85</v>
      </c>
      <c r="B58" s="21" t="s">
        <v>68</v>
      </c>
      <c r="C58" s="69">
        <f>MATCH(D58,[1]!Tabla1[Consignatario],0)</f>
        <v>1473</v>
      </c>
      <c r="D58" s="31" t="s">
        <v>525</v>
      </c>
      <c r="E58" s="21"/>
      <c r="F58" s="21"/>
      <c r="G58" s="8" t="s">
        <v>11</v>
      </c>
      <c r="H58" s="38" t="s">
        <v>13</v>
      </c>
      <c r="I58" s="23">
        <v>1000</v>
      </c>
      <c r="J58" s="24"/>
      <c r="K58" s="11" t="s">
        <v>25</v>
      </c>
      <c r="L58" s="25" t="s">
        <v>30</v>
      </c>
      <c r="M58" s="27">
        <v>20</v>
      </c>
      <c r="N58" s="27"/>
      <c r="O58" s="21"/>
    </row>
    <row r="59" spans="1:15" ht="25.5" x14ac:dyDescent="0.25">
      <c r="A59" s="27" t="s">
        <v>85</v>
      </c>
      <c r="B59" s="21"/>
      <c r="C59" s="69">
        <f>MATCH(D59,[1]!Tabla1[Consignatario],0)</f>
        <v>601</v>
      </c>
      <c r="D59" s="31" t="s">
        <v>86</v>
      </c>
      <c r="E59" s="21"/>
      <c r="F59" s="21"/>
      <c r="G59" s="8" t="s">
        <v>11</v>
      </c>
      <c r="H59" s="38" t="s">
        <v>48</v>
      </c>
      <c r="I59" s="23">
        <v>2500</v>
      </c>
      <c r="J59" s="24"/>
      <c r="K59" s="11" t="s">
        <v>25</v>
      </c>
      <c r="L59" s="25" t="s">
        <v>30</v>
      </c>
      <c r="M59" s="27">
        <v>50</v>
      </c>
      <c r="N59" s="27"/>
      <c r="O59" s="21"/>
    </row>
    <row r="60" spans="1:15" ht="26.25" x14ac:dyDescent="0.25">
      <c r="A60" s="27" t="s">
        <v>85</v>
      </c>
      <c r="B60" s="21"/>
      <c r="C60" s="69">
        <f>MATCH(D60,[1]!Tabla1[Consignatario],0)</f>
        <v>241</v>
      </c>
      <c r="D60" s="31" t="s">
        <v>526</v>
      </c>
      <c r="E60" s="21"/>
      <c r="F60" s="21"/>
      <c r="G60" s="8" t="s">
        <v>12</v>
      </c>
      <c r="H60" s="38" t="s">
        <v>87</v>
      </c>
      <c r="I60" s="23">
        <f>204*100/2</f>
        <v>10200</v>
      </c>
      <c r="J60" s="24"/>
      <c r="K60" s="11" t="s">
        <v>25</v>
      </c>
      <c r="L60" s="25" t="s">
        <v>30</v>
      </c>
      <c r="M60" s="27">
        <v>204</v>
      </c>
      <c r="N60" s="27"/>
      <c r="O60" s="21"/>
    </row>
    <row r="61" spans="1:15" ht="26.25" x14ac:dyDescent="0.25">
      <c r="A61" s="27" t="s">
        <v>85</v>
      </c>
      <c r="B61" s="21"/>
      <c r="C61" s="69">
        <f>MATCH(D61,[1]!Tabla1[Consignatario],0)</f>
        <v>1811</v>
      </c>
      <c r="D61" s="31" t="s">
        <v>491</v>
      </c>
      <c r="E61" s="21"/>
      <c r="F61" s="21"/>
      <c r="G61" s="8" t="s">
        <v>11</v>
      </c>
      <c r="H61" s="38" t="s">
        <v>88</v>
      </c>
      <c r="I61" s="23">
        <v>1600</v>
      </c>
      <c r="J61" s="24"/>
      <c r="K61" s="11" t="s">
        <v>25</v>
      </c>
      <c r="L61" s="25" t="s">
        <v>30</v>
      </c>
      <c r="M61" s="76">
        <v>46</v>
      </c>
      <c r="N61" s="27"/>
      <c r="O61" s="21"/>
    </row>
    <row r="62" spans="1:15" ht="26.25" x14ac:dyDescent="0.25">
      <c r="A62" s="27" t="s">
        <v>85</v>
      </c>
      <c r="B62" s="21"/>
      <c r="C62" s="69">
        <f>MATCH(D62,[1]!Tabla1[Consignatario],0)</f>
        <v>1811</v>
      </c>
      <c r="D62" s="31" t="s">
        <v>491</v>
      </c>
      <c r="E62" s="21"/>
      <c r="F62" s="21"/>
      <c r="G62" s="30" t="s">
        <v>138</v>
      </c>
      <c r="H62" s="38" t="s">
        <v>81</v>
      </c>
      <c r="I62" s="23">
        <v>800</v>
      </c>
      <c r="J62" s="24"/>
      <c r="K62" s="11" t="s">
        <v>25</v>
      </c>
      <c r="L62" s="25" t="s">
        <v>30</v>
      </c>
      <c r="M62" s="77"/>
      <c r="N62" s="27"/>
      <c r="O62" s="21"/>
    </row>
    <row r="63" spans="1:15" ht="26.25" x14ac:dyDescent="0.25">
      <c r="A63" s="27" t="s">
        <v>85</v>
      </c>
      <c r="B63" s="21"/>
      <c r="C63" s="69">
        <f>MATCH(D63,[1]!Tabla1[Consignatario],0)</f>
        <v>1351</v>
      </c>
      <c r="D63" s="31" t="s">
        <v>89</v>
      </c>
      <c r="E63" s="21"/>
      <c r="F63" s="21"/>
      <c r="G63" s="8" t="s">
        <v>11</v>
      </c>
      <c r="H63" s="38" t="s">
        <v>90</v>
      </c>
      <c r="I63" s="23">
        <v>600</v>
      </c>
      <c r="J63" s="24"/>
      <c r="K63" s="11" t="s">
        <v>25</v>
      </c>
      <c r="L63" s="25" t="s">
        <v>30</v>
      </c>
      <c r="M63" s="76">
        <v>20</v>
      </c>
      <c r="N63" s="27"/>
      <c r="O63" s="21"/>
    </row>
    <row r="64" spans="1:15" ht="26.25" x14ac:dyDescent="0.25">
      <c r="A64" s="27" t="s">
        <v>85</v>
      </c>
      <c r="B64" s="21"/>
      <c r="C64" s="69">
        <f>MATCH(D64,[1]!Tabla1[Consignatario],0)</f>
        <v>1351</v>
      </c>
      <c r="D64" s="31" t="s">
        <v>89</v>
      </c>
      <c r="E64" s="21"/>
      <c r="F64" s="21"/>
      <c r="G64" s="30" t="s">
        <v>138</v>
      </c>
      <c r="H64" s="38" t="s">
        <v>114</v>
      </c>
      <c r="I64" s="23">
        <f>40*8</f>
        <v>320</v>
      </c>
      <c r="J64" s="24"/>
      <c r="K64" s="11" t="s">
        <v>25</v>
      </c>
      <c r="L64" s="25" t="s">
        <v>30</v>
      </c>
      <c r="M64" s="77"/>
      <c r="N64" s="27"/>
      <c r="O64" s="21"/>
    </row>
    <row r="65" spans="1:15" ht="26.25" x14ac:dyDescent="0.25">
      <c r="A65" s="27" t="s">
        <v>85</v>
      </c>
      <c r="B65" s="21"/>
      <c r="C65" s="69">
        <f>MATCH(D65,[1]!Tabla1[Consignatario],0)</f>
        <v>2147</v>
      </c>
      <c r="D65" s="31" t="s">
        <v>91</v>
      </c>
      <c r="E65" s="21"/>
      <c r="F65" s="21"/>
      <c r="G65" s="8" t="s">
        <v>11</v>
      </c>
      <c r="H65" s="38" t="s">
        <v>13</v>
      </c>
      <c r="I65" s="23">
        <v>1000</v>
      </c>
      <c r="J65" s="24"/>
      <c r="K65" s="11" t="s">
        <v>25</v>
      </c>
      <c r="L65" s="25" t="s">
        <v>30</v>
      </c>
      <c r="M65" s="27">
        <v>20</v>
      </c>
      <c r="N65" s="27"/>
      <c r="O65" s="21"/>
    </row>
    <row r="66" spans="1:15" ht="26.25" x14ac:dyDescent="0.25">
      <c r="A66" s="27" t="s">
        <v>85</v>
      </c>
      <c r="B66" s="21" t="s">
        <v>33</v>
      </c>
      <c r="C66" s="69">
        <f>MATCH(D66,[1]!Tabla1[Consignatario],0)</f>
        <v>2481</v>
      </c>
      <c r="D66" s="31" t="s">
        <v>92</v>
      </c>
      <c r="E66" s="21"/>
      <c r="F66" s="21"/>
      <c r="G66" s="8" t="s">
        <v>256</v>
      </c>
      <c r="H66" s="38" t="s">
        <v>93</v>
      </c>
      <c r="I66" s="23">
        <v>12000</v>
      </c>
      <c r="J66" s="24"/>
      <c r="K66" s="11" t="s">
        <v>25</v>
      </c>
      <c r="L66" s="25" t="s">
        <v>30</v>
      </c>
      <c r="M66" s="27">
        <v>240</v>
      </c>
      <c r="N66" s="27"/>
      <c r="O66" s="21"/>
    </row>
    <row r="67" spans="1:15" ht="25.5" x14ac:dyDescent="0.25">
      <c r="A67" s="27">
        <v>14</v>
      </c>
      <c r="B67" s="21"/>
      <c r="C67" s="69">
        <f>MATCH(D67,[1]!Tabla1[Consignatario],0)</f>
        <v>880</v>
      </c>
      <c r="D67" s="31" t="s">
        <v>94</v>
      </c>
      <c r="E67" s="21"/>
      <c r="F67" s="21"/>
      <c r="G67" s="30" t="s">
        <v>138</v>
      </c>
      <c r="H67" s="38" t="s">
        <v>100</v>
      </c>
      <c r="I67" s="23">
        <f>90*8</f>
        <v>720</v>
      </c>
      <c r="J67" s="24"/>
      <c r="K67" s="11" t="s">
        <v>25</v>
      </c>
      <c r="L67" s="25" t="s">
        <v>30</v>
      </c>
      <c r="M67" s="27">
        <v>14</v>
      </c>
      <c r="N67" s="27">
        <v>4</v>
      </c>
      <c r="O67" s="21"/>
    </row>
    <row r="68" spans="1:15" ht="26.25" x14ac:dyDescent="0.25">
      <c r="A68" s="27">
        <v>14</v>
      </c>
      <c r="B68" s="21" t="s">
        <v>15</v>
      </c>
      <c r="C68" s="69">
        <f>MATCH(D68,[1]!Tabla1[Consignatario],0)</f>
        <v>2366</v>
      </c>
      <c r="D68" s="31" t="s">
        <v>95</v>
      </c>
      <c r="E68" s="21"/>
      <c r="F68" s="21"/>
      <c r="G68" s="8" t="s">
        <v>11</v>
      </c>
      <c r="H68" s="38" t="s">
        <v>101</v>
      </c>
      <c r="I68" s="23">
        <f>5*2500</f>
        <v>12500</v>
      </c>
      <c r="J68" s="24">
        <v>250</v>
      </c>
      <c r="K68" s="11" t="s">
        <v>25</v>
      </c>
      <c r="L68" s="25" t="s">
        <v>30</v>
      </c>
      <c r="M68" s="76">
        <v>300</v>
      </c>
      <c r="N68" s="27"/>
      <c r="O68" s="21"/>
    </row>
    <row r="69" spans="1:15" ht="26.25" x14ac:dyDescent="0.25">
      <c r="A69" s="27">
        <v>14</v>
      </c>
      <c r="B69" s="21"/>
      <c r="C69" s="69">
        <f>MATCH(D69,[1]!Tabla1[Consignatario],0)</f>
        <v>2366</v>
      </c>
      <c r="D69" s="31" t="s">
        <v>95</v>
      </c>
      <c r="E69" s="21"/>
      <c r="F69" s="21"/>
      <c r="G69" s="30" t="s">
        <v>138</v>
      </c>
      <c r="H69" s="38" t="s">
        <v>102</v>
      </c>
      <c r="I69" s="23">
        <v>2500</v>
      </c>
      <c r="J69" s="24">
        <v>50</v>
      </c>
      <c r="K69" s="11" t="s">
        <v>25</v>
      </c>
      <c r="L69" s="25" t="s">
        <v>30</v>
      </c>
      <c r="M69" s="77"/>
      <c r="N69" s="27"/>
      <c r="O69" s="21"/>
    </row>
    <row r="70" spans="1:15" ht="25.5" x14ac:dyDescent="0.25">
      <c r="A70" s="27">
        <v>14</v>
      </c>
      <c r="B70" s="21"/>
      <c r="C70" s="69">
        <f>MATCH(D70,[1]!Tabla1[Consignatario],0)</f>
        <v>1820</v>
      </c>
      <c r="D70" s="31" t="s">
        <v>485</v>
      </c>
      <c r="E70" s="21"/>
      <c r="F70" s="21"/>
      <c r="G70" s="8" t="s">
        <v>11</v>
      </c>
      <c r="H70" s="38" t="s">
        <v>49</v>
      </c>
      <c r="I70" s="23">
        <v>500</v>
      </c>
      <c r="J70" s="24"/>
      <c r="K70" s="11" t="s">
        <v>25</v>
      </c>
      <c r="L70" s="25" t="s">
        <v>30</v>
      </c>
      <c r="M70" s="76">
        <v>14</v>
      </c>
      <c r="N70" s="27"/>
      <c r="O70" s="21"/>
    </row>
    <row r="71" spans="1:15" ht="25.5" x14ac:dyDescent="0.25">
      <c r="A71" s="27">
        <v>14</v>
      </c>
      <c r="B71" s="21"/>
      <c r="C71" s="69">
        <f>MATCH(D71,[1]!Tabla1[Consignatario],0)</f>
        <v>1820</v>
      </c>
      <c r="D71" s="31" t="s">
        <v>485</v>
      </c>
      <c r="E71" s="21"/>
      <c r="F71" s="21"/>
      <c r="G71" s="30" t="s">
        <v>138</v>
      </c>
      <c r="H71" s="38" t="s">
        <v>79</v>
      </c>
      <c r="I71" s="23">
        <f>24*8</f>
        <v>192</v>
      </c>
      <c r="J71" s="24"/>
      <c r="K71" s="11" t="s">
        <v>25</v>
      </c>
      <c r="L71" s="25" t="s">
        <v>30</v>
      </c>
      <c r="M71" s="77"/>
      <c r="N71" s="27"/>
      <c r="O71" s="21"/>
    </row>
    <row r="72" spans="1:15" ht="26.25" x14ac:dyDescent="0.25">
      <c r="A72" s="27">
        <v>14</v>
      </c>
      <c r="B72" s="21"/>
      <c r="C72" s="69">
        <f>MATCH(D72,[1]!Tabla1[Consignatario],0)</f>
        <v>1700</v>
      </c>
      <c r="D72" s="31" t="s">
        <v>96</v>
      </c>
      <c r="E72" s="21"/>
      <c r="F72" s="21"/>
      <c r="G72" s="8" t="s">
        <v>11</v>
      </c>
      <c r="H72" s="38" t="s">
        <v>13</v>
      </c>
      <c r="I72" s="23">
        <v>1000</v>
      </c>
      <c r="J72" s="24"/>
      <c r="K72" s="11" t="s">
        <v>25</v>
      </c>
      <c r="L72" s="25" t="s">
        <v>30</v>
      </c>
      <c r="M72" s="76">
        <v>30</v>
      </c>
      <c r="N72" s="27"/>
      <c r="O72" s="21"/>
    </row>
    <row r="73" spans="1:15" ht="26.25" x14ac:dyDescent="0.25">
      <c r="A73" s="27">
        <v>14</v>
      </c>
      <c r="B73" s="21"/>
      <c r="C73" s="69">
        <f>MATCH(D73,[1]!Tabla1[Consignatario],0)</f>
        <v>1700</v>
      </c>
      <c r="D73" s="31" t="s">
        <v>96</v>
      </c>
      <c r="E73" s="21"/>
      <c r="F73" s="21"/>
      <c r="G73" s="30" t="s">
        <v>138</v>
      </c>
      <c r="H73" s="38" t="s">
        <v>103</v>
      </c>
      <c r="I73" s="23">
        <f>60*8</f>
        <v>480</v>
      </c>
      <c r="J73" s="24"/>
      <c r="K73" s="11" t="s">
        <v>25</v>
      </c>
      <c r="L73" s="25" t="s">
        <v>30</v>
      </c>
      <c r="M73" s="77"/>
      <c r="N73" s="27"/>
      <c r="O73" s="21"/>
    </row>
    <row r="74" spans="1:15" ht="25.5" x14ac:dyDescent="0.25">
      <c r="A74" s="27">
        <v>14</v>
      </c>
      <c r="B74" s="21"/>
      <c r="C74" s="69">
        <f>MATCH(D74,[1]!Tabla1[Consignatario],0)</f>
        <v>1745</v>
      </c>
      <c r="D74" s="31" t="s">
        <v>475</v>
      </c>
      <c r="E74" s="21"/>
      <c r="F74" s="21"/>
      <c r="G74" s="8" t="s">
        <v>11</v>
      </c>
      <c r="H74" s="38" t="s">
        <v>13</v>
      </c>
      <c r="I74" s="23">
        <v>1000</v>
      </c>
      <c r="J74" s="24"/>
      <c r="K74" s="11" t="s">
        <v>25</v>
      </c>
      <c r="L74" s="25" t="s">
        <v>30</v>
      </c>
      <c r="M74" s="27">
        <v>20</v>
      </c>
      <c r="N74" s="27"/>
      <c r="O74" s="21"/>
    </row>
    <row r="75" spans="1:15" ht="25.5" x14ac:dyDescent="0.25">
      <c r="A75" s="27">
        <v>14</v>
      </c>
      <c r="B75" s="21"/>
      <c r="C75" s="69">
        <f>MATCH(D75,[1]!Tabla1[Consignatario],0)</f>
        <v>2729</v>
      </c>
      <c r="D75" s="31" t="s">
        <v>97</v>
      </c>
      <c r="E75" s="21"/>
      <c r="F75" s="21"/>
      <c r="G75" s="8" t="s">
        <v>11</v>
      </c>
      <c r="H75" s="38" t="s">
        <v>104</v>
      </c>
      <c r="I75" s="23">
        <f>22*2500</f>
        <v>55000</v>
      </c>
      <c r="J75" s="24">
        <f>22*50</f>
        <v>1100</v>
      </c>
      <c r="K75" s="11" t="s">
        <v>25</v>
      </c>
      <c r="L75" s="25" t="s">
        <v>30</v>
      </c>
      <c r="M75" s="79">
        <v>1540</v>
      </c>
      <c r="N75" s="27"/>
      <c r="O75" s="21"/>
    </row>
    <row r="76" spans="1:15" ht="25.5" x14ac:dyDescent="0.25">
      <c r="A76" s="27">
        <v>14</v>
      </c>
      <c r="B76" s="21"/>
      <c r="C76" s="69">
        <f>MATCH(D76,[1]!Tabla1[Consignatario],0)</f>
        <v>2729</v>
      </c>
      <c r="D76" s="31" t="s">
        <v>97</v>
      </c>
      <c r="E76" s="21"/>
      <c r="F76" s="21"/>
      <c r="G76" s="8" t="s">
        <v>256</v>
      </c>
      <c r="H76" s="38" t="s">
        <v>105</v>
      </c>
      <c r="I76" s="23">
        <v>22000</v>
      </c>
      <c r="J76" s="24">
        <f>22*20</f>
        <v>440</v>
      </c>
      <c r="K76" s="11" t="s">
        <v>25</v>
      </c>
      <c r="L76" s="25" t="s">
        <v>30</v>
      </c>
      <c r="M76" s="79"/>
      <c r="N76" s="27"/>
      <c r="O76" s="21"/>
    </row>
    <row r="77" spans="1:15" ht="25.5" x14ac:dyDescent="0.25">
      <c r="A77" s="27">
        <v>14</v>
      </c>
      <c r="B77" s="21"/>
      <c r="C77" s="69">
        <f>MATCH(D77,[1]!Tabla1[Consignatario],0)</f>
        <v>1445</v>
      </c>
      <c r="D77" s="31" t="s">
        <v>98</v>
      </c>
      <c r="E77" s="21"/>
      <c r="F77" s="21"/>
      <c r="G77" s="8" t="s">
        <v>256</v>
      </c>
      <c r="H77" s="38" t="s">
        <v>38</v>
      </c>
      <c r="I77" s="23">
        <v>1000</v>
      </c>
      <c r="J77" s="24"/>
      <c r="K77" s="11" t="s">
        <v>25</v>
      </c>
      <c r="L77" s="25" t="s">
        <v>30</v>
      </c>
      <c r="M77" s="79">
        <v>38</v>
      </c>
      <c r="N77" s="27"/>
      <c r="O77" s="21"/>
    </row>
    <row r="78" spans="1:15" ht="25.5" x14ac:dyDescent="0.25">
      <c r="A78" s="27">
        <v>14</v>
      </c>
      <c r="B78" s="21"/>
      <c r="C78" s="69">
        <f>MATCH(D78,[1]!Tabla1[Consignatario],0)</f>
        <v>1445</v>
      </c>
      <c r="D78" s="31" t="s">
        <v>98</v>
      </c>
      <c r="E78" s="21"/>
      <c r="F78" s="21"/>
      <c r="G78" s="30" t="s">
        <v>138</v>
      </c>
      <c r="H78" s="38" t="s">
        <v>50</v>
      </c>
      <c r="I78" s="23">
        <f>50*8</f>
        <v>400</v>
      </c>
      <c r="J78" s="24"/>
      <c r="K78" s="11" t="s">
        <v>25</v>
      </c>
      <c r="L78" s="25" t="s">
        <v>30</v>
      </c>
      <c r="M78" s="79"/>
      <c r="N78" s="27"/>
      <c r="O78" s="21"/>
    </row>
    <row r="79" spans="1:15" ht="25.5" x14ac:dyDescent="0.25">
      <c r="A79" s="27">
        <v>14</v>
      </c>
      <c r="B79" s="21"/>
      <c r="C79" s="69">
        <f>MATCH(D79,[1]!Tabla1[Consignatario],0)</f>
        <v>1445</v>
      </c>
      <c r="D79" s="31" t="s">
        <v>98</v>
      </c>
      <c r="E79" s="21"/>
      <c r="F79" s="21"/>
      <c r="G79" s="8" t="s">
        <v>11</v>
      </c>
      <c r="H79" s="38" t="s">
        <v>49</v>
      </c>
      <c r="I79" s="23">
        <v>500</v>
      </c>
      <c r="J79" s="24"/>
      <c r="K79" s="11" t="s">
        <v>25</v>
      </c>
      <c r="L79" s="25" t="s">
        <v>30</v>
      </c>
      <c r="M79" s="79"/>
      <c r="N79" s="27"/>
      <c r="O79" s="21"/>
    </row>
    <row r="80" spans="1:15" ht="26.25" x14ac:dyDescent="0.25">
      <c r="A80" s="27">
        <v>14</v>
      </c>
      <c r="B80" s="21" t="s">
        <v>33</v>
      </c>
      <c r="C80" s="69">
        <f>MATCH(D80,[1]!Tabla1[Consignatario],0)</f>
        <v>492</v>
      </c>
      <c r="D80" s="31" t="s">
        <v>99</v>
      </c>
      <c r="E80" s="21"/>
      <c r="F80" s="21"/>
      <c r="G80" s="8" t="s">
        <v>11</v>
      </c>
      <c r="H80" s="38" t="s">
        <v>22</v>
      </c>
      <c r="I80" s="23">
        <v>5000</v>
      </c>
      <c r="J80" s="24">
        <v>100</v>
      </c>
      <c r="K80" s="11" t="s">
        <v>25</v>
      </c>
      <c r="L80" s="25" t="s">
        <v>30</v>
      </c>
      <c r="M80" s="79">
        <v>113</v>
      </c>
      <c r="N80" s="27"/>
      <c r="O80" s="21"/>
    </row>
    <row r="81" spans="1:15" ht="26.25" x14ac:dyDescent="0.25">
      <c r="A81" s="27">
        <v>14</v>
      </c>
      <c r="B81" s="21"/>
      <c r="C81" s="69">
        <f>MATCH(D81,[1]!Tabla1[Consignatario],0)</f>
        <v>492</v>
      </c>
      <c r="D81" s="31" t="s">
        <v>99</v>
      </c>
      <c r="E81" s="21"/>
      <c r="F81" s="21"/>
      <c r="G81" s="30" t="s">
        <v>138</v>
      </c>
      <c r="H81" s="38" t="s">
        <v>106</v>
      </c>
      <c r="I81" s="23">
        <f>80*8</f>
        <v>640</v>
      </c>
      <c r="J81" s="24">
        <v>13</v>
      </c>
      <c r="K81" s="11" t="s">
        <v>25</v>
      </c>
      <c r="L81" s="25" t="s">
        <v>30</v>
      </c>
      <c r="M81" s="79"/>
      <c r="N81" s="27"/>
      <c r="O81" s="21"/>
    </row>
    <row r="82" spans="1:15" ht="25.5" x14ac:dyDescent="0.25">
      <c r="A82" s="27" t="s">
        <v>107</v>
      </c>
      <c r="B82" s="21"/>
      <c r="C82" s="69">
        <f>MATCH(D82,[1]!Tabla1[Consignatario],0)</f>
        <v>1581</v>
      </c>
      <c r="D82" s="31" t="s">
        <v>493</v>
      </c>
      <c r="E82" s="21"/>
      <c r="F82" s="21"/>
      <c r="G82" s="8" t="s">
        <v>11</v>
      </c>
      <c r="H82" s="38" t="s">
        <v>113</v>
      </c>
      <c r="I82" s="23">
        <v>4000</v>
      </c>
      <c r="J82" s="24"/>
      <c r="K82" s="11" t="s">
        <v>25</v>
      </c>
      <c r="L82" s="25" t="s">
        <v>30</v>
      </c>
      <c r="M82" s="79">
        <v>96</v>
      </c>
      <c r="N82" s="27"/>
      <c r="O82" s="21"/>
    </row>
    <row r="83" spans="1:15" ht="25.5" x14ac:dyDescent="0.25">
      <c r="A83" s="27" t="s">
        <v>107</v>
      </c>
      <c r="B83" s="21"/>
      <c r="C83" s="69">
        <f>MATCH(D83,[1]!Tabla1[Consignatario],0)</f>
        <v>1581</v>
      </c>
      <c r="D83" s="31" t="s">
        <v>493</v>
      </c>
      <c r="E83" s="21"/>
      <c r="F83" s="21"/>
      <c r="G83" s="30" t="s">
        <v>138</v>
      </c>
      <c r="H83" s="38" t="s">
        <v>81</v>
      </c>
      <c r="I83" s="23">
        <v>800</v>
      </c>
      <c r="J83" s="24"/>
      <c r="K83" s="11" t="s">
        <v>25</v>
      </c>
      <c r="L83" s="25" t="s">
        <v>30</v>
      </c>
      <c r="M83" s="79"/>
      <c r="N83" s="27"/>
      <c r="O83" s="21"/>
    </row>
    <row r="84" spans="1:15" ht="25.5" x14ac:dyDescent="0.25">
      <c r="A84" s="27" t="s">
        <v>107</v>
      </c>
      <c r="B84" s="21"/>
      <c r="C84" s="69">
        <f>MATCH(D84,[1]!Tabla1[Consignatario],0)</f>
        <v>2213</v>
      </c>
      <c r="D84" s="31" t="s">
        <v>108</v>
      </c>
      <c r="E84" s="21"/>
      <c r="F84" s="21"/>
      <c r="G84" s="8" t="s">
        <v>11</v>
      </c>
      <c r="H84" s="38" t="s">
        <v>39</v>
      </c>
      <c r="I84" s="23">
        <v>7500</v>
      </c>
      <c r="J84" s="24"/>
      <c r="K84" s="11" t="s">
        <v>25</v>
      </c>
      <c r="L84" s="25" t="s">
        <v>30</v>
      </c>
      <c r="M84" s="27">
        <v>150</v>
      </c>
      <c r="N84" s="27"/>
      <c r="O84" s="21"/>
    </row>
    <row r="85" spans="1:15" ht="25.5" x14ac:dyDescent="0.25">
      <c r="A85" s="27" t="s">
        <v>107</v>
      </c>
      <c r="B85" s="21"/>
      <c r="C85" s="69">
        <f>MATCH(D85,[1]!Tabla1[Consignatario],0)</f>
        <v>580</v>
      </c>
      <c r="D85" s="31" t="s">
        <v>527</v>
      </c>
      <c r="E85" s="21"/>
      <c r="F85" s="21"/>
      <c r="G85" s="8" t="s">
        <v>11</v>
      </c>
      <c r="H85" s="38" t="s">
        <v>115</v>
      </c>
      <c r="I85" s="23">
        <f>2500*8</f>
        <v>20000</v>
      </c>
      <c r="J85" s="24">
        <f>50*8</f>
        <v>400</v>
      </c>
      <c r="K85" s="11" t="s">
        <v>25</v>
      </c>
      <c r="L85" s="25" t="s">
        <v>30</v>
      </c>
      <c r="M85" s="79">
        <v>470</v>
      </c>
      <c r="N85" s="27"/>
      <c r="O85" s="21"/>
    </row>
    <row r="86" spans="1:15" ht="25.5" x14ac:dyDescent="0.25">
      <c r="A86" s="27" t="s">
        <v>107</v>
      </c>
      <c r="B86" s="21"/>
      <c r="C86" s="69">
        <f>MATCH(D86,[1]!Tabla1[Consignatario],0)</f>
        <v>580</v>
      </c>
      <c r="D86" s="31" t="s">
        <v>527</v>
      </c>
      <c r="E86" s="21"/>
      <c r="F86" s="21"/>
      <c r="G86" s="8" t="s">
        <v>256</v>
      </c>
      <c r="H86" s="38" t="s">
        <v>38</v>
      </c>
      <c r="I86" s="23">
        <v>1000</v>
      </c>
      <c r="J86" s="24">
        <v>20</v>
      </c>
      <c r="K86" s="11" t="s">
        <v>25</v>
      </c>
      <c r="L86" s="25" t="s">
        <v>30</v>
      </c>
      <c r="M86" s="79"/>
      <c r="N86" s="27"/>
      <c r="O86" s="21"/>
    </row>
    <row r="87" spans="1:15" ht="25.5" x14ac:dyDescent="0.25">
      <c r="A87" s="27" t="s">
        <v>107</v>
      </c>
      <c r="B87" s="21"/>
      <c r="C87" s="69">
        <f>MATCH(D87,[1]!Tabla1[Consignatario],0)</f>
        <v>580</v>
      </c>
      <c r="D87" s="31" t="s">
        <v>527</v>
      </c>
      <c r="E87" s="21"/>
      <c r="F87" s="21"/>
      <c r="G87" s="30" t="s">
        <v>138</v>
      </c>
      <c r="H87" s="38" t="s">
        <v>46</v>
      </c>
      <c r="I87" s="23">
        <v>2500</v>
      </c>
      <c r="J87" s="24">
        <v>50</v>
      </c>
      <c r="K87" s="11" t="s">
        <v>25</v>
      </c>
      <c r="L87" s="25" t="s">
        <v>30</v>
      </c>
      <c r="M87" s="79"/>
      <c r="N87" s="27"/>
      <c r="O87" s="21"/>
    </row>
    <row r="88" spans="1:15" ht="26.25" x14ac:dyDescent="0.25">
      <c r="A88" s="27" t="s">
        <v>107</v>
      </c>
      <c r="B88" s="21"/>
      <c r="C88" s="69">
        <f>MATCH(D88,[1]!Tabla1[Consignatario],0)</f>
        <v>480</v>
      </c>
      <c r="D88" s="31" t="s">
        <v>109</v>
      </c>
      <c r="E88" s="21"/>
      <c r="F88" s="21"/>
      <c r="G88" s="30" t="s">
        <v>138</v>
      </c>
      <c r="H88" s="38" t="s">
        <v>114</v>
      </c>
      <c r="I88" s="23">
        <f>40*8</f>
        <v>320</v>
      </c>
      <c r="J88" s="24"/>
      <c r="K88" s="11" t="s">
        <v>25</v>
      </c>
      <c r="L88" s="25" t="s">
        <v>30</v>
      </c>
      <c r="M88" s="27">
        <v>6</v>
      </c>
      <c r="N88" s="27"/>
      <c r="O88" s="21"/>
    </row>
    <row r="89" spans="1:15" ht="25.5" x14ac:dyDescent="0.25">
      <c r="A89" s="27" t="s">
        <v>107</v>
      </c>
      <c r="B89" s="21"/>
      <c r="C89" s="69">
        <f>MATCH(D89,[1]!Tabla1[Consignatario],0)</f>
        <v>1246</v>
      </c>
      <c r="D89" s="31" t="s">
        <v>377</v>
      </c>
      <c r="E89" s="21"/>
      <c r="F89" s="21"/>
      <c r="G89" s="8" t="s">
        <v>11</v>
      </c>
      <c r="H89" s="38" t="s">
        <v>13</v>
      </c>
      <c r="I89" s="23">
        <v>1000</v>
      </c>
      <c r="J89" s="24"/>
      <c r="K89" s="11" t="s">
        <v>25</v>
      </c>
      <c r="L89" s="25" t="s">
        <v>30</v>
      </c>
      <c r="M89" s="79">
        <v>24</v>
      </c>
      <c r="N89" s="27"/>
      <c r="O89" s="21"/>
    </row>
    <row r="90" spans="1:15" ht="25.5" x14ac:dyDescent="0.25">
      <c r="A90" s="27" t="s">
        <v>107</v>
      </c>
      <c r="B90" s="21"/>
      <c r="C90" s="69">
        <f>MATCH(D90,[1]!Tabla1[Consignatario],0)</f>
        <v>1246</v>
      </c>
      <c r="D90" s="31" t="s">
        <v>377</v>
      </c>
      <c r="E90" s="21"/>
      <c r="F90" s="21"/>
      <c r="G90" s="30" t="s">
        <v>138</v>
      </c>
      <c r="H90" s="38" t="s">
        <v>116</v>
      </c>
      <c r="I90" s="23">
        <f>25*8</f>
        <v>200</v>
      </c>
      <c r="J90" s="24"/>
      <c r="K90" s="11" t="s">
        <v>25</v>
      </c>
      <c r="L90" s="25" t="s">
        <v>30</v>
      </c>
      <c r="M90" s="79"/>
      <c r="N90" s="27"/>
      <c r="O90" s="21"/>
    </row>
    <row r="91" spans="1:15" ht="26.25" x14ac:dyDescent="0.25">
      <c r="A91" s="27" t="s">
        <v>107</v>
      </c>
      <c r="B91" s="21"/>
      <c r="C91" s="69">
        <f>MATCH(D91,[1]!Tabla1[Consignatario],0)</f>
        <v>2207</v>
      </c>
      <c r="D91" s="31" t="s">
        <v>495</v>
      </c>
      <c r="E91" s="21"/>
      <c r="F91" s="21"/>
      <c r="G91" s="8" t="s">
        <v>11</v>
      </c>
      <c r="H91" s="38" t="s">
        <v>13</v>
      </c>
      <c r="I91" s="23">
        <v>1000</v>
      </c>
      <c r="J91" s="24"/>
      <c r="K91" s="11" t="s">
        <v>25</v>
      </c>
      <c r="L91" s="25" t="s">
        <v>30</v>
      </c>
      <c r="M91" s="27">
        <v>20</v>
      </c>
      <c r="N91" s="27"/>
      <c r="O91" s="21"/>
    </row>
    <row r="92" spans="1:15" ht="25.5" x14ac:dyDescent="0.25">
      <c r="A92" s="27" t="s">
        <v>107</v>
      </c>
      <c r="B92" s="21"/>
      <c r="C92" s="69">
        <f>MATCH(D92,[1]!Tabla1[Consignatario],0)</f>
        <v>864</v>
      </c>
      <c r="D92" s="31" t="s">
        <v>110</v>
      </c>
      <c r="E92" s="21"/>
      <c r="F92" s="21"/>
      <c r="G92" s="8" t="s">
        <v>256</v>
      </c>
      <c r="H92" s="38" t="s">
        <v>37</v>
      </c>
      <c r="I92" s="23">
        <v>2000</v>
      </c>
      <c r="J92" s="24"/>
      <c r="K92" s="11" t="s">
        <v>25</v>
      </c>
      <c r="L92" s="25" t="s">
        <v>30</v>
      </c>
      <c r="M92" s="27">
        <v>40</v>
      </c>
      <c r="N92" s="27"/>
      <c r="O92" s="21"/>
    </row>
    <row r="93" spans="1:15" ht="25.5" x14ac:dyDescent="0.25">
      <c r="A93" s="27" t="s">
        <v>107</v>
      </c>
      <c r="B93" s="21"/>
      <c r="C93" s="69">
        <f>MATCH(D93,[1]!Tabla1[Consignatario],0)</f>
        <v>1898</v>
      </c>
      <c r="D93" s="31" t="s">
        <v>519</v>
      </c>
      <c r="E93" s="21"/>
      <c r="F93" s="21"/>
      <c r="G93" s="8" t="s">
        <v>11</v>
      </c>
      <c r="H93" s="38" t="s">
        <v>22</v>
      </c>
      <c r="I93" s="23">
        <v>5000</v>
      </c>
      <c r="J93" s="24"/>
      <c r="K93" s="11" t="s">
        <v>25</v>
      </c>
      <c r="L93" s="25" t="s">
        <v>30</v>
      </c>
      <c r="M93" s="27">
        <v>100</v>
      </c>
      <c r="N93" s="27"/>
      <c r="O93" s="21"/>
    </row>
    <row r="94" spans="1:15" ht="26.25" x14ac:dyDescent="0.25">
      <c r="A94" s="27" t="s">
        <v>107</v>
      </c>
      <c r="B94" s="21"/>
      <c r="C94" s="69">
        <f>MATCH(D94,[1]!Tabla1[Consignatario],0)</f>
        <v>64</v>
      </c>
      <c r="D94" s="31" t="s">
        <v>111</v>
      </c>
      <c r="E94" s="21"/>
      <c r="F94" s="21"/>
      <c r="G94" s="8" t="s">
        <v>11</v>
      </c>
      <c r="H94" s="38" t="s">
        <v>117</v>
      </c>
      <c r="I94" s="23">
        <v>2700</v>
      </c>
      <c r="J94" s="24"/>
      <c r="K94" s="11" t="s">
        <v>25</v>
      </c>
      <c r="L94" s="25" t="s">
        <v>30</v>
      </c>
      <c r="M94" s="27">
        <v>54</v>
      </c>
      <c r="N94" s="27"/>
      <c r="O94" s="21"/>
    </row>
    <row r="95" spans="1:15" ht="26.25" x14ac:dyDescent="0.25">
      <c r="A95" s="27" t="s">
        <v>107</v>
      </c>
      <c r="B95" s="21"/>
      <c r="C95" s="69">
        <f>MATCH(D95,[1]!Tabla1[Consignatario],0)</f>
        <v>2246</v>
      </c>
      <c r="D95" s="31" t="s">
        <v>112</v>
      </c>
      <c r="E95" s="21"/>
      <c r="F95" s="21"/>
      <c r="G95" s="8" t="s">
        <v>11</v>
      </c>
      <c r="H95" s="38" t="s">
        <v>82</v>
      </c>
      <c r="I95" s="23">
        <v>400</v>
      </c>
      <c r="J95" s="24"/>
      <c r="K95" s="11" t="s">
        <v>25</v>
      </c>
      <c r="L95" s="25" t="s">
        <v>30</v>
      </c>
      <c r="M95" s="27">
        <v>8</v>
      </c>
      <c r="N95" s="27"/>
      <c r="O95" s="21"/>
    </row>
    <row r="96" spans="1:15" ht="25.5" x14ac:dyDescent="0.25">
      <c r="A96" s="27">
        <v>15</v>
      </c>
      <c r="B96" s="21"/>
      <c r="C96" s="69">
        <f>MATCH(D96,[1]!Tabla1[Consignatario],0)</f>
        <v>754</v>
      </c>
      <c r="D96" s="31" t="s">
        <v>118</v>
      </c>
      <c r="E96" s="21"/>
      <c r="F96" s="21"/>
      <c r="G96" s="8" t="s">
        <v>11</v>
      </c>
      <c r="H96" s="38" t="s">
        <v>13</v>
      </c>
      <c r="I96" s="23">
        <v>1000</v>
      </c>
      <c r="J96" s="24"/>
      <c r="K96" s="11" t="s">
        <v>25</v>
      </c>
      <c r="L96" s="25" t="s">
        <v>30</v>
      </c>
      <c r="M96" s="79">
        <v>26</v>
      </c>
      <c r="N96" s="27"/>
      <c r="O96" s="21"/>
    </row>
    <row r="97" spans="1:15" ht="25.5" x14ac:dyDescent="0.25">
      <c r="A97" s="27">
        <v>15</v>
      </c>
      <c r="B97" s="21"/>
      <c r="C97" s="69">
        <f>MATCH(D97,[1]!Tabla1[Consignatario],0)</f>
        <v>754</v>
      </c>
      <c r="D97" s="31" t="s">
        <v>118</v>
      </c>
      <c r="E97" s="21"/>
      <c r="F97" s="21"/>
      <c r="G97" s="30" t="s">
        <v>138</v>
      </c>
      <c r="H97" s="38" t="s">
        <v>114</v>
      </c>
      <c r="I97" s="23">
        <f>40*8</f>
        <v>320</v>
      </c>
      <c r="J97" s="24"/>
      <c r="K97" s="11" t="s">
        <v>25</v>
      </c>
      <c r="L97" s="25" t="s">
        <v>30</v>
      </c>
      <c r="M97" s="79"/>
      <c r="N97" s="27"/>
      <c r="O97" s="21"/>
    </row>
    <row r="98" spans="1:15" ht="26.25" x14ac:dyDescent="0.25">
      <c r="A98" s="27">
        <v>15</v>
      </c>
      <c r="B98" s="21"/>
      <c r="C98" s="69">
        <f>MATCH(D98,[1]!Tabla1[Consignatario],0)</f>
        <v>334</v>
      </c>
      <c r="D98" s="31" t="s">
        <v>119</v>
      </c>
      <c r="E98" s="21"/>
      <c r="F98" s="21"/>
      <c r="G98" s="8" t="s">
        <v>11</v>
      </c>
      <c r="H98" s="38" t="s">
        <v>124</v>
      </c>
      <c r="I98" s="23">
        <v>10000</v>
      </c>
      <c r="J98" s="24"/>
      <c r="K98" s="11" t="s">
        <v>25</v>
      </c>
      <c r="L98" s="25" t="s">
        <v>30</v>
      </c>
      <c r="M98" s="27">
        <v>200</v>
      </c>
      <c r="N98" s="27"/>
      <c r="O98" s="21"/>
    </row>
    <row r="99" spans="1:15" ht="26.25" x14ac:dyDescent="0.25">
      <c r="A99" s="27">
        <v>15</v>
      </c>
      <c r="B99" s="21" t="s">
        <v>15</v>
      </c>
      <c r="C99" s="69">
        <f>MATCH(D99,[1]!Tabla1[Consignatario],0)</f>
        <v>2087</v>
      </c>
      <c r="D99" s="31" t="s">
        <v>120</v>
      </c>
      <c r="E99" s="21"/>
      <c r="F99" s="21"/>
      <c r="G99" s="30" t="s">
        <v>138</v>
      </c>
      <c r="H99" s="38" t="s">
        <v>81</v>
      </c>
      <c r="I99" s="23">
        <v>800</v>
      </c>
      <c r="J99" s="24"/>
      <c r="K99" s="11" t="s">
        <v>25</v>
      </c>
      <c r="L99" s="25" t="s">
        <v>30</v>
      </c>
      <c r="M99" s="27">
        <v>16</v>
      </c>
      <c r="N99" s="27"/>
      <c r="O99" s="21"/>
    </row>
    <row r="100" spans="1:15" ht="25.5" x14ac:dyDescent="0.25">
      <c r="A100" s="27">
        <v>15</v>
      </c>
      <c r="B100" s="21" t="s">
        <v>15</v>
      </c>
      <c r="C100" s="69">
        <f>MATCH(D100,[1]!Tabla1[Consignatario],0)</f>
        <v>864</v>
      </c>
      <c r="D100" s="31" t="s">
        <v>110</v>
      </c>
      <c r="E100" s="21"/>
      <c r="F100" s="21"/>
      <c r="G100" s="30" t="s">
        <v>138</v>
      </c>
      <c r="H100" s="38" t="s">
        <v>81</v>
      </c>
      <c r="I100" s="23">
        <v>800</v>
      </c>
      <c r="J100" s="24"/>
      <c r="K100" s="11" t="s">
        <v>25</v>
      </c>
      <c r="L100" s="25" t="s">
        <v>30</v>
      </c>
      <c r="M100" s="27">
        <v>16</v>
      </c>
      <c r="N100" s="27"/>
      <c r="O100" s="21"/>
    </row>
    <row r="101" spans="1:15" ht="25.5" x14ac:dyDescent="0.25">
      <c r="A101" s="27">
        <v>15</v>
      </c>
      <c r="B101" s="21" t="s">
        <v>15</v>
      </c>
      <c r="C101" s="69">
        <f>MATCH(D101,[1]!Tabla1[Consignatario],0)</f>
        <v>1898</v>
      </c>
      <c r="D101" s="31" t="s">
        <v>519</v>
      </c>
      <c r="E101" s="21"/>
      <c r="F101" s="21"/>
      <c r="G101" s="30" t="s">
        <v>138</v>
      </c>
      <c r="H101" s="38" t="s">
        <v>81</v>
      </c>
      <c r="I101" s="23">
        <v>800</v>
      </c>
      <c r="J101" s="24"/>
      <c r="K101" s="11" t="s">
        <v>25</v>
      </c>
      <c r="L101" s="25" t="s">
        <v>30</v>
      </c>
      <c r="M101" s="27">
        <v>16</v>
      </c>
      <c r="N101" s="27"/>
      <c r="O101" s="21"/>
    </row>
    <row r="102" spans="1:15" ht="26.25" x14ac:dyDescent="0.25">
      <c r="A102" s="27">
        <v>15</v>
      </c>
      <c r="B102" s="21" t="s">
        <v>15</v>
      </c>
      <c r="C102" s="69">
        <f>MATCH(D102,[1]!Tabla1[Consignatario],0)</f>
        <v>2087</v>
      </c>
      <c r="D102" s="31" t="s">
        <v>120</v>
      </c>
      <c r="E102" s="21"/>
      <c r="F102" s="21"/>
      <c r="G102" s="8" t="s">
        <v>11</v>
      </c>
      <c r="H102" s="38" t="s">
        <v>125</v>
      </c>
      <c r="I102" s="23">
        <f>6*2500</f>
        <v>15000</v>
      </c>
      <c r="J102" s="24">
        <v>300</v>
      </c>
      <c r="K102" s="11" t="s">
        <v>25</v>
      </c>
      <c r="L102" s="25" t="s">
        <v>30</v>
      </c>
      <c r="M102" s="27">
        <v>300</v>
      </c>
      <c r="N102" s="27"/>
      <c r="O102" s="21"/>
    </row>
    <row r="103" spans="1:15" ht="26.25" x14ac:dyDescent="0.25">
      <c r="A103" s="27">
        <v>15</v>
      </c>
      <c r="B103" s="21"/>
      <c r="C103" s="69">
        <f>MATCH(D103,[1]!Tabla1[Consignatario],0)</f>
        <v>1372</v>
      </c>
      <c r="D103" s="31" t="s">
        <v>121</v>
      </c>
      <c r="E103" s="21"/>
      <c r="F103" s="21"/>
      <c r="G103" s="8" t="s">
        <v>11</v>
      </c>
      <c r="H103" s="38" t="s">
        <v>13</v>
      </c>
      <c r="I103" s="23">
        <v>1000</v>
      </c>
      <c r="J103" s="24"/>
      <c r="K103" s="11" t="s">
        <v>25</v>
      </c>
      <c r="L103" s="25" t="s">
        <v>30</v>
      </c>
      <c r="M103" s="79">
        <v>44</v>
      </c>
      <c r="N103" s="27"/>
      <c r="O103" s="21"/>
    </row>
    <row r="104" spans="1:15" ht="26.25" x14ac:dyDescent="0.25">
      <c r="A104" s="27">
        <v>15</v>
      </c>
      <c r="B104" s="21"/>
      <c r="C104" s="69">
        <f>MATCH(D104,[1]!Tabla1[Consignatario],0)</f>
        <v>1372</v>
      </c>
      <c r="D104" s="31" t="s">
        <v>121</v>
      </c>
      <c r="E104" s="21"/>
      <c r="F104" s="21"/>
      <c r="G104" s="30" t="s">
        <v>138</v>
      </c>
      <c r="H104" s="38" t="s">
        <v>43</v>
      </c>
      <c r="I104" s="23">
        <f>250*8</f>
        <v>2000</v>
      </c>
      <c r="J104" s="24"/>
      <c r="K104" s="11" t="s">
        <v>25</v>
      </c>
      <c r="L104" s="25" t="s">
        <v>30</v>
      </c>
      <c r="M104" s="79"/>
      <c r="N104" s="27"/>
      <c r="O104" s="21"/>
    </row>
    <row r="105" spans="1:15" ht="25.5" x14ac:dyDescent="0.25">
      <c r="A105" s="27">
        <v>15</v>
      </c>
      <c r="B105" s="21"/>
      <c r="C105" s="69">
        <f>MATCH(D105,[1]!Tabla1[Consignatario],0)</f>
        <v>2524</v>
      </c>
      <c r="D105" s="31" t="s">
        <v>122</v>
      </c>
      <c r="E105" s="21"/>
      <c r="F105" s="21"/>
      <c r="G105" s="8" t="s">
        <v>11</v>
      </c>
      <c r="H105" s="38" t="s">
        <v>125</v>
      </c>
      <c r="I105" s="23">
        <f>2500*6</f>
        <v>15000</v>
      </c>
      <c r="J105" s="24">
        <v>300</v>
      </c>
      <c r="K105" s="11" t="s">
        <v>25</v>
      </c>
      <c r="L105" s="25" t="s">
        <v>30</v>
      </c>
      <c r="M105" s="79">
        <v>380</v>
      </c>
      <c r="N105" s="27"/>
      <c r="O105" s="21"/>
    </row>
    <row r="106" spans="1:15" ht="25.5" x14ac:dyDescent="0.25">
      <c r="A106" s="27">
        <v>15</v>
      </c>
      <c r="B106" s="21"/>
      <c r="C106" s="69">
        <f>MATCH(D106,[1]!Tabla1[Consignatario],0)</f>
        <v>2524</v>
      </c>
      <c r="D106" s="31" t="s">
        <v>122</v>
      </c>
      <c r="E106" s="21"/>
      <c r="F106" s="21"/>
      <c r="G106" s="8" t="s">
        <v>11</v>
      </c>
      <c r="H106" s="38" t="s">
        <v>54</v>
      </c>
      <c r="I106" s="23">
        <v>2500</v>
      </c>
      <c r="J106" s="24"/>
      <c r="K106" s="11" t="s">
        <v>25</v>
      </c>
      <c r="L106" s="25" t="s">
        <v>30</v>
      </c>
      <c r="M106" s="79"/>
      <c r="N106" s="27"/>
      <c r="O106" s="21"/>
    </row>
    <row r="107" spans="1:15" ht="25.5" x14ac:dyDescent="0.25">
      <c r="A107" s="27">
        <v>15</v>
      </c>
      <c r="B107" s="21"/>
      <c r="C107" s="69">
        <f>MATCH(D107,[1]!Tabla1[Consignatario],0)</f>
        <v>2524</v>
      </c>
      <c r="D107" s="31" t="s">
        <v>122</v>
      </c>
      <c r="E107" s="21"/>
      <c r="F107" s="21"/>
      <c r="G107" s="30" t="s">
        <v>138</v>
      </c>
      <c r="H107" s="38" t="s">
        <v>126</v>
      </c>
      <c r="I107" s="23">
        <f>312*8</f>
        <v>2496</v>
      </c>
      <c r="J107" s="24"/>
      <c r="K107" s="11" t="s">
        <v>25</v>
      </c>
      <c r="L107" s="25" t="s">
        <v>30</v>
      </c>
      <c r="M107" s="79"/>
      <c r="N107" s="27"/>
      <c r="O107" s="21"/>
    </row>
    <row r="108" spans="1:15" ht="39" x14ac:dyDescent="0.25">
      <c r="A108" s="27">
        <v>15</v>
      </c>
      <c r="B108" s="21"/>
      <c r="C108" s="69">
        <f>MATCH(D108,[1]!Tabla1[Consignatario],0)</f>
        <v>2356</v>
      </c>
      <c r="D108" s="31" t="s">
        <v>123</v>
      </c>
      <c r="E108" s="21"/>
      <c r="F108" s="21"/>
      <c r="G108" s="8" t="s">
        <v>11</v>
      </c>
      <c r="H108" s="38" t="s">
        <v>22</v>
      </c>
      <c r="I108" s="23">
        <v>5000</v>
      </c>
      <c r="J108" s="24"/>
      <c r="K108" s="11" t="s">
        <v>25</v>
      </c>
      <c r="L108" s="25" t="s">
        <v>30</v>
      </c>
      <c r="M108" s="79">
        <v>300</v>
      </c>
      <c r="N108" s="27"/>
      <c r="O108" s="21"/>
    </row>
    <row r="109" spans="1:15" ht="39" x14ac:dyDescent="0.25">
      <c r="A109" s="27">
        <v>15</v>
      </c>
      <c r="B109" s="21"/>
      <c r="C109" s="69">
        <f>MATCH(D109,[1]!Tabla1[Consignatario],0)</f>
        <v>2356</v>
      </c>
      <c r="D109" s="31" t="s">
        <v>123</v>
      </c>
      <c r="E109" s="21"/>
      <c r="F109" s="21"/>
      <c r="G109" s="8" t="s">
        <v>256</v>
      </c>
      <c r="H109" s="38" t="s">
        <v>45</v>
      </c>
      <c r="I109" s="23">
        <v>3000</v>
      </c>
      <c r="J109" s="24"/>
      <c r="K109" s="11" t="s">
        <v>25</v>
      </c>
      <c r="L109" s="25" t="s">
        <v>30</v>
      </c>
      <c r="M109" s="79"/>
      <c r="N109" s="27"/>
      <c r="O109" s="21"/>
    </row>
    <row r="110" spans="1:15" ht="39" x14ac:dyDescent="0.25">
      <c r="A110" s="27">
        <v>15</v>
      </c>
      <c r="B110" s="21"/>
      <c r="C110" s="69">
        <f>MATCH(D110,[1]!Tabla1[Consignatario],0)</f>
        <v>2356</v>
      </c>
      <c r="D110" s="31" t="s">
        <v>123</v>
      </c>
      <c r="E110" s="21"/>
      <c r="F110" s="21"/>
      <c r="G110" s="30" t="s">
        <v>138</v>
      </c>
      <c r="H110" s="38" t="s">
        <v>127</v>
      </c>
      <c r="I110" s="23">
        <f>200*8</f>
        <v>1600</v>
      </c>
      <c r="J110" s="24"/>
      <c r="K110" s="11" t="s">
        <v>25</v>
      </c>
      <c r="L110" s="25" t="s">
        <v>30</v>
      </c>
      <c r="M110" s="79"/>
      <c r="N110" s="27"/>
      <c r="O110" s="21"/>
    </row>
    <row r="111" spans="1:15" ht="39" x14ac:dyDescent="0.25">
      <c r="A111" s="27">
        <v>15</v>
      </c>
      <c r="B111" s="21"/>
      <c r="C111" s="69">
        <f>MATCH(D111,[1]!Tabla1[Consignatario],0)</f>
        <v>2356</v>
      </c>
      <c r="D111" s="31" t="s">
        <v>123</v>
      </c>
      <c r="E111" s="21"/>
      <c r="F111" s="21"/>
      <c r="G111" s="8" t="s">
        <v>11</v>
      </c>
      <c r="H111" s="38" t="s">
        <v>128</v>
      </c>
      <c r="I111" s="23">
        <v>300</v>
      </c>
      <c r="J111" s="24"/>
      <c r="K111" s="11" t="s">
        <v>25</v>
      </c>
      <c r="L111" s="25" t="s">
        <v>30</v>
      </c>
      <c r="M111" s="79"/>
      <c r="N111" s="27"/>
      <c r="O111" s="21"/>
    </row>
    <row r="112" spans="1:15" ht="26.25" x14ac:dyDescent="0.25">
      <c r="A112" s="27">
        <v>15</v>
      </c>
      <c r="B112" s="21" t="s">
        <v>33</v>
      </c>
      <c r="C112" s="69">
        <f>MATCH(D112,[1]!Tabla1[Consignatario],0)</f>
        <v>2481</v>
      </c>
      <c r="D112" s="31" t="s">
        <v>92</v>
      </c>
      <c r="E112" s="21"/>
      <c r="F112" s="21"/>
      <c r="G112" s="8" t="s">
        <v>11</v>
      </c>
      <c r="H112" s="38" t="s">
        <v>129</v>
      </c>
      <c r="I112" s="23">
        <v>1300</v>
      </c>
      <c r="J112" s="24"/>
      <c r="K112" s="11" t="s">
        <v>25</v>
      </c>
      <c r="L112" s="25" t="s">
        <v>30</v>
      </c>
      <c r="M112" s="27">
        <v>26</v>
      </c>
      <c r="N112" s="27"/>
      <c r="O112" s="21"/>
    </row>
    <row r="113" spans="1:15" ht="25.5" x14ac:dyDescent="0.25">
      <c r="A113" s="27" t="s">
        <v>130</v>
      </c>
      <c r="B113" s="21"/>
      <c r="C113" s="69">
        <f>MATCH(D113,[1]!Tabla1[Consignatario],0)</f>
        <v>2114</v>
      </c>
      <c r="D113" s="33" t="s">
        <v>528</v>
      </c>
      <c r="E113" s="21"/>
      <c r="F113" s="21"/>
      <c r="G113" s="8" t="s">
        <v>11</v>
      </c>
      <c r="H113" s="47" t="s">
        <v>22</v>
      </c>
      <c r="I113" s="23">
        <v>5000</v>
      </c>
      <c r="J113" s="24">
        <v>100</v>
      </c>
      <c r="K113" s="25" t="s">
        <v>25</v>
      </c>
      <c r="L113" s="25" t="s">
        <v>30</v>
      </c>
      <c r="M113" s="27">
        <v>206</v>
      </c>
      <c r="N113" s="27"/>
      <c r="O113" s="21"/>
    </row>
    <row r="114" spans="1:15" ht="25.5" x14ac:dyDescent="0.25">
      <c r="A114" s="27" t="s">
        <v>130</v>
      </c>
      <c r="B114" s="21"/>
      <c r="C114" s="69">
        <f>MATCH(D114,[1]!Tabla1[Consignatario],0)</f>
        <v>2114</v>
      </c>
      <c r="D114" s="33" t="s">
        <v>528</v>
      </c>
      <c r="E114" s="21"/>
      <c r="F114" s="21"/>
      <c r="G114" s="8" t="s">
        <v>256</v>
      </c>
      <c r="H114" s="47" t="s">
        <v>37</v>
      </c>
      <c r="I114" s="23">
        <v>2000</v>
      </c>
      <c r="J114" s="24">
        <v>40</v>
      </c>
      <c r="K114" s="25" t="s">
        <v>25</v>
      </c>
      <c r="L114" s="25" t="s">
        <v>30</v>
      </c>
      <c r="M114" s="27"/>
      <c r="N114" s="27"/>
      <c r="O114" s="21"/>
    </row>
    <row r="115" spans="1:15" ht="25.5" x14ac:dyDescent="0.25">
      <c r="A115" s="27" t="s">
        <v>130</v>
      </c>
      <c r="B115" s="21"/>
      <c r="C115" s="69">
        <f>MATCH(D115,[1]!Tabla1[Consignatario],0)</f>
        <v>2114</v>
      </c>
      <c r="D115" s="33" t="s">
        <v>528</v>
      </c>
      <c r="E115" s="21"/>
      <c r="F115" s="21"/>
      <c r="G115" s="30" t="s">
        <v>138</v>
      </c>
      <c r="H115" s="47" t="s">
        <v>53</v>
      </c>
      <c r="I115" s="34">
        <v>2500</v>
      </c>
      <c r="J115" s="35">
        <v>50</v>
      </c>
      <c r="K115" s="25" t="s">
        <v>25</v>
      </c>
      <c r="L115" s="25" t="s">
        <v>30</v>
      </c>
      <c r="M115" s="27"/>
      <c r="N115" s="27"/>
      <c r="O115" s="21"/>
    </row>
    <row r="116" spans="1:15" ht="25.5" x14ac:dyDescent="0.25">
      <c r="A116" s="27" t="s">
        <v>130</v>
      </c>
      <c r="B116" s="21"/>
      <c r="C116" s="69">
        <f>MATCH(D116,[1]!Tabla1[Consignatario],0)</f>
        <v>2114</v>
      </c>
      <c r="D116" s="33" t="s">
        <v>528</v>
      </c>
      <c r="E116" s="21"/>
      <c r="F116" s="21"/>
      <c r="G116" s="30" t="s">
        <v>138</v>
      </c>
      <c r="H116" s="38" t="s">
        <v>81</v>
      </c>
      <c r="I116" s="23">
        <v>800</v>
      </c>
      <c r="J116" s="24">
        <v>16</v>
      </c>
      <c r="K116" s="25" t="s">
        <v>25</v>
      </c>
      <c r="L116" s="25" t="s">
        <v>30</v>
      </c>
      <c r="M116" s="27"/>
      <c r="N116" s="27"/>
      <c r="O116" s="21"/>
    </row>
    <row r="117" spans="1:15" ht="39" x14ac:dyDescent="0.25">
      <c r="A117" s="27" t="s">
        <v>130</v>
      </c>
      <c r="B117" s="21" t="s">
        <v>140</v>
      </c>
      <c r="C117" s="69">
        <f>MATCH(D117,[1]!Tabla1[Consignatario],0)</f>
        <v>140</v>
      </c>
      <c r="D117" s="31" t="s">
        <v>139</v>
      </c>
      <c r="E117" s="21"/>
      <c r="F117" s="21"/>
      <c r="G117" s="8" t="s">
        <v>11</v>
      </c>
      <c r="H117" s="38" t="s">
        <v>13</v>
      </c>
      <c r="I117" s="23">
        <v>1000</v>
      </c>
      <c r="J117" s="24"/>
      <c r="K117" s="25" t="s">
        <v>25</v>
      </c>
      <c r="L117" s="25" t="s">
        <v>30</v>
      </c>
      <c r="M117" s="24">
        <v>40</v>
      </c>
      <c r="N117" s="27"/>
      <c r="O117" s="21"/>
    </row>
    <row r="118" spans="1:15" ht="39" x14ac:dyDescent="0.25">
      <c r="A118" s="27" t="s">
        <v>130</v>
      </c>
      <c r="B118" s="21"/>
      <c r="C118" s="69">
        <f>MATCH(D118,[1]!Tabla1[Consignatario],0)</f>
        <v>140</v>
      </c>
      <c r="D118" s="31" t="s">
        <v>139</v>
      </c>
      <c r="E118" s="21"/>
      <c r="F118" s="21"/>
      <c r="G118" s="30" t="s">
        <v>138</v>
      </c>
      <c r="H118" s="38" t="s">
        <v>149</v>
      </c>
      <c r="I118" s="23">
        <f>125*8</f>
        <v>1000</v>
      </c>
      <c r="J118" s="24"/>
      <c r="K118" s="25" t="s">
        <v>25</v>
      </c>
      <c r="L118" s="25" t="s">
        <v>30</v>
      </c>
      <c r="M118" s="24"/>
      <c r="N118" s="27"/>
      <c r="O118" s="21"/>
    </row>
    <row r="119" spans="1:15" ht="39" x14ac:dyDescent="0.25">
      <c r="A119" s="27" t="s">
        <v>130</v>
      </c>
      <c r="B119" s="21" t="s">
        <v>15</v>
      </c>
      <c r="C119" s="69">
        <f>MATCH(D119,[1]!Tabla1[Consignatario],0)</f>
        <v>790</v>
      </c>
      <c r="D119" s="31" t="s">
        <v>143</v>
      </c>
      <c r="E119" s="21"/>
      <c r="F119" s="21"/>
      <c r="G119" s="8" t="s">
        <v>11</v>
      </c>
      <c r="H119" s="38" t="s">
        <v>49</v>
      </c>
      <c r="I119" s="23">
        <v>500</v>
      </c>
      <c r="J119" s="24"/>
      <c r="K119" s="25" t="s">
        <v>25</v>
      </c>
      <c r="L119" s="25" t="s">
        <v>30</v>
      </c>
      <c r="M119" s="24">
        <v>10</v>
      </c>
      <c r="N119" s="27"/>
      <c r="O119" s="21"/>
    </row>
    <row r="120" spans="1:15" ht="25.5" x14ac:dyDescent="0.25">
      <c r="A120" s="27" t="s">
        <v>130</v>
      </c>
      <c r="B120" s="21" t="s">
        <v>33</v>
      </c>
      <c r="C120" s="69">
        <f>MATCH(D120,[1]!Tabla1[Consignatario],0)</f>
        <v>1898</v>
      </c>
      <c r="D120" s="31" t="s">
        <v>519</v>
      </c>
      <c r="E120" s="21"/>
      <c r="F120" s="21"/>
      <c r="G120" s="30" t="s">
        <v>138</v>
      </c>
      <c r="H120" s="38" t="s">
        <v>53</v>
      </c>
      <c r="I120" s="23">
        <v>2500</v>
      </c>
      <c r="J120" s="24"/>
      <c r="K120" s="25" t="s">
        <v>25</v>
      </c>
      <c r="L120" s="25" t="s">
        <v>30</v>
      </c>
      <c r="M120" s="24">
        <v>50</v>
      </c>
      <c r="N120" s="27"/>
      <c r="O120" s="21"/>
    </row>
    <row r="121" spans="1:15" ht="25.5" x14ac:dyDescent="0.25">
      <c r="A121" s="27" t="s">
        <v>130</v>
      </c>
      <c r="B121" s="21" t="s">
        <v>15</v>
      </c>
      <c r="C121" s="69">
        <f>MATCH(D121,[1]!Tabla1[Consignatario],0)</f>
        <v>2568</v>
      </c>
      <c r="D121" s="31" t="s">
        <v>142</v>
      </c>
      <c r="E121" s="21"/>
      <c r="F121" s="21"/>
      <c r="G121" s="8" t="s">
        <v>11</v>
      </c>
      <c r="H121" s="38" t="s">
        <v>150</v>
      </c>
      <c r="I121" s="23">
        <v>800</v>
      </c>
      <c r="J121" s="24"/>
      <c r="K121" s="25" t="s">
        <v>25</v>
      </c>
      <c r="L121" s="25" t="s">
        <v>30</v>
      </c>
      <c r="M121" s="24">
        <v>16</v>
      </c>
      <c r="N121" s="27"/>
      <c r="O121" s="21"/>
    </row>
    <row r="122" spans="1:15" ht="25.5" x14ac:dyDescent="0.25">
      <c r="A122" s="27" t="s">
        <v>130</v>
      </c>
      <c r="B122" s="21"/>
      <c r="C122" s="69">
        <f>MATCH(D122,[1]!Tabla1[Consignatario],0)</f>
        <v>2590</v>
      </c>
      <c r="D122" s="31" t="s">
        <v>141</v>
      </c>
      <c r="E122" s="21"/>
      <c r="F122" s="21"/>
      <c r="G122" s="8" t="s">
        <v>11</v>
      </c>
      <c r="H122" s="38" t="s">
        <v>13</v>
      </c>
      <c r="I122" s="23">
        <v>1000</v>
      </c>
      <c r="J122" s="24"/>
      <c r="K122" s="25" t="s">
        <v>25</v>
      </c>
      <c r="L122" s="25" t="s">
        <v>30</v>
      </c>
      <c r="M122" s="24">
        <v>20</v>
      </c>
      <c r="N122" s="27"/>
      <c r="O122" s="21"/>
    </row>
    <row r="123" spans="1:15" ht="26.25" x14ac:dyDescent="0.25">
      <c r="A123" s="27" t="s">
        <v>130</v>
      </c>
      <c r="B123" s="21" t="s">
        <v>148</v>
      </c>
      <c r="C123" s="69">
        <f>MATCH(D123,[1]!Tabla1[Consignatario],0)</f>
        <v>2191</v>
      </c>
      <c r="D123" s="31" t="s">
        <v>147</v>
      </c>
      <c r="E123" s="21"/>
      <c r="F123" s="21"/>
      <c r="G123" s="8" t="s">
        <v>11</v>
      </c>
      <c r="H123" s="38" t="s">
        <v>39</v>
      </c>
      <c r="I123" s="23">
        <v>7500</v>
      </c>
      <c r="J123" s="24">
        <v>150</v>
      </c>
      <c r="K123" s="25" t="s">
        <v>25</v>
      </c>
      <c r="L123" s="25" t="s">
        <v>30</v>
      </c>
      <c r="M123" s="24">
        <v>154</v>
      </c>
      <c r="N123" s="27"/>
      <c r="O123" s="21"/>
    </row>
    <row r="124" spans="1:15" ht="26.25" x14ac:dyDescent="0.25">
      <c r="A124" s="27" t="s">
        <v>130</v>
      </c>
      <c r="B124" s="21"/>
      <c r="C124" s="69">
        <f>MATCH(D124,[1]!Tabla1[Consignatario],0)</f>
        <v>2191</v>
      </c>
      <c r="D124" s="31" t="s">
        <v>147</v>
      </c>
      <c r="E124" s="21"/>
      <c r="F124" s="21"/>
      <c r="G124" s="30" t="s">
        <v>138</v>
      </c>
      <c r="H124" s="38" t="s">
        <v>58</v>
      </c>
      <c r="I124" s="23">
        <f>150*8</f>
        <v>1200</v>
      </c>
      <c r="J124" s="24">
        <v>24</v>
      </c>
      <c r="K124" s="25" t="s">
        <v>25</v>
      </c>
      <c r="L124" s="25" t="s">
        <v>30</v>
      </c>
      <c r="M124" s="24"/>
      <c r="N124" s="27"/>
      <c r="O124" s="21"/>
    </row>
    <row r="125" spans="1:15" ht="25.5" x14ac:dyDescent="0.25">
      <c r="A125" s="27" t="s">
        <v>130</v>
      </c>
      <c r="B125" s="21" t="s">
        <v>15</v>
      </c>
      <c r="C125" s="69">
        <f>MATCH(D125,[1]!Tabla1[Consignatario],0)</f>
        <v>74</v>
      </c>
      <c r="D125" s="31" t="s">
        <v>144</v>
      </c>
      <c r="E125" s="21"/>
      <c r="F125" s="21"/>
      <c r="G125" s="8" t="s">
        <v>12</v>
      </c>
      <c r="H125" s="38" t="s">
        <v>151</v>
      </c>
      <c r="I125" s="23">
        <f>60*100/2</f>
        <v>3000</v>
      </c>
      <c r="J125" s="24"/>
      <c r="K125" s="25" t="s">
        <v>25</v>
      </c>
      <c r="L125" s="25" t="s">
        <v>30</v>
      </c>
      <c r="M125" s="24">
        <v>60</v>
      </c>
      <c r="N125" s="27"/>
      <c r="O125" s="21"/>
    </row>
    <row r="126" spans="1:15" ht="25.5" x14ac:dyDescent="0.25">
      <c r="A126" s="27" t="s">
        <v>130</v>
      </c>
      <c r="B126" s="21"/>
      <c r="C126" s="69">
        <f>MATCH(D126,[1]!Tabla1[Consignatario],0)</f>
        <v>2039</v>
      </c>
      <c r="D126" s="31" t="s">
        <v>500</v>
      </c>
      <c r="E126" s="21"/>
      <c r="F126" s="21"/>
      <c r="G126" s="8" t="s">
        <v>11</v>
      </c>
      <c r="H126" s="38" t="s">
        <v>40</v>
      </c>
      <c r="I126" s="23">
        <f>9*2500</f>
        <v>22500</v>
      </c>
      <c r="J126" s="24"/>
      <c r="K126" s="25" t="s">
        <v>25</v>
      </c>
      <c r="L126" s="25" t="s">
        <v>30</v>
      </c>
      <c r="M126" s="24">
        <v>450</v>
      </c>
      <c r="N126" s="27"/>
      <c r="O126" s="21"/>
    </row>
    <row r="127" spans="1:15" ht="25.5" x14ac:dyDescent="0.25">
      <c r="A127" s="27" t="s">
        <v>130</v>
      </c>
      <c r="B127" s="21"/>
      <c r="C127" s="69">
        <f>MATCH(D127,[1]!Tabla1[Consignatario],0)</f>
        <v>563</v>
      </c>
      <c r="D127" s="31" t="s">
        <v>145</v>
      </c>
      <c r="E127" s="21"/>
      <c r="F127" s="21"/>
      <c r="G127" s="8" t="s">
        <v>11</v>
      </c>
      <c r="H127" s="38" t="s">
        <v>152</v>
      </c>
      <c r="I127" s="23">
        <v>2000</v>
      </c>
      <c r="J127" s="24"/>
      <c r="K127" s="25" t="s">
        <v>25</v>
      </c>
      <c r="L127" s="25" t="s">
        <v>30</v>
      </c>
      <c r="M127" s="24">
        <v>40</v>
      </c>
      <c r="N127" s="27"/>
      <c r="O127" s="21"/>
    </row>
    <row r="128" spans="1:15" ht="26.25" x14ac:dyDescent="0.25">
      <c r="A128" s="27" t="s">
        <v>130</v>
      </c>
      <c r="B128" s="21"/>
      <c r="C128" s="69">
        <f>MATCH(D128,[1]!Tabla1[Consignatario],0)</f>
        <v>945</v>
      </c>
      <c r="D128" s="31" t="s">
        <v>146</v>
      </c>
      <c r="E128" s="21"/>
      <c r="F128" s="21"/>
      <c r="G128" s="8" t="s">
        <v>11</v>
      </c>
      <c r="H128" s="38" t="s">
        <v>153</v>
      </c>
      <c r="I128" s="23">
        <f>17*2500</f>
        <v>42500</v>
      </c>
      <c r="J128" s="24"/>
      <c r="K128" s="25" t="s">
        <v>25</v>
      </c>
      <c r="L128" s="25" t="s">
        <v>30</v>
      </c>
      <c r="M128" s="24">
        <v>850</v>
      </c>
      <c r="N128" s="27"/>
      <c r="O128" s="21"/>
    </row>
    <row r="129" spans="1:15" ht="25.5" x14ac:dyDescent="0.25">
      <c r="A129" s="27">
        <v>16</v>
      </c>
      <c r="B129" s="21" t="s">
        <v>15</v>
      </c>
      <c r="C129" s="69">
        <f>MATCH(D129,[1]!Tabla1[Consignatario],0)</f>
        <v>1818</v>
      </c>
      <c r="D129" s="31" t="s">
        <v>276</v>
      </c>
      <c r="E129" s="21"/>
      <c r="F129" s="21"/>
      <c r="G129" s="8" t="s">
        <v>11</v>
      </c>
      <c r="H129" s="38" t="s">
        <v>48</v>
      </c>
      <c r="I129" s="23">
        <v>2500</v>
      </c>
      <c r="J129" s="24"/>
      <c r="K129" s="25" t="s">
        <v>25</v>
      </c>
      <c r="L129" s="25" t="s">
        <v>30</v>
      </c>
      <c r="M129" s="89">
        <v>150</v>
      </c>
      <c r="N129" s="27"/>
      <c r="O129" s="21"/>
    </row>
    <row r="130" spans="1:15" ht="25.5" x14ac:dyDescent="0.25">
      <c r="A130" s="27">
        <v>16</v>
      </c>
      <c r="B130" s="21"/>
      <c r="C130" s="69">
        <f>MATCH(D130,[1]!Tabla1[Consignatario],0)</f>
        <v>1818</v>
      </c>
      <c r="D130" s="31" t="s">
        <v>276</v>
      </c>
      <c r="E130" s="21"/>
      <c r="F130" s="21"/>
      <c r="G130" s="30" t="s">
        <v>138</v>
      </c>
      <c r="H130" s="38" t="s">
        <v>135</v>
      </c>
      <c r="I130" s="23">
        <v>5000</v>
      </c>
      <c r="J130" s="24"/>
      <c r="K130" s="25" t="s">
        <v>25</v>
      </c>
      <c r="L130" s="25" t="s">
        <v>30</v>
      </c>
      <c r="M130" s="89"/>
      <c r="N130" s="27"/>
      <c r="O130" s="21"/>
    </row>
    <row r="131" spans="1:15" ht="26.25" x14ac:dyDescent="0.25">
      <c r="A131" s="27">
        <v>16</v>
      </c>
      <c r="B131" s="21"/>
      <c r="C131" s="69">
        <f>MATCH(D131,[1]!Tabla1[Consignatario],0)</f>
        <v>2453</v>
      </c>
      <c r="D131" s="31" t="s">
        <v>529</v>
      </c>
      <c r="E131" s="21"/>
      <c r="F131" s="21"/>
      <c r="G131" s="8" t="s">
        <v>11</v>
      </c>
      <c r="H131" s="38" t="s">
        <v>101</v>
      </c>
      <c r="I131" s="23">
        <f>2500*5</f>
        <v>12500</v>
      </c>
      <c r="J131" s="24"/>
      <c r="K131" s="25" t="s">
        <v>25</v>
      </c>
      <c r="L131" s="25" t="s">
        <v>30</v>
      </c>
      <c r="M131" s="24">
        <v>250</v>
      </c>
      <c r="N131" s="27"/>
      <c r="O131" s="21"/>
    </row>
    <row r="132" spans="1:15" ht="26.25" x14ac:dyDescent="0.25">
      <c r="A132" s="27">
        <v>16</v>
      </c>
      <c r="B132" s="21" t="s">
        <v>15</v>
      </c>
      <c r="C132" s="69">
        <f>MATCH(D132,[1]!Tabla1[Consignatario],0)</f>
        <v>1385</v>
      </c>
      <c r="D132" s="31" t="s">
        <v>154</v>
      </c>
      <c r="E132" s="21"/>
      <c r="F132" s="21"/>
      <c r="G132" s="8" t="s">
        <v>12</v>
      </c>
      <c r="H132" s="38" t="s">
        <v>157</v>
      </c>
      <c r="I132" s="23">
        <v>150</v>
      </c>
      <c r="J132" s="24"/>
      <c r="K132" s="25" t="s">
        <v>25</v>
      </c>
      <c r="L132" s="25" t="s">
        <v>30</v>
      </c>
      <c r="M132" s="24">
        <v>3</v>
      </c>
      <c r="N132" s="27"/>
      <c r="O132" s="21"/>
    </row>
    <row r="133" spans="1:15" ht="25.5" x14ac:dyDescent="0.25">
      <c r="A133" s="27">
        <v>16</v>
      </c>
      <c r="B133" s="21"/>
      <c r="C133" s="69">
        <f>MATCH(D133,[1]!Tabla1[Consignatario],0)</f>
        <v>216</v>
      </c>
      <c r="D133" s="31" t="s">
        <v>159</v>
      </c>
      <c r="E133" s="21"/>
      <c r="F133" s="21"/>
      <c r="G133" s="8" t="s">
        <v>256</v>
      </c>
      <c r="H133" s="38" t="s">
        <v>158</v>
      </c>
      <c r="I133" s="23">
        <v>7000</v>
      </c>
      <c r="J133" s="24"/>
      <c r="K133" s="25" t="s">
        <v>25</v>
      </c>
      <c r="L133" s="25" t="s">
        <v>30</v>
      </c>
      <c r="M133" s="89">
        <v>256</v>
      </c>
      <c r="N133" s="27"/>
      <c r="O133" s="21"/>
    </row>
    <row r="134" spans="1:15" ht="25.5" x14ac:dyDescent="0.25">
      <c r="A134" s="27">
        <v>16</v>
      </c>
      <c r="B134" s="21"/>
      <c r="C134" s="69">
        <f>MATCH(D134,[1]!Tabla1[Consignatario],0)</f>
        <v>216</v>
      </c>
      <c r="D134" s="31" t="s">
        <v>159</v>
      </c>
      <c r="E134" s="21"/>
      <c r="F134" s="21"/>
      <c r="G134" s="8" t="s">
        <v>11</v>
      </c>
      <c r="H134" s="38" t="s">
        <v>160</v>
      </c>
      <c r="I134" s="23">
        <v>5000</v>
      </c>
      <c r="J134" s="24"/>
      <c r="K134" s="25" t="s">
        <v>25</v>
      </c>
      <c r="L134" s="25" t="s">
        <v>30</v>
      </c>
      <c r="M134" s="89"/>
      <c r="N134" s="27"/>
      <c r="O134" s="21"/>
    </row>
    <row r="135" spans="1:15" ht="25.5" x14ac:dyDescent="0.25">
      <c r="A135" s="27">
        <v>16</v>
      </c>
      <c r="B135" s="21"/>
      <c r="C135" s="69">
        <f>MATCH(D135,[1]!Tabla1[Consignatario],0)</f>
        <v>216</v>
      </c>
      <c r="D135" s="31" t="s">
        <v>159</v>
      </c>
      <c r="E135" s="21"/>
      <c r="F135" s="21"/>
      <c r="G135" s="30" t="s">
        <v>138</v>
      </c>
      <c r="H135" s="38" t="s">
        <v>81</v>
      </c>
      <c r="I135" s="23">
        <v>800</v>
      </c>
      <c r="J135" s="24"/>
      <c r="K135" s="25" t="s">
        <v>25</v>
      </c>
      <c r="L135" s="25" t="s">
        <v>30</v>
      </c>
      <c r="M135" s="89"/>
      <c r="N135" s="27"/>
      <c r="O135" s="21"/>
    </row>
    <row r="136" spans="1:15" ht="26.25" x14ac:dyDescent="0.25">
      <c r="A136" s="27">
        <v>16</v>
      </c>
      <c r="B136" s="21" t="s">
        <v>15</v>
      </c>
      <c r="C136" s="69">
        <f>MATCH(D136,[1]!Tabla1[Consignatario],0)</f>
        <v>554</v>
      </c>
      <c r="D136" s="31" t="s">
        <v>260</v>
      </c>
      <c r="E136" s="21"/>
      <c r="F136" s="21"/>
      <c r="G136" s="8" t="s">
        <v>11</v>
      </c>
      <c r="H136" s="38" t="s">
        <v>115</v>
      </c>
      <c r="I136" s="23">
        <f>8*2500</f>
        <v>20000</v>
      </c>
      <c r="J136" s="24"/>
      <c r="K136" s="25" t="s">
        <v>25</v>
      </c>
      <c r="L136" s="25" t="s">
        <v>30</v>
      </c>
      <c r="M136" s="37">
        <v>540</v>
      </c>
      <c r="N136" s="27"/>
      <c r="O136" s="21"/>
    </row>
    <row r="137" spans="1:15" ht="26.25" x14ac:dyDescent="0.25">
      <c r="A137" s="27">
        <v>16</v>
      </c>
      <c r="B137" s="21"/>
      <c r="C137" s="69">
        <f>MATCH(D137,[1]!Tabla1[Consignatario],0)</f>
        <v>554</v>
      </c>
      <c r="D137" s="31" t="s">
        <v>260</v>
      </c>
      <c r="E137" s="21"/>
      <c r="F137" s="21"/>
      <c r="G137" s="8" t="s">
        <v>256</v>
      </c>
      <c r="H137" s="38" t="s">
        <v>158</v>
      </c>
      <c r="I137" s="23">
        <v>7000</v>
      </c>
      <c r="J137" s="24"/>
      <c r="K137" s="25" t="s">
        <v>25</v>
      </c>
      <c r="L137" s="25" t="s">
        <v>30</v>
      </c>
      <c r="M137" s="37"/>
      <c r="N137" s="27"/>
      <c r="O137" s="21"/>
    </row>
    <row r="138" spans="1:15" ht="25.5" x14ac:dyDescent="0.25">
      <c r="A138" s="27">
        <v>16</v>
      </c>
      <c r="B138" s="21"/>
      <c r="C138" s="69">
        <f>MATCH(D138,[1]!Tabla1[Consignatario],0)</f>
        <v>1828</v>
      </c>
      <c r="D138" s="31" t="s">
        <v>478</v>
      </c>
      <c r="E138" s="21"/>
      <c r="F138" s="21"/>
      <c r="G138" s="30" t="s">
        <v>138</v>
      </c>
      <c r="H138" s="38" t="s">
        <v>127</v>
      </c>
      <c r="I138" s="23">
        <v>1600</v>
      </c>
      <c r="J138" s="24"/>
      <c r="K138" s="25" t="s">
        <v>25</v>
      </c>
      <c r="L138" s="25" t="s">
        <v>30</v>
      </c>
      <c r="M138" s="37">
        <v>32</v>
      </c>
      <c r="N138" s="27"/>
      <c r="O138" s="21"/>
    </row>
    <row r="139" spans="1:15" ht="25.5" x14ac:dyDescent="0.25">
      <c r="A139" s="27">
        <v>16</v>
      </c>
      <c r="B139" s="21"/>
      <c r="C139" s="69">
        <f>MATCH(D139,[1]!Tabla1[Consignatario],0)</f>
        <v>1861</v>
      </c>
      <c r="D139" s="31" t="s">
        <v>499</v>
      </c>
      <c r="E139" s="21"/>
      <c r="F139" s="21"/>
      <c r="G139" s="8" t="s">
        <v>12</v>
      </c>
      <c r="H139" s="38" t="s">
        <v>161</v>
      </c>
      <c r="I139" s="34">
        <f>5*150</f>
        <v>750</v>
      </c>
      <c r="J139" s="23">
        <v>15</v>
      </c>
      <c r="K139" s="25" t="s">
        <v>25</v>
      </c>
      <c r="L139" s="25" t="s">
        <v>30</v>
      </c>
      <c r="M139" s="90">
        <v>27</v>
      </c>
      <c r="N139" s="27"/>
      <c r="O139" s="21" t="s">
        <v>178</v>
      </c>
    </row>
    <row r="140" spans="1:15" ht="25.5" x14ac:dyDescent="0.25">
      <c r="A140" s="27">
        <v>16</v>
      </c>
      <c r="B140" s="21"/>
      <c r="C140" s="69">
        <f>MATCH(D140,[1]!Tabla1[Consignatario],0)</f>
        <v>1861</v>
      </c>
      <c r="D140" s="31" t="s">
        <v>499</v>
      </c>
      <c r="E140" s="21"/>
      <c r="F140" s="21"/>
      <c r="G140" s="30" t="s">
        <v>138</v>
      </c>
      <c r="H140" s="38" t="s">
        <v>114</v>
      </c>
      <c r="I140" s="34">
        <f>40*8</f>
        <v>320</v>
      </c>
      <c r="J140" s="23">
        <f>320*2/100</f>
        <v>6.4</v>
      </c>
      <c r="K140" s="25" t="s">
        <v>25</v>
      </c>
      <c r="L140" s="25" t="s">
        <v>30</v>
      </c>
      <c r="M140" s="90"/>
      <c r="N140" s="27"/>
      <c r="O140" s="21"/>
    </row>
    <row r="141" spans="1:15" ht="25.5" x14ac:dyDescent="0.25">
      <c r="A141" s="27">
        <v>16</v>
      </c>
      <c r="B141" s="21"/>
      <c r="C141" s="69">
        <f>MATCH(D141,[1]!Tabla1[Consignatario],0)</f>
        <v>244</v>
      </c>
      <c r="D141" s="31" t="s">
        <v>155</v>
      </c>
      <c r="E141" s="21"/>
      <c r="F141" s="21"/>
      <c r="G141" s="8" t="s">
        <v>11</v>
      </c>
      <c r="H141" s="38" t="s">
        <v>162</v>
      </c>
      <c r="I141" s="23">
        <v>1473</v>
      </c>
      <c r="J141" s="24"/>
      <c r="K141" s="25" t="s">
        <v>25</v>
      </c>
      <c r="L141" s="25" t="s">
        <v>30</v>
      </c>
      <c r="M141" s="82">
        <v>37</v>
      </c>
      <c r="N141" s="76">
        <v>4</v>
      </c>
      <c r="O141" s="21"/>
    </row>
    <row r="142" spans="1:15" ht="25.5" x14ac:dyDescent="0.25">
      <c r="A142" s="27">
        <v>16</v>
      </c>
      <c r="B142" s="21"/>
      <c r="C142" s="69">
        <f>MATCH(D142,[1]!Tabla1[Consignatario],0)</f>
        <v>244</v>
      </c>
      <c r="D142" s="31" t="s">
        <v>155</v>
      </c>
      <c r="E142" s="21"/>
      <c r="F142" s="21"/>
      <c r="G142" s="30" t="s">
        <v>138</v>
      </c>
      <c r="H142" s="38" t="s">
        <v>163</v>
      </c>
      <c r="I142" s="23">
        <f>56*8</f>
        <v>448</v>
      </c>
      <c r="J142" s="24"/>
      <c r="K142" s="25" t="s">
        <v>25</v>
      </c>
      <c r="L142" s="25" t="s">
        <v>30</v>
      </c>
      <c r="M142" s="83"/>
      <c r="N142" s="77"/>
      <c r="O142" s="21"/>
    </row>
    <row r="143" spans="1:15" ht="26.25" x14ac:dyDescent="0.25">
      <c r="A143" s="27">
        <v>16</v>
      </c>
      <c r="B143" s="21"/>
      <c r="C143" s="69">
        <f>MATCH(D143,[1]!Tabla1[Consignatario],0)</f>
        <v>2089</v>
      </c>
      <c r="D143" s="31" t="s">
        <v>530</v>
      </c>
      <c r="E143" s="21"/>
      <c r="F143" s="21"/>
      <c r="G143" s="8" t="s">
        <v>11</v>
      </c>
      <c r="H143" s="38" t="s">
        <v>14</v>
      </c>
      <c r="I143" s="23">
        <v>1400</v>
      </c>
      <c r="J143" s="24"/>
      <c r="K143" s="25" t="s">
        <v>25</v>
      </c>
      <c r="L143" s="25" t="s">
        <v>30</v>
      </c>
      <c r="M143" s="82">
        <v>44</v>
      </c>
      <c r="N143" s="27"/>
      <c r="O143" s="21"/>
    </row>
    <row r="144" spans="1:15" ht="26.25" x14ac:dyDescent="0.25">
      <c r="A144" s="27">
        <v>16</v>
      </c>
      <c r="B144" s="21"/>
      <c r="C144" s="69">
        <f>MATCH(D144,[1]!Tabla1[Consignatario],0)</f>
        <v>2089</v>
      </c>
      <c r="D144" s="31" t="s">
        <v>530</v>
      </c>
      <c r="E144" s="21"/>
      <c r="F144" s="21"/>
      <c r="G144" s="30" t="s">
        <v>138</v>
      </c>
      <c r="H144" s="38" t="s">
        <v>81</v>
      </c>
      <c r="I144" s="23">
        <v>100</v>
      </c>
      <c r="J144" s="24"/>
      <c r="K144" s="25" t="s">
        <v>25</v>
      </c>
      <c r="L144" s="25" t="s">
        <v>30</v>
      </c>
      <c r="M144" s="83"/>
      <c r="N144" s="27"/>
      <c r="O144" s="21"/>
    </row>
    <row r="145" spans="1:15" ht="26.25" x14ac:dyDescent="0.25">
      <c r="A145" s="27">
        <v>16</v>
      </c>
      <c r="B145" s="21" t="s">
        <v>15</v>
      </c>
      <c r="C145" s="69">
        <f>MATCH(D145,[1]!Tabla1[Consignatario],0)</f>
        <v>1373</v>
      </c>
      <c r="D145" s="31" t="s">
        <v>156</v>
      </c>
      <c r="E145" s="21"/>
      <c r="F145" s="21"/>
      <c r="G145" s="8" t="s">
        <v>11</v>
      </c>
      <c r="H145" s="38" t="s">
        <v>124</v>
      </c>
      <c r="I145" s="23">
        <f>4*2500</f>
        <v>10000</v>
      </c>
      <c r="J145" s="24">
        <v>200</v>
      </c>
      <c r="K145" s="25" t="s">
        <v>25</v>
      </c>
      <c r="L145" s="25" t="s">
        <v>30</v>
      </c>
      <c r="M145" s="82">
        <v>480</v>
      </c>
      <c r="N145" s="27"/>
      <c r="O145" s="21"/>
    </row>
    <row r="146" spans="1:15" ht="26.25" x14ac:dyDescent="0.25">
      <c r="A146" s="27">
        <v>16</v>
      </c>
      <c r="B146" s="21"/>
      <c r="C146" s="69">
        <f>MATCH(D146,[1]!Tabla1[Consignatario],0)</f>
        <v>1373</v>
      </c>
      <c r="D146" s="31" t="s">
        <v>156</v>
      </c>
      <c r="E146" s="21"/>
      <c r="F146" s="21"/>
      <c r="G146" s="8" t="s">
        <v>256</v>
      </c>
      <c r="H146" s="38" t="s">
        <v>60</v>
      </c>
      <c r="I146" s="23">
        <v>4000</v>
      </c>
      <c r="J146" s="24">
        <v>80</v>
      </c>
      <c r="K146" s="25" t="s">
        <v>25</v>
      </c>
      <c r="L146" s="25" t="s">
        <v>30</v>
      </c>
      <c r="M146" s="84"/>
      <c r="N146" s="27"/>
      <c r="O146" s="21"/>
    </row>
    <row r="147" spans="1:15" ht="26.25" x14ac:dyDescent="0.25">
      <c r="A147" s="27">
        <v>16</v>
      </c>
      <c r="B147" s="21"/>
      <c r="C147" s="69">
        <f>MATCH(D147,[1]!Tabla1[Consignatario],0)</f>
        <v>1373</v>
      </c>
      <c r="D147" s="31" t="s">
        <v>156</v>
      </c>
      <c r="E147" s="21"/>
      <c r="F147" s="21"/>
      <c r="G147" s="30" t="s">
        <v>138</v>
      </c>
      <c r="H147" s="38" t="s">
        <v>164</v>
      </c>
      <c r="I147" s="23">
        <v>10000</v>
      </c>
      <c r="J147" s="24">
        <v>200</v>
      </c>
      <c r="K147" s="25" t="s">
        <v>25</v>
      </c>
      <c r="L147" s="25" t="s">
        <v>30</v>
      </c>
      <c r="M147" s="83"/>
      <c r="N147" s="27"/>
      <c r="O147" s="21"/>
    </row>
    <row r="148" spans="1:15" ht="26.25" x14ac:dyDescent="0.25">
      <c r="A148" s="27" t="s">
        <v>165</v>
      </c>
      <c r="B148" s="21"/>
      <c r="C148" s="69">
        <f>MATCH(D148,[1]!Tabla1[Consignatario],0)</f>
        <v>1759</v>
      </c>
      <c r="D148" s="31" t="s">
        <v>166</v>
      </c>
      <c r="E148" s="21"/>
      <c r="F148" s="21"/>
      <c r="G148" s="30" t="s">
        <v>138</v>
      </c>
      <c r="H148" s="38" t="s">
        <v>50</v>
      </c>
      <c r="I148" s="23">
        <f>50*8</f>
        <v>400</v>
      </c>
      <c r="J148" s="24"/>
      <c r="K148" s="25" t="s">
        <v>25</v>
      </c>
      <c r="L148" s="25" t="s">
        <v>30</v>
      </c>
      <c r="M148" s="27">
        <v>8</v>
      </c>
      <c r="N148" s="27"/>
      <c r="O148" s="21"/>
    </row>
    <row r="149" spans="1:15" ht="26.25" x14ac:dyDescent="0.25">
      <c r="A149" s="27" t="s">
        <v>165</v>
      </c>
      <c r="B149" s="21" t="s">
        <v>15</v>
      </c>
      <c r="C149" s="69">
        <f>MATCH(D149,[1]!Tabla1[Consignatario],0)</f>
        <v>2070</v>
      </c>
      <c r="D149" s="31" t="s">
        <v>502</v>
      </c>
      <c r="E149" s="21"/>
      <c r="F149" s="21"/>
      <c r="G149" s="30" t="s">
        <v>138</v>
      </c>
      <c r="H149" s="38" t="s">
        <v>173</v>
      </c>
      <c r="I149" s="23">
        <v>1600</v>
      </c>
      <c r="J149" s="24"/>
      <c r="K149" s="25" t="s">
        <v>25</v>
      </c>
      <c r="L149" s="25" t="s">
        <v>30</v>
      </c>
      <c r="M149" s="27">
        <v>32</v>
      </c>
      <c r="N149" s="27"/>
      <c r="O149" s="21"/>
    </row>
    <row r="150" spans="1:15" ht="25.5" x14ac:dyDescent="0.25">
      <c r="A150" s="27" t="s">
        <v>165</v>
      </c>
      <c r="B150" s="21" t="s">
        <v>15</v>
      </c>
      <c r="C150" s="69">
        <f>MATCH(D150,[1]!Tabla1[Consignatario],0)</f>
        <v>2388</v>
      </c>
      <c r="D150" s="31" t="s">
        <v>484</v>
      </c>
      <c r="E150" s="21"/>
      <c r="F150" s="21"/>
      <c r="G150" s="30" t="s">
        <v>138</v>
      </c>
      <c r="H150" s="38" t="s">
        <v>103</v>
      </c>
      <c r="I150" s="23">
        <f>60*8</f>
        <v>480</v>
      </c>
      <c r="J150" s="24"/>
      <c r="K150" s="25" t="s">
        <v>25</v>
      </c>
      <c r="L150" s="25" t="s">
        <v>30</v>
      </c>
      <c r="M150" s="76">
        <v>20</v>
      </c>
      <c r="N150" s="27"/>
      <c r="O150" s="21"/>
    </row>
    <row r="151" spans="1:15" ht="25.5" x14ac:dyDescent="0.25">
      <c r="A151" s="27" t="s">
        <v>165</v>
      </c>
      <c r="B151" s="21"/>
      <c r="C151" s="69">
        <f>MATCH(D151,[1]!Tabla1[Consignatario],0)</f>
        <v>2388</v>
      </c>
      <c r="D151" s="31" t="s">
        <v>484</v>
      </c>
      <c r="E151" s="21"/>
      <c r="F151" s="21"/>
      <c r="G151" s="8" t="s">
        <v>11</v>
      </c>
      <c r="H151" s="38" t="s">
        <v>90</v>
      </c>
      <c r="I151" s="23">
        <v>600</v>
      </c>
      <c r="J151" s="24"/>
      <c r="K151" s="25" t="s">
        <v>25</v>
      </c>
      <c r="L151" s="25" t="s">
        <v>30</v>
      </c>
      <c r="M151" s="77"/>
      <c r="N151" s="27"/>
      <c r="O151" s="21"/>
    </row>
    <row r="152" spans="1:15" ht="26.25" x14ac:dyDescent="0.25">
      <c r="A152" s="27" t="s">
        <v>165</v>
      </c>
      <c r="B152" s="21"/>
      <c r="C152" s="69">
        <f>MATCH(D152,[1]!Tabla1[Consignatario],0)</f>
        <v>1825</v>
      </c>
      <c r="D152" s="31" t="s">
        <v>426</v>
      </c>
      <c r="E152" s="21"/>
      <c r="F152" s="21"/>
      <c r="G152" s="30" t="s">
        <v>138</v>
      </c>
      <c r="H152" s="38" t="s">
        <v>50</v>
      </c>
      <c r="I152" s="23">
        <f>50*8</f>
        <v>400</v>
      </c>
      <c r="J152" s="24"/>
      <c r="K152" s="25" t="s">
        <v>25</v>
      </c>
      <c r="L152" s="25" t="s">
        <v>30</v>
      </c>
      <c r="M152" s="27">
        <v>8</v>
      </c>
      <c r="N152" s="27"/>
      <c r="O152" s="21"/>
    </row>
    <row r="153" spans="1:15" ht="25.5" x14ac:dyDescent="0.25">
      <c r="A153" s="27" t="s">
        <v>165</v>
      </c>
      <c r="B153" s="21"/>
      <c r="C153" s="69">
        <f>MATCH(D153,[1]!Tabla1[Consignatario],0)</f>
        <v>1189</v>
      </c>
      <c r="D153" s="31" t="s">
        <v>442</v>
      </c>
      <c r="E153" s="21"/>
      <c r="F153" s="21"/>
      <c r="G153" s="30" t="s">
        <v>138</v>
      </c>
      <c r="H153" s="38" t="s">
        <v>106</v>
      </c>
      <c r="I153" s="23">
        <f>8*80</f>
        <v>640</v>
      </c>
      <c r="J153" s="24"/>
      <c r="K153" s="25" t="s">
        <v>25</v>
      </c>
      <c r="L153" s="25" t="s">
        <v>30</v>
      </c>
      <c r="M153" s="27">
        <v>12</v>
      </c>
      <c r="N153" s="27"/>
      <c r="O153" s="21"/>
    </row>
    <row r="154" spans="1:15" ht="26.25" x14ac:dyDescent="0.25">
      <c r="A154" s="27" t="s">
        <v>165</v>
      </c>
      <c r="B154" s="21"/>
      <c r="C154" s="69">
        <f>MATCH(D154,[1]!Tabla1[Consignatario],0)</f>
        <v>2599</v>
      </c>
      <c r="D154" s="31" t="s">
        <v>167</v>
      </c>
      <c r="E154" s="21"/>
      <c r="F154" s="21"/>
      <c r="G154" s="8" t="s">
        <v>11</v>
      </c>
      <c r="H154" s="38" t="s">
        <v>174</v>
      </c>
      <c r="I154" s="23">
        <v>1200</v>
      </c>
      <c r="J154" s="24"/>
      <c r="K154" s="25" t="s">
        <v>25</v>
      </c>
      <c r="L154" s="25" t="s">
        <v>30</v>
      </c>
      <c r="M154" s="76">
        <v>28</v>
      </c>
      <c r="N154" s="27"/>
      <c r="O154" s="21"/>
    </row>
    <row r="155" spans="1:15" ht="26.25" x14ac:dyDescent="0.25">
      <c r="A155" s="27" t="s">
        <v>165</v>
      </c>
      <c r="B155" s="21"/>
      <c r="C155" s="69">
        <f>MATCH(D155,[1]!Tabla1[Consignatario],0)</f>
        <v>2599</v>
      </c>
      <c r="D155" s="31" t="s">
        <v>167</v>
      </c>
      <c r="E155" s="21"/>
      <c r="F155" s="21"/>
      <c r="G155" s="30" t="s">
        <v>138</v>
      </c>
      <c r="H155" s="38" t="s">
        <v>79</v>
      </c>
      <c r="I155" s="23">
        <f>24*8</f>
        <v>192</v>
      </c>
      <c r="J155" s="24"/>
      <c r="K155" s="25" t="s">
        <v>25</v>
      </c>
      <c r="L155" s="25" t="s">
        <v>30</v>
      </c>
      <c r="M155" s="77"/>
      <c r="N155" s="27"/>
      <c r="O155" s="21"/>
    </row>
    <row r="156" spans="1:15" ht="25.5" x14ac:dyDescent="0.25">
      <c r="A156" s="27" t="s">
        <v>165</v>
      </c>
      <c r="B156" s="21"/>
      <c r="C156" s="69">
        <f>MATCH(D156,[1]!Tabla1[Consignatario],0)</f>
        <v>2569</v>
      </c>
      <c r="D156" s="31" t="s">
        <v>168</v>
      </c>
      <c r="E156" s="21"/>
      <c r="F156" s="21"/>
      <c r="G156" s="30" t="s">
        <v>138</v>
      </c>
      <c r="H156" s="38" t="s">
        <v>135</v>
      </c>
      <c r="I156" s="23">
        <v>2000</v>
      </c>
      <c r="J156" s="24"/>
      <c r="K156" s="25" t="s">
        <v>25</v>
      </c>
      <c r="L156" s="25" t="s">
        <v>30</v>
      </c>
      <c r="M156" s="27">
        <v>40</v>
      </c>
      <c r="N156" s="27"/>
      <c r="O156" s="21"/>
    </row>
    <row r="157" spans="1:15" ht="26.25" x14ac:dyDescent="0.25">
      <c r="A157" s="27" t="s">
        <v>165</v>
      </c>
      <c r="B157" s="21"/>
      <c r="C157" s="69">
        <f>MATCH(D157,[1]!Tabla1[Consignatario],0)</f>
        <v>1034</v>
      </c>
      <c r="D157" s="31" t="s">
        <v>169</v>
      </c>
      <c r="E157" s="21"/>
      <c r="F157" s="21"/>
      <c r="G157" s="30" t="s">
        <v>138</v>
      </c>
      <c r="H157" s="38" t="s">
        <v>175</v>
      </c>
      <c r="I157" s="23">
        <f>86*8</f>
        <v>688</v>
      </c>
      <c r="J157" s="24"/>
      <c r="K157" s="25" t="s">
        <v>25</v>
      </c>
      <c r="L157" s="25" t="s">
        <v>30</v>
      </c>
      <c r="M157" s="27">
        <v>13</v>
      </c>
      <c r="N157" s="27"/>
      <c r="O157" s="21"/>
    </row>
    <row r="158" spans="1:15" ht="25.5" x14ac:dyDescent="0.25">
      <c r="A158" s="27" t="s">
        <v>165</v>
      </c>
      <c r="B158" s="21"/>
      <c r="C158" s="69">
        <f>MATCH(D158,[1]!Tabla1[Consignatario],0)</f>
        <v>2675</v>
      </c>
      <c r="D158" s="31" t="s">
        <v>170</v>
      </c>
      <c r="E158" s="21"/>
      <c r="F158" s="21"/>
      <c r="G158" s="8" t="s">
        <v>11</v>
      </c>
      <c r="H158" s="38" t="s">
        <v>13</v>
      </c>
      <c r="I158" s="23">
        <v>1000</v>
      </c>
      <c r="J158" s="24">
        <v>20</v>
      </c>
      <c r="K158" s="25" t="s">
        <v>25</v>
      </c>
      <c r="L158" s="25" t="s">
        <v>30</v>
      </c>
      <c r="M158" s="76">
        <v>150</v>
      </c>
      <c r="N158" s="27"/>
      <c r="O158" s="21"/>
    </row>
    <row r="159" spans="1:15" ht="25.5" x14ac:dyDescent="0.25">
      <c r="A159" s="27" t="s">
        <v>165</v>
      </c>
      <c r="B159" s="21"/>
      <c r="C159" s="69">
        <f>MATCH(D159,[1]!Tabla1[Consignatario],0)</f>
        <v>2675</v>
      </c>
      <c r="D159" s="31" t="s">
        <v>170</v>
      </c>
      <c r="E159" s="21"/>
      <c r="F159" s="21"/>
      <c r="G159" s="8" t="s">
        <v>256</v>
      </c>
      <c r="H159" s="38" t="s">
        <v>60</v>
      </c>
      <c r="I159" s="23">
        <v>4000</v>
      </c>
      <c r="J159" s="24">
        <v>80</v>
      </c>
      <c r="K159" s="25" t="s">
        <v>25</v>
      </c>
      <c r="L159" s="25" t="s">
        <v>30</v>
      </c>
      <c r="M159" s="81"/>
      <c r="N159" s="27"/>
      <c r="O159" s="21"/>
    </row>
    <row r="160" spans="1:15" ht="25.5" x14ac:dyDescent="0.25">
      <c r="A160" s="27" t="s">
        <v>165</v>
      </c>
      <c r="B160" s="21"/>
      <c r="C160" s="69">
        <f>MATCH(D160,[1]!Tabla1[Consignatario],0)</f>
        <v>2675</v>
      </c>
      <c r="D160" s="31" t="s">
        <v>170</v>
      </c>
      <c r="E160" s="21"/>
      <c r="F160" s="21"/>
      <c r="G160" s="30" t="s">
        <v>138</v>
      </c>
      <c r="H160" s="38" t="s">
        <v>46</v>
      </c>
      <c r="I160" s="23">
        <v>2500</v>
      </c>
      <c r="J160" s="24">
        <v>50</v>
      </c>
      <c r="K160" s="25" t="s">
        <v>25</v>
      </c>
      <c r="L160" s="25" t="s">
        <v>30</v>
      </c>
      <c r="M160" s="77"/>
      <c r="N160" s="27"/>
      <c r="O160" s="21"/>
    </row>
    <row r="161" spans="1:15" ht="25.5" x14ac:dyDescent="0.25">
      <c r="A161" s="27" t="s">
        <v>165</v>
      </c>
      <c r="B161" s="21"/>
      <c r="C161" s="69">
        <f>MATCH(D161,[1]!Tabla1[Consignatario],0)</f>
        <v>2661</v>
      </c>
      <c r="D161" s="31" t="s">
        <v>171</v>
      </c>
      <c r="E161" s="21"/>
      <c r="F161" s="21"/>
      <c r="G161" s="30" t="s">
        <v>138</v>
      </c>
      <c r="H161" s="38" t="s">
        <v>176</v>
      </c>
      <c r="I161" s="23">
        <f>2500*2</f>
        <v>5000</v>
      </c>
      <c r="J161" s="24">
        <v>100</v>
      </c>
      <c r="K161" s="25" t="s">
        <v>25</v>
      </c>
      <c r="L161" s="25" t="s">
        <v>30</v>
      </c>
      <c r="M161" s="76">
        <v>157</v>
      </c>
      <c r="N161" s="27"/>
      <c r="O161" s="21"/>
    </row>
    <row r="162" spans="1:15" ht="25.5" x14ac:dyDescent="0.25">
      <c r="A162" s="27" t="s">
        <v>165</v>
      </c>
      <c r="B162" s="21"/>
      <c r="C162" s="69">
        <f>MATCH(D162,[1]!Tabla1[Consignatario],0)</f>
        <v>2661</v>
      </c>
      <c r="D162" s="31" t="s">
        <v>171</v>
      </c>
      <c r="E162" s="21"/>
      <c r="F162" s="21"/>
      <c r="G162" s="8" t="s">
        <v>12</v>
      </c>
      <c r="H162" s="38" t="s">
        <v>177</v>
      </c>
      <c r="I162" s="23">
        <f>19*150</f>
        <v>2850</v>
      </c>
      <c r="J162" s="24">
        <v>57</v>
      </c>
      <c r="K162" s="25" t="s">
        <v>25</v>
      </c>
      <c r="L162" s="25" t="s">
        <v>30</v>
      </c>
      <c r="M162" s="77"/>
      <c r="N162" s="27"/>
      <c r="O162" s="21"/>
    </row>
    <row r="163" spans="1:15" ht="26.25" x14ac:dyDescent="0.25">
      <c r="A163" s="27" t="s">
        <v>165</v>
      </c>
      <c r="B163" s="21"/>
      <c r="C163" s="69">
        <f>MATCH(D163,[1]!Tabla1[Consignatario],0)</f>
        <v>909</v>
      </c>
      <c r="D163" s="31" t="s">
        <v>172</v>
      </c>
      <c r="E163" s="21"/>
      <c r="F163" s="21"/>
      <c r="G163" s="30" t="s">
        <v>138</v>
      </c>
      <c r="H163" s="38" t="s">
        <v>50</v>
      </c>
      <c r="I163" s="23">
        <v>400</v>
      </c>
      <c r="J163" s="24">
        <v>8</v>
      </c>
      <c r="K163" s="25" t="s">
        <v>25</v>
      </c>
      <c r="L163" s="25" t="s">
        <v>30</v>
      </c>
      <c r="M163" s="27">
        <v>8</v>
      </c>
      <c r="N163" s="27"/>
      <c r="O163" s="21"/>
    </row>
    <row r="164" spans="1:15" ht="26.25" x14ac:dyDescent="0.25">
      <c r="A164" s="27">
        <v>17</v>
      </c>
      <c r="B164" s="21"/>
      <c r="C164" s="69">
        <f>MATCH(D164,[1]!Tabla1[Consignatario],0)</f>
        <v>1150</v>
      </c>
      <c r="D164" s="31" t="s">
        <v>179</v>
      </c>
      <c r="E164" s="21"/>
      <c r="F164" s="21"/>
      <c r="G164" s="8" t="s">
        <v>11</v>
      </c>
      <c r="H164" s="38" t="s">
        <v>13</v>
      </c>
      <c r="I164" s="23">
        <v>1000</v>
      </c>
      <c r="J164" s="24"/>
      <c r="K164" s="25" t="s">
        <v>25</v>
      </c>
      <c r="L164" s="25" t="s">
        <v>30</v>
      </c>
      <c r="M164" s="76">
        <v>36</v>
      </c>
      <c r="N164" s="27"/>
      <c r="O164" s="21"/>
    </row>
    <row r="165" spans="1:15" ht="26.25" x14ac:dyDescent="0.25">
      <c r="A165" s="27">
        <v>17</v>
      </c>
      <c r="B165" s="21"/>
      <c r="C165" s="69">
        <f>MATCH(D165,[1]!Tabla1[Consignatario],0)</f>
        <v>1150</v>
      </c>
      <c r="D165" s="31" t="s">
        <v>179</v>
      </c>
      <c r="E165" s="21"/>
      <c r="F165" s="21"/>
      <c r="G165" s="30" t="s">
        <v>138</v>
      </c>
      <c r="H165" s="38" t="s">
        <v>81</v>
      </c>
      <c r="I165" s="23">
        <v>800</v>
      </c>
      <c r="J165" s="24"/>
      <c r="K165" s="25" t="s">
        <v>25</v>
      </c>
      <c r="L165" s="25" t="s">
        <v>30</v>
      </c>
      <c r="M165" s="77"/>
      <c r="N165" s="27"/>
      <c r="O165" s="21"/>
    </row>
    <row r="166" spans="1:15" ht="25.5" x14ac:dyDescent="0.25">
      <c r="A166" s="27">
        <v>17</v>
      </c>
      <c r="B166" s="21"/>
      <c r="C166" s="69">
        <f>MATCH(D166,[1]!Tabla1[Consignatario],0)</f>
        <v>2661</v>
      </c>
      <c r="D166" s="31" t="s">
        <v>171</v>
      </c>
      <c r="E166" s="21"/>
      <c r="F166" s="21"/>
      <c r="G166" s="8" t="s">
        <v>11</v>
      </c>
      <c r="H166" s="38" t="s">
        <v>150</v>
      </c>
      <c r="I166" s="23">
        <v>800</v>
      </c>
      <c r="J166" s="24"/>
      <c r="K166" s="25" t="s">
        <v>25</v>
      </c>
      <c r="L166" s="25" t="s">
        <v>30</v>
      </c>
      <c r="M166" s="27">
        <v>16</v>
      </c>
      <c r="N166" s="27"/>
      <c r="O166" s="21"/>
    </row>
    <row r="167" spans="1:15" ht="26.25" x14ac:dyDescent="0.25">
      <c r="A167" s="27">
        <v>17</v>
      </c>
      <c r="B167" s="21"/>
      <c r="C167" s="69">
        <f>MATCH(D167,[1]!Tabla1[Consignatario],0)</f>
        <v>2138</v>
      </c>
      <c r="D167" s="31" t="s">
        <v>180</v>
      </c>
      <c r="E167" s="21"/>
      <c r="F167" s="21"/>
      <c r="G167" s="8" t="s">
        <v>11</v>
      </c>
      <c r="H167" s="38" t="s">
        <v>48</v>
      </c>
      <c r="I167" s="23">
        <v>2500</v>
      </c>
      <c r="J167" s="24"/>
      <c r="K167" s="25" t="s">
        <v>25</v>
      </c>
      <c r="L167" s="25" t="s">
        <v>30</v>
      </c>
      <c r="M167" s="27">
        <v>50</v>
      </c>
      <c r="N167" s="27"/>
      <c r="O167" s="21"/>
    </row>
    <row r="168" spans="1:15" ht="26.25" x14ac:dyDescent="0.25">
      <c r="A168" s="27">
        <v>17</v>
      </c>
      <c r="B168" s="21" t="s">
        <v>33</v>
      </c>
      <c r="C168" s="69">
        <f>MATCH(D168,[1]!Tabla1[Consignatario],0)</f>
        <v>1559</v>
      </c>
      <c r="D168" s="31" t="s">
        <v>181</v>
      </c>
      <c r="E168" s="21"/>
      <c r="F168" s="21"/>
      <c r="G168" s="8" t="s">
        <v>11</v>
      </c>
      <c r="H168" s="38" t="s">
        <v>221</v>
      </c>
      <c r="I168" s="23">
        <v>1500</v>
      </c>
      <c r="J168" s="24"/>
      <c r="K168" s="25" t="s">
        <v>25</v>
      </c>
      <c r="L168" s="25" t="s">
        <v>30</v>
      </c>
      <c r="M168" s="27">
        <v>30</v>
      </c>
      <c r="N168" s="27"/>
      <c r="O168" s="21"/>
    </row>
    <row r="169" spans="1:15" ht="26.25" x14ac:dyDescent="0.25">
      <c r="A169" s="27">
        <v>17</v>
      </c>
      <c r="B169" s="21"/>
      <c r="C169" s="69">
        <f>MATCH(D169,[1]!Tabla1[Consignatario],0)</f>
        <v>2766</v>
      </c>
      <c r="D169" s="31" t="s">
        <v>506</v>
      </c>
      <c r="E169" s="21"/>
      <c r="F169" s="21"/>
      <c r="G169" s="8" t="s">
        <v>11</v>
      </c>
      <c r="H169" s="38" t="s">
        <v>152</v>
      </c>
      <c r="I169" s="23">
        <v>2000</v>
      </c>
      <c r="J169" s="24"/>
      <c r="K169" s="25" t="s">
        <v>25</v>
      </c>
      <c r="L169" s="25" t="s">
        <v>30</v>
      </c>
      <c r="M169" s="76">
        <v>83</v>
      </c>
      <c r="N169" s="27"/>
      <c r="O169" s="21"/>
    </row>
    <row r="170" spans="1:15" ht="26.25" x14ac:dyDescent="0.25">
      <c r="A170" s="27">
        <v>17</v>
      </c>
      <c r="B170" s="21"/>
      <c r="C170" s="69">
        <f>MATCH(D170,[1]!Tabla1[Consignatario],0)</f>
        <v>2766</v>
      </c>
      <c r="D170" s="31" t="s">
        <v>506</v>
      </c>
      <c r="E170" s="21"/>
      <c r="F170" s="21"/>
      <c r="G170" s="30" t="s">
        <v>138</v>
      </c>
      <c r="H170" s="38" t="s">
        <v>81</v>
      </c>
      <c r="I170" s="23">
        <v>800</v>
      </c>
      <c r="J170" s="24"/>
      <c r="K170" s="25" t="s">
        <v>25</v>
      </c>
      <c r="L170" s="25" t="s">
        <v>30</v>
      </c>
      <c r="M170" s="81"/>
      <c r="N170" s="27"/>
      <c r="O170" s="21"/>
    </row>
    <row r="171" spans="1:15" ht="26.25" x14ac:dyDescent="0.25">
      <c r="A171" s="27">
        <v>17</v>
      </c>
      <c r="B171" s="21"/>
      <c r="C171" s="69">
        <f>MATCH(D171,[1]!Tabla1[Consignatario],0)</f>
        <v>2766</v>
      </c>
      <c r="D171" s="31" t="s">
        <v>506</v>
      </c>
      <c r="E171" s="21"/>
      <c r="F171" s="21"/>
      <c r="G171" s="8" t="s">
        <v>12</v>
      </c>
      <c r="H171" s="38" t="s">
        <v>222</v>
      </c>
      <c r="I171" s="23">
        <f>9*150</f>
        <v>1350</v>
      </c>
      <c r="J171" s="24"/>
      <c r="K171" s="25" t="s">
        <v>25</v>
      </c>
      <c r="L171" s="25" t="s">
        <v>30</v>
      </c>
      <c r="M171" s="77"/>
      <c r="N171" s="27"/>
      <c r="O171" s="21"/>
    </row>
    <row r="172" spans="1:15" ht="25.5" x14ac:dyDescent="0.25">
      <c r="A172" s="27">
        <v>17</v>
      </c>
      <c r="B172" s="21"/>
      <c r="C172" s="69">
        <f>MATCH(D172,[1]!Tabla1[Consignatario],0)</f>
        <v>1981</v>
      </c>
      <c r="D172" s="31" t="s">
        <v>182</v>
      </c>
      <c r="E172" s="21"/>
      <c r="F172" s="21"/>
      <c r="G172" s="8" t="s">
        <v>11</v>
      </c>
      <c r="H172" s="38" t="s">
        <v>13</v>
      </c>
      <c r="I172" s="23">
        <v>1000</v>
      </c>
      <c r="J172" s="24"/>
      <c r="K172" s="25" t="s">
        <v>25</v>
      </c>
      <c r="L172" s="25" t="s">
        <v>30</v>
      </c>
      <c r="M172" s="76">
        <v>100</v>
      </c>
      <c r="N172" s="27"/>
      <c r="O172" s="21"/>
    </row>
    <row r="173" spans="1:15" ht="25.5" x14ac:dyDescent="0.25">
      <c r="A173" s="27">
        <v>17</v>
      </c>
      <c r="B173" s="21"/>
      <c r="C173" s="69">
        <f>MATCH(D173,[1]!Tabla1[Consignatario],0)</f>
        <v>1981</v>
      </c>
      <c r="D173" s="31" t="s">
        <v>182</v>
      </c>
      <c r="E173" s="21"/>
      <c r="F173" s="21"/>
      <c r="G173" s="8" t="s">
        <v>256</v>
      </c>
      <c r="H173" s="38" t="s">
        <v>45</v>
      </c>
      <c r="I173" s="23">
        <v>3000</v>
      </c>
      <c r="J173" s="24"/>
      <c r="K173" s="25" t="s">
        <v>25</v>
      </c>
      <c r="L173" s="25" t="s">
        <v>30</v>
      </c>
      <c r="M173" s="77"/>
      <c r="N173" s="27"/>
      <c r="O173" s="21"/>
    </row>
    <row r="174" spans="1:15" ht="25.5" x14ac:dyDescent="0.25">
      <c r="A174" s="27">
        <v>17</v>
      </c>
      <c r="B174" s="21"/>
      <c r="C174" s="69">
        <f>MATCH(D174,[1]!Tabla1[Consignatario],0)</f>
        <v>1679</v>
      </c>
      <c r="D174" s="31" t="s">
        <v>183</v>
      </c>
      <c r="E174" s="21"/>
      <c r="F174" s="21"/>
      <c r="G174" s="8" t="s">
        <v>11</v>
      </c>
      <c r="H174" s="38" t="s">
        <v>150</v>
      </c>
      <c r="I174" s="23">
        <v>800</v>
      </c>
      <c r="J174" s="24"/>
      <c r="K174" s="25" t="s">
        <v>25</v>
      </c>
      <c r="L174" s="25" t="s">
        <v>30</v>
      </c>
      <c r="M174" s="27">
        <v>16</v>
      </c>
      <c r="N174" s="27"/>
      <c r="O174" s="21"/>
    </row>
    <row r="175" spans="1:15" ht="26.25" x14ac:dyDescent="0.25">
      <c r="A175" s="27">
        <v>17</v>
      </c>
      <c r="B175" s="21"/>
      <c r="C175" s="69">
        <f>MATCH(D175,[1]!Tabla1[Consignatario],0)</f>
        <v>1294</v>
      </c>
      <c r="D175" s="31" t="s">
        <v>507</v>
      </c>
      <c r="E175" s="21"/>
      <c r="F175" s="21"/>
      <c r="G175" s="8" t="s">
        <v>11</v>
      </c>
      <c r="H175" s="38" t="s">
        <v>48</v>
      </c>
      <c r="I175" s="23">
        <v>2500</v>
      </c>
      <c r="J175" s="24"/>
      <c r="K175" s="25" t="s">
        <v>25</v>
      </c>
      <c r="L175" s="25" t="s">
        <v>30</v>
      </c>
      <c r="M175" s="27">
        <v>50</v>
      </c>
      <c r="N175" s="27"/>
      <c r="O175" s="21"/>
    </row>
    <row r="176" spans="1:15" ht="26.25" x14ac:dyDescent="0.25">
      <c r="A176" s="27">
        <v>17</v>
      </c>
      <c r="B176" s="21"/>
      <c r="C176" s="69">
        <f>MATCH(D176,[1]!Tabla1[Consignatario],0)</f>
        <v>1942</v>
      </c>
      <c r="D176" s="31" t="s">
        <v>184</v>
      </c>
      <c r="E176" s="21"/>
      <c r="F176" s="21"/>
      <c r="G176" s="8" t="s">
        <v>11</v>
      </c>
      <c r="H176" s="38" t="s">
        <v>13</v>
      </c>
      <c r="I176" s="23">
        <v>1000</v>
      </c>
      <c r="J176" s="24"/>
      <c r="K176" s="25" t="s">
        <v>25</v>
      </c>
      <c r="L176" s="25" t="s">
        <v>30</v>
      </c>
      <c r="M176" s="76">
        <v>52</v>
      </c>
      <c r="N176" s="27"/>
      <c r="O176" s="21"/>
    </row>
    <row r="177" spans="1:15" ht="26.25" x14ac:dyDescent="0.25">
      <c r="A177" s="27">
        <v>17</v>
      </c>
      <c r="B177" s="21"/>
      <c r="C177" s="69">
        <f>MATCH(D177,[1]!Tabla1[Consignatario],0)</f>
        <v>1942</v>
      </c>
      <c r="D177" s="31" t="s">
        <v>184</v>
      </c>
      <c r="E177" s="21"/>
      <c r="F177" s="21"/>
      <c r="G177" s="30" t="s">
        <v>138</v>
      </c>
      <c r="H177" s="38" t="s">
        <v>173</v>
      </c>
      <c r="I177" s="23">
        <v>1600</v>
      </c>
      <c r="J177" s="24"/>
      <c r="K177" s="25" t="s">
        <v>25</v>
      </c>
      <c r="L177" s="25" t="s">
        <v>30</v>
      </c>
      <c r="M177" s="77"/>
      <c r="N177" s="27"/>
      <c r="O177" s="21"/>
    </row>
    <row r="178" spans="1:15" ht="26.25" x14ac:dyDescent="0.25">
      <c r="A178" s="27">
        <v>17</v>
      </c>
      <c r="B178" s="21"/>
      <c r="C178" s="69">
        <f>MATCH(D178,[1]!Tabla1[Consignatario],0)</f>
        <v>2261</v>
      </c>
      <c r="D178" s="31" t="s">
        <v>185</v>
      </c>
      <c r="E178" s="21"/>
      <c r="F178" s="21"/>
      <c r="G178" s="8" t="s">
        <v>11</v>
      </c>
      <c r="H178" s="38" t="s">
        <v>223</v>
      </c>
      <c r="I178" s="23">
        <f>11*2500</f>
        <v>27500</v>
      </c>
      <c r="J178" s="24">
        <f>11*50</f>
        <v>550</v>
      </c>
      <c r="K178" s="25" t="s">
        <v>25</v>
      </c>
      <c r="L178" s="25" t="s">
        <v>30</v>
      </c>
      <c r="M178" s="76">
        <v>1218</v>
      </c>
      <c r="N178" s="27"/>
      <c r="O178" s="21"/>
    </row>
    <row r="179" spans="1:15" ht="26.25" x14ac:dyDescent="0.25">
      <c r="A179" s="27">
        <v>17</v>
      </c>
      <c r="B179" s="21"/>
      <c r="C179" s="69">
        <f>MATCH(D179,[1]!Tabla1[Consignatario],0)</f>
        <v>2261</v>
      </c>
      <c r="D179" s="31" t="s">
        <v>185</v>
      </c>
      <c r="E179" s="21"/>
      <c r="F179" s="21"/>
      <c r="G179" s="8" t="s">
        <v>256</v>
      </c>
      <c r="H179" s="38" t="s">
        <v>224</v>
      </c>
      <c r="I179" s="23">
        <v>31000</v>
      </c>
      <c r="J179" s="24">
        <f>31*20</f>
        <v>620</v>
      </c>
      <c r="K179" s="25" t="s">
        <v>25</v>
      </c>
      <c r="L179" s="25" t="s">
        <v>30</v>
      </c>
      <c r="M179" s="81"/>
      <c r="N179" s="27"/>
      <c r="O179" s="21"/>
    </row>
    <row r="180" spans="1:15" ht="26.25" x14ac:dyDescent="0.25">
      <c r="A180" s="27">
        <v>17</v>
      </c>
      <c r="B180" s="21"/>
      <c r="C180" s="69">
        <f>MATCH(D180,[1]!Tabla1[Consignatario],0)</f>
        <v>2261</v>
      </c>
      <c r="D180" s="31" t="s">
        <v>185</v>
      </c>
      <c r="E180" s="21"/>
      <c r="F180" s="21"/>
      <c r="G180" s="30" t="s">
        <v>138</v>
      </c>
      <c r="H180" s="38" t="s">
        <v>135</v>
      </c>
      <c r="I180" s="34">
        <v>5000</v>
      </c>
      <c r="J180" s="23">
        <v>48</v>
      </c>
      <c r="K180" s="25" t="s">
        <v>25</v>
      </c>
      <c r="L180" s="25" t="s">
        <v>30</v>
      </c>
      <c r="M180" s="77"/>
      <c r="N180" s="27"/>
      <c r="O180" s="21"/>
    </row>
    <row r="181" spans="1:15" ht="25.5" x14ac:dyDescent="0.25">
      <c r="A181" s="27">
        <v>17</v>
      </c>
      <c r="B181" s="21"/>
      <c r="C181" s="69">
        <f>MATCH(D181,[1]!Tabla1[Consignatario],0)</f>
        <v>1459</v>
      </c>
      <c r="D181" s="31" t="s">
        <v>186</v>
      </c>
      <c r="E181" s="21"/>
      <c r="F181" s="21"/>
      <c r="G181" s="8" t="s">
        <v>11</v>
      </c>
      <c r="H181" s="38" t="s">
        <v>13</v>
      </c>
      <c r="I181" s="23">
        <v>1000</v>
      </c>
      <c r="J181" s="24"/>
      <c r="K181" s="25" t="s">
        <v>25</v>
      </c>
      <c r="L181" s="25" t="s">
        <v>30</v>
      </c>
      <c r="M181" s="27">
        <v>20</v>
      </c>
      <c r="N181" s="27"/>
      <c r="O181" s="21"/>
    </row>
    <row r="182" spans="1:15" ht="25.5" x14ac:dyDescent="0.25">
      <c r="A182" s="27" t="s">
        <v>187</v>
      </c>
      <c r="B182" s="21"/>
      <c r="C182" s="69">
        <f>MATCH(D182,[1]!Tabla1[Consignatario],0)</f>
        <v>46</v>
      </c>
      <c r="D182" s="31" t="s">
        <v>188</v>
      </c>
      <c r="E182" s="21"/>
      <c r="F182" s="21"/>
      <c r="G182" s="8" t="s">
        <v>11</v>
      </c>
      <c r="H182" s="38" t="s">
        <v>223</v>
      </c>
      <c r="I182" s="23">
        <f>11*2500</f>
        <v>27500</v>
      </c>
      <c r="J182" s="24"/>
      <c r="K182" s="25" t="s">
        <v>25</v>
      </c>
      <c r="L182" s="25" t="s">
        <v>30</v>
      </c>
      <c r="M182" s="76">
        <v>710</v>
      </c>
      <c r="N182" s="27"/>
      <c r="O182" s="21"/>
    </row>
    <row r="183" spans="1:15" ht="25.5" x14ac:dyDescent="0.25">
      <c r="A183" s="27" t="s">
        <v>187</v>
      </c>
      <c r="B183" s="21"/>
      <c r="C183" s="69">
        <f>MATCH(D183,[1]!Tabla1[Consignatario],0)</f>
        <v>46</v>
      </c>
      <c r="D183" s="31" t="s">
        <v>188</v>
      </c>
      <c r="E183" s="21"/>
      <c r="F183" s="21"/>
      <c r="G183" s="8" t="s">
        <v>256</v>
      </c>
      <c r="H183" s="38" t="s">
        <v>45</v>
      </c>
      <c r="I183" s="23">
        <v>3000</v>
      </c>
      <c r="J183" s="24"/>
      <c r="K183" s="25" t="s">
        <v>25</v>
      </c>
      <c r="L183" s="25" t="s">
        <v>30</v>
      </c>
      <c r="M183" s="77"/>
      <c r="N183" s="27"/>
      <c r="O183" s="21"/>
    </row>
    <row r="184" spans="1:15" ht="25.5" x14ac:dyDescent="0.25">
      <c r="A184" s="27" t="s">
        <v>187</v>
      </c>
      <c r="B184" s="21"/>
      <c r="C184" s="69">
        <f>MATCH(D184,[1]!Tabla1[Consignatario],0)</f>
        <v>257</v>
      </c>
      <c r="D184" s="31" t="s">
        <v>189</v>
      </c>
      <c r="E184" s="21"/>
      <c r="F184" s="21"/>
      <c r="G184" s="8" t="s">
        <v>11</v>
      </c>
      <c r="H184" s="38" t="s">
        <v>13</v>
      </c>
      <c r="I184" s="23">
        <v>1000</v>
      </c>
      <c r="J184" s="24"/>
      <c r="K184" s="25" t="s">
        <v>25</v>
      </c>
      <c r="L184" s="25" t="s">
        <v>30</v>
      </c>
      <c r="M184" s="76">
        <v>36</v>
      </c>
      <c r="N184" s="27"/>
      <c r="O184" s="21"/>
    </row>
    <row r="185" spans="1:15" ht="25.5" x14ac:dyDescent="0.25">
      <c r="A185" s="27" t="s">
        <v>187</v>
      </c>
      <c r="B185" s="21"/>
      <c r="C185" s="69">
        <f>MATCH(D185,[1]!Tabla1[Consignatario],0)</f>
        <v>257</v>
      </c>
      <c r="D185" s="31" t="s">
        <v>189</v>
      </c>
      <c r="E185" s="21"/>
      <c r="F185" s="21"/>
      <c r="G185" s="30" t="s">
        <v>138</v>
      </c>
      <c r="H185" s="38" t="s">
        <v>81</v>
      </c>
      <c r="I185" s="23">
        <v>800</v>
      </c>
      <c r="J185" s="24"/>
      <c r="K185" s="25" t="s">
        <v>25</v>
      </c>
      <c r="L185" s="25" t="s">
        <v>30</v>
      </c>
      <c r="M185" s="77"/>
      <c r="N185" s="27"/>
      <c r="O185" s="21"/>
    </row>
    <row r="186" spans="1:15" ht="26.25" x14ac:dyDescent="0.25">
      <c r="A186" s="27" t="s">
        <v>187</v>
      </c>
      <c r="B186" s="21"/>
      <c r="C186" s="69">
        <f>MATCH(D186,[1]!Tabla1[Consignatario],0)</f>
        <v>1491</v>
      </c>
      <c r="D186" s="31" t="s">
        <v>190</v>
      </c>
      <c r="E186" s="21"/>
      <c r="F186" s="21"/>
      <c r="G186" s="8" t="s">
        <v>11</v>
      </c>
      <c r="H186" s="38" t="s">
        <v>152</v>
      </c>
      <c r="I186" s="23">
        <v>2000</v>
      </c>
      <c r="J186" s="24"/>
      <c r="K186" s="25" t="s">
        <v>25</v>
      </c>
      <c r="L186" s="25" t="s">
        <v>30</v>
      </c>
      <c r="M186" s="76">
        <v>50</v>
      </c>
      <c r="N186" s="27"/>
      <c r="O186" s="21"/>
    </row>
    <row r="187" spans="1:15" ht="26.25" x14ac:dyDescent="0.25">
      <c r="A187" s="27" t="s">
        <v>187</v>
      </c>
      <c r="B187" s="21"/>
      <c r="C187" s="69">
        <f>MATCH(D187,[1]!Tabla1[Consignatario],0)</f>
        <v>1491</v>
      </c>
      <c r="D187" s="31" t="s">
        <v>190</v>
      </c>
      <c r="E187" s="21"/>
      <c r="F187" s="21"/>
      <c r="G187" s="30" t="s">
        <v>138</v>
      </c>
      <c r="H187" s="38" t="s">
        <v>103</v>
      </c>
      <c r="I187" s="23">
        <f>60*8</f>
        <v>480</v>
      </c>
      <c r="J187" s="24"/>
      <c r="K187" s="25" t="s">
        <v>25</v>
      </c>
      <c r="L187" s="25" t="s">
        <v>30</v>
      </c>
      <c r="M187" s="77"/>
      <c r="N187" s="27"/>
      <c r="O187" s="21"/>
    </row>
    <row r="188" spans="1:15" ht="26.25" x14ac:dyDescent="0.25">
      <c r="A188" s="27" t="s">
        <v>187</v>
      </c>
      <c r="B188" s="21"/>
      <c r="C188" s="69">
        <f>MATCH(D188,[1]!Tabla1[Consignatario],0)</f>
        <v>727</v>
      </c>
      <c r="D188" s="31" t="s">
        <v>191</v>
      </c>
      <c r="E188" s="21"/>
      <c r="F188" s="21"/>
      <c r="G188" s="8" t="s">
        <v>11</v>
      </c>
      <c r="H188" s="38" t="s">
        <v>225</v>
      </c>
      <c r="I188" s="23">
        <f>20*2500</f>
        <v>50000</v>
      </c>
      <c r="J188" s="24"/>
      <c r="K188" s="25" t="s">
        <v>25</v>
      </c>
      <c r="L188" s="25" t="s">
        <v>30</v>
      </c>
      <c r="M188" s="76">
        <v>1500</v>
      </c>
      <c r="N188" s="27"/>
      <c r="O188" s="21"/>
    </row>
    <row r="189" spans="1:15" ht="26.25" x14ac:dyDescent="0.25">
      <c r="A189" s="27" t="s">
        <v>187</v>
      </c>
      <c r="B189" s="21"/>
      <c r="C189" s="69">
        <f>MATCH(D189,[1]!Tabla1[Consignatario],0)</f>
        <v>727</v>
      </c>
      <c r="D189" s="31" t="s">
        <v>191</v>
      </c>
      <c r="E189" s="21"/>
      <c r="F189" s="21"/>
      <c r="G189" s="8" t="s">
        <v>256</v>
      </c>
      <c r="H189" s="38" t="s">
        <v>226</v>
      </c>
      <c r="I189" s="23">
        <v>25000</v>
      </c>
      <c r="J189" s="24"/>
      <c r="K189" s="25" t="s">
        <v>25</v>
      </c>
      <c r="L189" s="25" t="s">
        <v>30</v>
      </c>
      <c r="M189" s="77"/>
      <c r="N189" s="27"/>
      <c r="O189" s="21"/>
    </row>
    <row r="190" spans="1:15" ht="25.5" x14ac:dyDescent="0.25">
      <c r="A190" s="27" t="s">
        <v>187</v>
      </c>
      <c r="B190" s="21"/>
      <c r="C190" s="69">
        <f>MATCH(D190,[1]!Tabla1[Consignatario],0)</f>
        <v>2197</v>
      </c>
      <c r="D190" s="31" t="s">
        <v>192</v>
      </c>
      <c r="E190" s="21"/>
      <c r="F190" s="21"/>
      <c r="G190" s="8" t="s">
        <v>11</v>
      </c>
      <c r="H190" s="38" t="s">
        <v>22</v>
      </c>
      <c r="I190" s="23">
        <v>5000</v>
      </c>
      <c r="J190" s="24"/>
      <c r="K190" s="25" t="s">
        <v>25</v>
      </c>
      <c r="L190" s="25" t="s">
        <v>30</v>
      </c>
      <c r="M190" s="76">
        <v>124</v>
      </c>
      <c r="N190" s="27"/>
      <c r="O190" s="21"/>
    </row>
    <row r="191" spans="1:15" ht="25.5" x14ac:dyDescent="0.25">
      <c r="A191" s="27" t="s">
        <v>187</v>
      </c>
      <c r="B191" s="21"/>
      <c r="C191" s="69">
        <f>MATCH(D191,[1]!Tabla1[Consignatario],0)</f>
        <v>2197</v>
      </c>
      <c r="D191" s="31" t="s">
        <v>192</v>
      </c>
      <c r="E191" s="21"/>
      <c r="F191" s="21"/>
      <c r="G191" s="30" t="s">
        <v>138</v>
      </c>
      <c r="H191" s="38" t="s">
        <v>58</v>
      </c>
      <c r="I191" s="23">
        <f>150*8</f>
        <v>1200</v>
      </c>
      <c r="J191" s="24"/>
      <c r="K191" s="25" t="s">
        <v>25</v>
      </c>
      <c r="L191" s="25" t="s">
        <v>30</v>
      </c>
      <c r="M191" s="77"/>
      <c r="N191" s="27"/>
      <c r="O191" s="21"/>
    </row>
    <row r="192" spans="1:15" ht="25.5" x14ac:dyDescent="0.25">
      <c r="A192" s="27" t="s">
        <v>187</v>
      </c>
      <c r="B192" s="21"/>
      <c r="C192" s="69">
        <f>MATCH(D192,[1]!Tabla1[Consignatario],0)</f>
        <v>1220</v>
      </c>
      <c r="D192" s="71" t="s">
        <v>531</v>
      </c>
      <c r="E192" s="21"/>
      <c r="F192" s="21"/>
      <c r="G192" s="8" t="s">
        <v>11</v>
      </c>
      <c r="H192" s="38" t="s">
        <v>54</v>
      </c>
      <c r="I192" s="23">
        <v>2500</v>
      </c>
      <c r="J192" s="24">
        <v>50</v>
      </c>
      <c r="K192" s="25" t="s">
        <v>25</v>
      </c>
      <c r="L192" s="25" t="s">
        <v>30</v>
      </c>
      <c r="M192" s="76">
        <v>100</v>
      </c>
      <c r="N192" s="27"/>
      <c r="O192" s="21"/>
    </row>
    <row r="193" spans="1:15" ht="25.5" x14ac:dyDescent="0.25">
      <c r="A193" s="27" t="s">
        <v>187</v>
      </c>
      <c r="B193" s="21"/>
      <c r="C193" s="69">
        <f>MATCH(D193,[1]!Tabla1[Consignatario],0)</f>
        <v>1220</v>
      </c>
      <c r="D193" s="71" t="s">
        <v>531</v>
      </c>
      <c r="E193" s="21"/>
      <c r="F193" s="21"/>
      <c r="G193" s="30" t="s">
        <v>138</v>
      </c>
      <c r="H193" s="38" t="s">
        <v>65</v>
      </c>
      <c r="I193" s="23">
        <v>2500</v>
      </c>
      <c r="J193" s="24"/>
      <c r="K193" s="25" t="s">
        <v>25</v>
      </c>
      <c r="L193" s="25" t="s">
        <v>30</v>
      </c>
      <c r="M193" s="77"/>
      <c r="N193" s="27"/>
      <c r="O193" s="21"/>
    </row>
    <row r="194" spans="1:15" ht="25.5" x14ac:dyDescent="0.25">
      <c r="A194" s="27" t="s">
        <v>187</v>
      </c>
      <c r="B194" s="21"/>
      <c r="C194" s="69">
        <f>MATCH(D194,[1]!Tabla1[Consignatario],0)</f>
        <v>1334</v>
      </c>
      <c r="D194" s="31" t="s">
        <v>193</v>
      </c>
      <c r="E194" s="21"/>
      <c r="F194" s="21"/>
      <c r="G194" s="8" t="s">
        <v>11</v>
      </c>
      <c r="H194" s="38" t="s">
        <v>54</v>
      </c>
      <c r="I194" s="23">
        <v>2500</v>
      </c>
      <c r="J194" s="24"/>
      <c r="K194" s="25" t="s">
        <v>25</v>
      </c>
      <c r="L194" s="25" t="s">
        <v>30</v>
      </c>
      <c r="M194" s="27">
        <v>50</v>
      </c>
      <c r="N194" s="27"/>
      <c r="O194" s="21"/>
    </row>
    <row r="195" spans="1:15" ht="26.25" x14ac:dyDescent="0.25">
      <c r="A195" s="27" t="s">
        <v>187</v>
      </c>
      <c r="B195" s="21"/>
      <c r="C195" s="69">
        <f>MATCH(D195,[1]!Tabla1[Consignatario],0)</f>
        <v>1508</v>
      </c>
      <c r="D195" s="31" t="s">
        <v>194</v>
      </c>
      <c r="E195" s="21"/>
      <c r="F195" s="21"/>
      <c r="G195" s="8" t="s">
        <v>11</v>
      </c>
      <c r="H195" s="38" t="s">
        <v>150</v>
      </c>
      <c r="I195" s="23">
        <v>800</v>
      </c>
      <c r="J195" s="24"/>
      <c r="K195" s="25" t="s">
        <v>25</v>
      </c>
      <c r="L195" s="25" t="s">
        <v>30</v>
      </c>
      <c r="M195" s="27">
        <v>16</v>
      </c>
      <c r="N195" s="27"/>
      <c r="O195" s="21"/>
    </row>
    <row r="196" spans="1:15" ht="25.5" x14ac:dyDescent="0.25">
      <c r="A196" s="27" t="s">
        <v>187</v>
      </c>
      <c r="B196" s="21"/>
      <c r="C196" s="69">
        <f>MATCH(D196,[1]!Tabla1[Consignatario],0)</f>
        <v>670</v>
      </c>
      <c r="D196" s="31" t="s">
        <v>195</v>
      </c>
      <c r="E196" s="21"/>
      <c r="F196" s="21"/>
      <c r="G196" s="30" t="s">
        <v>138</v>
      </c>
      <c r="H196" s="38" t="s">
        <v>114</v>
      </c>
      <c r="I196" s="23">
        <f>40*8</f>
        <v>320</v>
      </c>
      <c r="J196" s="24"/>
      <c r="K196" s="25" t="s">
        <v>25</v>
      </c>
      <c r="L196" s="25" t="s">
        <v>30</v>
      </c>
      <c r="M196" s="27">
        <v>6</v>
      </c>
      <c r="N196" s="27"/>
      <c r="O196" s="21"/>
    </row>
    <row r="197" spans="1:15" ht="25.5" x14ac:dyDescent="0.25">
      <c r="A197" s="27" t="s">
        <v>187</v>
      </c>
      <c r="B197" s="21"/>
      <c r="C197" s="69">
        <f>MATCH(D197,[1]!Tabla1[Consignatario],0)</f>
        <v>978</v>
      </c>
      <c r="D197" s="31" t="s">
        <v>196</v>
      </c>
      <c r="E197" s="21"/>
      <c r="F197" s="21"/>
      <c r="G197" s="30" t="s">
        <v>138</v>
      </c>
      <c r="H197" s="38" t="s">
        <v>81</v>
      </c>
      <c r="I197" s="23">
        <v>800</v>
      </c>
      <c r="J197" s="24"/>
      <c r="K197" s="25" t="s">
        <v>25</v>
      </c>
      <c r="L197" s="25" t="s">
        <v>30</v>
      </c>
      <c r="M197" s="27">
        <v>16</v>
      </c>
      <c r="N197" s="27"/>
      <c r="O197" s="21"/>
    </row>
    <row r="198" spans="1:15" ht="25.5" x14ac:dyDescent="0.25">
      <c r="A198" s="27" t="s">
        <v>187</v>
      </c>
      <c r="B198" s="21"/>
      <c r="C198" s="69">
        <f>MATCH(D198,[1]!Tabla1[Consignatario],0)</f>
        <v>1082</v>
      </c>
      <c r="D198" s="31" t="s">
        <v>510</v>
      </c>
      <c r="E198" s="21"/>
      <c r="F198" s="21"/>
      <c r="G198" s="8" t="s">
        <v>11</v>
      </c>
      <c r="H198" s="38" t="s">
        <v>227</v>
      </c>
      <c r="I198" s="23">
        <v>700</v>
      </c>
      <c r="J198" s="24"/>
      <c r="K198" s="25" t="s">
        <v>25</v>
      </c>
      <c r="L198" s="25" t="s">
        <v>30</v>
      </c>
      <c r="M198" s="27">
        <v>14</v>
      </c>
      <c r="N198" s="27"/>
      <c r="O198" s="21"/>
    </row>
    <row r="199" spans="1:15" ht="25.5" x14ac:dyDescent="0.25">
      <c r="A199" s="27" t="s">
        <v>187</v>
      </c>
      <c r="B199" s="21"/>
      <c r="C199" s="69">
        <f>MATCH(D199,[1]!Tabla1[Consignatario],0)</f>
        <v>2279</v>
      </c>
      <c r="D199" s="31" t="s">
        <v>197</v>
      </c>
      <c r="E199" s="21"/>
      <c r="F199" s="21"/>
      <c r="G199" s="8" t="s">
        <v>256</v>
      </c>
      <c r="H199" s="38" t="s">
        <v>60</v>
      </c>
      <c r="I199" s="23">
        <v>4000</v>
      </c>
      <c r="J199" s="24"/>
      <c r="K199" s="25" t="s">
        <v>25</v>
      </c>
      <c r="L199" s="25" t="s">
        <v>30</v>
      </c>
      <c r="M199" s="27">
        <v>80</v>
      </c>
      <c r="N199" s="27"/>
      <c r="O199" s="21"/>
    </row>
    <row r="200" spans="1:15" ht="26.25" x14ac:dyDescent="0.25">
      <c r="A200" s="27">
        <v>18</v>
      </c>
      <c r="B200" s="21"/>
      <c r="C200" s="69">
        <f>MATCH(D200,[1]!Tabla1[Consignatario],0)</f>
        <v>903</v>
      </c>
      <c r="D200" s="31" t="s">
        <v>198</v>
      </c>
      <c r="E200" s="21"/>
      <c r="F200" s="21"/>
      <c r="G200" s="8" t="s">
        <v>256</v>
      </c>
      <c r="H200" s="38" t="s">
        <v>228</v>
      </c>
      <c r="I200" s="23">
        <v>1000</v>
      </c>
      <c r="J200" s="24">
        <v>20</v>
      </c>
      <c r="K200" s="25" t="s">
        <v>25</v>
      </c>
      <c r="L200" s="25" t="s">
        <v>30</v>
      </c>
      <c r="M200" s="76">
        <v>70</v>
      </c>
      <c r="N200" s="27"/>
      <c r="O200" s="21"/>
    </row>
    <row r="201" spans="1:15" ht="26.25" x14ac:dyDescent="0.25">
      <c r="A201" s="27">
        <v>18</v>
      </c>
      <c r="B201" s="21"/>
      <c r="C201" s="69">
        <f>MATCH(D201,[1]!Tabla1[Consignatario],0)</f>
        <v>903</v>
      </c>
      <c r="D201" s="31" t="s">
        <v>198</v>
      </c>
      <c r="E201" s="21"/>
      <c r="F201" s="21"/>
      <c r="G201" s="30" t="s">
        <v>138</v>
      </c>
      <c r="H201" s="38" t="s">
        <v>53</v>
      </c>
      <c r="I201" s="23">
        <v>2500</v>
      </c>
      <c r="J201" s="24">
        <v>50</v>
      </c>
      <c r="K201" s="25" t="s">
        <v>25</v>
      </c>
      <c r="L201" s="25" t="s">
        <v>30</v>
      </c>
      <c r="M201" s="77"/>
      <c r="N201" s="27"/>
      <c r="O201" s="21"/>
    </row>
    <row r="202" spans="1:15" ht="25.5" x14ac:dyDescent="0.25">
      <c r="A202" s="27">
        <v>18</v>
      </c>
      <c r="B202" s="21"/>
      <c r="C202" s="69">
        <f>MATCH(D202,[1]!Tabla1[Consignatario],0)</f>
        <v>510</v>
      </c>
      <c r="D202" s="31" t="s">
        <v>199</v>
      </c>
      <c r="E202" s="21"/>
      <c r="F202" s="21"/>
      <c r="G202" s="8" t="s">
        <v>11</v>
      </c>
      <c r="H202" s="38" t="s">
        <v>22</v>
      </c>
      <c r="I202" s="23">
        <v>5000</v>
      </c>
      <c r="J202" s="24"/>
      <c r="K202" s="25" t="s">
        <v>25</v>
      </c>
      <c r="L202" s="25" t="s">
        <v>30</v>
      </c>
      <c r="M202" s="76">
        <v>200</v>
      </c>
      <c r="N202" s="27"/>
      <c r="O202" s="21"/>
    </row>
    <row r="203" spans="1:15" ht="25.5" x14ac:dyDescent="0.25">
      <c r="A203" s="27">
        <v>18</v>
      </c>
      <c r="B203" s="21"/>
      <c r="C203" s="69">
        <f>MATCH(D203,[1]!Tabla1[Consignatario],0)</f>
        <v>510</v>
      </c>
      <c r="D203" s="31" t="s">
        <v>199</v>
      </c>
      <c r="E203" s="21"/>
      <c r="F203" s="21"/>
      <c r="G203" s="8" t="s">
        <v>11</v>
      </c>
      <c r="H203" s="38" t="s">
        <v>221</v>
      </c>
      <c r="I203" s="23">
        <v>1500</v>
      </c>
      <c r="J203" s="24"/>
      <c r="K203" s="25" t="s">
        <v>25</v>
      </c>
      <c r="L203" s="25" t="s">
        <v>30</v>
      </c>
      <c r="M203" s="81"/>
      <c r="N203" s="27"/>
      <c r="O203" s="21"/>
    </row>
    <row r="204" spans="1:15" ht="25.5" x14ac:dyDescent="0.25">
      <c r="A204" s="27">
        <v>18</v>
      </c>
      <c r="B204" s="21"/>
      <c r="C204" s="69">
        <f>MATCH(D204,[1]!Tabla1[Consignatario],0)</f>
        <v>510</v>
      </c>
      <c r="D204" s="31" t="s">
        <v>199</v>
      </c>
      <c r="E204" s="21"/>
      <c r="F204" s="21"/>
      <c r="G204" s="30" t="s">
        <v>138</v>
      </c>
      <c r="H204" s="38" t="s">
        <v>81</v>
      </c>
      <c r="I204" s="23">
        <v>800</v>
      </c>
      <c r="J204" s="24"/>
      <c r="K204" s="25" t="s">
        <v>25</v>
      </c>
      <c r="L204" s="25" t="s">
        <v>30</v>
      </c>
      <c r="M204" s="77"/>
      <c r="N204" s="27"/>
      <c r="O204" s="21"/>
    </row>
    <row r="205" spans="1:15" ht="25.5" x14ac:dyDescent="0.25">
      <c r="A205" s="27">
        <v>18</v>
      </c>
      <c r="B205" s="21"/>
      <c r="C205" s="69">
        <f>MATCH(D205,[1]!Tabla1[Consignatario],0)</f>
        <v>2017</v>
      </c>
      <c r="D205" s="31" t="s">
        <v>200</v>
      </c>
      <c r="E205" s="21"/>
      <c r="F205" s="21"/>
      <c r="G205" s="8" t="s">
        <v>11</v>
      </c>
      <c r="H205" s="38" t="s">
        <v>124</v>
      </c>
      <c r="I205" s="23">
        <v>10000</v>
      </c>
      <c r="J205" s="24">
        <v>200</v>
      </c>
      <c r="K205" s="25" t="s">
        <v>25</v>
      </c>
      <c r="L205" s="25" t="s">
        <v>30</v>
      </c>
      <c r="M205" s="76">
        <v>500</v>
      </c>
      <c r="N205" s="27"/>
      <c r="O205" s="21"/>
    </row>
    <row r="206" spans="1:15" ht="25.5" x14ac:dyDescent="0.25">
      <c r="A206" s="27">
        <v>18</v>
      </c>
      <c r="B206" s="21"/>
      <c r="C206" s="69">
        <f>MATCH(D206,[1]!Tabla1[Consignatario],0)</f>
        <v>2017</v>
      </c>
      <c r="D206" s="31" t="s">
        <v>200</v>
      </c>
      <c r="E206" s="21"/>
      <c r="F206" s="21"/>
      <c r="G206" s="8" t="s">
        <v>256</v>
      </c>
      <c r="H206" s="38" t="s">
        <v>229</v>
      </c>
      <c r="I206" s="23">
        <v>6000</v>
      </c>
      <c r="J206" s="24">
        <f>6*20</f>
        <v>120</v>
      </c>
      <c r="K206" s="25" t="s">
        <v>25</v>
      </c>
      <c r="L206" s="25" t="s">
        <v>30</v>
      </c>
      <c r="M206" s="81"/>
      <c r="N206" s="27"/>
      <c r="O206" s="21"/>
    </row>
    <row r="207" spans="1:15" ht="25.5" x14ac:dyDescent="0.25">
      <c r="A207" s="27">
        <v>18</v>
      </c>
      <c r="B207" s="21"/>
      <c r="C207" s="69">
        <f>MATCH(D207,[1]!Tabla1[Consignatario],0)</f>
        <v>2017</v>
      </c>
      <c r="D207" s="31" t="s">
        <v>200</v>
      </c>
      <c r="E207" s="21"/>
      <c r="F207" s="21"/>
      <c r="G207" s="30" t="s">
        <v>138</v>
      </c>
      <c r="H207" s="38" t="s">
        <v>230</v>
      </c>
      <c r="I207" s="34">
        <v>14000</v>
      </c>
      <c r="J207" s="23">
        <v>280</v>
      </c>
      <c r="K207" s="25" t="s">
        <v>25</v>
      </c>
      <c r="L207" s="25" t="s">
        <v>30</v>
      </c>
      <c r="M207" s="77"/>
      <c r="N207" s="27"/>
      <c r="O207" s="21"/>
    </row>
    <row r="208" spans="1:15" ht="25.5" x14ac:dyDescent="0.25">
      <c r="A208" s="27">
        <v>18</v>
      </c>
      <c r="B208" s="21"/>
      <c r="C208" s="69">
        <f>MATCH(D208,[1]!Tabla1[Consignatario],0)</f>
        <v>149</v>
      </c>
      <c r="D208" s="31" t="s">
        <v>231</v>
      </c>
      <c r="E208" s="21"/>
      <c r="F208" s="21"/>
      <c r="G208" s="8" t="s">
        <v>11</v>
      </c>
      <c r="H208" s="38" t="s">
        <v>153</v>
      </c>
      <c r="I208" s="23">
        <f>17*2500</f>
        <v>42500</v>
      </c>
      <c r="J208" s="24">
        <f>17*50</f>
        <v>850</v>
      </c>
      <c r="K208" s="25" t="s">
        <v>25</v>
      </c>
      <c r="L208" s="25" t="s">
        <v>30</v>
      </c>
      <c r="M208" s="79">
        <v>770</v>
      </c>
      <c r="N208" s="38"/>
      <c r="O208" s="85" t="s">
        <v>248</v>
      </c>
    </row>
    <row r="209" spans="1:17" ht="25.5" x14ac:dyDescent="0.25">
      <c r="A209" s="27">
        <v>18</v>
      </c>
      <c r="B209" s="21"/>
      <c r="C209" s="69">
        <f>MATCH(D209,[1]!Tabla1[Consignatario],0)</f>
        <v>149</v>
      </c>
      <c r="D209" s="31" t="s">
        <v>231</v>
      </c>
      <c r="E209" s="21"/>
      <c r="F209" s="21"/>
      <c r="G209" s="8" t="s">
        <v>256</v>
      </c>
      <c r="H209" s="38" t="s">
        <v>232</v>
      </c>
      <c r="I209" s="23">
        <f>32*1000</f>
        <v>32000</v>
      </c>
      <c r="J209" s="24">
        <f>32*20</f>
        <v>640</v>
      </c>
      <c r="K209" s="25" t="s">
        <v>25</v>
      </c>
      <c r="L209" s="25" t="s">
        <v>30</v>
      </c>
      <c r="M209" s="79"/>
      <c r="N209" s="27"/>
      <c r="O209" s="85"/>
      <c r="Q209">
        <f>1490-770</f>
        <v>720</v>
      </c>
    </row>
    <row r="210" spans="1:17" ht="26.25" x14ac:dyDescent="0.25">
      <c r="A210" s="27">
        <v>18</v>
      </c>
      <c r="B210" s="21" t="s">
        <v>201</v>
      </c>
      <c r="C210" s="69">
        <f>MATCH(D210,[1]!Tabla1[Consignatario],0)</f>
        <v>2767</v>
      </c>
      <c r="D210" s="31" t="s">
        <v>452</v>
      </c>
      <c r="E210" s="21"/>
      <c r="F210" s="21"/>
      <c r="G210" s="8" t="s">
        <v>256</v>
      </c>
      <c r="H210" s="38" t="s">
        <v>233</v>
      </c>
      <c r="I210" s="23">
        <v>34000</v>
      </c>
      <c r="J210" s="24">
        <f>34*20</f>
        <v>680</v>
      </c>
      <c r="K210" s="25" t="s">
        <v>25</v>
      </c>
      <c r="L210" s="25" t="s">
        <v>30</v>
      </c>
      <c r="M210" s="79">
        <v>1080</v>
      </c>
      <c r="N210" s="27"/>
      <c r="O210" s="85" t="s">
        <v>250</v>
      </c>
    </row>
    <row r="211" spans="1:17" ht="26.25" x14ac:dyDescent="0.25">
      <c r="A211" s="27">
        <v>18</v>
      </c>
      <c r="B211" s="21"/>
      <c r="C211" s="69">
        <f>MATCH(D211,[1]!Tabla1[Consignatario],0)</f>
        <v>2767</v>
      </c>
      <c r="D211" s="31" t="s">
        <v>452</v>
      </c>
      <c r="E211" s="21"/>
      <c r="F211" s="21"/>
      <c r="G211" s="8" t="s">
        <v>11</v>
      </c>
      <c r="H211" s="38" t="s">
        <v>48</v>
      </c>
      <c r="I211" s="23">
        <v>2500</v>
      </c>
      <c r="J211" s="24">
        <v>50</v>
      </c>
      <c r="K211" s="25" t="s">
        <v>25</v>
      </c>
      <c r="L211" s="25" t="s">
        <v>30</v>
      </c>
      <c r="M211" s="79"/>
      <c r="N211" s="27"/>
      <c r="O211" s="85"/>
    </row>
    <row r="212" spans="1:17" ht="26.25" x14ac:dyDescent="0.25">
      <c r="A212" s="27">
        <v>18</v>
      </c>
      <c r="B212" s="21"/>
      <c r="C212" s="69">
        <f>MATCH(D212,[1]!Tabla1[Consignatario],0)</f>
        <v>2767</v>
      </c>
      <c r="D212" s="31" t="s">
        <v>452</v>
      </c>
      <c r="E212" s="21"/>
      <c r="F212" s="21"/>
      <c r="G212" s="30" t="s">
        <v>138</v>
      </c>
      <c r="H212" s="38" t="s">
        <v>249</v>
      </c>
      <c r="I212" s="23">
        <f>2500*6</f>
        <v>15000</v>
      </c>
      <c r="J212" s="24">
        <f>6*50</f>
        <v>300</v>
      </c>
      <c r="K212" s="25" t="s">
        <v>25</v>
      </c>
      <c r="L212" s="25" t="s">
        <v>30</v>
      </c>
      <c r="M212" s="79"/>
      <c r="N212" s="27"/>
      <c r="O212" s="85"/>
    </row>
    <row r="213" spans="1:17" ht="26.25" x14ac:dyDescent="0.25">
      <c r="A213" s="27">
        <v>18</v>
      </c>
      <c r="B213" s="21"/>
      <c r="C213" s="69">
        <f>MATCH(D213,[1]!Tabla1[Consignatario],0)</f>
        <v>2767</v>
      </c>
      <c r="D213" s="31" t="s">
        <v>452</v>
      </c>
      <c r="E213" s="21"/>
      <c r="F213" s="21"/>
      <c r="G213" s="30" t="s">
        <v>138</v>
      </c>
      <c r="H213" s="38" t="s">
        <v>135</v>
      </c>
      <c r="I213" s="23">
        <v>5000</v>
      </c>
      <c r="J213" s="24">
        <v>100</v>
      </c>
      <c r="K213" s="25" t="s">
        <v>25</v>
      </c>
      <c r="L213" s="25" t="s">
        <v>30</v>
      </c>
      <c r="M213" s="79"/>
      <c r="N213" s="27"/>
      <c r="O213" s="85"/>
    </row>
    <row r="214" spans="1:17" ht="25.5" x14ac:dyDescent="0.25">
      <c r="A214" s="27">
        <v>18</v>
      </c>
      <c r="B214" s="21"/>
      <c r="C214" s="69">
        <f>MATCH(D214,[1]!Tabla1[Consignatario],0)</f>
        <v>955</v>
      </c>
      <c r="D214" s="31" t="s">
        <v>202</v>
      </c>
      <c r="E214" s="21"/>
      <c r="F214" s="21"/>
      <c r="G214" s="30" t="s">
        <v>138</v>
      </c>
      <c r="H214" s="38" t="s">
        <v>173</v>
      </c>
      <c r="I214" s="23">
        <f>200*8</f>
        <v>1600</v>
      </c>
      <c r="J214" s="24"/>
      <c r="K214" s="25" t="s">
        <v>25</v>
      </c>
      <c r="L214" s="25" t="s">
        <v>30</v>
      </c>
      <c r="M214" s="27">
        <v>32</v>
      </c>
      <c r="N214" s="27"/>
      <c r="O214" s="21"/>
    </row>
    <row r="215" spans="1:17" ht="26.25" x14ac:dyDescent="0.25">
      <c r="A215" s="27">
        <v>18</v>
      </c>
      <c r="B215" s="21"/>
      <c r="C215" s="69">
        <f>MATCH(D215,[1]!Tabla1[Consignatario],0)</f>
        <v>1801</v>
      </c>
      <c r="D215" s="31" t="s">
        <v>532</v>
      </c>
      <c r="E215" s="21"/>
      <c r="F215" s="21"/>
      <c r="G215" s="8" t="s">
        <v>11</v>
      </c>
      <c r="H215" s="38" t="s">
        <v>234</v>
      </c>
      <c r="I215" s="23">
        <f>13*2500</f>
        <v>32500</v>
      </c>
      <c r="J215" s="24"/>
      <c r="K215" s="25" t="s">
        <v>25</v>
      </c>
      <c r="L215" s="25" t="s">
        <v>30</v>
      </c>
      <c r="M215" s="76">
        <v>1000</v>
      </c>
      <c r="N215" s="27"/>
      <c r="O215" s="21"/>
    </row>
    <row r="216" spans="1:17" ht="26.25" x14ac:dyDescent="0.25">
      <c r="A216" s="27">
        <v>18</v>
      </c>
      <c r="B216" s="21"/>
      <c r="C216" s="69">
        <f>MATCH(D216,[1]!Tabla1[Consignatario],0)</f>
        <v>1801</v>
      </c>
      <c r="D216" s="31" t="s">
        <v>532</v>
      </c>
      <c r="E216" s="21"/>
      <c r="F216" s="21"/>
      <c r="G216" s="8" t="s">
        <v>256</v>
      </c>
      <c r="H216" s="38" t="s">
        <v>235</v>
      </c>
      <c r="I216" s="23">
        <v>9000</v>
      </c>
      <c r="J216" s="24"/>
      <c r="K216" s="25" t="s">
        <v>25</v>
      </c>
      <c r="L216" s="25" t="s">
        <v>30</v>
      </c>
      <c r="M216" s="81"/>
      <c r="N216" s="27"/>
      <c r="O216" s="21"/>
    </row>
    <row r="217" spans="1:17" ht="26.25" x14ac:dyDescent="0.25">
      <c r="A217" s="27">
        <v>18</v>
      </c>
      <c r="B217" s="21"/>
      <c r="C217" s="69">
        <f>MATCH(D217,[1]!Tabla1[Consignatario],0)</f>
        <v>1801</v>
      </c>
      <c r="D217" s="31" t="s">
        <v>532</v>
      </c>
      <c r="E217" s="21"/>
      <c r="F217" s="21"/>
      <c r="G217" s="30" t="s">
        <v>138</v>
      </c>
      <c r="H217" s="38" t="s">
        <v>236</v>
      </c>
      <c r="I217" s="23">
        <f>8*800</f>
        <v>6400</v>
      </c>
      <c r="J217" s="24"/>
      <c r="K217" s="25" t="s">
        <v>25</v>
      </c>
      <c r="L217" s="25" t="s">
        <v>30</v>
      </c>
      <c r="M217" s="81"/>
      <c r="N217" s="27"/>
      <c r="O217" s="21"/>
    </row>
    <row r="218" spans="1:17" ht="26.25" x14ac:dyDescent="0.25">
      <c r="A218" s="27">
        <v>18</v>
      </c>
      <c r="B218" s="21"/>
      <c r="C218" s="69">
        <f>MATCH(D218,[1]!Tabla1[Consignatario],0)</f>
        <v>1801</v>
      </c>
      <c r="D218" s="31" t="s">
        <v>532</v>
      </c>
      <c r="E218" s="21"/>
      <c r="F218" s="21"/>
      <c r="G218" s="8" t="s">
        <v>11</v>
      </c>
      <c r="H218" s="38" t="s">
        <v>152</v>
      </c>
      <c r="I218" s="23">
        <v>2000</v>
      </c>
      <c r="J218" s="24"/>
      <c r="K218" s="25" t="s">
        <v>25</v>
      </c>
      <c r="L218" s="25" t="s">
        <v>30</v>
      </c>
      <c r="M218" s="77"/>
      <c r="N218" s="27"/>
      <c r="O218" s="21"/>
    </row>
    <row r="219" spans="1:17" ht="26.25" x14ac:dyDescent="0.25">
      <c r="A219" s="27">
        <v>18</v>
      </c>
      <c r="B219" s="21" t="s">
        <v>15</v>
      </c>
      <c r="C219" s="69">
        <f>MATCH(D219,[1]!Tabla1[Consignatario],0)</f>
        <v>805</v>
      </c>
      <c r="D219" s="31" t="s">
        <v>203</v>
      </c>
      <c r="E219" s="21"/>
      <c r="F219" s="21"/>
      <c r="G219" s="8" t="s">
        <v>11</v>
      </c>
      <c r="H219" s="38" t="s">
        <v>223</v>
      </c>
      <c r="I219" s="23">
        <f>11*2500</f>
        <v>27500</v>
      </c>
      <c r="J219" s="24">
        <f>11*50</f>
        <v>550</v>
      </c>
      <c r="K219" s="25" t="s">
        <v>25</v>
      </c>
      <c r="L219" s="25" t="s">
        <v>30</v>
      </c>
      <c r="M219" s="76">
        <v>910</v>
      </c>
      <c r="N219" s="27"/>
      <c r="O219" s="85" t="s">
        <v>251</v>
      </c>
    </row>
    <row r="220" spans="1:17" ht="26.25" x14ac:dyDescent="0.25">
      <c r="A220" s="27">
        <v>18</v>
      </c>
      <c r="B220" s="21"/>
      <c r="C220" s="69">
        <f>MATCH(D220,[1]!Tabla1[Consignatario],0)</f>
        <v>805</v>
      </c>
      <c r="D220" s="31" t="s">
        <v>203</v>
      </c>
      <c r="E220" s="21"/>
      <c r="F220" s="21"/>
      <c r="G220" s="8" t="s">
        <v>256</v>
      </c>
      <c r="H220" s="38" t="s">
        <v>237</v>
      </c>
      <c r="I220" s="23">
        <v>16000</v>
      </c>
      <c r="J220" s="24">
        <f>16*20</f>
        <v>320</v>
      </c>
      <c r="K220" s="25" t="s">
        <v>25</v>
      </c>
      <c r="L220" s="25" t="s">
        <v>30</v>
      </c>
      <c r="M220" s="81"/>
      <c r="N220" s="27"/>
      <c r="O220" s="85"/>
    </row>
    <row r="221" spans="1:17" ht="26.25" x14ac:dyDescent="0.25">
      <c r="A221" s="27">
        <v>18</v>
      </c>
      <c r="B221" s="21"/>
      <c r="C221" s="69">
        <f>MATCH(D221,[1]!Tabla1[Consignatario],0)</f>
        <v>805</v>
      </c>
      <c r="D221" s="31" t="s">
        <v>203</v>
      </c>
      <c r="E221" s="21"/>
      <c r="F221" s="21"/>
      <c r="G221" s="30" t="s">
        <v>138</v>
      </c>
      <c r="H221" s="38" t="s">
        <v>238</v>
      </c>
      <c r="I221" s="34">
        <f>145*8</f>
        <v>1160</v>
      </c>
      <c r="J221" s="24"/>
      <c r="K221" s="25" t="s">
        <v>25</v>
      </c>
      <c r="L221" s="25" t="s">
        <v>30</v>
      </c>
      <c r="M221" s="77"/>
      <c r="N221" s="27"/>
      <c r="O221" s="85"/>
    </row>
    <row r="222" spans="1:17" ht="26.25" x14ac:dyDescent="0.25">
      <c r="A222" s="27">
        <v>18</v>
      </c>
      <c r="B222" s="21"/>
      <c r="C222" s="69">
        <f>MATCH(D222,[1]!Tabla1[Consignatario],0)</f>
        <v>1727</v>
      </c>
      <c r="D222" s="31" t="s">
        <v>204</v>
      </c>
      <c r="E222" s="21"/>
      <c r="F222" s="21"/>
      <c r="G222" s="8" t="s">
        <v>11</v>
      </c>
      <c r="H222" s="38" t="s">
        <v>101</v>
      </c>
      <c r="I222" s="23">
        <f>5*2500</f>
        <v>12500</v>
      </c>
      <c r="J222" s="24">
        <v>250</v>
      </c>
      <c r="K222" s="25" t="s">
        <v>25</v>
      </c>
      <c r="L222" s="25" t="s">
        <v>30</v>
      </c>
      <c r="M222" s="76">
        <v>310</v>
      </c>
      <c r="N222" s="27"/>
      <c r="O222" s="21"/>
    </row>
    <row r="223" spans="1:17" ht="26.25" x14ac:dyDescent="0.25">
      <c r="A223" s="27">
        <v>18</v>
      </c>
      <c r="B223" s="21"/>
      <c r="C223" s="69">
        <f>MATCH(D223,[1]!Tabla1[Consignatario],0)</f>
        <v>1727</v>
      </c>
      <c r="D223" s="31" t="s">
        <v>204</v>
      </c>
      <c r="E223" s="21"/>
      <c r="F223" s="21"/>
      <c r="G223" s="8" t="s">
        <v>256</v>
      </c>
      <c r="H223" s="38" t="s">
        <v>45</v>
      </c>
      <c r="I223" s="23">
        <v>3000</v>
      </c>
      <c r="J223" s="24">
        <v>60</v>
      </c>
      <c r="K223" s="25" t="s">
        <v>25</v>
      </c>
      <c r="L223" s="25" t="s">
        <v>30</v>
      </c>
      <c r="M223" s="77"/>
      <c r="N223" s="27"/>
      <c r="O223" s="21"/>
    </row>
    <row r="224" spans="1:17" ht="25.5" x14ac:dyDescent="0.25">
      <c r="A224" s="27" t="s">
        <v>205</v>
      </c>
      <c r="B224" s="21"/>
      <c r="C224" s="69">
        <f>MATCH(D224,[1]!Tabla1[Consignatario],0)</f>
        <v>1977</v>
      </c>
      <c r="D224" s="31" t="s">
        <v>206</v>
      </c>
      <c r="E224" s="21"/>
      <c r="F224" s="21"/>
      <c r="G224" s="8" t="s">
        <v>11</v>
      </c>
      <c r="H224" s="38" t="s">
        <v>82</v>
      </c>
      <c r="I224" s="23">
        <v>400</v>
      </c>
      <c r="J224" s="24"/>
      <c r="K224" s="25" t="s">
        <v>25</v>
      </c>
      <c r="L224" s="25" t="s">
        <v>30</v>
      </c>
      <c r="M224" s="27">
        <v>8</v>
      </c>
      <c r="N224" s="27"/>
      <c r="O224" s="21"/>
    </row>
    <row r="225" spans="1:15" ht="26.25" x14ac:dyDescent="0.25">
      <c r="A225" s="27" t="s">
        <v>205</v>
      </c>
      <c r="B225" s="21"/>
      <c r="C225" s="69">
        <f>MATCH(D225,[1]!Tabla1[Consignatario],0)</f>
        <v>2033</v>
      </c>
      <c r="D225" s="31" t="s">
        <v>207</v>
      </c>
      <c r="E225" s="21"/>
      <c r="F225" s="21"/>
      <c r="G225" s="8" t="s">
        <v>12</v>
      </c>
      <c r="H225" s="38" t="s">
        <v>239</v>
      </c>
      <c r="I225" s="23">
        <f>3*150</f>
        <v>450</v>
      </c>
      <c r="J225" s="24"/>
      <c r="K225" s="25" t="s">
        <v>25</v>
      </c>
      <c r="L225" s="25" t="s">
        <v>30</v>
      </c>
      <c r="M225" s="27">
        <v>9</v>
      </c>
      <c r="N225" s="27"/>
      <c r="O225" s="21"/>
    </row>
    <row r="226" spans="1:15" ht="26.25" x14ac:dyDescent="0.25">
      <c r="A226" s="27" t="s">
        <v>205</v>
      </c>
      <c r="B226" s="21"/>
      <c r="C226" s="69">
        <f>MATCH(D226,[1]!Tabla1[Consignatario],0)</f>
        <v>150</v>
      </c>
      <c r="D226" s="31" t="s">
        <v>468</v>
      </c>
      <c r="E226" s="21"/>
      <c r="F226" s="21"/>
      <c r="G226" s="8" t="s">
        <v>11</v>
      </c>
      <c r="H226" s="38" t="s">
        <v>152</v>
      </c>
      <c r="I226" s="23">
        <v>2000</v>
      </c>
      <c r="J226" s="24"/>
      <c r="K226" s="25" t="s">
        <v>25</v>
      </c>
      <c r="L226" s="25" t="s">
        <v>30</v>
      </c>
      <c r="M226" s="27">
        <v>40</v>
      </c>
      <c r="N226" s="27"/>
      <c r="O226" s="21"/>
    </row>
    <row r="227" spans="1:15" ht="25.5" x14ac:dyDescent="0.25">
      <c r="A227" s="27" t="s">
        <v>205</v>
      </c>
      <c r="B227" s="21"/>
      <c r="C227" s="69">
        <f>MATCH(D227,[1]!Tabla1[Consignatario],0)</f>
        <v>1984</v>
      </c>
      <c r="D227" s="31" t="s">
        <v>208</v>
      </c>
      <c r="E227" s="21"/>
      <c r="F227" s="21"/>
      <c r="G227" s="8" t="s">
        <v>11</v>
      </c>
      <c r="H227" s="38" t="s">
        <v>13</v>
      </c>
      <c r="I227" s="23">
        <v>1000</v>
      </c>
      <c r="J227" s="24"/>
      <c r="K227" s="25" t="s">
        <v>25</v>
      </c>
      <c r="L227" s="25" t="s">
        <v>30</v>
      </c>
      <c r="M227" s="27">
        <v>20</v>
      </c>
      <c r="N227" s="27"/>
      <c r="O227" s="21"/>
    </row>
    <row r="228" spans="1:15" ht="26.25" x14ac:dyDescent="0.25">
      <c r="A228" s="27" t="s">
        <v>205</v>
      </c>
      <c r="B228" s="21"/>
      <c r="C228" s="69">
        <f>MATCH(D228,[1]!Tabla1[Consignatario],0)</f>
        <v>262</v>
      </c>
      <c r="D228" s="31" t="s">
        <v>453</v>
      </c>
      <c r="E228" s="21"/>
      <c r="F228" s="21"/>
      <c r="G228" s="8" t="s">
        <v>256</v>
      </c>
      <c r="H228" s="38" t="s">
        <v>45</v>
      </c>
      <c r="I228" s="23">
        <v>3000</v>
      </c>
      <c r="J228" s="24"/>
      <c r="K228" s="25" t="s">
        <v>25</v>
      </c>
      <c r="L228" s="25" t="s">
        <v>30</v>
      </c>
      <c r="M228" s="76">
        <v>92</v>
      </c>
      <c r="N228" s="27"/>
      <c r="O228" s="21"/>
    </row>
    <row r="229" spans="1:15" ht="26.25" x14ac:dyDescent="0.25">
      <c r="A229" s="27" t="s">
        <v>205</v>
      </c>
      <c r="B229" s="21"/>
      <c r="C229" s="69">
        <f>MATCH(D229,[1]!Tabla1[Consignatario],0)</f>
        <v>262</v>
      </c>
      <c r="D229" s="31" t="s">
        <v>453</v>
      </c>
      <c r="E229" s="21"/>
      <c r="F229" s="21"/>
      <c r="G229" s="30" t="s">
        <v>138</v>
      </c>
      <c r="H229" s="38" t="s">
        <v>173</v>
      </c>
      <c r="I229" s="23">
        <v>1600</v>
      </c>
      <c r="J229" s="24"/>
      <c r="K229" s="25" t="s">
        <v>25</v>
      </c>
      <c r="L229" s="25" t="s">
        <v>30</v>
      </c>
      <c r="M229" s="77"/>
      <c r="N229" s="27"/>
      <c r="O229" s="21"/>
    </row>
    <row r="230" spans="1:15" ht="26.25" x14ac:dyDescent="0.25">
      <c r="A230" s="27" t="s">
        <v>205</v>
      </c>
      <c r="B230" s="21"/>
      <c r="C230" s="69">
        <f>MATCH(D230,[1]!Tabla1[Consignatario],0)</f>
        <v>1299</v>
      </c>
      <c r="D230" s="31" t="s">
        <v>514</v>
      </c>
      <c r="E230" s="21"/>
      <c r="F230" s="21"/>
      <c r="G230" s="30" t="s">
        <v>138</v>
      </c>
      <c r="H230" s="38" t="s">
        <v>240</v>
      </c>
      <c r="I230" s="23">
        <f>130*8</f>
        <v>1040</v>
      </c>
      <c r="J230" s="24"/>
      <c r="K230" s="25" t="s">
        <v>25</v>
      </c>
      <c r="L230" s="25" t="s">
        <v>30</v>
      </c>
      <c r="M230" s="27">
        <v>28</v>
      </c>
      <c r="N230" s="27"/>
      <c r="O230" s="21"/>
    </row>
    <row r="231" spans="1:15" ht="26.25" x14ac:dyDescent="0.25">
      <c r="A231" s="27" t="s">
        <v>205</v>
      </c>
      <c r="B231" s="21"/>
      <c r="C231" s="69">
        <f>MATCH(D231,[1]!Tabla1[Consignatario],0)</f>
        <v>919</v>
      </c>
      <c r="D231" s="31" t="s">
        <v>209</v>
      </c>
      <c r="E231" s="21"/>
      <c r="F231" s="21"/>
      <c r="G231" s="8" t="s">
        <v>11</v>
      </c>
      <c r="H231" s="38" t="s">
        <v>48</v>
      </c>
      <c r="I231" s="23">
        <v>2500</v>
      </c>
      <c r="J231" s="24"/>
      <c r="K231" s="25" t="s">
        <v>25</v>
      </c>
      <c r="L231" s="25" t="s">
        <v>30</v>
      </c>
      <c r="M231" s="27">
        <v>50</v>
      </c>
      <c r="N231" s="27"/>
      <c r="O231" s="21"/>
    </row>
    <row r="232" spans="1:15" ht="25.5" x14ac:dyDescent="0.25">
      <c r="A232" s="27" t="s">
        <v>205</v>
      </c>
      <c r="B232" s="21"/>
      <c r="C232" s="69">
        <f>MATCH(D232,[1]!Tabla1[Consignatario],0)</f>
        <v>1732</v>
      </c>
      <c r="D232" s="31" t="s">
        <v>210</v>
      </c>
      <c r="E232" s="21"/>
      <c r="F232" s="21"/>
      <c r="G232" s="8" t="s">
        <v>11</v>
      </c>
      <c r="H232" s="38" t="s">
        <v>241</v>
      </c>
      <c r="I232" s="23">
        <v>200</v>
      </c>
      <c r="J232" s="24">
        <f>200*2/100</f>
        <v>4</v>
      </c>
      <c r="K232" s="25" t="s">
        <v>25</v>
      </c>
      <c r="L232" s="25" t="s">
        <v>30</v>
      </c>
      <c r="M232" s="76">
        <v>9</v>
      </c>
      <c r="N232" s="27"/>
      <c r="O232" s="21"/>
    </row>
    <row r="233" spans="1:15" ht="25.5" x14ac:dyDescent="0.25">
      <c r="A233" s="27" t="s">
        <v>205</v>
      </c>
      <c r="B233" s="21"/>
      <c r="C233" s="69">
        <f>MATCH(D233,[1]!Tabla1[Consignatario],0)</f>
        <v>1732</v>
      </c>
      <c r="D233" s="31" t="s">
        <v>210</v>
      </c>
      <c r="E233" s="21"/>
      <c r="F233" s="21"/>
      <c r="G233" s="30" t="s">
        <v>138</v>
      </c>
      <c r="H233" s="38" t="s">
        <v>242</v>
      </c>
      <c r="I233" s="23">
        <f>30*8</f>
        <v>240</v>
      </c>
      <c r="J233" s="24">
        <v>5</v>
      </c>
      <c r="K233" s="25" t="s">
        <v>25</v>
      </c>
      <c r="L233" s="25" t="s">
        <v>30</v>
      </c>
      <c r="M233" s="77"/>
      <c r="N233" s="27"/>
      <c r="O233" s="21"/>
    </row>
    <row r="234" spans="1:15" ht="26.25" x14ac:dyDescent="0.25">
      <c r="A234" s="27" t="s">
        <v>205</v>
      </c>
      <c r="B234" s="21"/>
      <c r="C234" s="69">
        <f>MATCH(D234,[1]!Tabla1[Consignatario],0)</f>
        <v>165</v>
      </c>
      <c r="D234" s="31" t="s">
        <v>211</v>
      </c>
      <c r="E234" s="21"/>
      <c r="F234" s="21"/>
      <c r="G234" s="30" t="s">
        <v>138</v>
      </c>
      <c r="H234" s="38" t="s">
        <v>243</v>
      </c>
      <c r="I234" s="23">
        <f>280*8</f>
        <v>2240</v>
      </c>
      <c r="J234" s="24"/>
      <c r="K234" s="25" t="s">
        <v>25</v>
      </c>
      <c r="L234" s="25" t="s">
        <v>30</v>
      </c>
      <c r="M234" s="76">
        <v>60</v>
      </c>
      <c r="N234" s="27"/>
      <c r="O234" s="21"/>
    </row>
    <row r="235" spans="1:15" ht="26.25" x14ac:dyDescent="0.25">
      <c r="A235" s="27" t="s">
        <v>205</v>
      </c>
      <c r="B235" s="21"/>
      <c r="C235" s="69">
        <f>MATCH(D235,[1]!Tabla1[Consignatario],0)</f>
        <v>165</v>
      </c>
      <c r="D235" s="31" t="s">
        <v>211</v>
      </c>
      <c r="E235" s="21"/>
      <c r="F235" s="21"/>
      <c r="G235" s="8" t="s">
        <v>11</v>
      </c>
      <c r="H235" s="38" t="s">
        <v>150</v>
      </c>
      <c r="I235" s="23">
        <v>800</v>
      </c>
      <c r="J235" s="24"/>
      <c r="K235" s="25" t="s">
        <v>25</v>
      </c>
      <c r="L235" s="25" t="s">
        <v>30</v>
      </c>
      <c r="M235" s="77"/>
      <c r="N235" s="27"/>
      <c r="O235" s="21"/>
    </row>
    <row r="236" spans="1:15" ht="26.25" x14ac:dyDescent="0.25">
      <c r="A236" s="27" t="s">
        <v>205</v>
      </c>
      <c r="B236" s="21"/>
      <c r="C236" s="69">
        <f>MATCH(D236,[1]!Tabla1[Consignatario],0)</f>
        <v>1154</v>
      </c>
      <c r="D236" s="31" t="s">
        <v>212</v>
      </c>
      <c r="E236" s="21"/>
      <c r="F236" s="21"/>
      <c r="G236" s="8" t="s">
        <v>11</v>
      </c>
      <c r="H236" s="38" t="s">
        <v>22</v>
      </c>
      <c r="I236" s="23">
        <v>5000</v>
      </c>
      <c r="J236" s="24"/>
      <c r="K236" s="25" t="s">
        <v>25</v>
      </c>
      <c r="L236" s="25" t="s">
        <v>30</v>
      </c>
      <c r="M236" s="76">
        <v>812</v>
      </c>
      <c r="N236" s="27"/>
      <c r="O236" s="21"/>
    </row>
    <row r="237" spans="1:15" ht="26.25" x14ac:dyDescent="0.25">
      <c r="A237" s="27" t="s">
        <v>205</v>
      </c>
      <c r="B237" s="21"/>
      <c r="C237" s="69">
        <f>MATCH(D237,[1]!Tabla1[Consignatario],0)</f>
        <v>1154</v>
      </c>
      <c r="D237" s="31" t="s">
        <v>212</v>
      </c>
      <c r="E237" s="21"/>
      <c r="F237" s="21"/>
      <c r="G237" s="8" t="s">
        <v>256</v>
      </c>
      <c r="H237" s="38" t="s">
        <v>229</v>
      </c>
      <c r="I237" s="23">
        <v>6000</v>
      </c>
      <c r="J237" s="24"/>
      <c r="K237" s="25" t="s">
        <v>25</v>
      </c>
      <c r="L237" s="25" t="s">
        <v>30</v>
      </c>
      <c r="M237" s="81"/>
      <c r="N237" s="27"/>
      <c r="O237" s="21"/>
    </row>
    <row r="238" spans="1:15" ht="26.25" x14ac:dyDescent="0.25">
      <c r="A238" s="27" t="s">
        <v>205</v>
      </c>
      <c r="B238" s="21"/>
      <c r="C238" s="69">
        <f>MATCH(D238,[1]!Tabla1[Consignatario],0)</f>
        <v>1154</v>
      </c>
      <c r="D238" s="31" t="s">
        <v>212</v>
      </c>
      <c r="E238" s="21"/>
      <c r="F238" s="21"/>
      <c r="G238" s="8" t="s">
        <v>11</v>
      </c>
      <c r="H238" s="38" t="s">
        <v>84</v>
      </c>
      <c r="I238" s="23">
        <v>3000</v>
      </c>
      <c r="J238" s="24"/>
      <c r="K238" s="25" t="s">
        <v>25</v>
      </c>
      <c r="L238" s="25" t="s">
        <v>30</v>
      </c>
      <c r="M238" s="77"/>
      <c r="N238" s="27"/>
      <c r="O238" s="21"/>
    </row>
    <row r="239" spans="1:15" ht="26.25" x14ac:dyDescent="0.25">
      <c r="A239" s="27" t="s">
        <v>205</v>
      </c>
      <c r="B239" s="21"/>
      <c r="C239" s="69">
        <f>MATCH(D239,[1]!Tabla1[Consignatario],0)</f>
        <v>919</v>
      </c>
      <c r="D239" s="33" t="s">
        <v>209</v>
      </c>
      <c r="E239" s="21"/>
      <c r="F239" s="21"/>
      <c r="G239" s="8" t="s">
        <v>11</v>
      </c>
      <c r="H239" s="38" t="s">
        <v>48</v>
      </c>
      <c r="I239" s="23">
        <v>2500</v>
      </c>
      <c r="J239" s="24"/>
      <c r="K239" s="25" t="s">
        <v>25</v>
      </c>
      <c r="L239" s="25" t="s">
        <v>30</v>
      </c>
      <c r="M239" s="76">
        <v>74</v>
      </c>
      <c r="N239" s="27"/>
      <c r="O239" s="21"/>
    </row>
    <row r="240" spans="1:15" ht="26.25" x14ac:dyDescent="0.25">
      <c r="A240" s="27" t="s">
        <v>205</v>
      </c>
      <c r="B240" s="21"/>
      <c r="C240" s="69">
        <f>MATCH(D240,[1]!Tabla1[Consignatario],0)</f>
        <v>919</v>
      </c>
      <c r="D240" s="33" t="s">
        <v>209</v>
      </c>
      <c r="E240" s="21"/>
      <c r="F240" s="21"/>
      <c r="G240" s="8" t="s">
        <v>12</v>
      </c>
      <c r="H240" s="38" t="s">
        <v>244</v>
      </c>
      <c r="I240" s="23">
        <f>8*150</f>
        <v>1200</v>
      </c>
      <c r="J240" s="24"/>
      <c r="K240" s="25" t="s">
        <v>25</v>
      </c>
      <c r="L240" s="25" t="s">
        <v>30</v>
      </c>
      <c r="M240" s="77"/>
      <c r="N240" s="27"/>
      <c r="O240" s="21"/>
    </row>
    <row r="241" spans="1:15" ht="26.25" x14ac:dyDescent="0.25">
      <c r="A241" s="27">
        <v>19</v>
      </c>
      <c r="B241" s="21"/>
      <c r="C241" s="69">
        <f>MATCH(D241,[1]!Tabla1[Consignatario],0)</f>
        <v>262</v>
      </c>
      <c r="D241" s="40" t="s">
        <v>453</v>
      </c>
      <c r="E241" s="21"/>
      <c r="F241" s="21"/>
      <c r="G241" s="8" t="s">
        <v>11</v>
      </c>
      <c r="H241" s="38" t="s">
        <v>13</v>
      </c>
      <c r="I241" s="23">
        <v>1000</v>
      </c>
      <c r="J241" s="24"/>
      <c r="K241" s="25" t="s">
        <v>25</v>
      </c>
      <c r="L241" s="25" t="s">
        <v>30</v>
      </c>
      <c r="M241" s="27">
        <v>20</v>
      </c>
      <c r="N241" s="27"/>
      <c r="O241" s="21"/>
    </row>
    <row r="242" spans="1:15" ht="26.25" x14ac:dyDescent="0.25">
      <c r="A242" s="27">
        <v>19</v>
      </c>
      <c r="B242" s="21"/>
      <c r="C242" s="69">
        <f>MATCH(D242,[1]!Tabla1[Consignatario],0)</f>
        <v>1805</v>
      </c>
      <c r="D242" s="31" t="s">
        <v>533</v>
      </c>
      <c r="E242" s="21"/>
      <c r="F242" s="21"/>
      <c r="G242" s="8" t="s">
        <v>11</v>
      </c>
      <c r="H242" s="38" t="s">
        <v>245</v>
      </c>
      <c r="I242" s="23">
        <v>7000</v>
      </c>
      <c r="J242" s="24"/>
      <c r="K242" s="25" t="s">
        <v>25</v>
      </c>
      <c r="L242" s="25" t="s">
        <v>30</v>
      </c>
      <c r="M242" s="27">
        <v>140</v>
      </c>
      <c r="N242" s="27"/>
      <c r="O242" s="21"/>
    </row>
    <row r="243" spans="1:15" ht="25.5" x14ac:dyDescent="0.25">
      <c r="A243" s="27">
        <v>19</v>
      </c>
      <c r="B243" s="21"/>
      <c r="C243" s="69">
        <f>MATCH(D243,[1]!Tabla1[Consignatario],0)</f>
        <v>2729</v>
      </c>
      <c r="D243" s="31" t="s">
        <v>97</v>
      </c>
      <c r="E243" s="21"/>
      <c r="F243" s="21"/>
      <c r="G243" s="8" t="s">
        <v>11</v>
      </c>
      <c r="H243" s="38" t="s">
        <v>13</v>
      </c>
      <c r="I243" s="23">
        <v>1000</v>
      </c>
      <c r="J243" s="24"/>
      <c r="K243" s="25" t="s">
        <v>25</v>
      </c>
      <c r="L243" s="25" t="s">
        <v>30</v>
      </c>
      <c r="M243" s="76">
        <v>28</v>
      </c>
      <c r="N243" s="27"/>
      <c r="O243" s="21"/>
    </row>
    <row r="244" spans="1:15" ht="25.5" x14ac:dyDescent="0.25">
      <c r="A244" s="27">
        <v>19</v>
      </c>
      <c r="B244" s="21"/>
      <c r="C244" s="69">
        <f>MATCH(D244,[1]!Tabla1[Consignatario],0)</f>
        <v>2729</v>
      </c>
      <c r="D244" s="31" t="s">
        <v>97</v>
      </c>
      <c r="E244" s="21"/>
      <c r="F244" s="21"/>
      <c r="G244" s="30" t="s">
        <v>138</v>
      </c>
      <c r="H244" s="38" t="s">
        <v>50</v>
      </c>
      <c r="I244" s="23">
        <v>400</v>
      </c>
      <c r="J244" s="24"/>
      <c r="K244" s="25" t="s">
        <v>25</v>
      </c>
      <c r="L244" s="25" t="s">
        <v>30</v>
      </c>
      <c r="M244" s="77"/>
      <c r="N244" s="27"/>
      <c r="O244" s="21"/>
    </row>
    <row r="245" spans="1:15" ht="26.25" x14ac:dyDescent="0.25">
      <c r="A245" s="27">
        <v>19</v>
      </c>
      <c r="B245" s="21"/>
      <c r="C245" s="69">
        <f>MATCH(D245,[1]!Tabla1[Consignatario],0)</f>
        <v>1926</v>
      </c>
      <c r="D245" s="31" t="s">
        <v>213</v>
      </c>
      <c r="E245" s="21"/>
      <c r="F245" s="21"/>
      <c r="G245" s="30" t="s">
        <v>138</v>
      </c>
      <c r="H245" s="38" t="s">
        <v>43</v>
      </c>
      <c r="I245" s="23">
        <f>250*8</f>
        <v>2000</v>
      </c>
      <c r="J245" s="24"/>
      <c r="K245" s="25" t="s">
        <v>25</v>
      </c>
      <c r="L245" s="25" t="s">
        <v>30</v>
      </c>
      <c r="M245" s="27">
        <v>40</v>
      </c>
      <c r="N245" s="27"/>
      <c r="O245" s="21"/>
    </row>
    <row r="246" spans="1:15" ht="25.5" x14ac:dyDescent="0.25">
      <c r="A246" s="27">
        <v>19</v>
      </c>
      <c r="B246" s="21"/>
      <c r="C246" s="69">
        <f>MATCH(D246,[1]!Tabla1[Consignatario],0)</f>
        <v>92</v>
      </c>
      <c r="D246" s="31" t="s">
        <v>459</v>
      </c>
      <c r="E246" s="21"/>
      <c r="F246" s="21"/>
      <c r="G246" s="30" t="s">
        <v>138</v>
      </c>
      <c r="H246" s="38" t="s">
        <v>127</v>
      </c>
      <c r="I246" s="23">
        <v>1600</v>
      </c>
      <c r="J246" s="24"/>
      <c r="K246" s="25" t="s">
        <v>25</v>
      </c>
      <c r="L246" s="25" t="s">
        <v>30</v>
      </c>
      <c r="M246" s="27">
        <v>32</v>
      </c>
      <c r="N246" s="27"/>
      <c r="O246" s="21"/>
    </row>
    <row r="247" spans="1:15" ht="25.5" x14ac:dyDescent="0.25">
      <c r="A247" s="27">
        <v>19</v>
      </c>
      <c r="B247" s="21"/>
      <c r="C247" s="69">
        <f>MATCH(D247,[1]!Tabla1[Consignatario],0)</f>
        <v>2211</v>
      </c>
      <c r="D247" s="31" t="s">
        <v>516</v>
      </c>
      <c r="E247" s="21"/>
      <c r="F247" s="21"/>
      <c r="G247" s="8" t="s">
        <v>11</v>
      </c>
      <c r="H247" s="38" t="s">
        <v>13</v>
      </c>
      <c r="I247" s="23">
        <v>1000</v>
      </c>
      <c r="J247" s="24"/>
      <c r="K247" s="25" t="s">
        <v>25</v>
      </c>
      <c r="L247" s="25" t="s">
        <v>30</v>
      </c>
      <c r="M247" s="76">
        <v>28</v>
      </c>
      <c r="N247" s="27"/>
      <c r="O247" s="21"/>
    </row>
    <row r="248" spans="1:15" ht="25.5" x14ac:dyDescent="0.25">
      <c r="A248" s="27">
        <v>19</v>
      </c>
      <c r="B248" s="21"/>
      <c r="C248" s="69">
        <f>MATCH(D248,[1]!Tabla1[Consignatario],0)</f>
        <v>2211</v>
      </c>
      <c r="D248" s="31" t="s">
        <v>516</v>
      </c>
      <c r="E248" s="21"/>
      <c r="F248" s="21"/>
      <c r="G248" s="30" t="s">
        <v>138</v>
      </c>
      <c r="H248" s="38" t="s">
        <v>50</v>
      </c>
      <c r="I248" s="23">
        <v>400</v>
      </c>
      <c r="J248" s="24"/>
      <c r="K248" s="25" t="s">
        <v>25</v>
      </c>
      <c r="L248" s="25" t="s">
        <v>30</v>
      </c>
      <c r="M248" s="77"/>
      <c r="N248" s="27"/>
      <c r="O248" s="21"/>
    </row>
    <row r="249" spans="1:15" ht="26.25" x14ac:dyDescent="0.25">
      <c r="A249" s="27">
        <v>19</v>
      </c>
      <c r="B249" s="21"/>
      <c r="C249" s="69">
        <f>MATCH(D249,[1]!Tabla1[Consignatario],0)</f>
        <v>772</v>
      </c>
      <c r="D249" s="31" t="s">
        <v>214</v>
      </c>
      <c r="E249" s="21"/>
      <c r="F249" s="21"/>
      <c r="G249" s="8" t="s">
        <v>11</v>
      </c>
      <c r="H249" s="38" t="s">
        <v>246</v>
      </c>
      <c r="I249" s="23">
        <f>18*2500</f>
        <v>45000</v>
      </c>
      <c r="J249" s="24">
        <f>18*50</f>
        <v>900</v>
      </c>
      <c r="K249" s="25" t="s">
        <v>25</v>
      </c>
      <c r="L249" s="25" t="s">
        <v>30</v>
      </c>
      <c r="M249" s="76">
        <v>919</v>
      </c>
      <c r="N249" s="27"/>
      <c r="O249" s="78" t="s">
        <v>252</v>
      </c>
    </row>
    <row r="250" spans="1:15" ht="26.25" x14ac:dyDescent="0.25">
      <c r="A250" s="27">
        <v>19</v>
      </c>
      <c r="B250" s="21"/>
      <c r="C250" s="69">
        <f>MATCH(D250,[1]!Tabla1[Consignatario],0)</f>
        <v>772</v>
      </c>
      <c r="D250" s="31" t="s">
        <v>214</v>
      </c>
      <c r="E250" s="21"/>
      <c r="F250" s="21"/>
      <c r="G250" s="8" t="s">
        <v>11</v>
      </c>
      <c r="H250" s="38" t="s">
        <v>13</v>
      </c>
      <c r="I250" s="23">
        <v>1000</v>
      </c>
      <c r="J250" s="24">
        <v>20</v>
      </c>
      <c r="K250" s="25" t="s">
        <v>25</v>
      </c>
      <c r="L250" s="25" t="s">
        <v>30</v>
      </c>
      <c r="M250" s="77"/>
      <c r="N250" s="27"/>
      <c r="O250" s="78"/>
    </row>
    <row r="251" spans="1:15" ht="26.25" x14ac:dyDescent="0.25">
      <c r="A251" s="27">
        <v>19</v>
      </c>
      <c r="B251" s="21"/>
      <c r="C251" s="69">
        <f>MATCH(D251,[1]!Tabla1[Consignatario],0)</f>
        <v>2558</v>
      </c>
      <c r="D251" s="31" t="s">
        <v>480</v>
      </c>
      <c r="E251" s="21"/>
      <c r="F251" s="21"/>
      <c r="G251" s="30" t="s">
        <v>138</v>
      </c>
      <c r="H251" s="38" t="s">
        <v>100</v>
      </c>
      <c r="I251" s="23">
        <f>90*8</f>
        <v>720</v>
      </c>
      <c r="J251" s="24"/>
      <c r="K251" s="25" t="s">
        <v>25</v>
      </c>
      <c r="L251" s="25" t="s">
        <v>30</v>
      </c>
      <c r="M251" s="27">
        <v>18</v>
      </c>
      <c r="N251" s="27"/>
      <c r="O251" s="21"/>
    </row>
    <row r="252" spans="1:15" ht="26.25" x14ac:dyDescent="0.25">
      <c r="A252" s="27">
        <v>19</v>
      </c>
      <c r="B252" s="21" t="s">
        <v>68</v>
      </c>
      <c r="C252" s="69">
        <f>MATCH(D252,[1]!Tabla1[Consignatario],0)</f>
        <v>2323</v>
      </c>
      <c r="D252" s="31" t="s">
        <v>215</v>
      </c>
      <c r="E252" s="21"/>
      <c r="F252" s="21"/>
      <c r="G252" s="8" t="s">
        <v>11</v>
      </c>
      <c r="H252" s="38" t="s">
        <v>223</v>
      </c>
      <c r="I252" s="23">
        <f>11*2500</f>
        <v>27500</v>
      </c>
      <c r="J252" s="24">
        <f>11*50</f>
        <v>550</v>
      </c>
      <c r="K252" s="25" t="s">
        <v>25</v>
      </c>
      <c r="L252" s="25" t="s">
        <v>30</v>
      </c>
      <c r="M252" s="76">
        <v>580</v>
      </c>
      <c r="N252" s="27"/>
      <c r="O252" s="21"/>
    </row>
    <row r="253" spans="1:15" ht="26.25" customHeight="1" x14ac:dyDescent="0.25">
      <c r="A253" s="27">
        <v>19</v>
      </c>
      <c r="B253" s="21"/>
      <c r="C253" s="69">
        <f>MATCH(D253,[1]!Tabla1[Consignatario],0)</f>
        <v>2323</v>
      </c>
      <c r="D253" s="31" t="s">
        <v>215</v>
      </c>
      <c r="E253" s="21"/>
      <c r="F253" s="21"/>
      <c r="G253" s="8" t="s">
        <v>11</v>
      </c>
      <c r="H253" s="38" t="s">
        <v>247</v>
      </c>
      <c r="I253" s="23">
        <v>1560</v>
      </c>
      <c r="J253" s="23">
        <f>1560*2/100</f>
        <v>31.2</v>
      </c>
      <c r="K253" s="25" t="s">
        <v>25</v>
      </c>
      <c r="L253" s="25" t="s">
        <v>30</v>
      </c>
      <c r="M253" s="77"/>
      <c r="N253" s="27"/>
      <c r="O253" s="21" t="s">
        <v>253</v>
      </c>
    </row>
    <row r="254" spans="1:15" ht="27.75" customHeight="1" x14ac:dyDescent="0.25">
      <c r="A254" s="27" t="s">
        <v>216</v>
      </c>
      <c r="B254" s="21" t="s">
        <v>15</v>
      </c>
      <c r="C254" s="69">
        <f>MATCH(D254,[1]!Tabla1[Consignatario],0)</f>
        <v>1735</v>
      </c>
      <c r="D254" s="31" t="s">
        <v>218</v>
      </c>
      <c r="E254" s="41">
        <v>44398</v>
      </c>
      <c r="F254" s="21"/>
      <c r="G254" s="8" t="s">
        <v>11</v>
      </c>
      <c r="H254" s="38" t="s">
        <v>219</v>
      </c>
      <c r="I254" s="23">
        <v>8000</v>
      </c>
      <c r="J254" s="24"/>
      <c r="K254" s="25" t="s">
        <v>25</v>
      </c>
      <c r="L254" s="25" t="s">
        <v>30</v>
      </c>
      <c r="M254" s="27" t="s">
        <v>261</v>
      </c>
      <c r="N254" s="38"/>
      <c r="O254" s="31" t="s">
        <v>220</v>
      </c>
    </row>
    <row r="255" spans="1:15" x14ac:dyDescent="0.25">
      <c r="A255" s="79" t="s">
        <v>216</v>
      </c>
      <c r="B255" s="80" t="s">
        <v>217</v>
      </c>
      <c r="C255" s="80"/>
      <c r="D255" s="80"/>
      <c r="E255" s="80"/>
      <c r="F255" s="80"/>
      <c r="G255" s="80"/>
      <c r="H255" s="80"/>
      <c r="I255" s="80"/>
      <c r="J255" s="80"/>
      <c r="K255" s="80"/>
      <c r="L255" s="80"/>
      <c r="M255" s="79">
        <v>167</v>
      </c>
      <c r="N255" s="27"/>
      <c r="O255" s="21"/>
    </row>
    <row r="256" spans="1:15" x14ac:dyDescent="0.25">
      <c r="A256" s="79"/>
      <c r="B256" s="80"/>
      <c r="C256" s="80"/>
      <c r="D256" s="80"/>
      <c r="E256" s="80"/>
      <c r="F256" s="80"/>
      <c r="G256" s="80"/>
      <c r="H256" s="80"/>
      <c r="I256" s="80"/>
      <c r="J256" s="80"/>
      <c r="K256" s="80"/>
      <c r="L256" s="80"/>
      <c r="M256" s="79"/>
      <c r="N256" s="27"/>
      <c r="O256" s="21"/>
    </row>
    <row r="257" spans="1:15" x14ac:dyDescent="0.25">
      <c r="A257" s="79"/>
      <c r="B257" s="80"/>
      <c r="C257" s="80"/>
      <c r="D257" s="80"/>
      <c r="E257" s="80"/>
      <c r="F257" s="80"/>
      <c r="G257" s="80"/>
      <c r="H257" s="80"/>
      <c r="I257" s="80"/>
      <c r="J257" s="80"/>
      <c r="K257" s="80"/>
      <c r="L257" s="80"/>
      <c r="M257" s="79"/>
      <c r="N257" s="27"/>
      <c r="O257" s="21"/>
    </row>
    <row r="258" spans="1:15" x14ac:dyDescent="0.25">
      <c r="I258" s="45">
        <f>SUM(I2:I254)</f>
        <v>1472170</v>
      </c>
    </row>
    <row r="261" spans="1:15" x14ac:dyDescent="0.25">
      <c r="A261" s="75" t="s">
        <v>262</v>
      </c>
      <c r="B261" s="75"/>
      <c r="C261" s="75"/>
      <c r="D261" s="75"/>
      <c r="E261" s="75"/>
      <c r="F261" s="75"/>
      <c r="G261" s="75"/>
      <c r="H261" s="75"/>
      <c r="I261" s="75"/>
      <c r="J261" s="75"/>
      <c r="K261" s="75"/>
      <c r="L261" s="75"/>
      <c r="M261" s="75"/>
      <c r="N261" s="75"/>
      <c r="O261" s="75"/>
    </row>
    <row r="262" spans="1:15" x14ac:dyDescent="0.25">
      <c r="A262" s="75"/>
      <c r="B262" s="75"/>
      <c r="C262" s="75"/>
      <c r="D262" s="75"/>
      <c r="E262" s="75"/>
      <c r="F262" s="75"/>
      <c r="G262" s="75"/>
      <c r="H262" s="75"/>
      <c r="I262" s="75"/>
      <c r="J262" s="75"/>
      <c r="K262" s="75"/>
      <c r="L262" s="75"/>
      <c r="M262" s="75"/>
      <c r="N262" s="75"/>
      <c r="O262" s="75"/>
    </row>
  </sheetData>
  <autoFilter ref="A1:O258" xr:uid="{00000000-0001-0000-0000-000000000000}"/>
  <mergeCells count="78">
    <mergeCell ref="O13:O15"/>
    <mergeCell ref="M50:M51"/>
    <mergeCell ref="M52:M53"/>
    <mergeCell ref="M56:M57"/>
    <mergeCell ref="M75:M76"/>
    <mergeCell ref="M21:M22"/>
    <mergeCell ref="M42:M45"/>
    <mergeCell ref="M34:M35"/>
    <mergeCell ref="M30:M33"/>
    <mergeCell ref="M68:M69"/>
    <mergeCell ref="M70:M71"/>
    <mergeCell ref="M72:M73"/>
    <mergeCell ref="M61:M62"/>
    <mergeCell ref="M25:M26"/>
    <mergeCell ref="M108:M111"/>
    <mergeCell ref="M96:M97"/>
    <mergeCell ref="M103:M104"/>
    <mergeCell ref="M105:M107"/>
    <mergeCell ref="M77:M79"/>
    <mergeCell ref="M80:M81"/>
    <mergeCell ref="M89:M90"/>
    <mergeCell ref="M85:M87"/>
    <mergeCell ref="M82:M83"/>
    <mergeCell ref="M239:M240"/>
    <mergeCell ref="M129:M130"/>
    <mergeCell ref="M133:M135"/>
    <mergeCell ref="M139:M140"/>
    <mergeCell ref="M63:M64"/>
    <mergeCell ref="M222:M223"/>
    <mergeCell ref="M228:M229"/>
    <mergeCell ref="M232:M233"/>
    <mergeCell ref="M234:M235"/>
    <mergeCell ref="M236:M238"/>
    <mergeCell ref="M202:M204"/>
    <mergeCell ref="M205:M207"/>
    <mergeCell ref="M182:M183"/>
    <mergeCell ref="M184:M185"/>
    <mergeCell ref="M186:M187"/>
    <mergeCell ref="M188:M189"/>
    <mergeCell ref="M7:M8"/>
    <mergeCell ref="M11:M12"/>
    <mergeCell ref="M13:M15"/>
    <mergeCell ref="M16:M18"/>
    <mergeCell ref="M40:M41"/>
    <mergeCell ref="M38:M39"/>
    <mergeCell ref="M36:M37"/>
    <mergeCell ref="O210:O213"/>
    <mergeCell ref="O208:O209"/>
    <mergeCell ref="M208:M209"/>
    <mergeCell ref="M210:M213"/>
    <mergeCell ref="O219:O221"/>
    <mergeCell ref="M219:M221"/>
    <mergeCell ref="M215:M218"/>
    <mergeCell ref="N141:N142"/>
    <mergeCell ref="M150:M151"/>
    <mergeCell ref="M154:M155"/>
    <mergeCell ref="M158:M160"/>
    <mergeCell ref="M161:M162"/>
    <mergeCell ref="M143:M144"/>
    <mergeCell ref="M141:M142"/>
    <mergeCell ref="M145:M147"/>
    <mergeCell ref="M190:M191"/>
    <mergeCell ref="M192:M193"/>
    <mergeCell ref="M200:M201"/>
    <mergeCell ref="M164:M165"/>
    <mergeCell ref="M169:M171"/>
    <mergeCell ref="M172:M173"/>
    <mergeCell ref="M176:M177"/>
    <mergeCell ref="M178:M180"/>
    <mergeCell ref="A261:O262"/>
    <mergeCell ref="M243:M244"/>
    <mergeCell ref="M247:M248"/>
    <mergeCell ref="M249:M250"/>
    <mergeCell ref="M252:M253"/>
    <mergeCell ref="O249:O250"/>
    <mergeCell ref="M255:M257"/>
    <mergeCell ref="B255:L257"/>
    <mergeCell ref="A255:A257"/>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DB33F-37F1-4D50-A5D6-02ACEB843F34}">
  <dimension ref="A1:P423"/>
  <sheetViews>
    <sheetView zoomScale="110" zoomScaleNormal="110" workbookViewId="0">
      <selection activeCell="G1" sqref="G1"/>
    </sheetView>
  </sheetViews>
  <sheetFormatPr baseColWidth="10" defaultRowHeight="15" x14ac:dyDescent="0.25"/>
  <cols>
    <col min="4" max="4" width="16.28515625" style="1" customWidth="1"/>
    <col min="7" max="7" width="14" customWidth="1"/>
    <col min="8" max="8" width="17.28515625" style="1" customWidth="1"/>
  </cols>
  <sheetData>
    <row r="1" spans="1:15" ht="38.25" x14ac:dyDescent="0.25">
      <c r="A1" s="4" t="s">
        <v>0</v>
      </c>
      <c r="B1" s="5" t="s">
        <v>1</v>
      </c>
      <c r="C1" s="5" t="s">
        <v>470</v>
      </c>
      <c r="D1" s="4" t="s">
        <v>2</v>
      </c>
      <c r="E1" s="4" t="s">
        <v>3</v>
      </c>
      <c r="F1" s="4" t="s">
        <v>4</v>
      </c>
      <c r="G1" s="4" t="s">
        <v>5</v>
      </c>
      <c r="H1" s="4" t="s">
        <v>6</v>
      </c>
      <c r="I1" s="6" t="s">
        <v>7</v>
      </c>
      <c r="J1" s="7" t="s">
        <v>131</v>
      </c>
      <c r="K1" s="4" t="s">
        <v>23</v>
      </c>
      <c r="L1" s="4" t="s">
        <v>26</v>
      </c>
      <c r="M1" s="4" t="s">
        <v>264</v>
      </c>
      <c r="N1" s="4" t="s">
        <v>9</v>
      </c>
      <c r="O1" s="4" t="s">
        <v>10</v>
      </c>
    </row>
    <row r="2" spans="1:15" x14ac:dyDescent="0.25">
      <c r="A2" s="8" t="s">
        <v>263</v>
      </c>
      <c r="B2" s="8" t="s">
        <v>15</v>
      </c>
      <c r="C2" s="69" t="e">
        <f>MATCH(D2,[1]!Tabla1[Consignatario],0)</f>
        <v>#REF!</v>
      </c>
      <c r="D2" s="9" t="s">
        <v>231</v>
      </c>
      <c r="E2" s="8"/>
      <c r="F2" s="13" t="s">
        <v>267</v>
      </c>
      <c r="G2" s="8" t="s">
        <v>256</v>
      </c>
      <c r="H2" s="8" t="s">
        <v>237</v>
      </c>
      <c r="I2" s="8">
        <v>16000</v>
      </c>
      <c r="J2" s="10">
        <f>16*20</f>
        <v>320</v>
      </c>
      <c r="K2" s="11" t="s">
        <v>25</v>
      </c>
      <c r="L2" s="11" t="s">
        <v>30</v>
      </c>
      <c r="M2" s="86">
        <v>2000</v>
      </c>
      <c r="N2" s="12"/>
      <c r="O2" s="93" t="s">
        <v>272</v>
      </c>
    </row>
    <row r="3" spans="1:15" ht="25.5" x14ac:dyDescent="0.25">
      <c r="A3" s="8" t="s">
        <v>263</v>
      </c>
      <c r="B3" s="8" t="s">
        <v>15</v>
      </c>
      <c r="C3" s="69" t="e">
        <f>MATCH(D3,[1]!Tabla1[Consignatario],0)</f>
        <v>#REF!</v>
      </c>
      <c r="D3" s="9" t="s">
        <v>231</v>
      </c>
      <c r="E3" s="8"/>
      <c r="F3" s="13" t="s">
        <v>267</v>
      </c>
      <c r="G3" s="8" t="s">
        <v>11</v>
      </c>
      <c r="H3" s="8" t="s">
        <v>265</v>
      </c>
      <c r="I3" s="8">
        <f>24*2500</f>
        <v>60000</v>
      </c>
      <c r="J3" s="10">
        <f>60000*2/100</f>
        <v>1200</v>
      </c>
      <c r="K3" s="11" t="s">
        <v>25</v>
      </c>
      <c r="L3" s="11" t="s">
        <v>30</v>
      </c>
      <c r="M3" s="92"/>
      <c r="N3" s="12"/>
      <c r="O3" s="94"/>
    </row>
    <row r="4" spans="1:15" ht="25.5" x14ac:dyDescent="0.25">
      <c r="A4" s="8" t="s">
        <v>263</v>
      </c>
      <c r="B4" s="8" t="s">
        <v>15</v>
      </c>
      <c r="C4" s="69" t="e">
        <f>MATCH(D4,[1]!Tabla1[Consignatario],0)</f>
        <v>#REF!</v>
      </c>
      <c r="D4" s="9" t="s">
        <v>231</v>
      </c>
      <c r="E4" s="8"/>
      <c r="F4" s="13" t="s">
        <v>267</v>
      </c>
      <c r="G4" s="8" t="s">
        <v>138</v>
      </c>
      <c r="H4" s="8" t="s">
        <v>135</v>
      </c>
      <c r="I4" s="14">
        <v>5000</v>
      </c>
      <c r="J4" s="10">
        <v>200</v>
      </c>
      <c r="K4" s="11" t="s">
        <v>25</v>
      </c>
      <c r="L4" s="11" t="s">
        <v>30</v>
      </c>
      <c r="M4" s="87"/>
      <c r="N4" s="12"/>
      <c r="O4" s="95"/>
    </row>
    <row r="5" spans="1:15" ht="38.25" x14ac:dyDescent="0.25">
      <c r="A5" s="8" t="s">
        <v>263</v>
      </c>
      <c r="B5" s="8" t="s">
        <v>15</v>
      </c>
      <c r="C5" s="69" t="e">
        <f>MATCH(D5,[1]!Tabla1[Consignatario],0)</f>
        <v>#REF!</v>
      </c>
      <c r="D5" s="8" t="s">
        <v>471</v>
      </c>
      <c r="E5" s="8"/>
      <c r="F5" s="13" t="s">
        <v>266</v>
      </c>
      <c r="G5" s="8" t="s">
        <v>11</v>
      </c>
      <c r="H5" s="8" t="s">
        <v>48</v>
      </c>
      <c r="I5" s="8">
        <v>2500</v>
      </c>
      <c r="J5" s="10"/>
      <c r="K5" s="11" t="s">
        <v>24</v>
      </c>
      <c r="L5" s="11" t="s">
        <v>30</v>
      </c>
      <c r="M5" s="12">
        <v>165</v>
      </c>
      <c r="N5" s="12">
        <v>8</v>
      </c>
      <c r="O5" s="8" t="s">
        <v>268</v>
      </c>
    </row>
    <row r="6" spans="1:15" ht="25.5" x14ac:dyDescent="0.25">
      <c r="A6" s="8" t="s">
        <v>263</v>
      </c>
      <c r="B6" s="8" t="s">
        <v>15</v>
      </c>
      <c r="C6" s="69" t="e">
        <f>MATCH(D6,[1]!Tabla1[Consignatario],0)</f>
        <v>#REF!</v>
      </c>
      <c r="D6" s="8" t="s">
        <v>471</v>
      </c>
      <c r="E6" s="8"/>
      <c r="F6" s="13"/>
      <c r="G6" s="8" t="s">
        <v>256</v>
      </c>
      <c r="H6" s="8" t="s">
        <v>269</v>
      </c>
      <c r="I6" s="8">
        <v>66000</v>
      </c>
      <c r="J6" s="10">
        <f>66*20</f>
        <v>1320</v>
      </c>
      <c r="K6" s="11" t="s">
        <v>25</v>
      </c>
      <c r="L6" s="11" t="s">
        <v>30</v>
      </c>
      <c r="M6" s="86">
        <v>2620</v>
      </c>
      <c r="N6" s="12"/>
      <c r="O6" s="8"/>
    </row>
    <row r="7" spans="1:15" ht="25.5" x14ac:dyDescent="0.25">
      <c r="A7" s="8" t="s">
        <v>263</v>
      </c>
      <c r="B7" s="8" t="s">
        <v>15</v>
      </c>
      <c r="C7" s="69" t="e">
        <f>MATCH(D7,[1]!Tabla1[Consignatario],0)</f>
        <v>#REF!</v>
      </c>
      <c r="D7" s="8" t="s">
        <v>471</v>
      </c>
      <c r="E7" s="8"/>
      <c r="F7" s="15"/>
      <c r="G7" s="8" t="s">
        <v>11</v>
      </c>
      <c r="H7" s="8" t="s">
        <v>225</v>
      </c>
      <c r="I7" s="14">
        <f>20*2500</f>
        <v>50000</v>
      </c>
      <c r="J7" s="10">
        <f>20*50</f>
        <v>1000</v>
      </c>
      <c r="K7" s="11" t="s">
        <v>25</v>
      </c>
      <c r="L7" s="11" t="s">
        <v>30</v>
      </c>
      <c r="M7" s="92"/>
      <c r="N7" s="12"/>
      <c r="O7" s="8"/>
    </row>
    <row r="8" spans="1:15" ht="25.5" x14ac:dyDescent="0.25">
      <c r="A8" s="8" t="s">
        <v>263</v>
      </c>
      <c r="B8" s="8" t="s">
        <v>15</v>
      </c>
      <c r="C8" s="69" t="e">
        <f>MATCH(D8,[1]!Tabla1[Consignatario],0)</f>
        <v>#REF!</v>
      </c>
      <c r="D8" s="8" t="s">
        <v>471</v>
      </c>
      <c r="E8" s="8"/>
      <c r="F8" s="15"/>
      <c r="G8" s="8" t="s">
        <v>138</v>
      </c>
      <c r="H8" s="8" t="s">
        <v>270</v>
      </c>
      <c r="I8" s="14">
        <v>10000</v>
      </c>
      <c r="J8" s="10">
        <v>200</v>
      </c>
      <c r="K8" s="11" t="s">
        <v>25</v>
      </c>
      <c r="L8" s="11" t="s">
        <v>30</v>
      </c>
      <c r="M8" s="92"/>
      <c r="N8" s="12"/>
      <c r="O8" s="8"/>
    </row>
    <row r="9" spans="1:15" ht="25.5" x14ac:dyDescent="0.25">
      <c r="A9" s="8" t="s">
        <v>263</v>
      </c>
      <c r="B9" s="8" t="s">
        <v>15</v>
      </c>
      <c r="C9" s="69" t="e">
        <f>MATCH(D9,[1]!Tabla1[Consignatario],0)</f>
        <v>#REF!</v>
      </c>
      <c r="D9" s="8" t="s">
        <v>471</v>
      </c>
      <c r="E9" s="16"/>
      <c r="F9" s="16"/>
      <c r="G9" s="8" t="s">
        <v>138</v>
      </c>
      <c r="H9" s="16" t="s">
        <v>135</v>
      </c>
      <c r="I9" s="17">
        <v>5000</v>
      </c>
      <c r="J9" s="18">
        <v>100</v>
      </c>
      <c r="K9" s="11" t="s">
        <v>25</v>
      </c>
      <c r="L9" s="11" t="s">
        <v>30</v>
      </c>
      <c r="M9" s="87"/>
      <c r="N9" s="20"/>
      <c r="O9" s="16"/>
    </row>
    <row r="10" spans="1:15" ht="25.5" x14ac:dyDescent="0.25">
      <c r="A10" s="8" t="s">
        <v>263</v>
      </c>
      <c r="B10" s="21"/>
      <c r="C10" s="69" t="e">
        <f>MATCH(D10,[1]!Tabla1[Consignatario],0)</f>
        <v>#REF!</v>
      </c>
      <c r="D10" s="22" t="s">
        <v>271</v>
      </c>
      <c r="E10" s="21"/>
      <c r="F10" s="21"/>
      <c r="G10" s="8" t="s">
        <v>11</v>
      </c>
      <c r="H10" s="22" t="s">
        <v>101</v>
      </c>
      <c r="I10" s="23">
        <f>2500*5</f>
        <v>12500</v>
      </c>
      <c r="J10" s="24">
        <v>250</v>
      </c>
      <c r="K10" s="11" t="s">
        <v>25</v>
      </c>
      <c r="L10" s="25" t="s">
        <v>30</v>
      </c>
      <c r="M10" s="26">
        <v>250</v>
      </c>
      <c r="N10" s="27"/>
      <c r="O10" s="21"/>
    </row>
    <row r="11" spans="1:15" ht="25.5" x14ac:dyDescent="0.25">
      <c r="A11" s="8">
        <v>26</v>
      </c>
      <c r="B11" s="21"/>
      <c r="C11" s="69" t="e">
        <f>MATCH(D11,[1]!Tabla1[Consignatario],0)</f>
        <v>#REF!</v>
      </c>
      <c r="D11" s="22" t="s">
        <v>472</v>
      </c>
      <c r="E11" s="21"/>
      <c r="F11" s="21"/>
      <c r="G11" s="8" t="s">
        <v>11</v>
      </c>
      <c r="H11" s="22" t="s">
        <v>124</v>
      </c>
      <c r="I11" s="23">
        <f>4*2500</f>
        <v>10000</v>
      </c>
      <c r="J11" s="24">
        <v>200</v>
      </c>
      <c r="K11" s="11" t="s">
        <v>25</v>
      </c>
      <c r="L11" s="11" t="s">
        <v>30</v>
      </c>
      <c r="M11" s="60">
        <v>400</v>
      </c>
      <c r="N11" s="27"/>
      <c r="O11" s="21"/>
    </row>
    <row r="12" spans="1:15" x14ac:dyDescent="0.25">
      <c r="A12" s="8"/>
      <c r="B12" s="21"/>
      <c r="C12" s="69" t="e">
        <f>MATCH(D12,[1]!Tabla1[Consignatario],0)</f>
        <v>#REF!</v>
      </c>
      <c r="D12" s="22" t="s">
        <v>472</v>
      </c>
      <c r="E12" s="21"/>
      <c r="F12" s="21"/>
      <c r="G12" s="8" t="s">
        <v>256</v>
      </c>
      <c r="H12" s="22" t="s">
        <v>38</v>
      </c>
      <c r="I12" s="23">
        <v>1000</v>
      </c>
      <c r="J12" s="24">
        <v>20</v>
      </c>
      <c r="K12" s="11" t="s">
        <v>25</v>
      </c>
      <c r="L12" s="11" t="s">
        <v>30</v>
      </c>
      <c r="M12" s="60"/>
      <c r="N12" s="27"/>
      <c r="O12" s="21"/>
    </row>
    <row r="13" spans="1:15" ht="25.5" x14ac:dyDescent="0.25">
      <c r="A13" s="8"/>
      <c r="B13" s="21"/>
      <c r="C13" s="69" t="e">
        <f>MATCH(D13,[1]!Tabla1[Consignatario],0)</f>
        <v>#REF!</v>
      </c>
      <c r="D13" s="22" t="s">
        <v>472</v>
      </c>
      <c r="E13" s="21"/>
      <c r="F13" s="21"/>
      <c r="G13" s="8" t="s">
        <v>138</v>
      </c>
      <c r="H13" s="22" t="s">
        <v>164</v>
      </c>
      <c r="I13" s="34">
        <f>180*100/2</f>
        <v>9000</v>
      </c>
      <c r="J13" s="24">
        <v>180</v>
      </c>
      <c r="K13" s="11" t="s">
        <v>25</v>
      </c>
      <c r="L13" s="25" t="s">
        <v>30</v>
      </c>
      <c r="M13" s="60"/>
      <c r="N13" s="27"/>
      <c r="O13" s="21"/>
    </row>
    <row r="14" spans="1:15" ht="25.5" x14ac:dyDescent="0.25">
      <c r="A14" s="8"/>
      <c r="B14" s="21" t="s">
        <v>15</v>
      </c>
      <c r="C14" s="69" t="e">
        <f>MATCH(D14,[1]!Tabla1[Consignatario],0)</f>
        <v>#REF!</v>
      </c>
      <c r="D14" s="22" t="s">
        <v>273</v>
      </c>
      <c r="E14" s="21"/>
      <c r="F14" s="21"/>
      <c r="G14" s="8" t="s">
        <v>256</v>
      </c>
      <c r="H14" s="22" t="s">
        <v>286</v>
      </c>
      <c r="I14" s="23">
        <f>50*1000</f>
        <v>50000</v>
      </c>
      <c r="J14" s="24">
        <v>1000</v>
      </c>
      <c r="K14" s="11" t="s">
        <v>25</v>
      </c>
      <c r="L14" s="11" t="s">
        <v>30</v>
      </c>
      <c r="M14" s="60">
        <v>2100</v>
      </c>
      <c r="N14" s="27"/>
      <c r="O14" s="21"/>
    </row>
    <row r="15" spans="1:15" ht="25.5" x14ac:dyDescent="0.25">
      <c r="A15" s="8"/>
      <c r="B15" s="21" t="s">
        <v>15</v>
      </c>
      <c r="C15" s="69" t="e">
        <f>MATCH(D15,[1]!Tabla1[Consignatario],0)</f>
        <v>#REF!</v>
      </c>
      <c r="D15" s="22" t="s">
        <v>273</v>
      </c>
      <c r="E15" s="21"/>
      <c r="F15" s="21"/>
      <c r="G15" s="8" t="s">
        <v>11</v>
      </c>
      <c r="H15" s="22" t="s">
        <v>225</v>
      </c>
      <c r="I15" s="23">
        <f>20*2500</f>
        <v>50000</v>
      </c>
      <c r="J15" s="24">
        <v>1000</v>
      </c>
      <c r="K15" s="11" t="s">
        <v>25</v>
      </c>
      <c r="L15" s="11" t="s">
        <v>30</v>
      </c>
      <c r="M15" s="60"/>
      <c r="N15" s="27"/>
      <c r="O15" s="21"/>
    </row>
    <row r="16" spans="1:15" ht="25.5" x14ac:dyDescent="0.25">
      <c r="A16" s="8"/>
      <c r="B16" s="21" t="s">
        <v>15</v>
      </c>
      <c r="C16" s="69" t="e">
        <f>MATCH(D16,[1]!Tabla1[Consignatario],0)</f>
        <v>#REF!</v>
      </c>
      <c r="D16" s="22" t="s">
        <v>273</v>
      </c>
      <c r="E16" s="21"/>
      <c r="F16" s="21"/>
      <c r="G16" s="8" t="s">
        <v>138</v>
      </c>
      <c r="H16" s="22" t="s">
        <v>287</v>
      </c>
      <c r="I16" s="23">
        <v>5000</v>
      </c>
      <c r="J16" s="24">
        <v>100</v>
      </c>
      <c r="K16" s="11" t="s">
        <v>25</v>
      </c>
      <c r="L16" s="25" t="s">
        <v>30</v>
      </c>
      <c r="M16" s="60"/>
      <c r="N16" s="27"/>
      <c r="O16" s="21"/>
    </row>
    <row r="17" spans="1:15" ht="25.5" x14ac:dyDescent="0.25">
      <c r="A17" s="27"/>
      <c r="B17" s="21" t="s">
        <v>15</v>
      </c>
      <c r="C17" s="69" t="e">
        <f>MATCH(D17,[1]!Tabla1[Consignatario],0)</f>
        <v>#REF!</v>
      </c>
      <c r="D17" s="22" t="s">
        <v>274</v>
      </c>
      <c r="E17" s="21"/>
      <c r="F17" s="21"/>
      <c r="G17" s="8" t="s">
        <v>11</v>
      </c>
      <c r="H17" s="22" t="s">
        <v>289</v>
      </c>
      <c r="I17" s="23">
        <f>2500*7</f>
        <v>17500</v>
      </c>
      <c r="J17" s="28">
        <f>7*50</f>
        <v>350</v>
      </c>
      <c r="K17" s="11" t="s">
        <v>25</v>
      </c>
      <c r="L17" s="11" t="s">
        <v>30</v>
      </c>
      <c r="M17" s="56">
        <v>2089</v>
      </c>
      <c r="N17" s="27"/>
      <c r="O17" s="96"/>
    </row>
    <row r="18" spans="1:15" ht="25.5" x14ac:dyDescent="0.25">
      <c r="A18" s="27"/>
      <c r="B18" s="21" t="s">
        <v>15</v>
      </c>
      <c r="C18" s="69" t="e">
        <f>MATCH(D18,[1]!Tabla1[Consignatario],0)</f>
        <v>#REF!</v>
      </c>
      <c r="D18" s="22" t="s">
        <v>274</v>
      </c>
      <c r="E18" s="21"/>
      <c r="F18" s="21"/>
      <c r="G18" s="8" t="s">
        <v>256</v>
      </c>
      <c r="H18" s="22" t="s">
        <v>269</v>
      </c>
      <c r="I18" s="23">
        <v>66000</v>
      </c>
      <c r="J18" s="28">
        <f>66*20</f>
        <v>1320</v>
      </c>
      <c r="K18" s="11" t="s">
        <v>25</v>
      </c>
      <c r="L18" s="11" t="s">
        <v>30</v>
      </c>
      <c r="M18" s="56"/>
      <c r="N18" s="27"/>
      <c r="O18" s="97"/>
    </row>
    <row r="19" spans="1:15" ht="25.5" x14ac:dyDescent="0.25">
      <c r="A19" s="27"/>
      <c r="B19" s="21" t="s">
        <v>15</v>
      </c>
      <c r="C19" s="69" t="e">
        <f>MATCH(D19,[1]!Tabla1[Consignatario],0)</f>
        <v>#REF!</v>
      </c>
      <c r="D19" s="22" t="s">
        <v>274</v>
      </c>
      <c r="E19" s="21"/>
      <c r="F19" s="21"/>
      <c r="G19" s="8" t="s">
        <v>138</v>
      </c>
      <c r="H19" s="22" t="s">
        <v>288</v>
      </c>
      <c r="I19" s="49">
        <v>12500</v>
      </c>
      <c r="J19" s="28">
        <v>250</v>
      </c>
      <c r="K19" s="11" t="s">
        <v>25</v>
      </c>
      <c r="L19" s="25" t="s">
        <v>30</v>
      </c>
      <c r="M19" s="56"/>
      <c r="N19" s="27"/>
      <c r="O19" s="97"/>
    </row>
    <row r="20" spans="1:15" ht="25.5" x14ac:dyDescent="0.25">
      <c r="A20" s="27"/>
      <c r="B20" s="21" t="s">
        <v>15</v>
      </c>
      <c r="C20" s="69" t="e">
        <f>MATCH(D20,[1]!Tabla1[Consignatario],0)</f>
        <v>#REF!</v>
      </c>
      <c r="D20" s="22" t="s">
        <v>274</v>
      </c>
      <c r="E20" s="21"/>
      <c r="F20" s="21"/>
      <c r="G20" s="8" t="s">
        <v>138</v>
      </c>
      <c r="H20" s="22" t="s">
        <v>135</v>
      </c>
      <c r="I20" s="23">
        <v>5000</v>
      </c>
      <c r="J20" s="28">
        <v>100</v>
      </c>
      <c r="K20" s="11" t="s">
        <v>25</v>
      </c>
      <c r="L20" s="11" t="s">
        <v>30</v>
      </c>
      <c r="M20" s="56"/>
      <c r="N20" s="27"/>
      <c r="O20" s="97"/>
    </row>
    <row r="21" spans="1:15" ht="25.5" x14ac:dyDescent="0.25">
      <c r="A21" s="27"/>
      <c r="B21" s="21" t="s">
        <v>15</v>
      </c>
      <c r="C21" s="69" t="e">
        <f>MATCH(D21,[1]!Tabla1[Consignatario],0)</f>
        <v>#REF!</v>
      </c>
      <c r="D21" s="22" t="s">
        <v>274</v>
      </c>
      <c r="E21" s="21"/>
      <c r="F21" s="21"/>
      <c r="G21" s="8" t="s">
        <v>12</v>
      </c>
      <c r="H21" s="22" t="s">
        <v>285</v>
      </c>
      <c r="I21" s="23">
        <f>23*150</f>
        <v>3450</v>
      </c>
      <c r="J21" s="28">
        <f>3*23</f>
        <v>69</v>
      </c>
      <c r="K21" s="11" t="s">
        <v>25</v>
      </c>
      <c r="L21" s="11" t="s">
        <v>30</v>
      </c>
      <c r="M21" s="56"/>
      <c r="N21" s="27"/>
      <c r="O21" s="98"/>
    </row>
    <row r="22" spans="1:15" ht="25.5" x14ac:dyDescent="0.25">
      <c r="A22" s="27"/>
      <c r="B22" s="21" t="s">
        <v>33</v>
      </c>
      <c r="C22" s="69" t="e">
        <f>MATCH(D22,[1]!Tabla1[Consignatario],0)</f>
        <v>#REF!</v>
      </c>
      <c r="D22" s="22" t="s">
        <v>275</v>
      </c>
      <c r="E22" s="21"/>
      <c r="F22" s="21"/>
      <c r="G22" s="8" t="s">
        <v>11</v>
      </c>
      <c r="H22" s="22" t="s">
        <v>283</v>
      </c>
      <c r="I22" s="23">
        <f>42*2500</f>
        <v>105000</v>
      </c>
      <c r="J22" s="28">
        <f>42*50</f>
        <v>2100</v>
      </c>
      <c r="K22" s="11" t="s">
        <v>25</v>
      </c>
      <c r="L22" s="25" t="s">
        <v>30</v>
      </c>
      <c r="M22" s="56">
        <v>2360</v>
      </c>
      <c r="N22" s="27"/>
      <c r="O22" s="31"/>
    </row>
    <row r="23" spans="1:15" ht="25.5" x14ac:dyDescent="0.25">
      <c r="A23" s="27"/>
      <c r="B23" s="21" t="s">
        <v>33</v>
      </c>
      <c r="C23" s="69" t="e">
        <f>MATCH(D23,[1]!Tabla1[Consignatario],0)</f>
        <v>#REF!</v>
      </c>
      <c r="D23" s="22" t="s">
        <v>275</v>
      </c>
      <c r="E23" s="21"/>
      <c r="F23" s="21"/>
      <c r="G23" s="8" t="s">
        <v>256</v>
      </c>
      <c r="H23" s="22" t="s">
        <v>284</v>
      </c>
      <c r="I23" s="23">
        <v>13000</v>
      </c>
      <c r="J23" s="28">
        <f>13*20</f>
        <v>260</v>
      </c>
      <c r="K23" s="11" t="s">
        <v>25</v>
      </c>
      <c r="L23" s="11" t="s">
        <v>30</v>
      </c>
      <c r="M23" s="56"/>
      <c r="N23" s="27"/>
      <c r="O23" s="31"/>
    </row>
    <row r="24" spans="1:15" ht="25.5" x14ac:dyDescent="0.25">
      <c r="A24" s="27"/>
      <c r="B24" s="21" t="s">
        <v>33</v>
      </c>
      <c r="C24" s="69" t="e">
        <f>MATCH(D24,[1]!Tabla1[Consignatario],0)</f>
        <v>#REF!</v>
      </c>
      <c r="D24" s="22" t="s">
        <v>47</v>
      </c>
      <c r="E24" s="21"/>
      <c r="F24" s="21"/>
      <c r="G24" s="8" t="s">
        <v>11</v>
      </c>
      <c r="H24" s="22" t="s">
        <v>62</v>
      </c>
      <c r="I24" s="23">
        <v>2500</v>
      </c>
      <c r="J24" s="28">
        <v>50</v>
      </c>
      <c r="K24" s="11" t="s">
        <v>25</v>
      </c>
      <c r="L24" s="11" t="s">
        <v>30</v>
      </c>
      <c r="M24" s="56">
        <v>50</v>
      </c>
      <c r="N24" s="27"/>
      <c r="O24" s="31"/>
    </row>
    <row r="25" spans="1:15" ht="25.5" x14ac:dyDescent="0.25">
      <c r="A25" s="27"/>
      <c r="B25" s="21" t="s">
        <v>15</v>
      </c>
      <c r="C25" s="69" t="e">
        <f>MATCH(D25,[1]!Tabla1[Consignatario],0)</f>
        <v>#REF!</v>
      </c>
      <c r="D25" s="22" t="s">
        <v>276</v>
      </c>
      <c r="E25" s="21"/>
      <c r="F25" s="21"/>
      <c r="G25" s="8" t="s">
        <v>11</v>
      </c>
      <c r="H25" s="22" t="s">
        <v>281</v>
      </c>
      <c r="I25" s="23">
        <v>57500</v>
      </c>
      <c r="J25" s="24">
        <f>23*50</f>
        <v>1150</v>
      </c>
      <c r="K25" s="11" t="s">
        <v>25</v>
      </c>
      <c r="L25" s="25" t="s">
        <v>30</v>
      </c>
      <c r="M25" s="56">
        <v>2900</v>
      </c>
      <c r="N25" s="27"/>
      <c r="O25" s="21"/>
    </row>
    <row r="26" spans="1:15" x14ac:dyDescent="0.25">
      <c r="A26" s="27"/>
      <c r="B26" s="21" t="s">
        <v>15</v>
      </c>
      <c r="C26" s="69" t="e">
        <f>MATCH(D26,[1]!Tabla1[Consignatario],0)</f>
        <v>#REF!</v>
      </c>
      <c r="D26" s="22" t="s">
        <v>276</v>
      </c>
      <c r="E26" s="21"/>
      <c r="F26" s="21"/>
      <c r="G26" s="8" t="s">
        <v>256</v>
      </c>
      <c r="H26" s="22" t="s">
        <v>42</v>
      </c>
      <c r="I26" s="23">
        <v>75000</v>
      </c>
      <c r="J26" s="24">
        <f>75*20</f>
        <v>1500</v>
      </c>
      <c r="K26" s="11" t="s">
        <v>25</v>
      </c>
      <c r="L26" s="11" t="s">
        <v>30</v>
      </c>
      <c r="M26" s="56"/>
      <c r="N26" s="27"/>
      <c r="O26" s="21"/>
    </row>
    <row r="27" spans="1:15" ht="25.5" x14ac:dyDescent="0.25">
      <c r="A27" s="27"/>
      <c r="B27" s="21" t="s">
        <v>15</v>
      </c>
      <c r="C27" s="69" t="e">
        <f>MATCH(D27,[1]!Tabla1[Consignatario],0)</f>
        <v>#REF!</v>
      </c>
      <c r="D27" s="22" t="s">
        <v>276</v>
      </c>
      <c r="E27" s="21"/>
      <c r="F27" s="21"/>
      <c r="G27" s="8" t="s">
        <v>138</v>
      </c>
      <c r="H27" s="22" t="s">
        <v>282</v>
      </c>
      <c r="I27" s="23">
        <v>12500</v>
      </c>
      <c r="J27" s="24">
        <f>5*50</f>
        <v>250</v>
      </c>
      <c r="K27" s="11" t="s">
        <v>25</v>
      </c>
      <c r="L27" s="11" t="s">
        <v>30</v>
      </c>
      <c r="M27" s="56"/>
      <c r="N27" s="27"/>
      <c r="O27" s="21"/>
    </row>
    <row r="28" spans="1:15" ht="25.5" x14ac:dyDescent="0.25">
      <c r="A28" s="27"/>
      <c r="B28" s="21" t="s">
        <v>15</v>
      </c>
      <c r="C28" s="69" t="e">
        <f>MATCH(D28,[1]!Tabla1[Consignatario],0)</f>
        <v>#REF!</v>
      </c>
      <c r="D28" s="22" t="s">
        <v>120</v>
      </c>
      <c r="E28" s="21"/>
      <c r="F28" s="21"/>
      <c r="G28" s="8" t="s">
        <v>11</v>
      </c>
      <c r="H28" s="22" t="s">
        <v>153</v>
      </c>
      <c r="I28" s="23">
        <f>17*2500</f>
        <v>42500</v>
      </c>
      <c r="J28" s="24">
        <f>17*50</f>
        <v>850</v>
      </c>
      <c r="K28" s="11" t="s">
        <v>25</v>
      </c>
      <c r="L28" s="25" t="s">
        <v>30</v>
      </c>
      <c r="M28" s="56">
        <v>2000</v>
      </c>
      <c r="N28" s="27"/>
      <c r="O28" s="21"/>
    </row>
    <row r="29" spans="1:15" ht="25.5" x14ac:dyDescent="0.25">
      <c r="A29" s="27"/>
      <c r="B29" s="21" t="s">
        <v>15</v>
      </c>
      <c r="C29" s="69" t="e">
        <f>MATCH(D29,[1]!Tabla1[Consignatario],0)</f>
        <v>#REF!</v>
      </c>
      <c r="D29" s="22" t="s">
        <v>120</v>
      </c>
      <c r="E29" s="21"/>
      <c r="F29" s="21"/>
      <c r="G29" s="8" t="s">
        <v>256</v>
      </c>
      <c r="H29" s="22" t="s">
        <v>279</v>
      </c>
      <c r="I29" s="23">
        <v>35000</v>
      </c>
      <c r="J29" s="24">
        <f>35*20</f>
        <v>700</v>
      </c>
      <c r="K29" s="11" t="s">
        <v>25</v>
      </c>
      <c r="L29" s="11" t="s">
        <v>30</v>
      </c>
      <c r="M29" s="56"/>
      <c r="N29" s="27"/>
      <c r="O29" s="21"/>
    </row>
    <row r="30" spans="1:15" ht="25.5" x14ac:dyDescent="0.25">
      <c r="A30" s="27"/>
      <c r="B30" s="21" t="s">
        <v>15</v>
      </c>
      <c r="C30" s="69" t="e">
        <f>MATCH(D30,[1]!Tabla1[Consignatario],0)</f>
        <v>#REF!</v>
      </c>
      <c r="D30" s="22" t="s">
        <v>120</v>
      </c>
      <c r="E30" s="21"/>
      <c r="F30" s="21"/>
      <c r="G30" s="8" t="s">
        <v>138</v>
      </c>
      <c r="H30" s="22" t="s">
        <v>280</v>
      </c>
      <c r="I30" s="23">
        <f>8*2500</f>
        <v>20000</v>
      </c>
      <c r="J30" s="24">
        <v>400</v>
      </c>
      <c r="K30" s="11" t="s">
        <v>25</v>
      </c>
      <c r="L30" s="11" t="s">
        <v>30</v>
      </c>
      <c r="M30" s="56"/>
      <c r="N30" s="27"/>
      <c r="O30" s="21"/>
    </row>
    <row r="31" spans="1:15" ht="25.5" x14ac:dyDescent="0.25">
      <c r="A31" s="27"/>
      <c r="B31" s="21" t="s">
        <v>15</v>
      </c>
      <c r="C31" s="69" t="e">
        <f>MATCH(D31,[1]!Tabla1[Consignatario],0)</f>
        <v>#REF!</v>
      </c>
      <c r="D31" s="22" t="s">
        <v>120</v>
      </c>
      <c r="E31" s="21"/>
      <c r="F31" s="21"/>
      <c r="G31" s="8" t="s">
        <v>138</v>
      </c>
      <c r="H31" s="22" t="s">
        <v>65</v>
      </c>
      <c r="I31" s="23">
        <v>2500</v>
      </c>
      <c r="J31" s="24">
        <v>50</v>
      </c>
      <c r="K31" s="11" t="s">
        <v>25</v>
      </c>
      <c r="L31" s="25" t="s">
        <v>30</v>
      </c>
      <c r="M31" s="56"/>
      <c r="N31" s="27"/>
      <c r="O31" s="21"/>
    </row>
    <row r="32" spans="1:15" ht="25.5" x14ac:dyDescent="0.25">
      <c r="A32" s="27"/>
      <c r="B32" s="21" t="s">
        <v>15</v>
      </c>
      <c r="C32" s="69" t="e">
        <f>MATCH(D32,[1]!Tabla1[Consignatario],0)</f>
        <v>#REF!</v>
      </c>
      <c r="D32" s="22" t="s">
        <v>473</v>
      </c>
      <c r="E32" s="21"/>
      <c r="F32" s="21"/>
      <c r="G32" s="8" t="s">
        <v>11</v>
      </c>
      <c r="H32" s="22" t="s">
        <v>277</v>
      </c>
      <c r="I32" s="23">
        <f>28*2500</f>
        <v>70000</v>
      </c>
      <c r="J32" s="24">
        <f>28*50</f>
        <v>1400</v>
      </c>
      <c r="K32" s="11" t="s">
        <v>25</v>
      </c>
      <c r="L32" s="11" t="s">
        <v>30</v>
      </c>
      <c r="M32" s="56">
        <v>3890</v>
      </c>
      <c r="N32" s="27"/>
      <c r="O32" s="21"/>
    </row>
    <row r="33" spans="1:15" ht="25.5" x14ac:dyDescent="0.25">
      <c r="A33" s="27"/>
      <c r="B33" s="21" t="s">
        <v>15</v>
      </c>
      <c r="C33" s="69" t="e">
        <f>MATCH(D33,[1]!Tabla1[Consignatario],0)</f>
        <v>#REF!</v>
      </c>
      <c r="D33" s="22" t="s">
        <v>473</v>
      </c>
      <c r="E33" s="21"/>
      <c r="F33" s="21"/>
      <c r="G33" s="8" t="s">
        <v>256</v>
      </c>
      <c r="H33" s="38" t="s">
        <v>278</v>
      </c>
      <c r="I33" s="23">
        <v>112000</v>
      </c>
      <c r="J33" s="24">
        <f>112*20</f>
        <v>2240</v>
      </c>
      <c r="K33" s="11" t="s">
        <v>25</v>
      </c>
      <c r="L33" s="11" t="s">
        <v>30</v>
      </c>
      <c r="M33" s="27"/>
      <c r="N33" s="27"/>
      <c r="O33" s="21"/>
    </row>
    <row r="34" spans="1:15" ht="25.5" x14ac:dyDescent="0.25">
      <c r="A34" s="27"/>
      <c r="B34" s="21" t="s">
        <v>15</v>
      </c>
      <c r="C34" s="69" t="e">
        <f>MATCH(D34,[1]!Tabla1[Consignatario],0)</f>
        <v>#REF!</v>
      </c>
      <c r="D34" s="22" t="s">
        <v>473</v>
      </c>
      <c r="E34" s="21"/>
      <c r="F34" s="21"/>
      <c r="G34" s="8" t="s">
        <v>138</v>
      </c>
      <c r="H34" s="38" t="s">
        <v>288</v>
      </c>
      <c r="I34" s="23">
        <v>12500</v>
      </c>
      <c r="J34" s="24">
        <v>200</v>
      </c>
      <c r="K34" s="11" t="s">
        <v>25</v>
      </c>
      <c r="L34" s="25" t="s">
        <v>30</v>
      </c>
      <c r="M34" s="27"/>
      <c r="N34" s="27"/>
      <c r="O34" s="21"/>
    </row>
    <row r="35" spans="1:15" ht="26.25" x14ac:dyDescent="0.25">
      <c r="A35" s="27" t="s">
        <v>290</v>
      </c>
      <c r="B35" s="21"/>
      <c r="C35" s="69" t="e">
        <f>MATCH(D35,[1]!Tabla1[Consignatario],0)</f>
        <v>#REF!</v>
      </c>
      <c r="D35" s="31" t="s">
        <v>474</v>
      </c>
      <c r="E35" s="21"/>
      <c r="F35" s="21"/>
      <c r="G35" s="8" t="s">
        <v>11</v>
      </c>
      <c r="H35" s="38" t="s">
        <v>101</v>
      </c>
      <c r="I35" s="23">
        <f>5*2500</f>
        <v>12500</v>
      </c>
      <c r="J35" s="24"/>
      <c r="K35" s="11" t="s">
        <v>25</v>
      </c>
      <c r="L35" s="11" t="s">
        <v>30</v>
      </c>
      <c r="M35" s="56">
        <v>450</v>
      </c>
      <c r="N35" s="27"/>
      <c r="O35" s="21"/>
    </row>
    <row r="36" spans="1:15" ht="26.25" x14ac:dyDescent="0.25">
      <c r="A36" s="27"/>
      <c r="B36" s="21"/>
      <c r="C36" s="69" t="e">
        <f>MATCH(D36,[1]!Tabla1[Consignatario],0)</f>
        <v>#REF!</v>
      </c>
      <c r="D36" s="31" t="s">
        <v>474</v>
      </c>
      <c r="E36" s="21"/>
      <c r="F36" s="21"/>
      <c r="G36" s="8" t="s">
        <v>256</v>
      </c>
      <c r="H36" s="38" t="s">
        <v>325</v>
      </c>
      <c r="I36" s="23">
        <v>10000</v>
      </c>
      <c r="J36" s="24"/>
      <c r="K36" s="11" t="s">
        <v>25</v>
      </c>
      <c r="L36" s="11" t="s">
        <v>30</v>
      </c>
      <c r="M36" s="56"/>
      <c r="N36" s="27"/>
      <c r="O36" s="21"/>
    </row>
    <row r="37" spans="1:15" ht="26.25" x14ac:dyDescent="0.25">
      <c r="A37" s="27"/>
      <c r="B37" s="21"/>
      <c r="C37" s="69" t="e">
        <f>MATCH(D37,[1]!Tabla1[Consignatario],0)</f>
        <v>#REF!</v>
      </c>
      <c r="D37" s="40" t="s">
        <v>291</v>
      </c>
      <c r="E37" s="21"/>
      <c r="F37" s="21"/>
      <c r="G37" s="8" t="s">
        <v>11</v>
      </c>
      <c r="H37" s="38" t="s">
        <v>234</v>
      </c>
      <c r="I37" s="23">
        <f>13*2500</f>
        <v>32500</v>
      </c>
      <c r="J37" s="24">
        <f>13*50</f>
        <v>650</v>
      </c>
      <c r="K37" s="11" t="s">
        <v>25</v>
      </c>
      <c r="L37" s="25" t="s">
        <v>30</v>
      </c>
      <c r="M37" s="56">
        <v>750</v>
      </c>
      <c r="N37" s="27"/>
      <c r="O37" s="21"/>
    </row>
    <row r="38" spans="1:15" ht="26.25" x14ac:dyDescent="0.25">
      <c r="A38" s="27"/>
      <c r="B38" s="21"/>
      <c r="C38" s="69" t="e">
        <f>MATCH(D38,[1]!Tabla1[Consignatario],0)</f>
        <v>#REF!</v>
      </c>
      <c r="D38" s="40" t="s">
        <v>291</v>
      </c>
      <c r="E38" s="21"/>
      <c r="F38" s="21"/>
      <c r="G38" s="8" t="s">
        <v>138</v>
      </c>
      <c r="H38" s="38" t="s">
        <v>287</v>
      </c>
      <c r="I38" s="23">
        <v>5000</v>
      </c>
      <c r="J38" s="24">
        <v>100</v>
      </c>
      <c r="K38" s="11" t="s">
        <v>25</v>
      </c>
      <c r="L38" s="11" t="s">
        <v>30</v>
      </c>
      <c r="M38" s="56"/>
      <c r="N38" s="27"/>
      <c r="O38" s="21"/>
    </row>
    <row r="39" spans="1:15" ht="25.5" x14ac:dyDescent="0.25">
      <c r="A39" s="27"/>
      <c r="B39" s="21" t="s">
        <v>68</v>
      </c>
      <c r="C39" s="69" t="e">
        <f>MATCH(D39,[1]!Tabla1[Consignatario],0)</f>
        <v>#REF!</v>
      </c>
      <c r="D39" s="31" t="s">
        <v>292</v>
      </c>
      <c r="E39" s="21"/>
      <c r="F39" s="21"/>
      <c r="G39" s="8" t="s">
        <v>11</v>
      </c>
      <c r="H39" s="38" t="s">
        <v>48</v>
      </c>
      <c r="I39" s="23">
        <v>2500</v>
      </c>
      <c r="J39" s="24"/>
      <c r="K39" s="11" t="s">
        <v>25</v>
      </c>
      <c r="L39" s="11" t="s">
        <v>30</v>
      </c>
      <c r="M39" s="27">
        <v>250</v>
      </c>
      <c r="N39" s="27"/>
      <c r="O39" s="21"/>
    </row>
    <row r="40" spans="1:15" ht="25.5" x14ac:dyDescent="0.25">
      <c r="A40" s="27"/>
      <c r="B40" s="21"/>
      <c r="C40" s="69" t="e">
        <f>MATCH(D40,[1]!Tabla1[Consignatario],0)</f>
        <v>#REF!</v>
      </c>
      <c r="D40" s="31" t="s">
        <v>292</v>
      </c>
      <c r="E40" s="21"/>
      <c r="F40" s="21"/>
      <c r="G40" s="8" t="s">
        <v>138</v>
      </c>
      <c r="H40" s="38" t="s">
        <v>230</v>
      </c>
      <c r="I40" s="23">
        <v>10000</v>
      </c>
      <c r="J40" s="24"/>
      <c r="K40" s="11" t="s">
        <v>25</v>
      </c>
      <c r="L40" s="25" t="s">
        <v>30</v>
      </c>
      <c r="M40" s="27"/>
      <c r="N40" s="27"/>
      <c r="O40" s="21"/>
    </row>
    <row r="41" spans="1:15" ht="25.5" x14ac:dyDescent="0.25">
      <c r="A41" s="27"/>
      <c r="B41" s="21" t="s">
        <v>15</v>
      </c>
      <c r="C41" s="69" t="e">
        <f>MATCH(D41,[1]!Tabla1[Consignatario],0)</f>
        <v>#REF!</v>
      </c>
      <c r="D41" s="31" t="s">
        <v>475</v>
      </c>
      <c r="E41" s="21"/>
      <c r="F41" s="21"/>
      <c r="G41" s="8" t="s">
        <v>11</v>
      </c>
      <c r="H41" s="38" t="s">
        <v>289</v>
      </c>
      <c r="I41" s="24">
        <f>7*2500</f>
        <v>17500</v>
      </c>
      <c r="J41" s="24">
        <f>7*50</f>
        <v>350</v>
      </c>
      <c r="K41" s="11" t="s">
        <v>25</v>
      </c>
      <c r="L41" s="11" t="s">
        <v>30</v>
      </c>
      <c r="M41" s="27">
        <v>740</v>
      </c>
      <c r="N41" s="27"/>
      <c r="O41" s="21"/>
    </row>
    <row r="42" spans="1:15" x14ac:dyDescent="0.25">
      <c r="A42" s="27"/>
      <c r="B42" s="21"/>
      <c r="C42" s="69" t="e">
        <f>MATCH(D42,[1]!Tabla1[Consignatario],0)</f>
        <v>#REF!</v>
      </c>
      <c r="D42" s="31" t="s">
        <v>475</v>
      </c>
      <c r="E42" s="21"/>
      <c r="F42" s="21"/>
      <c r="G42" s="8" t="s">
        <v>256</v>
      </c>
      <c r="H42" s="38" t="s">
        <v>326</v>
      </c>
      <c r="I42" s="24">
        <v>18000</v>
      </c>
      <c r="J42" s="24">
        <f>18*20</f>
        <v>360</v>
      </c>
      <c r="K42" s="11" t="s">
        <v>25</v>
      </c>
      <c r="L42" s="11" t="s">
        <v>30</v>
      </c>
      <c r="M42" s="27"/>
      <c r="N42" s="27"/>
      <c r="O42" s="21"/>
    </row>
    <row r="43" spans="1:15" ht="38.25" x14ac:dyDescent="0.25">
      <c r="A43" s="27"/>
      <c r="B43" s="21"/>
      <c r="C43" s="69" t="e">
        <f>MATCH(D43,[1]!Tabla1[Consignatario],0)</f>
        <v>#REF!</v>
      </c>
      <c r="D43" s="31" t="s">
        <v>475</v>
      </c>
      <c r="E43" s="21"/>
      <c r="F43" s="21"/>
      <c r="G43" s="8" t="s">
        <v>138</v>
      </c>
      <c r="H43" s="38" t="s">
        <v>361</v>
      </c>
      <c r="I43" s="24">
        <v>1600</v>
      </c>
      <c r="J43" s="24"/>
      <c r="K43" s="11" t="s">
        <v>25</v>
      </c>
      <c r="L43" s="25" t="s">
        <v>30</v>
      </c>
      <c r="M43" s="27"/>
      <c r="N43" s="27"/>
      <c r="O43" s="21"/>
    </row>
    <row r="44" spans="1:15" ht="26.25" x14ac:dyDescent="0.25">
      <c r="A44" s="27"/>
      <c r="B44" s="21" t="s">
        <v>15</v>
      </c>
      <c r="C44" s="69" t="e">
        <f>MATCH(D44,[1]!Tabla1[Consignatario],0)</f>
        <v>#REF!</v>
      </c>
      <c r="D44" s="31" t="s">
        <v>96</v>
      </c>
      <c r="E44" s="21"/>
      <c r="F44" s="21"/>
      <c r="G44" s="8" t="s">
        <v>11</v>
      </c>
      <c r="H44" s="38" t="s">
        <v>40</v>
      </c>
      <c r="I44" s="23">
        <f>9*2500</f>
        <v>22500</v>
      </c>
      <c r="J44" s="24"/>
      <c r="K44" s="11" t="s">
        <v>25</v>
      </c>
      <c r="L44" s="11" t="s">
        <v>30</v>
      </c>
      <c r="M44" s="56">
        <v>610</v>
      </c>
      <c r="N44" s="27"/>
      <c r="O44" s="21"/>
    </row>
    <row r="45" spans="1:15" ht="26.25" x14ac:dyDescent="0.25">
      <c r="A45" s="27"/>
      <c r="B45" s="21"/>
      <c r="C45" s="69" t="e">
        <f>MATCH(D45,[1]!Tabla1[Consignatario],0)</f>
        <v>#REF!</v>
      </c>
      <c r="D45" s="31" t="s">
        <v>96</v>
      </c>
      <c r="E45" s="21"/>
      <c r="F45" s="21"/>
      <c r="G45" s="8" t="s">
        <v>256</v>
      </c>
      <c r="H45" s="38" t="s">
        <v>327</v>
      </c>
      <c r="I45" s="23">
        <v>8000</v>
      </c>
      <c r="J45" s="24"/>
      <c r="K45" s="11" t="s">
        <v>25</v>
      </c>
      <c r="L45" s="11" t="s">
        <v>30</v>
      </c>
      <c r="M45" s="56"/>
      <c r="N45" s="27"/>
      <c r="O45" s="21"/>
    </row>
    <row r="46" spans="1:15" ht="26.25" x14ac:dyDescent="0.25">
      <c r="A46" s="27"/>
      <c r="B46" s="21" t="s">
        <v>68</v>
      </c>
      <c r="C46" s="69" t="e">
        <f>MATCH(D46,[1]!Tabla1[Consignatario],0)</f>
        <v>#REF!</v>
      </c>
      <c r="D46" s="31" t="s">
        <v>476</v>
      </c>
      <c r="E46" s="21"/>
      <c r="F46" s="21"/>
      <c r="G46" s="8" t="s">
        <v>11</v>
      </c>
      <c r="H46" s="38" t="s">
        <v>328</v>
      </c>
      <c r="I46" s="23">
        <f>38*2500</f>
        <v>95000</v>
      </c>
      <c r="J46" s="24"/>
      <c r="K46" s="11" t="s">
        <v>25</v>
      </c>
      <c r="L46" s="25" t="s">
        <v>30</v>
      </c>
      <c r="M46" s="56">
        <v>3780</v>
      </c>
      <c r="N46" s="27"/>
      <c r="O46" s="21"/>
    </row>
    <row r="47" spans="1:15" ht="26.25" x14ac:dyDescent="0.25">
      <c r="A47" s="27"/>
      <c r="B47" s="21"/>
      <c r="C47" s="69" t="e">
        <f>MATCH(D47,[1]!Tabla1[Consignatario],0)</f>
        <v>#REF!</v>
      </c>
      <c r="D47" s="31" t="s">
        <v>476</v>
      </c>
      <c r="E47" s="21"/>
      <c r="F47" s="21"/>
      <c r="G47" s="8" t="s">
        <v>256</v>
      </c>
      <c r="H47" s="38" t="s">
        <v>329</v>
      </c>
      <c r="I47" s="23">
        <v>84000</v>
      </c>
      <c r="J47" s="24"/>
      <c r="K47" s="11" t="s">
        <v>25</v>
      </c>
      <c r="L47" s="11" t="s">
        <v>30</v>
      </c>
      <c r="M47" s="56"/>
      <c r="N47" s="27"/>
      <c r="O47" s="21"/>
    </row>
    <row r="48" spans="1:15" ht="26.25" x14ac:dyDescent="0.25">
      <c r="A48" s="27"/>
      <c r="B48" s="21"/>
      <c r="C48" s="69" t="e">
        <f>MATCH(D48,[1]!Tabla1[Consignatario],0)</f>
        <v>#REF!</v>
      </c>
      <c r="D48" s="31" t="s">
        <v>476</v>
      </c>
      <c r="E48" s="21"/>
      <c r="F48" s="21"/>
      <c r="G48" s="8" t="s">
        <v>138</v>
      </c>
      <c r="H48" s="38" t="s">
        <v>230</v>
      </c>
      <c r="I48" s="23">
        <f>4*2500</f>
        <v>10000</v>
      </c>
      <c r="J48" s="24"/>
      <c r="K48" s="11" t="s">
        <v>25</v>
      </c>
      <c r="L48" s="11" t="s">
        <v>30</v>
      </c>
      <c r="M48" s="56"/>
      <c r="N48" s="27"/>
      <c r="O48" s="21"/>
    </row>
    <row r="49" spans="1:15" ht="26.25" x14ac:dyDescent="0.25">
      <c r="A49" s="27"/>
      <c r="B49" s="21" t="s">
        <v>15</v>
      </c>
      <c r="C49" s="69" t="e">
        <f>MATCH(D49,[1]!Tabla1[Consignatario],0)</f>
        <v>#REF!</v>
      </c>
      <c r="D49" s="31" t="s">
        <v>293</v>
      </c>
      <c r="E49" s="21"/>
      <c r="F49" s="21"/>
      <c r="G49" s="8" t="s">
        <v>11</v>
      </c>
      <c r="H49" s="38" t="s">
        <v>330</v>
      </c>
      <c r="I49" s="32">
        <f>21*2500</f>
        <v>52500</v>
      </c>
      <c r="J49" s="24"/>
      <c r="K49" s="11" t="s">
        <v>25</v>
      </c>
      <c r="L49" s="25" t="s">
        <v>30</v>
      </c>
      <c r="M49" s="27">
        <v>1730</v>
      </c>
      <c r="N49" s="27"/>
      <c r="O49" s="21"/>
    </row>
    <row r="50" spans="1:15" ht="26.25" x14ac:dyDescent="0.25">
      <c r="A50" s="27"/>
      <c r="B50" s="21"/>
      <c r="C50" s="69" t="e">
        <f>MATCH(D50,[1]!Tabla1[Consignatario],0)</f>
        <v>#REF!</v>
      </c>
      <c r="D50" s="31" t="s">
        <v>293</v>
      </c>
      <c r="E50" s="21"/>
      <c r="F50" s="21"/>
      <c r="G50" s="8" t="s">
        <v>256</v>
      </c>
      <c r="H50" s="38" t="s">
        <v>331</v>
      </c>
      <c r="I50" s="32">
        <v>26000</v>
      </c>
      <c r="J50" s="24"/>
      <c r="K50" s="11" t="s">
        <v>25</v>
      </c>
      <c r="L50" s="11" t="s">
        <v>30</v>
      </c>
      <c r="M50" s="27"/>
      <c r="N50" s="27"/>
      <c r="O50" s="21"/>
    </row>
    <row r="51" spans="1:15" ht="26.25" x14ac:dyDescent="0.25">
      <c r="A51" s="27"/>
      <c r="B51" s="21"/>
      <c r="C51" s="69" t="e">
        <f>MATCH(D51,[1]!Tabla1[Consignatario],0)</f>
        <v>#REF!</v>
      </c>
      <c r="D51" s="31" t="s">
        <v>293</v>
      </c>
      <c r="E51" s="21"/>
      <c r="F51" s="21"/>
      <c r="G51" s="8" t="s">
        <v>138</v>
      </c>
      <c r="H51" s="38" t="s">
        <v>332</v>
      </c>
      <c r="I51" s="32">
        <v>8000</v>
      </c>
      <c r="J51" s="24"/>
      <c r="K51" s="11" t="s">
        <v>25</v>
      </c>
      <c r="L51" s="11" t="s">
        <v>30</v>
      </c>
      <c r="M51" s="27"/>
      <c r="N51" s="27"/>
      <c r="O51" s="21"/>
    </row>
    <row r="52" spans="1:15" ht="26.25" x14ac:dyDescent="0.25">
      <c r="A52" s="27">
        <v>27</v>
      </c>
      <c r="B52" s="21" t="s">
        <v>15</v>
      </c>
      <c r="C52" s="69" t="e">
        <f>MATCH(D52,[1]!Tabla1[Consignatario],0)</f>
        <v>#REF!</v>
      </c>
      <c r="D52" s="31" t="s">
        <v>294</v>
      </c>
      <c r="E52" s="21"/>
      <c r="F52" s="21"/>
      <c r="G52" s="8" t="s">
        <v>11</v>
      </c>
      <c r="H52" s="38" t="s">
        <v>124</v>
      </c>
      <c r="I52" s="23">
        <f>4*2500</f>
        <v>10000</v>
      </c>
      <c r="J52" s="24"/>
      <c r="K52" s="11" t="s">
        <v>25</v>
      </c>
      <c r="L52" s="25" t="s">
        <v>30</v>
      </c>
      <c r="M52" s="27">
        <v>3280</v>
      </c>
      <c r="N52" s="27"/>
      <c r="O52" s="21"/>
    </row>
    <row r="53" spans="1:15" ht="26.25" x14ac:dyDescent="0.25">
      <c r="A53" s="27"/>
      <c r="B53" s="21"/>
      <c r="C53" s="69" t="e">
        <f>MATCH(D53,[1]!Tabla1[Consignatario],0)</f>
        <v>#REF!</v>
      </c>
      <c r="D53" s="31" t="s">
        <v>294</v>
      </c>
      <c r="E53" s="21"/>
      <c r="F53" s="21"/>
      <c r="G53" s="8" t="s">
        <v>256</v>
      </c>
      <c r="H53" s="38" t="s">
        <v>333</v>
      </c>
      <c r="I53" s="23">
        <v>104000</v>
      </c>
      <c r="J53" s="24"/>
      <c r="K53" s="11" t="s">
        <v>25</v>
      </c>
      <c r="L53" s="11" t="s">
        <v>30</v>
      </c>
      <c r="M53" s="27"/>
      <c r="N53" s="27"/>
      <c r="O53" s="21"/>
    </row>
    <row r="54" spans="1:15" ht="26.25" x14ac:dyDescent="0.25">
      <c r="A54" s="27"/>
      <c r="B54" s="21" t="s">
        <v>33</v>
      </c>
      <c r="C54" s="69" t="e">
        <f>MATCH(D54,[1]!Tabla1[Consignatario],0)</f>
        <v>#REF!</v>
      </c>
      <c r="D54" s="31" t="s">
        <v>477</v>
      </c>
      <c r="E54" s="21"/>
      <c r="F54" s="21"/>
      <c r="G54" s="8" t="s">
        <v>11</v>
      </c>
      <c r="H54" s="38" t="s">
        <v>22</v>
      </c>
      <c r="I54" s="23">
        <v>5000</v>
      </c>
      <c r="J54" s="24"/>
      <c r="K54" s="11" t="s">
        <v>25</v>
      </c>
      <c r="L54" s="11" t="s">
        <v>30</v>
      </c>
      <c r="M54" s="27">
        <v>1000</v>
      </c>
      <c r="N54" s="27"/>
      <c r="O54" s="21"/>
    </row>
    <row r="55" spans="1:15" ht="26.25" x14ac:dyDescent="0.25">
      <c r="A55" s="27"/>
      <c r="B55" s="21"/>
      <c r="C55" s="69" t="e">
        <f>MATCH(D55,[1]!Tabla1[Consignatario],0)</f>
        <v>#REF!</v>
      </c>
      <c r="D55" s="31" t="s">
        <v>477</v>
      </c>
      <c r="E55" s="21"/>
      <c r="F55" s="21"/>
      <c r="G55" s="8" t="s">
        <v>256</v>
      </c>
      <c r="H55" s="38" t="s">
        <v>334</v>
      </c>
      <c r="I55" s="23">
        <v>41000</v>
      </c>
      <c r="J55" s="24"/>
      <c r="K55" s="11" t="s">
        <v>25</v>
      </c>
      <c r="L55" s="25" t="s">
        <v>30</v>
      </c>
      <c r="M55" s="27"/>
      <c r="N55" s="27"/>
      <c r="O55" s="21"/>
    </row>
    <row r="56" spans="1:15" ht="26.25" x14ac:dyDescent="0.25">
      <c r="A56" s="27"/>
      <c r="B56" s="21"/>
      <c r="C56" s="69" t="e">
        <f>MATCH(D56,[1]!Tabla1[Consignatario],0)</f>
        <v>#REF!</v>
      </c>
      <c r="D56" s="31" t="s">
        <v>477</v>
      </c>
      <c r="E56" s="21"/>
      <c r="F56" s="21"/>
      <c r="G56" s="8" t="s">
        <v>138</v>
      </c>
      <c r="H56" s="38" t="s">
        <v>46</v>
      </c>
      <c r="I56" s="23">
        <v>2500</v>
      </c>
      <c r="J56" s="24"/>
      <c r="K56" s="11" t="s">
        <v>25</v>
      </c>
      <c r="L56" s="11" t="s">
        <v>30</v>
      </c>
      <c r="M56" s="27"/>
      <c r="N56" s="27"/>
      <c r="O56" s="21"/>
    </row>
    <row r="57" spans="1:15" ht="25.5" x14ac:dyDescent="0.25">
      <c r="A57" s="27"/>
      <c r="B57" s="21" t="s">
        <v>15</v>
      </c>
      <c r="C57" s="69" t="e">
        <f>MATCH(D57,[1]!Tabla1[Consignatario],0)</f>
        <v>#REF!</v>
      </c>
      <c r="D57" s="31" t="s">
        <v>295</v>
      </c>
      <c r="E57" s="21"/>
      <c r="F57" s="21"/>
      <c r="G57" s="8" t="s">
        <v>11</v>
      </c>
      <c r="H57" s="38" t="s">
        <v>335</v>
      </c>
      <c r="I57" s="23">
        <f>30*2500</f>
        <v>75000</v>
      </c>
      <c r="J57" s="24"/>
      <c r="K57" s="11" t="s">
        <v>25</v>
      </c>
      <c r="L57" s="11" t="s">
        <v>30</v>
      </c>
      <c r="M57" s="56">
        <v>2500</v>
      </c>
      <c r="N57" s="27"/>
      <c r="O57" s="21"/>
    </row>
    <row r="58" spans="1:15" x14ac:dyDescent="0.25">
      <c r="A58" s="27"/>
      <c r="B58" s="21"/>
      <c r="C58" s="69" t="e">
        <f>MATCH(D58,[1]!Tabla1[Consignatario],0)</f>
        <v>#REF!</v>
      </c>
      <c r="D58" s="31" t="s">
        <v>295</v>
      </c>
      <c r="E58" s="21"/>
      <c r="F58" s="21"/>
      <c r="G58" s="8" t="s">
        <v>256</v>
      </c>
      <c r="H58" s="38" t="s">
        <v>286</v>
      </c>
      <c r="I58" s="23">
        <v>50000</v>
      </c>
      <c r="J58" s="24"/>
      <c r="K58" s="11" t="s">
        <v>25</v>
      </c>
      <c r="L58" s="25" t="s">
        <v>30</v>
      </c>
      <c r="M58" s="56"/>
      <c r="N58" s="27"/>
      <c r="O58" s="21"/>
    </row>
    <row r="59" spans="1:15" ht="26.25" x14ac:dyDescent="0.25">
      <c r="A59" s="27"/>
      <c r="B59" s="21"/>
      <c r="C59" s="69" t="e">
        <f>MATCH(D59,[1]!Tabla1[Consignatario],0)</f>
        <v>#REF!</v>
      </c>
      <c r="D59" s="31" t="s">
        <v>296</v>
      </c>
      <c r="E59" s="21"/>
      <c r="F59" s="21"/>
      <c r="G59" s="8" t="s">
        <v>11</v>
      </c>
      <c r="H59" s="38" t="s">
        <v>223</v>
      </c>
      <c r="I59" s="23">
        <f>11*2500</f>
        <v>27500</v>
      </c>
      <c r="J59" s="24"/>
      <c r="K59" s="11" t="s">
        <v>25</v>
      </c>
      <c r="L59" s="11" t="s">
        <v>30</v>
      </c>
      <c r="M59" s="56">
        <v>1280</v>
      </c>
      <c r="N59" s="27"/>
      <c r="O59" s="21"/>
    </row>
    <row r="60" spans="1:15" ht="26.25" x14ac:dyDescent="0.25">
      <c r="A60" s="27"/>
      <c r="B60" s="21"/>
      <c r="C60" s="69" t="e">
        <f>MATCH(D60,[1]!Tabla1[Consignatario],0)</f>
        <v>#REF!</v>
      </c>
      <c r="D60" s="31" t="s">
        <v>296</v>
      </c>
      <c r="E60" s="21"/>
      <c r="F60" s="21"/>
      <c r="G60" s="8" t="s">
        <v>256</v>
      </c>
      <c r="H60" s="38" t="s">
        <v>336</v>
      </c>
      <c r="I60" s="23">
        <v>30000</v>
      </c>
      <c r="J60" s="24"/>
      <c r="K60" s="11" t="s">
        <v>25</v>
      </c>
      <c r="L60" s="11" t="s">
        <v>30</v>
      </c>
      <c r="M60" s="56"/>
      <c r="N60" s="27"/>
      <c r="O60" s="21"/>
    </row>
    <row r="61" spans="1:15" ht="26.25" x14ac:dyDescent="0.25">
      <c r="A61" s="27"/>
      <c r="B61" s="21"/>
      <c r="C61" s="69" t="e">
        <f>MATCH(D61,[1]!Tabla1[Consignatario],0)</f>
        <v>#REF!</v>
      </c>
      <c r="D61" s="31" t="s">
        <v>296</v>
      </c>
      <c r="E61" s="21"/>
      <c r="F61" s="21"/>
      <c r="G61" s="8" t="s">
        <v>138</v>
      </c>
      <c r="H61" s="38" t="s">
        <v>53</v>
      </c>
      <c r="I61" s="23">
        <v>2500</v>
      </c>
      <c r="J61" s="24"/>
      <c r="K61" s="11" t="s">
        <v>25</v>
      </c>
      <c r="L61" s="25" t="s">
        <v>30</v>
      </c>
      <c r="M61" s="56"/>
      <c r="N61" s="27"/>
      <c r="O61" s="21"/>
    </row>
    <row r="62" spans="1:15" x14ac:dyDescent="0.25">
      <c r="A62" s="27"/>
      <c r="B62" s="21"/>
      <c r="C62" s="69" t="e">
        <f>MATCH(D62,[1]!Tabla1[Consignatario],0)</f>
        <v>#REF!</v>
      </c>
      <c r="D62" s="31" t="s">
        <v>478</v>
      </c>
      <c r="E62" s="21"/>
      <c r="F62" s="21"/>
      <c r="G62" s="8" t="s">
        <v>256</v>
      </c>
      <c r="H62" s="38" t="s">
        <v>60</v>
      </c>
      <c r="I62" s="23">
        <v>4000</v>
      </c>
      <c r="J62" s="24"/>
      <c r="K62" s="11" t="s">
        <v>25</v>
      </c>
      <c r="L62" s="11" t="s">
        <v>30</v>
      </c>
      <c r="M62" s="56">
        <v>80</v>
      </c>
      <c r="N62" s="27"/>
      <c r="O62" s="21"/>
    </row>
    <row r="63" spans="1:15" x14ac:dyDescent="0.25">
      <c r="A63" s="27"/>
      <c r="B63" s="21" t="s">
        <v>33</v>
      </c>
      <c r="C63" s="69" t="e">
        <f>MATCH(D63,[1]!Tabla1[Consignatario],0)</f>
        <v>#REF!</v>
      </c>
      <c r="D63" s="31" t="s">
        <v>297</v>
      </c>
      <c r="E63" s="21"/>
      <c r="F63" s="21"/>
      <c r="G63" s="8" t="s">
        <v>256</v>
      </c>
      <c r="H63" s="38" t="s">
        <v>237</v>
      </c>
      <c r="I63" s="23">
        <v>16000</v>
      </c>
      <c r="J63" s="24"/>
      <c r="K63" s="11" t="s">
        <v>25</v>
      </c>
      <c r="L63" s="11" t="s">
        <v>30</v>
      </c>
      <c r="M63" s="56">
        <v>320</v>
      </c>
      <c r="N63" s="27"/>
      <c r="O63" s="21"/>
    </row>
    <row r="64" spans="1:15" ht="26.25" x14ac:dyDescent="0.25">
      <c r="A64" s="27"/>
      <c r="B64" s="21" t="s">
        <v>15</v>
      </c>
      <c r="C64" s="69" t="e">
        <f>MATCH(D64,[1]!Tabla1[Consignatario],0)</f>
        <v>#REF!</v>
      </c>
      <c r="D64" s="31" t="s">
        <v>298</v>
      </c>
      <c r="E64" s="21"/>
      <c r="F64" s="21"/>
      <c r="G64" s="8" t="s">
        <v>11</v>
      </c>
      <c r="H64" s="38" t="s">
        <v>337</v>
      </c>
      <c r="I64" s="23">
        <f>75*2500</f>
        <v>187500</v>
      </c>
      <c r="J64" s="24">
        <f>75*50</f>
        <v>3750</v>
      </c>
      <c r="K64" s="11" t="s">
        <v>25</v>
      </c>
      <c r="L64" s="25" t="s">
        <v>30</v>
      </c>
      <c r="M64" s="56">
        <v>4680</v>
      </c>
      <c r="N64" s="27"/>
      <c r="O64" s="21"/>
    </row>
    <row r="65" spans="1:15" ht="26.25" x14ac:dyDescent="0.25">
      <c r="A65" s="27"/>
      <c r="B65" s="21"/>
      <c r="C65" s="69" t="e">
        <f>MATCH(D65,[1]!Tabla1[Consignatario],0)</f>
        <v>#REF!</v>
      </c>
      <c r="D65" s="31" t="s">
        <v>298</v>
      </c>
      <c r="E65" s="21"/>
      <c r="F65" s="21"/>
      <c r="G65" s="8" t="s">
        <v>256</v>
      </c>
      <c r="H65" s="38" t="s">
        <v>233</v>
      </c>
      <c r="I65" s="23">
        <v>34000</v>
      </c>
      <c r="J65" s="24">
        <f>34*20</f>
        <v>680</v>
      </c>
      <c r="K65" s="11" t="s">
        <v>25</v>
      </c>
      <c r="L65" s="11" t="s">
        <v>30</v>
      </c>
      <c r="M65" s="56"/>
      <c r="N65" s="27"/>
      <c r="O65" s="21"/>
    </row>
    <row r="66" spans="1:15" ht="26.25" x14ac:dyDescent="0.25">
      <c r="A66" s="27"/>
      <c r="B66" s="21"/>
      <c r="C66" s="69" t="e">
        <f>MATCH(D66,[1]!Tabla1[Consignatario],0)</f>
        <v>#REF!</v>
      </c>
      <c r="D66" s="31" t="s">
        <v>298</v>
      </c>
      <c r="E66" s="21"/>
      <c r="F66" s="21"/>
      <c r="G66" s="8" t="s">
        <v>138</v>
      </c>
      <c r="H66" s="38" t="s">
        <v>288</v>
      </c>
      <c r="I66" s="23">
        <v>7500</v>
      </c>
      <c r="J66" s="24">
        <v>250</v>
      </c>
      <c r="K66" s="11" t="s">
        <v>25</v>
      </c>
      <c r="L66" s="11" t="s">
        <v>30</v>
      </c>
      <c r="M66" s="56"/>
      <c r="N66" s="27"/>
      <c r="O66" s="21"/>
    </row>
    <row r="67" spans="1:15" ht="26.25" x14ac:dyDescent="0.25">
      <c r="A67" s="27"/>
      <c r="B67" s="21" t="s">
        <v>15</v>
      </c>
      <c r="C67" s="69" t="e">
        <f>MATCH(D67,[1]!Tabla1[Consignatario],0)</f>
        <v>#REF!</v>
      </c>
      <c r="D67" s="31" t="s">
        <v>299</v>
      </c>
      <c r="E67" s="21"/>
      <c r="F67" s="21"/>
      <c r="G67" s="8" t="s">
        <v>11</v>
      </c>
      <c r="H67" s="38" t="s">
        <v>277</v>
      </c>
      <c r="I67" s="23">
        <f>28*2500</f>
        <v>70000</v>
      </c>
      <c r="J67" s="24"/>
      <c r="K67" s="11" t="s">
        <v>25</v>
      </c>
      <c r="L67" s="25" t="s">
        <v>30</v>
      </c>
      <c r="M67" s="56">
        <v>1650</v>
      </c>
      <c r="N67" s="27"/>
      <c r="O67" s="21"/>
    </row>
    <row r="68" spans="1:15" ht="26.25" x14ac:dyDescent="0.25">
      <c r="A68" s="27"/>
      <c r="B68" s="21"/>
      <c r="C68" s="69" t="e">
        <f>MATCH(D68,[1]!Tabla1[Consignatario],0)</f>
        <v>#REF!</v>
      </c>
      <c r="D68" s="31" t="s">
        <v>299</v>
      </c>
      <c r="E68" s="21"/>
      <c r="F68" s="21"/>
      <c r="G68" s="8" t="s">
        <v>256</v>
      </c>
      <c r="H68" s="38" t="s">
        <v>325</v>
      </c>
      <c r="I68" s="23">
        <v>10000</v>
      </c>
      <c r="J68" s="24"/>
      <c r="K68" s="11" t="s">
        <v>25</v>
      </c>
      <c r="L68" s="11" t="s">
        <v>30</v>
      </c>
      <c r="M68" s="56"/>
      <c r="N68" s="27"/>
      <c r="O68" s="21"/>
    </row>
    <row r="69" spans="1:15" ht="26.25" x14ac:dyDescent="0.25">
      <c r="A69" s="27"/>
      <c r="B69" s="21"/>
      <c r="C69" s="69" t="e">
        <f>MATCH(D69,[1]!Tabla1[Consignatario],0)</f>
        <v>#REF!</v>
      </c>
      <c r="D69" s="31" t="s">
        <v>299</v>
      </c>
      <c r="E69" s="21"/>
      <c r="F69" s="21"/>
      <c r="G69" s="8" t="s">
        <v>138</v>
      </c>
      <c r="H69" s="38" t="s">
        <v>46</v>
      </c>
      <c r="I69" s="23">
        <v>2500</v>
      </c>
      <c r="J69" s="24"/>
      <c r="K69" s="11" t="s">
        <v>25</v>
      </c>
      <c r="L69" s="11" t="s">
        <v>30</v>
      </c>
      <c r="M69" s="56"/>
      <c r="N69" s="27"/>
      <c r="O69" s="21"/>
    </row>
    <row r="70" spans="1:15" ht="25.5" x14ac:dyDescent="0.25">
      <c r="A70" s="27" t="s">
        <v>300</v>
      </c>
      <c r="B70" s="21" t="s">
        <v>15</v>
      </c>
      <c r="C70" s="69" t="e">
        <f>MATCH(D70,[1]!Tabla1[Consignatario],0)</f>
        <v>#REF!</v>
      </c>
      <c r="D70" s="31" t="s">
        <v>301</v>
      </c>
      <c r="E70" s="21"/>
      <c r="F70" s="21"/>
      <c r="G70" s="8" t="s">
        <v>11</v>
      </c>
      <c r="H70" s="38" t="s">
        <v>70</v>
      </c>
      <c r="I70" s="23">
        <f>16*2500</f>
        <v>40000</v>
      </c>
      <c r="J70" s="24"/>
      <c r="K70" s="11" t="s">
        <v>25</v>
      </c>
      <c r="L70" s="25" t="s">
        <v>30</v>
      </c>
      <c r="M70" s="56">
        <v>1250</v>
      </c>
      <c r="N70" s="27"/>
      <c r="O70" s="21"/>
    </row>
    <row r="71" spans="1:15" x14ac:dyDescent="0.25">
      <c r="A71" s="27"/>
      <c r="B71" s="21"/>
      <c r="C71" s="69" t="e">
        <f>MATCH(D71,[1]!Tabla1[Consignatario],0)</f>
        <v>#REF!</v>
      </c>
      <c r="D71" s="31" t="s">
        <v>301</v>
      </c>
      <c r="E71" s="21"/>
      <c r="F71" s="21"/>
      <c r="G71" s="8" t="s">
        <v>256</v>
      </c>
      <c r="H71" s="38" t="s">
        <v>105</v>
      </c>
      <c r="I71" s="23">
        <v>22000</v>
      </c>
      <c r="J71" s="24"/>
      <c r="K71" s="11" t="s">
        <v>25</v>
      </c>
      <c r="L71" s="11" t="s">
        <v>30</v>
      </c>
      <c r="M71" s="56"/>
      <c r="N71" s="27"/>
      <c r="O71" s="21"/>
    </row>
    <row r="72" spans="1:15" ht="26.25" x14ac:dyDescent="0.25">
      <c r="A72" s="27"/>
      <c r="B72" s="21"/>
      <c r="C72" s="69" t="e">
        <f>MATCH(D72,[1]!Tabla1[Consignatario],0)</f>
        <v>#REF!</v>
      </c>
      <c r="D72" s="31" t="s">
        <v>479</v>
      </c>
      <c r="E72" s="21"/>
      <c r="F72" s="21"/>
      <c r="G72" s="8" t="s">
        <v>11</v>
      </c>
      <c r="H72" s="38" t="s">
        <v>125</v>
      </c>
      <c r="I72" s="23">
        <f>6*2500</f>
        <v>15000</v>
      </c>
      <c r="J72" s="24"/>
      <c r="K72" s="11" t="s">
        <v>25</v>
      </c>
      <c r="L72" s="11" t="s">
        <v>30</v>
      </c>
      <c r="M72" s="56">
        <v>500</v>
      </c>
      <c r="N72" s="27"/>
      <c r="O72" s="21"/>
    </row>
    <row r="73" spans="1:15" ht="26.25" x14ac:dyDescent="0.25">
      <c r="A73" s="27"/>
      <c r="B73" s="21"/>
      <c r="C73" s="69" t="e">
        <f>MATCH(D73,[1]!Tabla1[Consignatario],0)</f>
        <v>#REF!</v>
      </c>
      <c r="D73" s="31" t="s">
        <v>479</v>
      </c>
      <c r="E73" s="21"/>
      <c r="F73" s="21"/>
      <c r="G73" s="8" t="s">
        <v>256</v>
      </c>
      <c r="H73" s="38" t="s">
        <v>63</v>
      </c>
      <c r="I73" s="23">
        <v>5000</v>
      </c>
      <c r="J73" s="24"/>
      <c r="K73" s="11" t="s">
        <v>25</v>
      </c>
      <c r="L73" s="25" t="s">
        <v>30</v>
      </c>
      <c r="M73" s="56"/>
      <c r="N73" s="27"/>
      <c r="O73" s="21"/>
    </row>
    <row r="74" spans="1:15" ht="26.25" x14ac:dyDescent="0.25">
      <c r="A74" s="27"/>
      <c r="B74" s="21"/>
      <c r="C74" s="69" t="e">
        <f>MATCH(D74,[1]!Tabla1[Consignatario],0)</f>
        <v>#REF!</v>
      </c>
      <c r="D74" s="31" t="s">
        <v>479</v>
      </c>
      <c r="E74" s="21"/>
      <c r="F74" s="21"/>
      <c r="G74" s="8" t="s">
        <v>138</v>
      </c>
      <c r="H74" s="38" t="s">
        <v>282</v>
      </c>
      <c r="I74" s="23">
        <f>5*2500</f>
        <v>12500</v>
      </c>
      <c r="J74" s="24"/>
      <c r="K74" s="11" t="s">
        <v>25</v>
      </c>
      <c r="L74" s="11" t="s">
        <v>30</v>
      </c>
      <c r="M74" s="56"/>
      <c r="N74" s="27"/>
      <c r="O74" s="21"/>
    </row>
    <row r="75" spans="1:15" ht="26.25" x14ac:dyDescent="0.25">
      <c r="A75" s="27"/>
      <c r="B75" s="21"/>
      <c r="C75" s="69" t="e">
        <f>MATCH(D75,[1]!Tabla1[Consignatario],0)</f>
        <v>#REF!</v>
      </c>
      <c r="D75" s="31" t="s">
        <v>302</v>
      </c>
      <c r="E75" s="21"/>
      <c r="F75" s="21"/>
      <c r="G75" s="8" t="s">
        <v>256</v>
      </c>
      <c r="H75" s="38" t="s">
        <v>60</v>
      </c>
      <c r="I75" s="23">
        <v>4000</v>
      </c>
      <c r="J75" s="23"/>
      <c r="K75" s="11" t="s">
        <v>25</v>
      </c>
      <c r="L75" s="11" t="s">
        <v>30</v>
      </c>
      <c r="M75" s="56">
        <v>80</v>
      </c>
      <c r="N75" s="27"/>
      <c r="O75" s="21"/>
    </row>
    <row r="76" spans="1:15" ht="26.25" x14ac:dyDescent="0.25">
      <c r="A76" s="27"/>
      <c r="B76" s="21"/>
      <c r="C76" s="69" t="e">
        <f>MATCH(D76,[1]!Tabla1[Consignatario],0)</f>
        <v>#REF!</v>
      </c>
      <c r="D76" s="31" t="s">
        <v>480</v>
      </c>
      <c r="E76" s="21"/>
      <c r="F76" s="21"/>
      <c r="G76" s="8" t="s">
        <v>11</v>
      </c>
      <c r="H76" s="38" t="s">
        <v>246</v>
      </c>
      <c r="I76" s="23">
        <f>18*2500</f>
        <v>45000</v>
      </c>
      <c r="J76" s="23">
        <f>18*50</f>
        <v>900</v>
      </c>
      <c r="K76" s="11" t="s">
        <v>25</v>
      </c>
      <c r="L76" s="25" t="s">
        <v>30</v>
      </c>
      <c r="M76" s="56">
        <v>1510</v>
      </c>
      <c r="N76" s="27"/>
      <c r="O76" s="21"/>
    </row>
    <row r="77" spans="1:15" ht="26.25" x14ac:dyDescent="0.25">
      <c r="A77" s="27"/>
      <c r="B77" s="21"/>
      <c r="C77" s="69" t="e">
        <f>MATCH(D77,[1]!Tabla1[Consignatario],0)</f>
        <v>#REF!</v>
      </c>
      <c r="D77" s="31" t="s">
        <v>480</v>
      </c>
      <c r="E77" s="21"/>
      <c r="F77" s="21"/>
      <c r="G77" s="8" t="s">
        <v>256</v>
      </c>
      <c r="H77" s="38" t="s">
        <v>338</v>
      </c>
      <c r="I77" s="23">
        <v>28000</v>
      </c>
      <c r="J77" s="23">
        <f>28*20</f>
        <v>560</v>
      </c>
      <c r="K77" s="11" t="s">
        <v>25</v>
      </c>
      <c r="L77" s="11" t="s">
        <v>30</v>
      </c>
      <c r="M77" s="56"/>
      <c r="N77" s="27"/>
      <c r="O77" s="21"/>
    </row>
    <row r="78" spans="1:15" ht="26.25" x14ac:dyDescent="0.25">
      <c r="A78" s="27"/>
      <c r="B78" s="21"/>
      <c r="C78" s="69" t="e">
        <f>MATCH(D78,[1]!Tabla1[Consignatario],0)</f>
        <v>#REF!</v>
      </c>
      <c r="D78" s="31" t="s">
        <v>480</v>
      </c>
      <c r="E78" s="21"/>
      <c r="F78" s="21"/>
      <c r="G78" s="8" t="s">
        <v>138</v>
      </c>
      <c r="H78" s="38" t="s">
        <v>65</v>
      </c>
      <c r="I78" s="23">
        <v>2500</v>
      </c>
      <c r="J78" s="23">
        <v>50</v>
      </c>
      <c r="K78" s="11" t="s">
        <v>25</v>
      </c>
      <c r="L78" s="11" t="s">
        <v>30</v>
      </c>
      <c r="M78" s="56"/>
      <c r="N78" s="27"/>
      <c r="O78" s="21"/>
    </row>
    <row r="79" spans="1:15" ht="26.25" x14ac:dyDescent="0.25">
      <c r="A79" s="27"/>
      <c r="B79" s="21"/>
      <c r="C79" s="69" t="e">
        <f>MATCH(D79,[1]!Tabla1[Consignatario],0)</f>
        <v>#REF!</v>
      </c>
      <c r="D79" s="31" t="s">
        <v>303</v>
      </c>
      <c r="E79" s="21"/>
      <c r="F79" s="21"/>
      <c r="G79" s="8" t="s">
        <v>11</v>
      </c>
      <c r="H79" s="38" t="s">
        <v>115</v>
      </c>
      <c r="I79" s="23">
        <f>8*2500</f>
        <v>20000</v>
      </c>
      <c r="J79" s="24"/>
      <c r="K79" s="11" t="s">
        <v>25</v>
      </c>
      <c r="L79" s="25" t="s">
        <v>30</v>
      </c>
      <c r="M79" s="56">
        <v>839</v>
      </c>
      <c r="N79" s="27"/>
      <c r="O79" s="21"/>
    </row>
    <row r="80" spans="1:15" ht="26.25" x14ac:dyDescent="0.25">
      <c r="A80" s="27"/>
      <c r="B80" s="21"/>
      <c r="C80" s="69" t="e">
        <f>MATCH(D80,[1]!Tabla1[Consignatario],0)</f>
        <v>#REF!</v>
      </c>
      <c r="D80" s="31" t="s">
        <v>303</v>
      </c>
      <c r="E80" s="21"/>
      <c r="F80" s="21"/>
      <c r="G80" s="8" t="s">
        <v>256</v>
      </c>
      <c r="H80" s="38" t="s">
        <v>325</v>
      </c>
      <c r="I80" s="23">
        <v>10000</v>
      </c>
      <c r="J80" s="24"/>
      <c r="K80" s="11" t="s">
        <v>25</v>
      </c>
      <c r="L80" s="11" t="s">
        <v>30</v>
      </c>
      <c r="M80" s="56"/>
      <c r="N80" s="27"/>
      <c r="O80" s="21"/>
    </row>
    <row r="81" spans="1:15" ht="26.25" x14ac:dyDescent="0.25">
      <c r="A81" s="27"/>
      <c r="B81" s="21"/>
      <c r="C81" s="69" t="e">
        <f>MATCH(D81,[1]!Tabla1[Consignatario],0)</f>
        <v>#REF!</v>
      </c>
      <c r="D81" s="31" t="s">
        <v>303</v>
      </c>
      <c r="E81" s="21"/>
      <c r="F81" s="21"/>
      <c r="G81" s="8" t="s">
        <v>138</v>
      </c>
      <c r="H81" s="38" t="s">
        <v>230</v>
      </c>
      <c r="I81" s="23">
        <v>10000</v>
      </c>
      <c r="J81" s="24"/>
      <c r="K81" s="11" t="s">
        <v>25</v>
      </c>
      <c r="L81" s="11" t="s">
        <v>30</v>
      </c>
      <c r="M81" s="56"/>
      <c r="N81" s="27"/>
      <c r="O81" s="21"/>
    </row>
    <row r="82" spans="1:15" ht="26.25" x14ac:dyDescent="0.25">
      <c r="A82" s="27"/>
      <c r="B82" s="21"/>
      <c r="C82" s="69" t="e">
        <f>MATCH(D82,[1]!Tabla1[Consignatario],0)</f>
        <v>#REF!</v>
      </c>
      <c r="D82" s="31" t="s">
        <v>303</v>
      </c>
      <c r="E82" s="21"/>
      <c r="F82" s="21"/>
      <c r="G82" s="8" t="s">
        <v>12</v>
      </c>
      <c r="H82" s="38" t="s">
        <v>339</v>
      </c>
      <c r="I82" s="23">
        <f>13*150</f>
        <v>1950</v>
      </c>
      <c r="J82" s="24"/>
      <c r="K82" s="11" t="s">
        <v>25</v>
      </c>
      <c r="L82" s="25" t="s">
        <v>30</v>
      </c>
      <c r="M82" s="56"/>
      <c r="N82" s="27"/>
      <c r="O82" s="21"/>
    </row>
    <row r="83" spans="1:15" ht="25.5" x14ac:dyDescent="0.25">
      <c r="A83" s="27"/>
      <c r="B83" s="21" t="s">
        <v>304</v>
      </c>
      <c r="C83" s="69" t="e">
        <f>MATCH(D83,[1]!Tabla1[Consignatario],0)</f>
        <v>#REF!</v>
      </c>
      <c r="D83" s="71" t="s">
        <v>481</v>
      </c>
      <c r="E83" s="21"/>
      <c r="F83" s="21"/>
      <c r="G83" s="8" t="s">
        <v>11</v>
      </c>
      <c r="H83" s="38" t="s">
        <v>340</v>
      </c>
      <c r="I83" s="23">
        <f>15*2500</f>
        <v>37500</v>
      </c>
      <c r="J83" s="24"/>
      <c r="K83" s="11" t="s">
        <v>25</v>
      </c>
      <c r="L83" s="11" t="s">
        <v>30</v>
      </c>
      <c r="M83" s="56">
        <v>970</v>
      </c>
      <c r="N83" s="27"/>
      <c r="O83" s="21"/>
    </row>
    <row r="84" spans="1:15" x14ac:dyDescent="0.25">
      <c r="A84" s="27"/>
      <c r="B84" s="21"/>
      <c r="C84" s="69" t="e">
        <f>MATCH(D84,[1]!Tabla1[Consignatario],0)</f>
        <v>#REF!</v>
      </c>
      <c r="D84" s="71" t="s">
        <v>481</v>
      </c>
      <c r="E84" s="21"/>
      <c r="F84" s="21"/>
      <c r="G84" s="8" t="s">
        <v>256</v>
      </c>
      <c r="H84" s="38" t="s">
        <v>341</v>
      </c>
      <c r="I84" s="23">
        <f>11000</f>
        <v>11000</v>
      </c>
      <c r="J84" s="24"/>
      <c r="K84" s="11" t="s">
        <v>25</v>
      </c>
      <c r="L84" s="11" t="s">
        <v>30</v>
      </c>
      <c r="M84" s="56"/>
      <c r="N84" s="27"/>
      <c r="O84" s="21"/>
    </row>
    <row r="85" spans="1:15" ht="26.25" x14ac:dyDescent="0.25">
      <c r="A85" s="27"/>
      <c r="B85" s="21"/>
      <c r="C85" s="69" t="e">
        <f>MATCH(D85,[1]!Tabla1[Consignatario],0)</f>
        <v>#REF!</v>
      </c>
      <c r="D85" s="31" t="s">
        <v>64</v>
      </c>
      <c r="E85" s="21"/>
      <c r="F85" s="21"/>
      <c r="G85" s="8" t="s">
        <v>11</v>
      </c>
      <c r="H85" s="38" t="s">
        <v>223</v>
      </c>
      <c r="I85" s="23">
        <f>11*2500</f>
        <v>27500</v>
      </c>
      <c r="J85" s="24"/>
      <c r="K85" s="11" t="s">
        <v>25</v>
      </c>
      <c r="L85" s="25" t="s">
        <v>30</v>
      </c>
      <c r="M85" s="56">
        <v>860</v>
      </c>
      <c r="N85" s="27"/>
      <c r="O85" s="21"/>
    </row>
    <row r="86" spans="1:15" ht="26.25" x14ac:dyDescent="0.25">
      <c r="A86" s="27"/>
      <c r="B86" s="21"/>
      <c r="C86" s="69" t="e">
        <f>MATCH(D86,[1]!Tabla1[Consignatario],0)</f>
        <v>#REF!</v>
      </c>
      <c r="D86" s="31" t="s">
        <v>64</v>
      </c>
      <c r="E86" s="21"/>
      <c r="F86" s="21"/>
      <c r="G86" s="8" t="s">
        <v>256</v>
      </c>
      <c r="H86" s="38" t="s">
        <v>284</v>
      </c>
      <c r="I86" s="23">
        <v>13000</v>
      </c>
      <c r="J86" s="24"/>
      <c r="K86" s="11" t="s">
        <v>25</v>
      </c>
      <c r="L86" s="11" t="s">
        <v>30</v>
      </c>
      <c r="M86" s="56"/>
      <c r="N86" s="27"/>
      <c r="O86" s="21"/>
    </row>
    <row r="87" spans="1:15" ht="26.25" x14ac:dyDescent="0.25">
      <c r="A87" s="27"/>
      <c r="B87" s="21"/>
      <c r="C87" s="69" t="e">
        <f>MATCH(D87,[1]!Tabla1[Consignatario],0)</f>
        <v>#REF!</v>
      </c>
      <c r="D87" s="31" t="s">
        <v>64</v>
      </c>
      <c r="E87" s="21"/>
      <c r="F87" s="21"/>
      <c r="G87" s="8" t="s">
        <v>138</v>
      </c>
      <c r="H87" s="38" t="s">
        <v>46</v>
      </c>
      <c r="I87" s="23">
        <v>2500</v>
      </c>
      <c r="J87" s="24"/>
      <c r="K87" s="11" t="s">
        <v>25</v>
      </c>
      <c r="L87" s="11" t="s">
        <v>30</v>
      </c>
      <c r="M87" s="56"/>
      <c r="N87" s="27"/>
      <c r="O87" s="21"/>
    </row>
    <row r="88" spans="1:15" ht="25.5" x14ac:dyDescent="0.25">
      <c r="A88" s="27"/>
      <c r="B88" s="21"/>
      <c r="C88" s="69" t="e">
        <f>MATCH(D88,[1]!Tabla1[Consignatario],0)</f>
        <v>#REF!</v>
      </c>
      <c r="D88" s="71" t="s">
        <v>73</v>
      </c>
      <c r="E88" s="21"/>
      <c r="F88" s="21"/>
      <c r="G88" s="8" t="s">
        <v>11</v>
      </c>
      <c r="H88" s="38" t="s">
        <v>41</v>
      </c>
      <c r="I88" s="23">
        <f>14*2500</f>
        <v>35000</v>
      </c>
      <c r="J88" s="24"/>
      <c r="K88" s="11" t="s">
        <v>25</v>
      </c>
      <c r="L88" s="25" t="s">
        <v>30</v>
      </c>
      <c r="M88" s="56">
        <v>1000</v>
      </c>
      <c r="N88" s="27"/>
      <c r="O88" s="21"/>
    </row>
    <row r="89" spans="1:15" x14ac:dyDescent="0.25">
      <c r="A89" s="27"/>
      <c r="B89" s="21"/>
      <c r="C89" s="69" t="e">
        <f>MATCH(D89,[1]!Tabla1[Consignatario],0)</f>
        <v>#REF!</v>
      </c>
      <c r="D89" s="71" t="s">
        <v>73</v>
      </c>
      <c r="E89" s="21"/>
      <c r="F89" s="21"/>
      <c r="G89" s="8" t="s">
        <v>256</v>
      </c>
      <c r="H89" s="38" t="s">
        <v>342</v>
      </c>
      <c r="I89" s="23">
        <v>15000</v>
      </c>
      <c r="J89" s="24"/>
      <c r="K89" s="11" t="s">
        <v>25</v>
      </c>
      <c r="L89" s="11" t="s">
        <v>30</v>
      </c>
      <c r="M89" s="56"/>
      <c r="N89" s="27"/>
      <c r="O89" s="21"/>
    </row>
    <row r="90" spans="1:15" ht="25.5" x14ac:dyDescent="0.25">
      <c r="A90" s="27">
        <v>28</v>
      </c>
      <c r="B90" s="21"/>
      <c r="C90" s="69" t="e">
        <f>MATCH(D90,[1]!Tabla1[Consignatario],0)</f>
        <v>#REF!</v>
      </c>
      <c r="D90" s="31" t="s">
        <v>305</v>
      </c>
      <c r="E90" s="21"/>
      <c r="F90" s="21"/>
      <c r="G90" s="8" t="s">
        <v>11</v>
      </c>
      <c r="H90" s="38" t="s">
        <v>22</v>
      </c>
      <c r="I90" s="23">
        <v>5000</v>
      </c>
      <c r="J90" s="24"/>
      <c r="K90" s="11" t="s">
        <v>25</v>
      </c>
      <c r="L90" s="11" t="s">
        <v>30</v>
      </c>
      <c r="M90" s="56">
        <v>400</v>
      </c>
      <c r="N90" s="27"/>
      <c r="O90" s="21"/>
    </row>
    <row r="91" spans="1:15" x14ac:dyDescent="0.25">
      <c r="A91" s="27"/>
      <c r="B91" s="21"/>
      <c r="C91" s="69" t="e">
        <f>MATCH(D91,[1]!Tabla1[Consignatario],0)</f>
        <v>#REF!</v>
      </c>
      <c r="D91" s="31" t="s">
        <v>305</v>
      </c>
      <c r="E91" s="21"/>
      <c r="F91" s="21"/>
      <c r="G91" s="8" t="s">
        <v>256</v>
      </c>
      <c r="H91" s="38" t="s">
        <v>235</v>
      </c>
      <c r="I91" s="23">
        <v>9000</v>
      </c>
      <c r="J91" s="24"/>
      <c r="K91" s="11" t="s">
        <v>25</v>
      </c>
      <c r="L91" s="25" t="s">
        <v>30</v>
      </c>
      <c r="M91" s="56"/>
      <c r="N91" s="27"/>
      <c r="O91" s="21"/>
    </row>
    <row r="92" spans="1:15" ht="25.5" x14ac:dyDescent="0.25">
      <c r="A92" s="27"/>
      <c r="B92" s="21"/>
      <c r="C92" s="69" t="e">
        <f>MATCH(D92,[1]!Tabla1[Consignatario],0)</f>
        <v>#REF!</v>
      </c>
      <c r="D92" s="31" t="s">
        <v>305</v>
      </c>
      <c r="E92" s="21"/>
      <c r="F92" s="21"/>
      <c r="G92" s="8" t="s">
        <v>138</v>
      </c>
      <c r="H92" s="38" t="s">
        <v>343</v>
      </c>
      <c r="I92" s="23">
        <f>13*2500</f>
        <v>32500</v>
      </c>
      <c r="J92" s="24"/>
      <c r="K92" s="11" t="s">
        <v>25</v>
      </c>
      <c r="L92" s="11" t="s">
        <v>30</v>
      </c>
      <c r="M92" s="56"/>
      <c r="N92" s="27"/>
      <c r="O92" s="21"/>
    </row>
    <row r="93" spans="1:15" ht="26.25" x14ac:dyDescent="0.25">
      <c r="A93" s="27"/>
      <c r="B93" s="21"/>
      <c r="C93" s="69" t="e">
        <f>MATCH(D93,[1]!Tabla1[Consignatario],0)</f>
        <v>#REF!</v>
      </c>
      <c r="D93" s="31" t="s">
        <v>482</v>
      </c>
      <c r="E93" s="21"/>
      <c r="F93" s="21"/>
      <c r="G93" s="8" t="s">
        <v>11</v>
      </c>
      <c r="H93" s="38" t="s">
        <v>115</v>
      </c>
      <c r="I93" s="23">
        <f>8*2500</f>
        <v>20000</v>
      </c>
      <c r="J93" s="24"/>
      <c r="K93" s="11" t="s">
        <v>25</v>
      </c>
      <c r="L93" s="11" t="s">
        <v>30</v>
      </c>
      <c r="M93" s="56">
        <v>980</v>
      </c>
      <c r="N93" s="27"/>
      <c r="O93" s="21"/>
    </row>
    <row r="94" spans="1:15" ht="26.25" x14ac:dyDescent="0.25">
      <c r="A94" s="27"/>
      <c r="B94" s="21"/>
      <c r="C94" s="69" t="e">
        <f>MATCH(D94,[1]!Tabla1[Consignatario],0)</f>
        <v>#REF!</v>
      </c>
      <c r="D94" s="31" t="s">
        <v>482</v>
      </c>
      <c r="E94" s="21"/>
      <c r="F94" s="21"/>
      <c r="G94" s="8" t="s">
        <v>256</v>
      </c>
      <c r="H94" s="38" t="s">
        <v>344</v>
      </c>
      <c r="I94" s="23">
        <v>19000</v>
      </c>
      <c r="J94" s="24"/>
      <c r="K94" s="11" t="s">
        <v>25</v>
      </c>
      <c r="L94" s="25" t="s">
        <v>30</v>
      </c>
      <c r="M94" s="56"/>
      <c r="N94" s="27"/>
      <c r="O94" s="21"/>
    </row>
    <row r="95" spans="1:15" x14ac:dyDescent="0.25">
      <c r="A95" s="27"/>
      <c r="B95" s="21" t="s">
        <v>68</v>
      </c>
      <c r="C95" s="69" t="e">
        <f>MATCH(D95,[1]!Tabla1[Consignatario],0)</f>
        <v>#REF!</v>
      </c>
      <c r="D95" s="31" t="s">
        <v>306</v>
      </c>
      <c r="E95" s="21"/>
      <c r="F95" s="21"/>
      <c r="G95" s="8" t="s">
        <v>256</v>
      </c>
      <c r="H95" s="38" t="s">
        <v>345</v>
      </c>
      <c r="I95" s="23">
        <v>20000</v>
      </c>
      <c r="J95" s="24"/>
      <c r="K95" s="11" t="s">
        <v>25</v>
      </c>
      <c r="L95" s="11" t="s">
        <v>30</v>
      </c>
      <c r="M95" s="27">
        <f>400+540</f>
        <v>940</v>
      </c>
      <c r="N95" s="27"/>
      <c r="O95" s="21"/>
    </row>
    <row r="96" spans="1:15" x14ac:dyDescent="0.25">
      <c r="A96" s="27"/>
      <c r="B96" s="21"/>
      <c r="C96" s="69" t="e">
        <f>MATCH(D96,[1]!Tabla1[Consignatario],0)</f>
        <v>#REF!</v>
      </c>
      <c r="D96" s="31" t="s">
        <v>306</v>
      </c>
      <c r="E96" s="21"/>
      <c r="F96" s="21"/>
      <c r="G96" s="30" t="s">
        <v>11</v>
      </c>
      <c r="H96" s="38" t="s">
        <v>115</v>
      </c>
      <c r="I96" s="23">
        <f>8*2500</f>
        <v>20000</v>
      </c>
      <c r="J96" s="24"/>
      <c r="K96" s="11" t="s">
        <v>25</v>
      </c>
      <c r="L96" s="11" t="s">
        <v>30</v>
      </c>
      <c r="M96" s="27"/>
      <c r="N96" s="27"/>
      <c r="O96" s="21"/>
    </row>
    <row r="97" spans="1:15" x14ac:dyDescent="0.25">
      <c r="A97" s="27"/>
      <c r="B97" s="21"/>
      <c r="C97" s="69" t="e">
        <f>MATCH(D97,[1]!Tabla1[Consignatario],0)</f>
        <v>#REF!</v>
      </c>
      <c r="D97" s="31" t="s">
        <v>306</v>
      </c>
      <c r="E97" s="21"/>
      <c r="F97" s="21"/>
      <c r="G97" s="8" t="s">
        <v>256</v>
      </c>
      <c r="H97" s="38" t="s">
        <v>346</v>
      </c>
      <c r="I97" s="23">
        <v>7000</v>
      </c>
      <c r="J97" s="24"/>
      <c r="K97" s="11" t="s">
        <v>25</v>
      </c>
      <c r="L97" s="25" t="s">
        <v>30</v>
      </c>
      <c r="M97" s="27"/>
      <c r="N97" s="27"/>
      <c r="O97" s="21"/>
    </row>
    <row r="98" spans="1:15" ht="39" x14ac:dyDescent="0.25">
      <c r="A98" s="27"/>
      <c r="B98" s="21"/>
      <c r="C98" s="69" t="e">
        <f>MATCH(D98,[1]!Tabla1[Consignatario],0)</f>
        <v>#REF!</v>
      </c>
      <c r="D98" s="31" t="s">
        <v>483</v>
      </c>
      <c r="E98" s="21"/>
      <c r="F98" s="21"/>
      <c r="G98" s="30" t="s">
        <v>11</v>
      </c>
      <c r="H98" s="38" t="s">
        <v>223</v>
      </c>
      <c r="I98" s="23">
        <f>11*2500</f>
        <v>27500</v>
      </c>
      <c r="J98" s="24">
        <f>11*50</f>
        <v>550</v>
      </c>
      <c r="K98" s="11" t="s">
        <v>25</v>
      </c>
      <c r="L98" s="11" t="s">
        <v>30</v>
      </c>
      <c r="M98" s="27">
        <v>1166</v>
      </c>
      <c r="N98" s="27"/>
      <c r="O98" s="21"/>
    </row>
    <row r="99" spans="1:15" ht="39" x14ac:dyDescent="0.25">
      <c r="A99" s="27"/>
      <c r="B99" s="21"/>
      <c r="C99" s="69" t="e">
        <f>MATCH(D99,[1]!Tabla1[Consignatario],0)</f>
        <v>#REF!</v>
      </c>
      <c r="D99" s="31" t="s">
        <v>483</v>
      </c>
      <c r="E99" s="21"/>
      <c r="F99" s="21"/>
      <c r="G99" s="8" t="s">
        <v>256</v>
      </c>
      <c r="H99" s="38" t="s">
        <v>338</v>
      </c>
      <c r="I99" s="23">
        <v>28000</v>
      </c>
      <c r="J99" s="24">
        <f>28*20</f>
        <v>560</v>
      </c>
      <c r="K99" s="11" t="s">
        <v>25</v>
      </c>
      <c r="L99" s="11" t="s">
        <v>30</v>
      </c>
      <c r="M99" s="27"/>
      <c r="N99" s="27"/>
      <c r="O99" s="21"/>
    </row>
    <row r="100" spans="1:15" ht="39" x14ac:dyDescent="0.25">
      <c r="A100" s="27"/>
      <c r="B100" s="21"/>
      <c r="C100" s="69" t="e">
        <f>MATCH(D100,[1]!Tabla1[Consignatario],0)</f>
        <v>#REF!</v>
      </c>
      <c r="D100" s="31" t="s">
        <v>483</v>
      </c>
      <c r="E100" s="21"/>
      <c r="F100" s="21"/>
      <c r="G100" s="8" t="s">
        <v>138</v>
      </c>
      <c r="H100" s="38" t="s">
        <v>135</v>
      </c>
      <c r="I100" s="34">
        <v>5000</v>
      </c>
      <c r="J100" s="34">
        <v>56</v>
      </c>
      <c r="K100" s="11" t="s">
        <v>25</v>
      </c>
      <c r="L100" s="25" t="s">
        <v>30</v>
      </c>
      <c r="M100" s="27"/>
      <c r="N100" s="27"/>
      <c r="O100" s="21"/>
    </row>
    <row r="101" spans="1:15" ht="26.25" x14ac:dyDescent="0.25">
      <c r="A101" s="27"/>
      <c r="B101" s="21" t="s">
        <v>68</v>
      </c>
      <c r="C101" s="69" t="e">
        <f>MATCH(D101,[1]!Tabla1[Consignatario],0)</f>
        <v>#REF!</v>
      </c>
      <c r="D101" s="31" t="s">
        <v>69</v>
      </c>
      <c r="E101" s="21"/>
      <c r="F101" s="21"/>
      <c r="G101" s="8" t="s">
        <v>256</v>
      </c>
      <c r="H101" s="38" t="s">
        <v>286</v>
      </c>
      <c r="I101" s="23">
        <v>50000</v>
      </c>
      <c r="J101" s="24"/>
      <c r="K101" s="11" t="s">
        <v>25</v>
      </c>
      <c r="L101" s="11" t="s">
        <v>30</v>
      </c>
      <c r="M101" s="27">
        <v>1000</v>
      </c>
      <c r="N101" s="27"/>
      <c r="O101" s="21"/>
    </row>
    <row r="102" spans="1:15" x14ac:dyDescent="0.25">
      <c r="A102" s="27"/>
      <c r="B102" s="21" t="s">
        <v>15</v>
      </c>
      <c r="C102" s="69" t="e">
        <f>MATCH(D102,[1]!Tabla1[Consignatario],0)</f>
        <v>#REF!</v>
      </c>
      <c r="D102" s="31" t="s">
        <v>170</v>
      </c>
      <c r="E102" s="21"/>
      <c r="F102" s="21"/>
      <c r="G102" s="30" t="s">
        <v>11</v>
      </c>
      <c r="H102" s="38" t="s">
        <v>335</v>
      </c>
      <c r="I102" s="23">
        <f>30*2500</f>
        <v>75000</v>
      </c>
      <c r="J102" s="24"/>
      <c r="K102" s="11" t="s">
        <v>25</v>
      </c>
      <c r="L102" s="11" t="s">
        <v>30</v>
      </c>
      <c r="M102" s="27">
        <v>2000</v>
      </c>
      <c r="N102" s="27"/>
      <c r="O102" s="21"/>
    </row>
    <row r="103" spans="1:15" x14ac:dyDescent="0.25">
      <c r="A103" s="27"/>
      <c r="B103" s="21"/>
      <c r="C103" s="69" t="e">
        <f>MATCH(D103,[1]!Tabla1[Consignatario],0)</f>
        <v>#REF!</v>
      </c>
      <c r="D103" s="31" t="s">
        <v>170</v>
      </c>
      <c r="E103" s="21"/>
      <c r="F103" s="21"/>
      <c r="G103" s="8" t="s">
        <v>256</v>
      </c>
      <c r="H103" s="38" t="s">
        <v>226</v>
      </c>
      <c r="I103" s="23">
        <v>25000</v>
      </c>
      <c r="J103" s="24"/>
      <c r="K103" s="11" t="s">
        <v>25</v>
      </c>
      <c r="L103" s="25" t="s">
        <v>30</v>
      </c>
      <c r="M103" s="27"/>
      <c r="N103" s="27"/>
      <c r="O103" s="21"/>
    </row>
    <row r="104" spans="1:15" x14ac:dyDescent="0.25">
      <c r="A104" s="27"/>
      <c r="B104" s="21"/>
      <c r="C104" s="69" t="e">
        <f>MATCH(D104,[1]!Tabla1[Consignatario],0)</f>
        <v>#REF!</v>
      </c>
      <c r="D104" s="31" t="s">
        <v>484</v>
      </c>
      <c r="E104" s="21"/>
      <c r="F104" s="21"/>
      <c r="G104" s="30" t="s">
        <v>11</v>
      </c>
      <c r="H104" s="38" t="s">
        <v>40</v>
      </c>
      <c r="I104" s="23">
        <f>9*2500</f>
        <v>22500</v>
      </c>
      <c r="J104" s="24"/>
      <c r="K104" s="11" t="s">
        <v>25</v>
      </c>
      <c r="L104" s="11" t="s">
        <v>30</v>
      </c>
      <c r="M104" s="56">
        <v>1160</v>
      </c>
      <c r="N104" s="27"/>
      <c r="O104" s="21"/>
    </row>
    <row r="105" spans="1:15" x14ac:dyDescent="0.25">
      <c r="A105" s="27"/>
      <c r="B105" s="21"/>
      <c r="C105" s="69" t="e">
        <f>MATCH(D105,[1]!Tabla1[Consignatario],0)</f>
        <v>#REF!</v>
      </c>
      <c r="D105" s="31" t="s">
        <v>484</v>
      </c>
      <c r="E105" s="21"/>
      <c r="F105" s="21"/>
      <c r="G105" s="8" t="s">
        <v>256</v>
      </c>
      <c r="H105" s="38" t="s">
        <v>347</v>
      </c>
      <c r="I105" s="23">
        <v>33000</v>
      </c>
      <c r="J105" s="24"/>
      <c r="K105" s="11" t="s">
        <v>25</v>
      </c>
      <c r="L105" s="11" t="s">
        <v>30</v>
      </c>
      <c r="M105" s="56"/>
      <c r="N105" s="27"/>
      <c r="O105" s="21"/>
    </row>
    <row r="106" spans="1:15" ht="25.5" x14ac:dyDescent="0.25">
      <c r="A106" s="27"/>
      <c r="B106" s="21"/>
      <c r="C106" s="69" t="e">
        <f>MATCH(D106,[1]!Tabla1[Consignatario],0)</f>
        <v>#REF!</v>
      </c>
      <c r="D106" s="31" t="s">
        <v>484</v>
      </c>
      <c r="E106" s="21"/>
      <c r="F106" s="21"/>
      <c r="G106" s="8" t="s">
        <v>138</v>
      </c>
      <c r="H106" s="38" t="s">
        <v>46</v>
      </c>
      <c r="I106" s="23">
        <v>2500</v>
      </c>
      <c r="J106" s="24"/>
      <c r="K106" s="11" t="s">
        <v>25</v>
      </c>
      <c r="L106" s="25" t="s">
        <v>30</v>
      </c>
      <c r="M106" s="56"/>
      <c r="N106" s="27"/>
      <c r="O106" s="21"/>
    </row>
    <row r="107" spans="1:15" x14ac:dyDescent="0.25">
      <c r="A107" s="27" t="s">
        <v>307</v>
      </c>
      <c r="B107" s="21"/>
      <c r="C107" s="69" t="e">
        <f>MATCH(D107,[1]!Tabla1[Consignatario],0)</f>
        <v>#REF!</v>
      </c>
      <c r="D107" s="31" t="s">
        <v>485</v>
      </c>
      <c r="E107" s="21"/>
      <c r="F107" s="21"/>
      <c r="G107" s="30" t="s">
        <v>11</v>
      </c>
      <c r="H107" s="38" t="s">
        <v>289</v>
      </c>
      <c r="I107" s="23">
        <f>7*2500</f>
        <v>17500</v>
      </c>
      <c r="J107" s="24"/>
      <c r="K107" s="11" t="s">
        <v>25</v>
      </c>
      <c r="L107" s="11" t="s">
        <v>30</v>
      </c>
      <c r="M107" s="56">
        <v>510</v>
      </c>
      <c r="N107" s="27"/>
      <c r="O107" s="21"/>
    </row>
    <row r="108" spans="1:15" x14ac:dyDescent="0.25">
      <c r="A108" s="27"/>
      <c r="B108" s="21"/>
      <c r="C108" s="69" t="e">
        <f>MATCH(D108,[1]!Tabla1[Consignatario],0)</f>
        <v>#REF!</v>
      </c>
      <c r="D108" s="31" t="s">
        <v>485</v>
      </c>
      <c r="E108" s="21"/>
      <c r="F108" s="21"/>
      <c r="G108" s="8" t="s">
        <v>256</v>
      </c>
      <c r="H108" s="38" t="s">
        <v>327</v>
      </c>
      <c r="I108" s="23">
        <v>8000</v>
      </c>
      <c r="J108" s="24"/>
      <c r="K108" s="11" t="s">
        <v>25</v>
      </c>
      <c r="L108" s="11" t="s">
        <v>30</v>
      </c>
      <c r="M108" s="56"/>
      <c r="N108" s="27"/>
      <c r="O108" s="21"/>
    </row>
    <row r="109" spans="1:15" ht="26.25" x14ac:dyDescent="0.25">
      <c r="A109" s="27"/>
      <c r="B109" s="21" t="s">
        <v>15</v>
      </c>
      <c r="C109" s="69" t="e">
        <f>MATCH(D109,[1]!Tabla1[Consignatario],0)</f>
        <v>#REF!</v>
      </c>
      <c r="D109" s="31" t="s">
        <v>308</v>
      </c>
      <c r="E109" s="21"/>
      <c r="F109" s="21"/>
      <c r="G109" s="30" t="s">
        <v>11</v>
      </c>
      <c r="H109" s="38" t="s">
        <v>124</v>
      </c>
      <c r="I109" s="23">
        <f>4*2500</f>
        <v>10000</v>
      </c>
      <c r="J109" s="24"/>
      <c r="K109" s="11" t="s">
        <v>25</v>
      </c>
      <c r="L109" s="25" t="s">
        <v>30</v>
      </c>
      <c r="M109" s="59">
        <v>600</v>
      </c>
      <c r="N109" s="27"/>
      <c r="O109" s="21"/>
    </row>
    <row r="110" spans="1:15" ht="26.25" x14ac:dyDescent="0.25">
      <c r="A110" s="27"/>
      <c r="B110" s="21"/>
      <c r="C110" s="69" t="e">
        <f>MATCH(D110,[1]!Tabla1[Consignatario],0)</f>
        <v>#REF!</v>
      </c>
      <c r="D110" s="31" t="s">
        <v>308</v>
      </c>
      <c r="E110" s="21"/>
      <c r="F110" s="21"/>
      <c r="G110" s="8" t="s">
        <v>256</v>
      </c>
      <c r="H110" s="38" t="s">
        <v>345</v>
      </c>
      <c r="I110" s="23">
        <v>20000</v>
      </c>
      <c r="J110" s="24"/>
      <c r="K110" s="11" t="s">
        <v>25</v>
      </c>
      <c r="L110" s="11" t="s">
        <v>30</v>
      </c>
      <c r="M110" s="59"/>
      <c r="N110" s="27"/>
      <c r="O110" s="21"/>
    </row>
    <row r="111" spans="1:15" ht="26.25" x14ac:dyDescent="0.25">
      <c r="A111" s="27"/>
      <c r="B111" s="21"/>
      <c r="C111" s="69" t="e">
        <f>MATCH(D111,[1]!Tabla1[Consignatario],0)</f>
        <v>#REF!</v>
      </c>
      <c r="D111" s="31" t="s">
        <v>172</v>
      </c>
      <c r="E111" s="21"/>
      <c r="F111" s="21"/>
      <c r="G111" s="30" t="s">
        <v>11</v>
      </c>
      <c r="H111" s="38" t="s">
        <v>104</v>
      </c>
      <c r="I111" s="23">
        <f>22*2500</f>
        <v>55000</v>
      </c>
      <c r="J111" s="24"/>
      <c r="K111" s="11" t="s">
        <v>25</v>
      </c>
      <c r="L111" s="11" t="s">
        <v>30</v>
      </c>
      <c r="M111" s="59">
        <v>1820</v>
      </c>
      <c r="N111" s="27"/>
      <c r="O111" s="21"/>
    </row>
    <row r="112" spans="1:15" ht="26.25" x14ac:dyDescent="0.25">
      <c r="A112" s="27"/>
      <c r="B112" s="21"/>
      <c r="C112" s="69" t="e">
        <f>MATCH(D112,[1]!Tabla1[Consignatario],0)</f>
        <v>#REF!</v>
      </c>
      <c r="D112" s="31" t="s">
        <v>172</v>
      </c>
      <c r="E112" s="21"/>
      <c r="F112" s="21"/>
      <c r="G112" s="8" t="s">
        <v>256</v>
      </c>
      <c r="H112" s="38" t="s">
        <v>348</v>
      </c>
      <c r="I112" s="23">
        <v>36000</v>
      </c>
      <c r="J112" s="24"/>
      <c r="K112" s="11" t="s">
        <v>25</v>
      </c>
      <c r="L112" s="25" t="s">
        <v>30</v>
      </c>
      <c r="M112" s="59"/>
      <c r="N112" s="27"/>
      <c r="O112" s="21"/>
    </row>
    <row r="113" spans="1:15" x14ac:dyDescent="0.25">
      <c r="A113" s="27"/>
      <c r="B113" s="21"/>
      <c r="C113" s="69" t="e">
        <f>MATCH(D113,[1]!Tabla1[Consignatario],0)</f>
        <v>#REF!</v>
      </c>
      <c r="D113" s="31" t="s">
        <v>74</v>
      </c>
      <c r="E113" s="21"/>
      <c r="F113" s="21"/>
      <c r="G113" s="30" t="s">
        <v>11</v>
      </c>
      <c r="H113" s="38" t="s">
        <v>41</v>
      </c>
      <c r="I113" s="23">
        <f>14*2500</f>
        <v>35000</v>
      </c>
      <c r="J113" s="24">
        <f>14*50</f>
        <v>700</v>
      </c>
      <c r="K113" s="11" t="s">
        <v>25</v>
      </c>
      <c r="L113" s="11" t="s">
        <v>30</v>
      </c>
      <c r="M113" s="27">
        <v>1264</v>
      </c>
      <c r="N113" s="27"/>
      <c r="O113" s="21"/>
    </row>
    <row r="114" spans="1:15" x14ac:dyDescent="0.25">
      <c r="A114" s="27"/>
      <c r="B114" s="21"/>
      <c r="C114" s="69" t="e">
        <f>MATCH(D114,[1]!Tabla1[Consignatario],0)</f>
        <v>#REF!</v>
      </c>
      <c r="D114" s="31" t="s">
        <v>74</v>
      </c>
      <c r="E114" s="21"/>
      <c r="F114" s="21"/>
      <c r="G114" s="8" t="s">
        <v>256</v>
      </c>
      <c r="H114" s="38" t="s">
        <v>349</v>
      </c>
      <c r="I114" s="23">
        <v>27000</v>
      </c>
      <c r="J114" s="24">
        <f>27*20</f>
        <v>540</v>
      </c>
      <c r="K114" s="11" t="s">
        <v>25</v>
      </c>
      <c r="L114" s="11" t="s">
        <v>30</v>
      </c>
      <c r="M114" s="27"/>
      <c r="N114" s="27"/>
      <c r="O114" s="21"/>
    </row>
    <row r="115" spans="1:15" ht="25.5" x14ac:dyDescent="0.25">
      <c r="A115" s="27"/>
      <c r="B115" s="21"/>
      <c r="C115" s="69" t="e">
        <f>MATCH(D115,[1]!Tabla1[Consignatario],0)</f>
        <v>#REF!</v>
      </c>
      <c r="D115" s="31" t="s">
        <v>74</v>
      </c>
      <c r="E115" s="21"/>
      <c r="F115" s="21"/>
      <c r="G115" s="8" t="s">
        <v>138</v>
      </c>
      <c r="H115" s="38" t="s">
        <v>352</v>
      </c>
      <c r="I115" s="23">
        <f>250*8</f>
        <v>2000</v>
      </c>
      <c r="J115" s="24">
        <v>24</v>
      </c>
      <c r="K115" s="11" t="s">
        <v>25</v>
      </c>
      <c r="L115" s="25" t="s">
        <v>30</v>
      </c>
      <c r="M115" s="27"/>
      <c r="N115" s="27"/>
      <c r="O115" s="21"/>
    </row>
    <row r="116" spans="1:15" ht="26.25" x14ac:dyDescent="0.25">
      <c r="A116" s="27"/>
      <c r="B116" s="21" t="s">
        <v>33</v>
      </c>
      <c r="C116" s="69" t="e">
        <f>MATCH(D116,[1]!Tabla1[Consignatario],0)</f>
        <v>#REF!</v>
      </c>
      <c r="D116" s="31" t="s">
        <v>350</v>
      </c>
      <c r="E116" s="21"/>
      <c r="F116" s="21"/>
      <c r="G116" s="30" t="s">
        <v>11</v>
      </c>
      <c r="H116" s="38" t="s">
        <v>22</v>
      </c>
      <c r="I116" s="23">
        <v>5000</v>
      </c>
      <c r="J116" s="24"/>
      <c r="K116" s="11" t="s">
        <v>25</v>
      </c>
      <c r="L116" s="11" t="s">
        <v>30</v>
      </c>
      <c r="M116" s="27">
        <v>200</v>
      </c>
      <c r="N116" s="27"/>
      <c r="O116" s="21"/>
    </row>
    <row r="117" spans="1:15" ht="26.25" x14ac:dyDescent="0.25">
      <c r="A117" s="27"/>
      <c r="B117" s="21"/>
      <c r="C117" s="69" t="e">
        <f>MATCH(D117,[1]!Tabla1[Consignatario],0)</f>
        <v>#REF!</v>
      </c>
      <c r="D117" s="31" t="s">
        <v>350</v>
      </c>
      <c r="E117" s="21"/>
      <c r="F117" s="21"/>
      <c r="G117" s="8" t="s">
        <v>256</v>
      </c>
      <c r="H117" s="38" t="s">
        <v>45</v>
      </c>
      <c r="I117" s="23">
        <v>3000</v>
      </c>
      <c r="J117" s="24"/>
      <c r="K117" s="11" t="s">
        <v>25</v>
      </c>
      <c r="L117" s="11" t="s">
        <v>30</v>
      </c>
      <c r="M117" s="27"/>
      <c r="N117" s="27"/>
      <c r="O117" s="21"/>
    </row>
    <row r="118" spans="1:15" ht="26.25" x14ac:dyDescent="0.25">
      <c r="A118" s="27"/>
      <c r="B118" s="21"/>
      <c r="C118" s="69" t="e">
        <f>MATCH(D118,[1]!Tabla1[Consignatario],0)</f>
        <v>#REF!</v>
      </c>
      <c r="D118" s="31" t="s">
        <v>350</v>
      </c>
      <c r="E118" s="21"/>
      <c r="F118" s="21"/>
      <c r="G118" s="8" t="s">
        <v>138</v>
      </c>
      <c r="H118" s="38" t="s">
        <v>106</v>
      </c>
      <c r="I118" s="23">
        <f>80*8</f>
        <v>640</v>
      </c>
      <c r="J118" s="24"/>
      <c r="K118" s="11" t="s">
        <v>25</v>
      </c>
      <c r="L118" s="25" t="s">
        <v>30</v>
      </c>
      <c r="M118" s="27"/>
      <c r="N118" s="27"/>
      <c r="O118" s="21"/>
    </row>
    <row r="119" spans="1:15" x14ac:dyDescent="0.25">
      <c r="A119" s="27"/>
      <c r="B119" s="21"/>
      <c r="C119" s="69" t="e">
        <f>MATCH(D119,[1]!Tabla1[Consignatario],0)</f>
        <v>#REF!</v>
      </c>
      <c r="D119" s="31" t="s">
        <v>309</v>
      </c>
      <c r="E119" s="21"/>
      <c r="F119" s="21"/>
      <c r="G119" s="30" t="s">
        <v>11</v>
      </c>
      <c r="H119" s="38" t="s">
        <v>101</v>
      </c>
      <c r="I119" s="23">
        <f>2500*5</f>
        <v>12500</v>
      </c>
      <c r="J119" s="24">
        <v>250</v>
      </c>
      <c r="K119" s="11" t="s">
        <v>25</v>
      </c>
      <c r="L119" s="11" t="s">
        <v>30</v>
      </c>
      <c r="M119" s="56">
        <v>320</v>
      </c>
      <c r="N119" s="27"/>
      <c r="O119" s="21"/>
    </row>
    <row r="120" spans="1:15" x14ac:dyDescent="0.25">
      <c r="A120" s="27"/>
      <c r="B120" s="21"/>
      <c r="C120" s="69" t="e">
        <f>MATCH(D120,[1]!Tabla1[Consignatario],0)</f>
        <v>#REF!</v>
      </c>
      <c r="D120" s="31" t="s">
        <v>309</v>
      </c>
      <c r="E120" s="21"/>
      <c r="F120" s="21"/>
      <c r="G120" s="8" t="s">
        <v>256</v>
      </c>
      <c r="H120" s="38" t="s">
        <v>38</v>
      </c>
      <c r="I120" s="23">
        <v>1000</v>
      </c>
      <c r="J120" s="24">
        <v>20</v>
      </c>
      <c r="K120" s="11" t="s">
        <v>25</v>
      </c>
      <c r="L120" s="11" t="s">
        <v>30</v>
      </c>
      <c r="M120" s="56"/>
      <c r="N120" s="27"/>
      <c r="O120" s="21"/>
    </row>
    <row r="121" spans="1:15" ht="25.5" x14ac:dyDescent="0.25">
      <c r="A121" s="27"/>
      <c r="B121" s="21"/>
      <c r="C121" s="69" t="e">
        <f>MATCH(D121,[1]!Tabla1[Consignatario],0)</f>
        <v>#REF!</v>
      </c>
      <c r="D121" s="31" t="s">
        <v>309</v>
      </c>
      <c r="E121" s="21"/>
      <c r="F121" s="21"/>
      <c r="G121" s="8" t="s">
        <v>138</v>
      </c>
      <c r="H121" s="38" t="s">
        <v>53</v>
      </c>
      <c r="I121" s="23">
        <v>2500</v>
      </c>
      <c r="J121" s="24">
        <v>50</v>
      </c>
      <c r="K121" s="11" t="s">
        <v>25</v>
      </c>
      <c r="L121" s="25" t="s">
        <v>30</v>
      </c>
      <c r="M121" s="56"/>
      <c r="N121" s="27"/>
      <c r="O121" s="21"/>
    </row>
    <row r="122" spans="1:15" ht="26.25" x14ac:dyDescent="0.25">
      <c r="A122" s="27"/>
      <c r="B122" s="21"/>
      <c r="C122" s="69" t="e">
        <f>MATCH(D122,[1]!Tabla1[Consignatario],0)</f>
        <v>#REF!</v>
      </c>
      <c r="D122" s="31" t="s">
        <v>486</v>
      </c>
      <c r="E122" s="21"/>
      <c r="F122" s="21"/>
      <c r="G122" s="30" t="s">
        <v>11</v>
      </c>
      <c r="H122" s="38" t="s">
        <v>125</v>
      </c>
      <c r="I122" s="23">
        <f>2500*6</f>
        <v>15000</v>
      </c>
      <c r="J122" s="24"/>
      <c r="K122" s="11" t="s">
        <v>25</v>
      </c>
      <c r="L122" s="11" t="s">
        <v>30</v>
      </c>
      <c r="M122" s="56">
        <v>300</v>
      </c>
      <c r="N122" s="27"/>
      <c r="O122" s="21"/>
    </row>
    <row r="123" spans="1:15" ht="26.25" x14ac:dyDescent="0.25">
      <c r="A123" s="27"/>
      <c r="B123" s="21"/>
      <c r="C123" s="69" t="e">
        <f>MATCH(D123,[1]!Tabla1[Consignatario],0)</f>
        <v>#REF!</v>
      </c>
      <c r="D123" s="31" t="s">
        <v>310</v>
      </c>
      <c r="E123" s="21"/>
      <c r="F123" s="21"/>
      <c r="G123" s="30" t="s">
        <v>11</v>
      </c>
      <c r="H123" s="38" t="s">
        <v>225</v>
      </c>
      <c r="I123" s="23">
        <f>20*50</f>
        <v>1000</v>
      </c>
      <c r="J123" s="24"/>
      <c r="K123" s="11" t="s">
        <v>25</v>
      </c>
      <c r="L123" s="11" t="s">
        <v>30</v>
      </c>
      <c r="M123" s="27">
        <v>1000</v>
      </c>
      <c r="N123" s="27"/>
      <c r="O123" s="21"/>
    </row>
    <row r="124" spans="1:15" ht="26.25" x14ac:dyDescent="0.25">
      <c r="A124" s="27">
        <v>29</v>
      </c>
      <c r="B124" s="21"/>
      <c r="C124" s="69" t="e">
        <f>MATCH(D124,[1]!Tabla1[Consignatario],0)</f>
        <v>#REF!</v>
      </c>
      <c r="D124" s="31" t="s">
        <v>311</v>
      </c>
      <c r="E124" s="21"/>
      <c r="F124" s="21"/>
      <c r="G124" s="30" t="s">
        <v>11</v>
      </c>
      <c r="H124" s="38" t="s">
        <v>277</v>
      </c>
      <c r="I124" s="23">
        <f>28*2500</f>
        <v>70000</v>
      </c>
      <c r="J124" s="24"/>
      <c r="K124" s="11" t="s">
        <v>25</v>
      </c>
      <c r="L124" s="25" t="s">
        <v>30</v>
      </c>
      <c r="M124" s="27">
        <v>2000</v>
      </c>
      <c r="N124" s="27"/>
      <c r="O124" s="21"/>
    </row>
    <row r="125" spans="1:15" ht="26.25" x14ac:dyDescent="0.25">
      <c r="A125" s="27"/>
      <c r="B125" s="21"/>
      <c r="C125" s="69" t="e">
        <f>MATCH(D125,[1]!Tabla1[Consignatario],0)</f>
        <v>#REF!</v>
      </c>
      <c r="D125" s="31" t="s">
        <v>311</v>
      </c>
      <c r="E125" s="21"/>
      <c r="F125" s="21"/>
      <c r="G125" s="8" t="s">
        <v>256</v>
      </c>
      <c r="H125" s="38" t="s">
        <v>336</v>
      </c>
      <c r="I125" s="23">
        <v>30000</v>
      </c>
      <c r="J125" s="24"/>
      <c r="K125" s="11" t="s">
        <v>25</v>
      </c>
      <c r="L125" s="11" t="s">
        <v>30</v>
      </c>
      <c r="M125" s="27"/>
      <c r="N125" s="27"/>
      <c r="O125" s="21"/>
    </row>
    <row r="126" spans="1:15" ht="26.25" x14ac:dyDescent="0.25">
      <c r="A126" s="27"/>
      <c r="B126" s="21"/>
      <c r="C126" s="69" t="e">
        <f>MATCH(D126,[1]!Tabla1[Consignatario],0)</f>
        <v>#REF!</v>
      </c>
      <c r="D126" s="31" t="s">
        <v>119</v>
      </c>
      <c r="E126" s="21"/>
      <c r="F126" s="21"/>
      <c r="G126" s="30" t="s">
        <v>11</v>
      </c>
      <c r="H126" s="38" t="s">
        <v>22</v>
      </c>
      <c r="I126" s="23">
        <v>5000</v>
      </c>
      <c r="J126" s="24">
        <v>100</v>
      </c>
      <c r="K126" s="11" t="s">
        <v>25</v>
      </c>
      <c r="L126" s="11" t="s">
        <v>30</v>
      </c>
      <c r="M126" s="27">
        <v>500</v>
      </c>
      <c r="N126" s="27"/>
      <c r="O126" s="21"/>
    </row>
    <row r="127" spans="1:15" ht="26.25" x14ac:dyDescent="0.25">
      <c r="A127" s="27"/>
      <c r="B127" s="21"/>
      <c r="C127" s="69" t="e">
        <f>MATCH(D127,[1]!Tabla1[Consignatario],0)</f>
        <v>#REF!</v>
      </c>
      <c r="D127" s="31" t="s">
        <v>119</v>
      </c>
      <c r="E127" s="21"/>
      <c r="F127" s="21"/>
      <c r="G127" s="8" t="s">
        <v>138</v>
      </c>
      <c r="H127" s="38" t="s">
        <v>351</v>
      </c>
      <c r="I127" s="23">
        <f>8*2500</f>
        <v>20000</v>
      </c>
      <c r="J127" s="24">
        <f>20000*2/100</f>
        <v>400</v>
      </c>
      <c r="K127" s="11" t="s">
        <v>25</v>
      </c>
      <c r="L127" s="25" t="s">
        <v>30</v>
      </c>
      <c r="M127" s="48"/>
      <c r="N127" s="27"/>
      <c r="O127" s="21"/>
    </row>
    <row r="128" spans="1:15" x14ac:dyDescent="0.25">
      <c r="A128" s="27"/>
      <c r="B128" s="21"/>
      <c r="C128" s="69" t="e">
        <f>MATCH(D128,[1]!Tabla1[Consignatario],0)</f>
        <v>#REF!</v>
      </c>
      <c r="D128" s="31" t="s">
        <v>80</v>
      </c>
      <c r="E128" s="21"/>
      <c r="F128" s="21"/>
      <c r="G128" s="30" t="s">
        <v>11</v>
      </c>
      <c r="H128" s="38" t="s">
        <v>125</v>
      </c>
      <c r="I128" s="23">
        <f>6*2500</f>
        <v>15000</v>
      </c>
      <c r="J128" s="24"/>
      <c r="K128" s="11" t="s">
        <v>25</v>
      </c>
      <c r="L128" s="11" t="s">
        <v>30</v>
      </c>
      <c r="M128" s="50">
        <v>340</v>
      </c>
      <c r="N128" s="27"/>
      <c r="O128" s="21"/>
    </row>
    <row r="129" spans="1:15" x14ac:dyDescent="0.25">
      <c r="A129" s="27"/>
      <c r="B129" s="21"/>
      <c r="C129" s="69" t="e">
        <f>MATCH(D129,[1]!Tabla1[Consignatario],0)</f>
        <v>#REF!</v>
      </c>
      <c r="D129" s="31" t="s">
        <v>80</v>
      </c>
      <c r="E129" s="21"/>
      <c r="F129" s="21"/>
      <c r="G129" s="8" t="s">
        <v>256</v>
      </c>
      <c r="H129" s="38" t="s">
        <v>37</v>
      </c>
      <c r="I129" s="23">
        <v>2000</v>
      </c>
      <c r="J129" s="24"/>
      <c r="K129" s="11" t="s">
        <v>25</v>
      </c>
      <c r="L129" s="11" t="s">
        <v>30</v>
      </c>
      <c r="M129" s="55"/>
      <c r="N129" s="27"/>
      <c r="O129" s="21"/>
    </row>
    <row r="130" spans="1:15" ht="26.25" x14ac:dyDescent="0.25">
      <c r="A130" s="27"/>
      <c r="B130" s="21"/>
      <c r="C130" s="69" t="e">
        <f>MATCH(D130,[1]!Tabla1[Consignatario],0)</f>
        <v>#REF!</v>
      </c>
      <c r="D130" s="31" t="s">
        <v>312</v>
      </c>
      <c r="E130" s="21"/>
      <c r="F130" s="21"/>
      <c r="G130" s="30" t="s">
        <v>11</v>
      </c>
      <c r="H130" s="38" t="s">
        <v>115</v>
      </c>
      <c r="I130" s="23">
        <f>8*2500</f>
        <v>20000</v>
      </c>
      <c r="J130" s="24"/>
      <c r="K130" s="11" t="s">
        <v>25</v>
      </c>
      <c r="L130" s="25" t="s">
        <v>30</v>
      </c>
      <c r="M130" s="51">
        <v>500</v>
      </c>
      <c r="N130" s="27"/>
      <c r="O130" s="21"/>
    </row>
    <row r="131" spans="1:15" ht="26.25" x14ac:dyDescent="0.25">
      <c r="A131" s="27"/>
      <c r="B131" s="21"/>
      <c r="C131" s="69" t="e">
        <f>MATCH(D131,[1]!Tabla1[Consignatario],0)</f>
        <v>#REF!</v>
      </c>
      <c r="D131" s="31" t="s">
        <v>312</v>
      </c>
      <c r="E131" s="21"/>
      <c r="F131" s="21"/>
      <c r="G131" s="8" t="s">
        <v>256</v>
      </c>
      <c r="H131" s="38" t="s">
        <v>38</v>
      </c>
      <c r="I131" s="23">
        <v>1000</v>
      </c>
      <c r="J131" s="24"/>
      <c r="K131" s="11" t="s">
        <v>25</v>
      </c>
      <c r="L131" s="11" t="s">
        <v>30</v>
      </c>
      <c r="M131" s="55"/>
      <c r="N131" s="27"/>
      <c r="O131" s="21"/>
    </row>
    <row r="132" spans="1:15" ht="26.25" x14ac:dyDescent="0.25">
      <c r="A132" s="27"/>
      <c r="B132" s="21"/>
      <c r="C132" s="69" t="e">
        <f>MATCH(D132,[1]!Tabla1[Consignatario],0)</f>
        <v>#REF!</v>
      </c>
      <c r="D132" s="31" t="s">
        <v>312</v>
      </c>
      <c r="E132" s="21"/>
      <c r="F132" s="21"/>
      <c r="G132" s="8" t="s">
        <v>138</v>
      </c>
      <c r="H132" s="38" t="s">
        <v>352</v>
      </c>
      <c r="I132" s="23">
        <f>150*8</f>
        <v>1200</v>
      </c>
      <c r="J132" s="24"/>
      <c r="K132" s="11" t="s">
        <v>25</v>
      </c>
      <c r="L132" s="11" t="s">
        <v>30</v>
      </c>
      <c r="M132" s="55"/>
      <c r="N132" s="27"/>
      <c r="O132" s="21"/>
    </row>
    <row r="133" spans="1:15" x14ac:dyDescent="0.25">
      <c r="A133" s="27"/>
      <c r="B133" s="21"/>
      <c r="C133" s="69" t="e">
        <f>MATCH(D133,[1]!Tabla1[Consignatario],0)</f>
        <v>#REF!</v>
      </c>
      <c r="D133" s="71" t="s">
        <v>487</v>
      </c>
      <c r="E133" s="21"/>
      <c r="F133" s="21"/>
      <c r="G133" s="30" t="s">
        <v>11</v>
      </c>
      <c r="H133" s="38" t="s">
        <v>22</v>
      </c>
      <c r="I133" s="23">
        <v>5000</v>
      </c>
      <c r="J133" s="24"/>
      <c r="K133" s="11" t="s">
        <v>25</v>
      </c>
      <c r="L133" s="25" t="s">
        <v>30</v>
      </c>
      <c r="M133" s="50">
        <v>600</v>
      </c>
      <c r="N133" s="27"/>
      <c r="O133" s="21"/>
    </row>
    <row r="134" spans="1:15" x14ac:dyDescent="0.25">
      <c r="A134" s="27"/>
      <c r="B134" s="21"/>
      <c r="C134" s="69" t="e">
        <f>MATCH(D134,[1]!Tabla1[Consignatario],0)</f>
        <v>#REF!</v>
      </c>
      <c r="D134" s="71" t="s">
        <v>487</v>
      </c>
      <c r="E134" s="21"/>
      <c r="F134" s="21"/>
      <c r="G134" s="8" t="s">
        <v>256</v>
      </c>
      <c r="H134" s="38" t="s">
        <v>353</v>
      </c>
      <c r="I134" s="23">
        <v>17000</v>
      </c>
      <c r="J134" s="24"/>
      <c r="K134" s="11" t="s">
        <v>25</v>
      </c>
      <c r="L134" s="11" t="s">
        <v>30</v>
      </c>
      <c r="M134" s="55"/>
      <c r="N134" s="27"/>
      <c r="O134" s="21"/>
    </row>
    <row r="135" spans="1:15" ht="26.25" x14ac:dyDescent="0.25">
      <c r="A135" s="27"/>
      <c r="B135" s="21"/>
      <c r="C135" s="69" t="e">
        <f>MATCH(D135,[1]!Tabla1[Consignatario],0)</f>
        <v>#REF!</v>
      </c>
      <c r="D135" s="31" t="s">
        <v>313</v>
      </c>
      <c r="E135" s="21"/>
      <c r="F135" s="21"/>
      <c r="G135" s="30" t="s">
        <v>11</v>
      </c>
      <c r="H135" s="38" t="s">
        <v>125</v>
      </c>
      <c r="I135" s="23">
        <f>6*2500</f>
        <v>15000</v>
      </c>
      <c r="J135" s="24"/>
      <c r="K135" s="11" t="s">
        <v>25</v>
      </c>
      <c r="L135" s="11" t="s">
        <v>30</v>
      </c>
      <c r="M135" s="51">
        <v>750</v>
      </c>
      <c r="N135" s="27"/>
      <c r="O135" s="21"/>
    </row>
    <row r="136" spans="1:15" ht="26.25" x14ac:dyDescent="0.25">
      <c r="A136" s="27"/>
      <c r="B136" s="21"/>
      <c r="C136" s="69" t="e">
        <f>MATCH(D136,[1]!Tabla1[Consignatario],0)</f>
        <v>#REF!</v>
      </c>
      <c r="D136" s="31" t="s">
        <v>313</v>
      </c>
      <c r="E136" s="21"/>
      <c r="F136" s="21"/>
      <c r="G136" s="30" t="s">
        <v>11</v>
      </c>
      <c r="H136" s="38" t="s">
        <v>71</v>
      </c>
      <c r="I136" s="23">
        <v>14000</v>
      </c>
      <c r="J136" s="24"/>
      <c r="K136" s="11" t="s">
        <v>25</v>
      </c>
      <c r="L136" s="25" t="s">
        <v>30</v>
      </c>
      <c r="M136" s="51"/>
      <c r="N136" s="27"/>
      <c r="O136" s="21"/>
    </row>
    <row r="137" spans="1:15" ht="26.25" x14ac:dyDescent="0.25">
      <c r="A137" s="27"/>
      <c r="B137" s="21"/>
      <c r="C137" s="69" t="e">
        <f>MATCH(D137,[1]!Tabla1[Consignatario],0)</f>
        <v>#REF!</v>
      </c>
      <c r="D137" s="31" t="s">
        <v>313</v>
      </c>
      <c r="E137" s="21"/>
      <c r="F137" s="21"/>
      <c r="G137" s="8" t="s">
        <v>138</v>
      </c>
      <c r="H137" s="38" t="s">
        <v>135</v>
      </c>
      <c r="I137" s="23">
        <v>5000</v>
      </c>
      <c r="J137" s="24"/>
      <c r="K137" s="11" t="s">
        <v>25</v>
      </c>
      <c r="L137" s="11" t="s">
        <v>30</v>
      </c>
      <c r="M137" s="51"/>
      <c r="N137" s="27"/>
      <c r="O137" s="21"/>
    </row>
    <row r="138" spans="1:15" ht="26.25" x14ac:dyDescent="0.25">
      <c r="A138" s="27"/>
      <c r="B138" s="21"/>
      <c r="C138" s="69" t="e">
        <f>MATCH(D138,[1]!Tabla1[Consignatario],0)</f>
        <v>#REF!</v>
      </c>
      <c r="D138" s="31" t="s">
        <v>313</v>
      </c>
      <c r="E138" s="21"/>
      <c r="F138" s="21"/>
      <c r="G138" s="30" t="s">
        <v>11</v>
      </c>
      <c r="H138" s="38" t="s">
        <v>152</v>
      </c>
      <c r="I138" s="23">
        <v>2000</v>
      </c>
      <c r="J138" s="24"/>
      <c r="K138" s="11" t="s">
        <v>25</v>
      </c>
      <c r="L138" s="11" t="s">
        <v>30</v>
      </c>
      <c r="M138" s="51"/>
      <c r="N138" s="27"/>
      <c r="O138" s="21"/>
    </row>
    <row r="139" spans="1:15" ht="26.25" x14ac:dyDescent="0.25">
      <c r="A139" s="27"/>
      <c r="B139" s="21"/>
      <c r="C139" s="69" t="e">
        <f>MATCH(D139,[1]!Tabla1[Consignatario],0)</f>
        <v>#REF!</v>
      </c>
      <c r="D139" s="31" t="s">
        <v>314</v>
      </c>
      <c r="E139" s="21"/>
      <c r="F139" s="21"/>
      <c r="G139" s="30" t="s">
        <v>11</v>
      </c>
      <c r="H139" s="38" t="s">
        <v>22</v>
      </c>
      <c r="I139" s="23">
        <v>5000</v>
      </c>
      <c r="J139" s="24">
        <v>100</v>
      </c>
      <c r="K139" s="11" t="s">
        <v>25</v>
      </c>
      <c r="L139" s="25" t="s">
        <v>30</v>
      </c>
      <c r="M139" s="27">
        <v>190</v>
      </c>
      <c r="N139" s="27"/>
      <c r="O139" s="21"/>
    </row>
    <row r="140" spans="1:15" ht="26.25" x14ac:dyDescent="0.25">
      <c r="A140" s="27"/>
      <c r="B140" s="21"/>
      <c r="C140" s="69" t="e">
        <f>MATCH(D140,[1]!Tabla1[Consignatario],0)</f>
        <v>#REF!</v>
      </c>
      <c r="D140" s="31" t="s">
        <v>314</v>
      </c>
      <c r="E140" s="21"/>
      <c r="F140" s="21"/>
      <c r="G140" s="8" t="s">
        <v>138</v>
      </c>
      <c r="H140" s="38" t="s">
        <v>53</v>
      </c>
      <c r="I140" s="23">
        <v>2500</v>
      </c>
      <c r="J140" s="24">
        <v>50</v>
      </c>
      <c r="K140" s="11" t="s">
        <v>25</v>
      </c>
      <c r="L140" s="11" t="s">
        <v>30</v>
      </c>
      <c r="M140" s="27"/>
      <c r="N140" s="27"/>
      <c r="O140" s="21"/>
    </row>
    <row r="141" spans="1:15" ht="26.25" x14ac:dyDescent="0.25">
      <c r="A141" s="27"/>
      <c r="B141" s="21"/>
      <c r="C141" s="69" t="e">
        <f>MATCH(D141,[1]!Tabla1[Consignatario],0)</f>
        <v>#REF!</v>
      </c>
      <c r="D141" s="31" t="s">
        <v>314</v>
      </c>
      <c r="E141" s="21"/>
      <c r="F141" s="21"/>
      <c r="G141" s="30" t="s">
        <v>11</v>
      </c>
      <c r="H141" s="38" t="s">
        <v>152</v>
      </c>
      <c r="I141" s="23">
        <v>2000</v>
      </c>
      <c r="J141" s="24">
        <v>40</v>
      </c>
      <c r="K141" s="11" t="s">
        <v>25</v>
      </c>
      <c r="L141" s="11" t="s">
        <v>30</v>
      </c>
      <c r="M141" s="27"/>
      <c r="N141" s="27"/>
      <c r="O141" s="21"/>
    </row>
    <row r="142" spans="1:15" ht="26.25" x14ac:dyDescent="0.25">
      <c r="A142" s="27"/>
      <c r="B142" s="21"/>
      <c r="C142" s="69" t="e">
        <f>MATCH(D142,[1]!Tabla1[Consignatario],0)</f>
        <v>#REF!</v>
      </c>
      <c r="D142" s="31" t="s">
        <v>488</v>
      </c>
      <c r="E142" s="21"/>
      <c r="F142" s="21"/>
      <c r="G142" s="30" t="s">
        <v>11</v>
      </c>
      <c r="H142" s="38" t="s">
        <v>101</v>
      </c>
      <c r="I142" s="23">
        <v>12500</v>
      </c>
      <c r="J142" s="24"/>
      <c r="K142" s="11" t="s">
        <v>25</v>
      </c>
      <c r="L142" s="25" t="s">
        <v>30</v>
      </c>
      <c r="M142" s="27">
        <v>670</v>
      </c>
      <c r="N142" s="27"/>
      <c r="O142" s="21"/>
    </row>
    <row r="143" spans="1:15" ht="26.25" x14ac:dyDescent="0.25">
      <c r="A143" s="27"/>
      <c r="B143" s="21"/>
      <c r="C143" s="69" t="e">
        <f>MATCH(D143,[1]!Tabla1[Consignatario],0)</f>
        <v>#REF!</v>
      </c>
      <c r="D143" s="31" t="s">
        <v>488</v>
      </c>
      <c r="E143" s="21"/>
      <c r="F143" s="21"/>
      <c r="G143" s="8" t="s">
        <v>256</v>
      </c>
      <c r="H143" s="38" t="s">
        <v>237</v>
      </c>
      <c r="I143" s="23">
        <v>16000</v>
      </c>
      <c r="J143" s="24"/>
      <c r="K143" s="11" t="s">
        <v>25</v>
      </c>
      <c r="L143" s="11" t="s">
        <v>30</v>
      </c>
      <c r="M143" s="27"/>
      <c r="N143" s="27"/>
      <c r="O143" s="21"/>
    </row>
    <row r="144" spans="1:15" ht="26.25" x14ac:dyDescent="0.25">
      <c r="A144" s="27"/>
      <c r="B144" s="21"/>
      <c r="C144" s="69" t="e">
        <f>MATCH(D144,[1]!Tabla1[Consignatario],0)</f>
        <v>#REF!</v>
      </c>
      <c r="D144" s="31" t="s">
        <v>488</v>
      </c>
      <c r="E144" s="21"/>
      <c r="F144" s="21"/>
      <c r="G144" s="8" t="s">
        <v>138</v>
      </c>
      <c r="H144" s="38" t="s">
        <v>287</v>
      </c>
      <c r="I144" s="23">
        <v>5000</v>
      </c>
      <c r="J144" s="24"/>
      <c r="K144" s="11" t="s">
        <v>25</v>
      </c>
      <c r="L144" s="11" t="s">
        <v>30</v>
      </c>
      <c r="M144" s="27"/>
      <c r="N144" s="27"/>
      <c r="O144" s="21"/>
    </row>
    <row r="145" spans="1:15" ht="26.25" x14ac:dyDescent="0.25">
      <c r="A145" s="27" t="s">
        <v>315</v>
      </c>
      <c r="B145" s="21"/>
      <c r="C145" s="69" t="e">
        <f>MATCH(D145,[1]!Tabla1[Consignatario],0)</f>
        <v>#REF!</v>
      </c>
      <c r="D145" s="31" t="s">
        <v>83</v>
      </c>
      <c r="E145" s="21"/>
      <c r="F145" s="21"/>
      <c r="G145" s="30" t="s">
        <v>11</v>
      </c>
      <c r="H145" s="38" t="s">
        <v>115</v>
      </c>
      <c r="I145" s="23">
        <f>8*2500</f>
        <v>20000</v>
      </c>
      <c r="J145" s="24"/>
      <c r="K145" s="11" t="s">
        <v>25</v>
      </c>
      <c r="L145" s="25" t="s">
        <v>30</v>
      </c>
      <c r="M145" s="27">
        <v>400</v>
      </c>
      <c r="N145" s="27"/>
      <c r="O145" s="21"/>
    </row>
    <row r="146" spans="1:15" ht="26.25" x14ac:dyDescent="0.25">
      <c r="A146" s="27"/>
      <c r="B146" s="21"/>
      <c r="C146" s="69" t="e">
        <f>MATCH(D146,[1]!Tabla1[Consignatario],0)</f>
        <v>#REF!</v>
      </c>
      <c r="D146" s="31" t="s">
        <v>316</v>
      </c>
      <c r="E146" s="21"/>
      <c r="F146" s="21"/>
      <c r="G146" s="30" t="s">
        <v>11</v>
      </c>
      <c r="H146" s="38" t="s">
        <v>354</v>
      </c>
      <c r="I146" s="23">
        <f>32*2500</f>
        <v>80000</v>
      </c>
      <c r="J146" s="24">
        <f>32*50</f>
        <v>1600</v>
      </c>
      <c r="K146" s="11" t="s">
        <v>25</v>
      </c>
      <c r="L146" s="11" t="s">
        <v>30</v>
      </c>
      <c r="M146" s="102">
        <v>2000</v>
      </c>
      <c r="N146" s="27"/>
      <c r="O146" s="99" t="s">
        <v>362</v>
      </c>
    </row>
    <row r="147" spans="1:15" ht="26.25" x14ac:dyDescent="0.25">
      <c r="A147" s="27"/>
      <c r="B147" s="21"/>
      <c r="C147" s="69" t="e">
        <f>MATCH(D147,[1]!Tabla1[Consignatario],0)</f>
        <v>#REF!</v>
      </c>
      <c r="D147" s="31" t="s">
        <v>316</v>
      </c>
      <c r="E147" s="21"/>
      <c r="F147" s="21"/>
      <c r="G147" s="8" t="s">
        <v>256</v>
      </c>
      <c r="H147" s="38" t="s">
        <v>93</v>
      </c>
      <c r="I147" s="23">
        <v>12000</v>
      </c>
      <c r="J147" s="24">
        <f>12*20</f>
        <v>240</v>
      </c>
      <c r="K147" s="11" t="s">
        <v>25</v>
      </c>
      <c r="L147" s="11" t="s">
        <v>30</v>
      </c>
      <c r="M147" s="103"/>
      <c r="N147" s="27"/>
      <c r="O147" s="100"/>
    </row>
    <row r="148" spans="1:15" ht="26.25" x14ac:dyDescent="0.25">
      <c r="A148" s="27"/>
      <c r="B148" s="21"/>
      <c r="C148" s="69" t="e">
        <f>MATCH(D148,[1]!Tabla1[Consignatario],0)</f>
        <v>#REF!</v>
      </c>
      <c r="D148" s="31" t="s">
        <v>316</v>
      </c>
      <c r="E148" s="21"/>
      <c r="F148" s="21"/>
      <c r="G148" s="8" t="s">
        <v>138</v>
      </c>
      <c r="H148" s="38" t="s">
        <v>164</v>
      </c>
      <c r="I148" s="23">
        <f>4*2500</f>
        <v>10000</v>
      </c>
      <c r="J148" s="24">
        <f>4*50</f>
        <v>200</v>
      </c>
      <c r="K148" s="11" t="s">
        <v>25</v>
      </c>
      <c r="L148" s="25" t="s">
        <v>30</v>
      </c>
      <c r="M148" s="103"/>
      <c r="N148" s="27"/>
      <c r="O148" s="101"/>
    </row>
    <row r="149" spans="1:15" ht="26.25" x14ac:dyDescent="0.25">
      <c r="A149" s="27"/>
      <c r="B149" s="21"/>
      <c r="C149" s="69" t="e">
        <f>MATCH(D149,[1]!Tabla1[Consignatario],0)</f>
        <v>#REF!</v>
      </c>
      <c r="D149" s="31" t="s">
        <v>489</v>
      </c>
      <c r="E149" s="21"/>
      <c r="F149" s="21"/>
      <c r="G149" s="30" t="s">
        <v>11</v>
      </c>
      <c r="H149" s="38" t="s">
        <v>115</v>
      </c>
      <c r="I149" s="23">
        <f>8*2500</f>
        <v>20000</v>
      </c>
      <c r="J149" s="24"/>
      <c r="K149" s="11" t="s">
        <v>25</v>
      </c>
      <c r="L149" s="11" t="s">
        <v>30</v>
      </c>
      <c r="M149" s="51">
        <v>460</v>
      </c>
      <c r="N149" s="27"/>
      <c r="O149" s="21"/>
    </row>
    <row r="150" spans="1:15" ht="26.25" x14ac:dyDescent="0.25">
      <c r="A150" s="27"/>
      <c r="B150" s="21"/>
      <c r="C150" s="69" t="e">
        <f>MATCH(D150,[1]!Tabla1[Consignatario],0)</f>
        <v>#REF!</v>
      </c>
      <c r="D150" s="31" t="s">
        <v>489</v>
      </c>
      <c r="E150" s="21"/>
      <c r="F150" s="21"/>
      <c r="G150" s="8" t="s">
        <v>256</v>
      </c>
      <c r="H150" s="38" t="s">
        <v>45</v>
      </c>
      <c r="I150" s="23">
        <v>3000</v>
      </c>
      <c r="J150" s="24"/>
      <c r="K150" s="11" t="s">
        <v>25</v>
      </c>
      <c r="L150" s="11" t="s">
        <v>30</v>
      </c>
      <c r="M150" s="55"/>
      <c r="N150" s="27"/>
      <c r="O150" s="21"/>
    </row>
    <row r="151" spans="1:15" ht="26.25" x14ac:dyDescent="0.25">
      <c r="A151" s="27"/>
      <c r="B151" s="21"/>
      <c r="C151" s="69" t="e">
        <f>MATCH(D151,[1]!Tabla1[Consignatario],0)</f>
        <v>#REF!</v>
      </c>
      <c r="D151" s="31" t="s">
        <v>317</v>
      </c>
      <c r="E151" s="21"/>
      <c r="F151" s="21"/>
      <c r="G151" s="30" t="s">
        <v>11</v>
      </c>
      <c r="H151" s="38" t="s">
        <v>101</v>
      </c>
      <c r="I151" s="23">
        <f>5*2500</f>
        <v>12500</v>
      </c>
      <c r="J151" s="24"/>
      <c r="K151" s="11" t="s">
        <v>25</v>
      </c>
      <c r="L151" s="25" t="s">
        <v>30</v>
      </c>
      <c r="M151" s="50">
        <v>270</v>
      </c>
      <c r="N151" s="27"/>
      <c r="O151" s="21"/>
    </row>
    <row r="152" spans="1:15" ht="26.25" x14ac:dyDescent="0.25">
      <c r="A152" s="27"/>
      <c r="B152" s="21"/>
      <c r="C152" s="69" t="e">
        <f>MATCH(D152,[1]!Tabla1[Consignatario],0)</f>
        <v>#REF!</v>
      </c>
      <c r="D152" s="31" t="s">
        <v>317</v>
      </c>
      <c r="E152" s="21"/>
      <c r="F152" s="21"/>
      <c r="G152" s="8" t="s">
        <v>256</v>
      </c>
      <c r="H152" s="38" t="s">
        <v>38</v>
      </c>
      <c r="I152" s="23">
        <v>1000</v>
      </c>
      <c r="J152" s="24"/>
      <c r="K152" s="11" t="s">
        <v>25</v>
      </c>
      <c r="L152" s="11" t="s">
        <v>30</v>
      </c>
      <c r="M152" s="55"/>
      <c r="N152" s="27"/>
      <c r="O152" s="21"/>
    </row>
    <row r="153" spans="1:15" x14ac:dyDescent="0.25">
      <c r="A153" s="27"/>
      <c r="B153" s="21"/>
      <c r="C153" s="69" t="e">
        <f>MATCH(D153,[1]!Tabla1[Consignatario],0)</f>
        <v>#REF!</v>
      </c>
      <c r="D153" s="31" t="s">
        <v>318</v>
      </c>
      <c r="E153" s="21"/>
      <c r="F153" s="21"/>
      <c r="G153" s="8" t="s">
        <v>256</v>
      </c>
      <c r="H153" s="38" t="s">
        <v>45</v>
      </c>
      <c r="I153" s="23">
        <v>3000</v>
      </c>
      <c r="J153" s="24"/>
      <c r="K153" s="11" t="s">
        <v>25</v>
      </c>
      <c r="L153" s="11" t="s">
        <v>30</v>
      </c>
      <c r="M153" s="51">
        <v>60</v>
      </c>
      <c r="N153" s="27"/>
      <c r="O153" s="21"/>
    </row>
    <row r="154" spans="1:15" ht="26.25" x14ac:dyDescent="0.25">
      <c r="A154" s="27"/>
      <c r="B154" s="21"/>
      <c r="C154" s="69" t="e">
        <f>MATCH(D154,[1]!Tabla1[Consignatario],0)</f>
        <v>#REF!</v>
      </c>
      <c r="D154" s="31" t="s">
        <v>319</v>
      </c>
      <c r="E154" s="21"/>
      <c r="F154" s="21"/>
      <c r="G154" s="30" t="s">
        <v>11</v>
      </c>
      <c r="H154" s="38" t="s">
        <v>48</v>
      </c>
      <c r="I154" s="23">
        <v>2500</v>
      </c>
      <c r="J154" s="24"/>
      <c r="K154" s="11" t="s">
        <v>25</v>
      </c>
      <c r="L154" s="25" t="s">
        <v>30</v>
      </c>
      <c r="M154" s="50">
        <v>70</v>
      </c>
      <c r="N154" s="27"/>
      <c r="O154" s="21"/>
    </row>
    <row r="155" spans="1:15" ht="26.25" x14ac:dyDescent="0.25">
      <c r="A155" s="27"/>
      <c r="B155" s="21"/>
      <c r="C155" s="69" t="e">
        <f>MATCH(D155,[1]!Tabla1[Consignatario],0)</f>
        <v>#REF!</v>
      </c>
      <c r="D155" s="31" t="s">
        <v>319</v>
      </c>
      <c r="E155" s="21"/>
      <c r="F155" s="21"/>
      <c r="G155" s="8" t="s">
        <v>256</v>
      </c>
      <c r="H155" s="38" t="s">
        <v>38</v>
      </c>
      <c r="I155" s="23">
        <v>1000</v>
      </c>
      <c r="J155" s="24"/>
      <c r="K155" s="11" t="s">
        <v>25</v>
      </c>
      <c r="L155" s="11" t="s">
        <v>30</v>
      </c>
      <c r="M155" s="55"/>
      <c r="N155" s="27"/>
      <c r="O155" s="21"/>
    </row>
    <row r="156" spans="1:15" ht="26.25" x14ac:dyDescent="0.25">
      <c r="A156" s="27"/>
      <c r="B156" s="21" t="s">
        <v>15</v>
      </c>
      <c r="C156" s="69" t="e">
        <f>MATCH(D156,[1]!Tabla1[Consignatario],0)</f>
        <v>#REF!</v>
      </c>
      <c r="D156" s="31" t="s">
        <v>490</v>
      </c>
      <c r="E156" s="21"/>
      <c r="F156" s="21"/>
      <c r="G156" s="30" t="s">
        <v>11</v>
      </c>
      <c r="H156" s="38" t="s">
        <v>277</v>
      </c>
      <c r="I156" s="23">
        <f>28*2500</f>
        <v>70000</v>
      </c>
      <c r="J156" s="24">
        <f>28*50</f>
        <v>1400</v>
      </c>
      <c r="K156" s="11" t="s">
        <v>25</v>
      </c>
      <c r="L156" s="11" t="s">
        <v>30</v>
      </c>
      <c r="M156" s="51">
        <v>2349</v>
      </c>
      <c r="N156" s="27">
        <v>4</v>
      </c>
      <c r="O156" s="21"/>
    </row>
    <row r="157" spans="1:15" ht="26.25" x14ac:dyDescent="0.25">
      <c r="A157" s="27"/>
      <c r="B157" s="21"/>
      <c r="C157" s="69" t="e">
        <f>MATCH(D157,[1]!Tabla1[Consignatario],0)</f>
        <v>#REF!</v>
      </c>
      <c r="D157" s="31" t="s">
        <v>490</v>
      </c>
      <c r="E157" s="21"/>
      <c r="F157" s="21"/>
      <c r="G157" s="8" t="s">
        <v>256</v>
      </c>
      <c r="H157" s="38" t="s">
        <v>355</v>
      </c>
      <c r="I157" s="23">
        <v>44000</v>
      </c>
      <c r="J157" s="24">
        <f>44*20</f>
        <v>880</v>
      </c>
      <c r="K157" s="11" t="s">
        <v>25</v>
      </c>
      <c r="L157" s="25" t="s">
        <v>30</v>
      </c>
      <c r="M157" s="51"/>
      <c r="N157" s="27"/>
      <c r="O157" s="21"/>
    </row>
    <row r="158" spans="1:15" ht="26.25" x14ac:dyDescent="0.25">
      <c r="A158" s="27"/>
      <c r="B158" s="21"/>
      <c r="C158" s="69" t="e">
        <f>MATCH(D158,[1]!Tabla1[Consignatario],0)</f>
        <v>#REF!</v>
      </c>
      <c r="D158" s="31" t="s">
        <v>490</v>
      </c>
      <c r="E158" s="21"/>
      <c r="F158" s="21"/>
      <c r="G158" s="8" t="s">
        <v>138</v>
      </c>
      <c r="H158" s="38" t="s">
        <v>46</v>
      </c>
      <c r="I158" s="23">
        <v>2500</v>
      </c>
      <c r="J158" s="24">
        <v>50</v>
      </c>
      <c r="K158" s="11" t="s">
        <v>25</v>
      </c>
      <c r="L158" s="11" t="s">
        <v>30</v>
      </c>
      <c r="M158" s="51"/>
      <c r="N158" s="27"/>
      <c r="O158" s="21"/>
    </row>
    <row r="159" spans="1:15" ht="26.25" x14ac:dyDescent="0.25">
      <c r="A159" s="27"/>
      <c r="B159" s="21"/>
      <c r="C159" s="69" t="e">
        <f>MATCH(D159,[1]!Tabla1[Consignatario],0)</f>
        <v>#REF!</v>
      </c>
      <c r="D159" s="31" t="s">
        <v>490</v>
      </c>
      <c r="E159" s="21"/>
      <c r="F159" s="21"/>
      <c r="G159" s="30" t="s">
        <v>12</v>
      </c>
      <c r="H159" s="38" t="s">
        <v>356</v>
      </c>
      <c r="I159" s="23">
        <v>975</v>
      </c>
      <c r="J159" s="24">
        <v>19.5</v>
      </c>
      <c r="K159" s="11" t="s">
        <v>25</v>
      </c>
      <c r="L159" s="11" t="s">
        <v>30</v>
      </c>
      <c r="M159" s="51"/>
      <c r="N159" s="27"/>
      <c r="O159" s="21"/>
    </row>
    <row r="160" spans="1:15" x14ac:dyDescent="0.25">
      <c r="A160" s="27"/>
      <c r="B160" s="21" t="s">
        <v>33</v>
      </c>
      <c r="C160" s="69" t="e">
        <f>MATCH(D160,[1]!Tabla1[Consignatario],0)</f>
        <v>#REF!</v>
      </c>
      <c r="D160" s="31" t="s">
        <v>320</v>
      </c>
      <c r="E160" s="21"/>
      <c r="F160" s="21"/>
      <c r="G160" s="30" t="s">
        <v>11</v>
      </c>
      <c r="H160" s="38" t="s">
        <v>225</v>
      </c>
      <c r="I160" s="23">
        <f>20*2500</f>
        <v>50000</v>
      </c>
      <c r="J160" s="24"/>
      <c r="K160" s="11" t="s">
        <v>25</v>
      </c>
      <c r="L160" s="25" t="s">
        <v>30</v>
      </c>
      <c r="M160" s="27">
        <v>820</v>
      </c>
      <c r="N160" s="27"/>
      <c r="O160" s="21"/>
    </row>
    <row r="161" spans="1:15" x14ac:dyDescent="0.25">
      <c r="A161" s="27"/>
      <c r="B161" s="21"/>
      <c r="C161" s="69" t="e">
        <f>MATCH(D161,[1]!Tabla1[Consignatario],0)</f>
        <v>#REF!</v>
      </c>
      <c r="D161" s="31" t="s">
        <v>320</v>
      </c>
      <c r="E161" s="21"/>
      <c r="F161" s="21"/>
      <c r="G161" s="8" t="s">
        <v>256</v>
      </c>
      <c r="H161" s="38" t="s">
        <v>357</v>
      </c>
      <c r="I161" s="23">
        <v>21000</v>
      </c>
      <c r="J161" s="24"/>
      <c r="K161" s="11" t="s">
        <v>25</v>
      </c>
      <c r="L161" s="11" t="s">
        <v>30</v>
      </c>
      <c r="M161" s="27"/>
      <c r="N161" s="27"/>
      <c r="O161" s="21"/>
    </row>
    <row r="162" spans="1:15" x14ac:dyDescent="0.25">
      <c r="A162" s="27"/>
      <c r="B162" s="21"/>
      <c r="C162" s="69" t="e">
        <f>MATCH(D162,[1]!Tabla1[Consignatario],0)</f>
        <v>#REF!</v>
      </c>
      <c r="D162" s="31" t="s">
        <v>86</v>
      </c>
      <c r="E162" s="21"/>
      <c r="F162" s="21"/>
      <c r="G162" s="30" t="s">
        <v>11</v>
      </c>
      <c r="H162" s="38" t="s">
        <v>41</v>
      </c>
      <c r="I162" s="23">
        <f>14*2500</f>
        <v>35000</v>
      </c>
      <c r="J162" s="24">
        <f>14*50</f>
        <v>700</v>
      </c>
      <c r="K162" s="11" t="s">
        <v>25</v>
      </c>
      <c r="L162" s="11" t="s">
        <v>30</v>
      </c>
      <c r="M162" s="56">
        <v>1328</v>
      </c>
      <c r="N162" s="27"/>
      <c r="O162" s="21"/>
    </row>
    <row r="163" spans="1:15" x14ac:dyDescent="0.25">
      <c r="A163" s="27"/>
      <c r="B163" s="21"/>
      <c r="C163" s="69" t="e">
        <f>MATCH(D163,[1]!Tabla1[Consignatario],0)</f>
        <v>#REF!</v>
      </c>
      <c r="D163" s="31" t="s">
        <v>86</v>
      </c>
      <c r="E163" s="21"/>
      <c r="F163" s="21"/>
      <c r="G163" s="8" t="s">
        <v>256</v>
      </c>
      <c r="H163" s="38" t="s">
        <v>358</v>
      </c>
      <c r="I163" s="23">
        <v>23000</v>
      </c>
      <c r="J163" s="24">
        <f>23*20</f>
        <v>460</v>
      </c>
      <c r="K163" s="11" t="s">
        <v>25</v>
      </c>
      <c r="L163" s="25" t="s">
        <v>30</v>
      </c>
      <c r="M163" s="56"/>
      <c r="N163" s="27"/>
      <c r="O163" s="21"/>
    </row>
    <row r="164" spans="1:15" ht="25.5" x14ac:dyDescent="0.25">
      <c r="A164" s="27"/>
      <c r="B164" s="21"/>
      <c r="C164" s="69" t="e">
        <f>MATCH(D164,[1]!Tabla1[Consignatario],0)</f>
        <v>#REF!</v>
      </c>
      <c r="D164" s="31" t="s">
        <v>86</v>
      </c>
      <c r="E164" s="66"/>
      <c r="F164" s="66"/>
      <c r="G164" s="8" t="s">
        <v>138</v>
      </c>
      <c r="H164" s="38" t="s">
        <v>359</v>
      </c>
      <c r="I164" s="23">
        <v>5000</v>
      </c>
      <c r="J164" s="24">
        <v>100</v>
      </c>
      <c r="K164" s="11" t="s">
        <v>25</v>
      </c>
      <c r="L164" s="11" t="s">
        <v>30</v>
      </c>
      <c r="M164" s="56"/>
      <c r="N164" s="27"/>
      <c r="O164" s="21"/>
    </row>
    <row r="165" spans="1:15" ht="25.5" x14ac:dyDescent="0.25">
      <c r="A165" s="27"/>
      <c r="B165" s="21"/>
      <c r="C165" s="69" t="e">
        <f>MATCH(D165,[1]!Tabla1[Consignatario],0)</f>
        <v>#REF!</v>
      </c>
      <c r="D165" s="31" t="s">
        <v>86</v>
      </c>
      <c r="E165" s="66"/>
      <c r="F165" s="66"/>
      <c r="G165" s="8" t="s">
        <v>138</v>
      </c>
      <c r="H165" s="38" t="s">
        <v>360</v>
      </c>
      <c r="I165" s="34">
        <f>128*100/2</f>
        <v>6400</v>
      </c>
      <c r="J165" s="34">
        <v>128</v>
      </c>
      <c r="K165" s="11" t="s">
        <v>25</v>
      </c>
      <c r="L165" s="11" t="s">
        <v>30</v>
      </c>
      <c r="M165" s="56"/>
      <c r="N165" s="27"/>
      <c r="O165" s="21"/>
    </row>
    <row r="166" spans="1:15" ht="26.25" x14ac:dyDescent="0.25">
      <c r="A166" s="61">
        <v>30</v>
      </c>
      <c r="B166" s="21"/>
      <c r="C166" s="69" t="e">
        <f>MATCH(D166,[1]!Tabla1[Consignatario],0)</f>
        <v>#REF!</v>
      </c>
      <c r="D166" s="33" t="s">
        <v>544</v>
      </c>
      <c r="E166" s="66"/>
      <c r="F166" s="66"/>
      <c r="G166" s="30" t="s">
        <v>11</v>
      </c>
      <c r="H166" s="38" t="s">
        <v>125</v>
      </c>
      <c r="I166" s="23">
        <f>6*2500</f>
        <v>15000</v>
      </c>
      <c r="J166" s="24"/>
      <c r="K166" s="11" t="s">
        <v>25</v>
      </c>
      <c r="L166" s="25" t="s">
        <v>30</v>
      </c>
      <c r="M166" s="56">
        <v>500</v>
      </c>
      <c r="N166" s="27"/>
      <c r="O166" s="21"/>
    </row>
    <row r="167" spans="1:15" ht="26.25" x14ac:dyDescent="0.25">
      <c r="A167" s="61"/>
      <c r="B167" s="21"/>
      <c r="C167" s="69" t="e">
        <f>MATCH(D167,[1]!Tabla1[Consignatario],0)</f>
        <v>#REF!</v>
      </c>
      <c r="D167" s="33" t="s">
        <v>544</v>
      </c>
      <c r="E167" s="66"/>
      <c r="F167" s="66"/>
      <c r="G167" s="8" t="s">
        <v>256</v>
      </c>
      <c r="H167" s="62" t="s">
        <v>229</v>
      </c>
      <c r="I167" s="23">
        <v>6000</v>
      </c>
      <c r="J167" s="64"/>
      <c r="K167" s="11"/>
      <c r="L167" s="25"/>
      <c r="M167" s="56"/>
      <c r="N167" s="63"/>
      <c r="O167" s="21"/>
    </row>
    <row r="168" spans="1:15" ht="26.25" x14ac:dyDescent="0.25">
      <c r="A168" s="61"/>
      <c r="B168" s="21"/>
      <c r="C168" s="69" t="e">
        <f>MATCH(D168,[1]!Tabla1[Consignatario],0)</f>
        <v>#REF!</v>
      </c>
      <c r="D168" s="33" t="s">
        <v>544</v>
      </c>
      <c r="E168" s="66"/>
      <c r="F168" s="66"/>
      <c r="G168" s="30" t="s">
        <v>138</v>
      </c>
      <c r="H168" s="62" t="s">
        <v>462</v>
      </c>
      <c r="I168" s="23">
        <f>300*8</f>
        <v>2400</v>
      </c>
      <c r="J168" s="64"/>
      <c r="K168" s="11"/>
      <c r="L168" s="25"/>
      <c r="M168" s="56"/>
      <c r="N168" s="63"/>
      <c r="O168" s="21"/>
    </row>
    <row r="169" spans="1:15" ht="26.25" x14ac:dyDescent="0.25">
      <c r="A169" s="61"/>
      <c r="B169" s="21"/>
      <c r="C169" s="69" t="e">
        <f>MATCH(D169,[1]!Tabla1[Consignatario],0)</f>
        <v>#REF!</v>
      </c>
      <c r="D169" s="33" t="s">
        <v>544</v>
      </c>
      <c r="E169" s="66"/>
      <c r="F169" s="66"/>
      <c r="G169" s="30" t="s">
        <v>11</v>
      </c>
      <c r="H169" s="62" t="s">
        <v>463</v>
      </c>
      <c r="I169" s="23">
        <v>1800</v>
      </c>
      <c r="J169" s="64"/>
      <c r="K169" s="11"/>
      <c r="L169" s="25"/>
      <c r="M169" s="56"/>
      <c r="N169" s="63"/>
      <c r="O169" s="21"/>
    </row>
    <row r="170" spans="1:15" ht="26.25" x14ac:dyDescent="0.25">
      <c r="A170" s="27"/>
      <c r="B170" s="21"/>
      <c r="C170" s="69" t="e">
        <f>MATCH(D170,[1]!Tabla1[Consignatario],0)</f>
        <v>#REF!</v>
      </c>
      <c r="D170" s="33" t="s">
        <v>461</v>
      </c>
      <c r="E170" s="66"/>
      <c r="F170" s="66"/>
      <c r="G170" s="30" t="s">
        <v>11</v>
      </c>
      <c r="H170" s="38" t="s">
        <v>125</v>
      </c>
      <c r="I170" s="23">
        <f>6*2500</f>
        <v>15000</v>
      </c>
      <c r="J170" s="24">
        <f>6*50</f>
        <v>300</v>
      </c>
      <c r="K170" s="11" t="s">
        <v>25</v>
      </c>
      <c r="L170" s="11" t="s">
        <v>30</v>
      </c>
      <c r="M170" s="56">
        <v>400</v>
      </c>
      <c r="N170" s="27"/>
      <c r="O170" s="21"/>
    </row>
    <row r="171" spans="1:15" ht="26.25" x14ac:dyDescent="0.25">
      <c r="A171" s="63"/>
      <c r="B171" s="21"/>
      <c r="C171" s="69" t="e">
        <f>MATCH(D171,[1]!Tabla1[Consignatario],0)</f>
        <v>#REF!</v>
      </c>
      <c r="D171" s="33" t="s">
        <v>461</v>
      </c>
      <c r="E171" s="66"/>
      <c r="F171" s="66"/>
      <c r="G171" s="8" t="s">
        <v>256</v>
      </c>
      <c r="H171" s="62" t="s">
        <v>38</v>
      </c>
      <c r="I171" s="23">
        <v>1000</v>
      </c>
      <c r="J171" s="64">
        <v>20</v>
      </c>
      <c r="K171" s="11"/>
      <c r="L171" s="11"/>
      <c r="M171" s="56"/>
      <c r="N171" s="63"/>
      <c r="O171" s="21"/>
    </row>
    <row r="172" spans="1:15" ht="26.25" x14ac:dyDescent="0.25">
      <c r="A172" s="63"/>
      <c r="B172" s="21"/>
      <c r="C172" s="69" t="e">
        <f>MATCH(D172,[1]!Tabla1[Consignatario],0)</f>
        <v>#REF!</v>
      </c>
      <c r="D172" s="33" t="s">
        <v>461</v>
      </c>
      <c r="E172" s="66"/>
      <c r="F172" s="66"/>
      <c r="G172" s="8" t="s">
        <v>138</v>
      </c>
      <c r="H172" s="62" t="s">
        <v>53</v>
      </c>
      <c r="I172" s="23">
        <f>80*100/2</f>
        <v>4000</v>
      </c>
      <c r="J172" s="64">
        <v>80</v>
      </c>
      <c r="K172" s="11"/>
      <c r="L172" s="11"/>
      <c r="M172" s="56"/>
      <c r="N172" s="63"/>
      <c r="O172" s="21"/>
    </row>
    <row r="173" spans="1:15" ht="26.25" x14ac:dyDescent="0.25">
      <c r="A173" s="27"/>
      <c r="B173" s="21"/>
      <c r="C173" s="69" t="e">
        <f>MATCH(D173,[1]!Tabla1[Consignatario],0)</f>
        <v>#REF!</v>
      </c>
      <c r="D173" s="33" t="s">
        <v>491</v>
      </c>
      <c r="E173" s="66"/>
      <c r="F173" s="66"/>
      <c r="G173" s="30" t="s">
        <v>11</v>
      </c>
      <c r="H173" s="38" t="s">
        <v>22</v>
      </c>
      <c r="I173" s="23">
        <v>5000</v>
      </c>
      <c r="J173" s="24"/>
      <c r="K173" s="11" t="s">
        <v>25</v>
      </c>
      <c r="L173" s="11" t="s">
        <v>30</v>
      </c>
      <c r="M173" s="56">
        <v>160</v>
      </c>
      <c r="N173" s="27"/>
      <c r="O173" s="21"/>
    </row>
    <row r="174" spans="1:15" ht="26.25" x14ac:dyDescent="0.25">
      <c r="A174" s="63"/>
      <c r="B174" s="21"/>
      <c r="C174" s="69" t="e">
        <f>MATCH(D174,[1]!Tabla1[Consignatario],0)</f>
        <v>#REF!</v>
      </c>
      <c r="D174" s="33" t="s">
        <v>491</v>
      </c>
      <c r="E174" s="66"/>
      <c r="F174" s="66"/>
      <c r="G174" s="8" t="s">
        <v>256</v>
      </c>
      <c r="H174" s="62" t="s">
        <v>45</v>
      </c>
      <c r="I174" s="23">
        <v>3000</v>
      </c>
      <c r="J174" s="64"/>
      <c r="K174" s="11"/>
      <c r="L174" s="11"/>
      <c r="M174" s="56"/>
      <c r="N174" s="63"/>
      <c r="O174" s="21"/>
    </row>
    <row r="175" spans="1:15" x14ac:dyDescent="0.25">
      <c r="A175" s="27"/>
      <c r="B175" s="21"/>
      <c r="C175" s="69" t="e">
        <f>MATCH(D175,[1]!Tabla1[Consignatario],0)</f>
        <v>#REF!</v>
      </c>
      <c r="D175" s="33" t="s">
        <v>324</v>
      </c>
      <c r="E175" s="66"/>
      <c r="F175" s="66"/>
      <c r="G175" s="30" t="s">
        <v>11</v>
      </c>
      <c r="H175" s="38" t="s">
        <v>125</v>
      </c>
      <c r="I175" s="23">
        <f>6*2500</f>
        <v>15000</v>
      </c>
      <c r="J175" s="24"/>
      <c r="K175" s="11" t="s">
        <v>25</v>
      </c>
      <c r="L175" s="25" t="s">
        <v>30</v>
      </c>
      <c r="M175" s="56">
        <v>540</v>
      </c>
      <c r="N175" s="27"/>
      <c r="O175" s="21"/>
    </row>
    <row r="176" spans="1:15" x14ac:dyDescent="0.25">
      <c r="A176" s="27"/>
      <c r="B176" s="21"/>
      <c r="C176" s="69" t="e">
        <f>MATCH(D176,[1]!Tabla1[Consignatario],0)</f>
        <v>#REF!</v>
      </c>
      <c r="D176" s="33" t="s">
        <v>324</v>
      </c>
      <c r="E176" s="66"/>
      <c r="F176" s="66"/>
      <c r="G176" s="8" t="s">
        <v>256</v>
      </c>
      <c r="H176" s="38" t="s">
        <v>346</v>
      </c>
      <c r="I176" s="23">
        <v>7000</v>
      </c>
      <c r="J176" s="24"/>
      <c r="K176" s="11" t="s">
        <v>25</v>
      </c>
      <c r="L176" s="11" t="s">
        <v>30</v>
      </c>
      <c r="M176" s="56"/>
      <c r="N176" s="27"/>
      <c r="O176" s="21"/>
    </row>
    <row r="177" spans="1:15" ht="25.5" x14ac:dyDescent="0.25">
      <c r="A177" s="27"/>
      <c r="B177" s="21"/>
      <c r="C177" s="69" t="e">
        <f>MATCH(D177,[1]!Tabla1[Consignatario],0)</f>
        <v>#REF!</v>
      </c>
      <c r="D177" s="33" t="s">
        <v>324</v>
      </c>
      <c r="E177" s="66"/>
      <c r="F177" s="66"/>
      <c r="G177" s="8" t="s">
        <v>138</v>
      </c>
      <c r="H177" s="38" t="s">
        <v>359</v>
      </c>
      <c r="I177" s="23">
        <v>5000</v>
      </c>
      <c r="J177" s="24"/>
      <c r="K177" s="11" t="s">
        <v>25</v>
      </c>
      <c r="L177" s="11" t="s">
        <v>30</v>
      </c>
      <c r="M177" s="56"/>
      <c r="N177" s="27"/>
      <c r="O177" s="21"/>
    </row>
    <row r="178" spans="1:15" ht="26.25" x14ac:dyDescent="0.25">
      <c r="A178" s="27"/>
      <c r="B178" s="21"/>
      <c r="C178" s="69" t="e">
        <f>MATCH(D178,[1]!Tabla1[Consignatario],0)</f>
        <v>#REF!</v>
      </c>
      <c r="D178" s="33" t="s">
        <v>321</v>
      </c>
      <c r="E178" s="66"/>
      <c r="F178" s="66"/>
      <c r="G178" s="30" t="s">
        <v>11</v>
      </c>
      <c r="H178" s="38" t="s">
        <v>39</v>
      </c>
      <c r="I178" s="23">
        <f>3*2500</f>
        <v>7500</v>
      </c>
      <c r="J178" s="24"/>
      <c r="K178" s="11" t="s">
        <v>25</v>
      </c>
      <c r="L178" s="25" t="s">
        <v>30</v>
      </c>
      <c r="M178" s="56">
        <v>610</v>
      </c>
      <c r="N178" s="27"/>
      <c r="O178" s="21"/>
    </row>
    <row r="179" spans="1:15" ht="26.25" x14ac:dyDescent="0.25">
      <c r="A179" s="27"/>
      <c r="B179" s="21"/>
      <c r="C179" s="69" t="e">
        <f>MATCH(D179,[1]!Tabla1[Consignatario],0)</f>
        <v>#REF!</v>
      </c>
      <c r="D179" s="33" t="s">
        <v>321</v>
      </c>
      <c r="E179" s="66"/>
      <c r="F179" s="66"/>
      <c r="G179" s="8" t="s">
        <v>256</v>
      </c>
      <c r="H179" s="38" t="s">
        <v>358</v>
      </c>
      <c r="I179" s="23">
        <v>23000</v>
      </c>
      <c r="J179" s="24"/>
      <c r="K179" s="11" t="s">
        <v>25</v>
      </c>
      <c r="L179" s="11" t="s">
        <v>30</v>
      </c>
      <c r="M179" s="56"/>
      <c r="N179" s="27"/>
      <c r="O179" s="21"/>
    </row>
    <row r="180" spans="1:15" x14ac:dyDescent="0.25">
      <c r="A180" s="27"/>
      <c r="B180" s="21"/>
      <c r="C180" s="69" t="e">
        <f>MATCH(D180,[1]!Tabla1[Consignatario],0)</f>
        <v>#REF!</v>
      </c>
      <c r="D180" s="33" t="s">
        <v>322</v>
      </c>
      <c r="E180" s="66"/>
      <c r="F180" s="66"/>
      <c r="G180" s="30" t="s">
        <v>11</v>
      </c>
      <c r="H180" s="38" t="s">
        <v>125</v>
      </c>
      <c r="I180" s="23">
        <f>6*2500</f>
        <v>15000</v>
      </c>
      <c r="J180" s="24"/>
      <c r="K180" s="11" t="s">
        <v>25</v>
      </c>
      <c r="L180" s="11" t="s">
        <v>30</v>
      </c>
      <c r="M180" s="56">
        <v>420</v>
      </c>
      <c r="N180" s="27"/>
      <c r="O180" s="21"/>
    </row>
    <row r="181" spans="1:15" x14ac:dyDescent="0.25">
      <c r="A181" s="27"/>
      <c r="B181" s="21"/>
      <c r="C181" s="69" t="e">
        <f>MATCH(D181,[1]!Tabla1[Consignatario],0)</f>
        <v>#REF!</v>
      </c>
      <c r="D181" s="33" t="s">
        <v>322</v>
      </c>
      <c r="E181" s="21"/>
      <c r="F181" s="21"/>
      <c r="G181" s="8" t="s">
        <v>256</v>
      </c>
      <c r="H181" s="38" t="s">
        <v>229</v>
      </c>
      <c r="I181" s="23">
        <v>6000</v>
      </c>
      <c r="J181" s="24"/>
      <c r="K181" s="11" t="s">
        <v>25</v>
      </c>
      <c r="L181" s="25" t="s">
        <v>30</v>
      </c>
      <c r="M181" s="56"/>
      <c r="N181" s="27"/>
      <c r="O181" s="21"/>
    </row>
    <row r="182" spans="1:15" ht="26.25" x14ac:dyDescent="0.25">
      <c r="A182" s="27"/>
      <c r="B182" s="21"/>
      <c r="C182" s="69" t="e">
        <f>MATCH(D182,[1]!Tabla1[Consignatario],0)</f>
        <v>#REF!</v>
      </c>
      <c r="D182" s="31" t="s">
        <v>323</v>
      </c>
      <c r="E182" s="21"/>
      <c r="F182" s="21"/>
      <c r="G182" s="30" t="s">
        <v>11</v>
      </c>
      <c r="H182" s="38" t="s">
        <v>22</v>
      </c>
      <c r="I182" s="23">
        <v>5000</v>
      </c>
      <c r="J182" s="24"/>
      <c r="K182" s="11" t="s">
        <v>25</v>
      </c>
      <c r="L182" s="11" t="s">
        <v>30</v>
      </c>
      <c r="M182" s="56">
        <v>490</v>
      </c>
      <c r="N182" s="27"/>
      <c r="O182" s="21"/>
    </row>
    <row r="183" spans="1:15" ht="26.25" x14ac:dyDescent="0.25">
      <c r="A183" s="27"/>
      <c r="B183" s="21"/>
      <c r="C183" s="69" t="e">
        <f>MATCH(D183,[1]!Tabla1[Consignatario],0)</f>
        <v>#REF!</v>
      </c>
      <c r="D183" s="31" t="s">
        <v>323</v>
      </c>
      <c r="E183" s="21"/>
      <c r="F183" s="21"/>
      <c r="G183" s="8" t="s">
        <v>256</v>
      </c>
      <c r="H183" s="38" t="s">
        <v>71</v>
      </c>
      <c r="I183" s="23">
        <v>14000</v>
      </c>
      <c r="J183" s="24"/>
      <c r="K183" s="11" t="s">
        <v>25</v>
      </c>
      <c r="L183" s="11" t="s">
        <v>30</v>
      </c>
      <c r="M183" s="56"/>
      <c r="N183" s="27"/>
      <c r="O183" s="21"/>
    </row>
    <row r="184" spans="1:15" ht="26.25" x14ac:dyDescent="0.25">
      <c r="A184" s="27"/>
      <c r="B184" s="21"/>
      <c r="C184" s="69" t="e">
        <f>MATCH(D184,[1]!Tabla1[Consignatario],0)</f>
        <v>#REF!</v>
      </c>
      <c r="D184" s="31" t="s">
        <v>323</v>
      </c>
      <c r="E184" s="21"/>
      <c r="F184" s="21"/>
      <c r="G184" s="8" t="s">
        <v>138</v>
      </c>
      <c r="H184" s="38" t="s">
        <v>53</v>
      </c>
      <c r="I184" s="23">
        <v>2500</v>
      </c>
      <c r="J184" s="24"/>
      <c r="K184" s="11" t="s">
        <v>25</v>
      </c>
      <c r="L184" s="25" t="s">
        <v>30</v>
      </c>
      <c r="M184" s="56"/>
      <c r="N184" s="27"/>
      <c r="O184" s="21"/>
    </row>
    <row r="185" spans="1:15" ht="26.25" x14ac:dyDescent="0.25">
      <c r="A185" s="27"/>
      <c r="B185" s="21"/>
      <c r="C185" s="69" t="e">
        <f>MATCH(D185,[1]!Tabla1[Consignatario],0)</f>
        <v>#REF!</v>
      </c>
      <c r="D185" s="31" t="s">
        <v>323</v>
      </c>
      <c r="E185" s="21"/>
      <c r="F185" s="21"/>
      <c r="G185" s="30" t="s">
        <v>11</v>
      </c>
      <c r="H185" s="38" t="s">
        <v>84</v>
      </c>
      <c r="I185" s="23">
        <v>3000</v>
      </c>
      <c r="J185" s="24"/>
      <c r="K185" s="11" t="s">
        <v>25</v>
      </c>
      <c r="L185" s="11" t="s">
        <v>30</v>
      </c>
      <c r="M185" s="56"/>
      <c r="N185" s="27"/>
      <c r="O185" s="21"/>
    </row>
    <row r="186" spans="1:15" ht="26.25" x14ac:dyDescent="0.25">
      <c r="A186" s="27"/>
      <c r="B186" s="21"/>
      <c r="C186" s="69" t="e">
        <f>MATCH(D186,[1]!Tabla1[Consignatario],0)</f>
        <v>#REF!</v>
      </c>
      <c r="D186" s="31" t="s">
        <v>89</v>
      </c>
      <c r="E186" s="21"/>
      <c r="F186" s="21"/>
      <c r="G186" s="30" t="s">
        <v>11</v>
      </c>
      <c r="H186" s="38" t="s">
        <v>124</v>
      </c>
      <c r="I186" s="23">
        <v>10000</v>
      </c>
      <c r="J186" s="24">
        <v>200</v>
      </c>
      <c r="K186" s="11" t="s">
        <v>25</v>
      </c>
      <c r="L186" s="11" t="s">
        <v>30</v>
      </c>
      <c r="M186" s="56">
        <v>250</v>
      </c>
      <c r="N186" s="27"/>
      <c r="O186" s="21"/>
    </row>
    <row r="187" spans="1:15" ht="26.25" x14ac:dyDescent="0.25">
      <c r="A187" s="27"/>
      <c r="B187" s="21"/>
      <c r="C187" s="69" t="e">
        <f>MATCH(D187,[1]!Tabla1[Consignatario],0)</f>
        <v>#REF!</v>
      </c>
      <c r="D187" s="31" t="s">
        <v>89</v>
      </c>
      <c r="E187" s="21"/>
      <c r="F187" s="21"/>
      <c r="G187" s="8" t="s">
        <v>138</v>
      </c>
      <c r="H187" s="38" t="s">
        <v>65</v>
      </c>
      <c r="I187" s="23">
        <v>2500</v>
      </c>
      <c r="J187" s="24">
        <v>50</v>
      </c>
      <c r="K187" s="11" t="s">
        <v>25</v>
      </c>
      <c r="L187" s="25" t="s">
        <v>30</v>
      </c>
      <c r="M187" s="27"/>
      <c r="N187" s="27"/>
      <c r="O187" s="21"/>
    </row>
    <row r="188" spans="1:15" ht="26.25" x14ac:dyDescent="0.25">
      <c r="A188" s="27" t="s">
        <v>363</v>
      </c>
      <c r="B188" s="21"/>
      <c r="C188" s="69" t="e">
        <f>MATCH(D188,[1]!Tabla1[Consignatario],0)</f>
        <v>#REF!</v>
      </c>
      <c r="D188" s="31" t="s">
        <v>92</v>
      </c>
      <c r="E188" s="21"/>
      <c r="F188" s="21"/>
      <c r="G188" s="30" t="s">
        <v>11</v>
      </c>
      <c r="H188" s="38" t="s">
        <v>364</v>
      </c>
      <c r="I188" s="23">
        <f>12*2500</f>
        <v>30000</v>
      </c>
      <c r="J188" s="24"/>
      <c r="K188" s="11" t="s">
        <v>25</v>
      </c>
      <c r="L188" s="11" t="s">
        <v>30</v>
      </c>
      <c r="M188" s="56">
        <v>600</v>
      </c>
      <c r="N188" s="27"/>
      <c r="O188" s="21"/>
    </row>
    <row r="189" spans="1:15" ht="26.25" x14ac:dyDescent="0.25">
      <c r="A189" s="27"/>
      <c r="B189" s="21" t="s">
        <v>15</v>
      </c>
      <c r="C189" s="69" t="e">
        <f>MATCH(D189,[1]!Tabla1[Consignatario],0)</f>
        <v>#REF!</v>
      </c>
      <c r="D189" s="31" t="s">
        <v>492</v>
      </c>
      <c r="E189" s="21"/>
      <c r="F189" s="21"/>
      <c r="G189" s="30" t="s">
        <v>11</v>
      </c>
      <c r="H189" s="38" t="s">
        <v>365</v>
      </c>
      <c r="I189" s="23">
        <f>27*2500</f>
        <v>67500</v>
      </c>
      <c r="J189" s="24">
        <f>27*50</f>
        <v>1350</v>
      </c>
      <c r="K189" s="11" t="s">
        <v>25</v>
      </c>
      <c r="L189" s="11" t="s">
        <v>30</v>
      </c>
      <c r="M189" s="56">
        <v>2580</v>
      </c>
      <c r="N189" s="27"/>
      <c r="O189" s="21"/>
    </row>
    <row r="190" spans="1:15" ht="26.25" x14ac:dyDescent="0.25">
      <c r="A190" s="27"/>
      <c r="B190" s="21"/>
      <c r="C190" s="69" t="e">
        <f>MATCH(D190,[1]!Tabla1[Consignatario],0)</f>
        <v>#REF!</v>
      </c>
      <c r="D190" s="31" t="s">
        <v>492</v>
      </c>
      <c r="E190" s="21"/>
      <c r="F190" s="21"/>
      <c r="G190" s="8" t="s">
        <v>256</v>
      </c>
      <c r="H190" s="38" t="s">
        <v>366</v>
      </c>
      <c r="I190" s="23">
        <v>49000</v>
      </c>
      <c r="J190" s="24">
        <f>49*20</f>
        <v>980</v>
      </c>
      <c r="K190" s="11" t="s">
        <v>25</v>
      </c>
      <c r="L190" s="25" t="s">
        <v>30</v>
      </c>
      <c r="M190" s="56"/>
      <c r="N190" s="27"/>
      <c r="O190" s="21"/>
    </row>
    <row r="191" spans="1:15" ht="26.25" x14ac:dyDescent="0.25">
      <c r="A191" s="27"/>
      <c r="B191" s="21"/>
      <c r="C191" s="69" t="e">
        <f>MATCH(D191,[1]!Tabla1[Consignatario],0)</f>
        <v>#REF!</v>
      </c>
      <c r="D191" s="31" t="s">
        <v>492</v>
      </c>
      <c r="E191" s="21"/>
      <c r="F191" s="21"/>
      <c r="G191" s="30" t="s">
        <v>138</v>
      </c>
      <c r="H191" s="38" t="s">
        <v>249</v>
      </c>
      <c r="I191" s="23">
        <f>6*2500</f>
        <v>15000</v>
      </c>
      <c r="J191" s="35"/>
      <c r="K191" s="11" t="s">
        <v>25</v>
      </c>
      <c r="L191" s="11" t="s">
        <v>30</v>
      </c>
      <c r="M191" s="27"/>
      <c r="N191" s="27"/>
      <c r="O191" s="21"/>
    </row>
    <row r="192" spans="1:15" x14ac:dyDescent="0.25">
      <c r="A192" s="27"/>
      <c r="B192" s="21"/>
      <c r="C192" s="69" t="e">
        <f>MATCH(D192,[1]!Tabla1[Consignatario],0)</f>
        <v>#REF!</v>
      </c>
      <c r="D192" s="31" t="s">
        <v>367</v>
      </c>
      <c r="E192" s="21"/>
      <c r="F192" s="21"/>
      <c r="G192" s="30" t="s">
        <v>11</v>
      </c>
      <c r="H192" s="38" t="s">
        <v>330</v>
      </c>
      <c r="I192" s="23">
        <f>21*2500</f>
        <v>52500</v>
      </c>
      <c r="J192" s="24"/>
      <c r="K192" s="11" t="s">
        <v>25</v>
      </c>
      <c r="L192" s="11" t="s">
        <v>30</v>
      </c>
      <c r="M192" s="56">
        <v>2850</v>
      </c>
      <c r="N192" s="27"/>
      <c r="O192" s="21"/>
    </row>
    <row r="193" spans="1:15" x14ac:dyDescent="0.25">
      <c r="A193" s="27"/>
      <c r="B193" s="21"/>
      <c r="C193" s="69" t="e">
        <f>MATCH(D193,[1]!Tabla1[Consignatario],0)</f>
        <v>#REF!</v>
      </c>
      <c r="D193" s="31" t="s">
        <v>367</v>
      </c>
      <c r="E193" s="21"/>
      <c r="F193" s="21"/>
      <c r="G193" s="8" t="s">
        <v>256</v>
      </c>
      <c r="H193" s="38" t="s">
        <v>368</v>
      </c>
      <c r="I193" s="23">
        <v>80000</v>
      </c>
      <c r="J193" s="24"/>
      <c r="K193" s="11" t="s">
        <v>25</v>
      </c>
      <c r="L193" s="25" t="s">
        <v>30</v>
      </c>
      <c r="M193" s="56"/>
      <c r="N193" s="27"/>
      <c r="O193" s="21"/>
    </row>
    <row r="194" spans="1:15" ht="25.5" x14ac:dyDescent="0.25">
      <c r="A194" s="27"/>
      <c r="B194" s="21"/>
      <c r="C194" s="69" t="e">
        <f>MATCH(D194,[1]!Tabla1[Consignatario],0)</f>
        <v>#REF!</v>
      </c>
      <c r="D194" s="31" t="s">
        <v>367</v>
      </c>
      <c r="E194" s="21"/>
      <c r="F194" s="21"/>
      <c r="G194" s="8" t="s">
        <v>138</v>
      </c>
      <c r="H194" s="38" t="s">
        <v>230</v>
      </c>
      <c r="I194" s="23">
        <v>10000</v>
      </c>
      <c r="J194" s="24"/>
      <c r="K194" s="11" t="s">
        <v>25</v>
      </c>
      <c r="L194" s="11" t="s">
        <v>30</v>
      </c>
      <c r="M194" s="27"/>
      <c r="N194" s="27"/>
      <c r="O194" s="21"/>
    </row>
    <row r="195" spans="1:15" x14ac:dyDescent="0.25">
      <c r="A195" s="27"/>
      <c r="B195" s="21"/>
      <c r="C195" s="69" t="e">
        <f>MATCH(D195,[1]!Tabla1[Consignatario],0)</f>
        <v>#REF!</v>
      </c>
      <c r="D195" s="31" t="s">
        <v>369</v>
      </c>
      <c r="E195" s="21"/>
      <c r="F195" s="21"/>
      <c r="G195" s="30" t="s">
        <v>11</v>
      </c>
      <c r="H195" s="38" t="s">
        <v>48</v>
      </c>
      <c r="I195" s="23">
        <v>2500</v>
      </c>
      <c r="J195" s="24"/>
      <c r="K195" s="11" t="s">
        <v>25</v>
      </c>
      <c r="L195" s="11" t="s">
        <v>30</v>
      </c>
      <c r="M195" s="27">
        <v>250</v>
      </c>
      <c r="N195" s="27"/>
      <c r="O195" s="21"/>
    </row>
    <row r="196" spans="1:15" x14ac:dyDescent="0.25">
      <c r="A196" s="27"/>
      <c r="B196" s="21"/>
      <c r="C196" s="69" t="e">
        <f>MATCH(D196,[1]!Tabla1[Consignatario],0)</f>
        <v>#REF!</v>
      </c>
      <c r="D196" s="31" t="s">
        <v>369</v>
      </c>
      <c r="E196" s="21"/>
      <c r="F196" s="21"/>
      <c r="G196" s="8" t="s">
        <v>256</v>
      </c>
      <c r="H196" s="38" t="s">
        <v>325</v>
      </c>
      <c r="I196" s="23">
        <v>10000</v>
      </c>
      <c r="J196" s="24"/>
      <c r="K196" s="11" t="s">
        <v>25</v>
      </c>
      <c r="L196" s="25" t="s">
        <v>30</v>
      </c>
      <c r="M196" s="27"/>
      <c r="N196" s="27"/>
      <c r="O196" s="21"/>
    </row>
    <row r="197" spans="1:15" ht="38.25" x14ac:dyDescent="0.25">
      <c r="A197" s="27"/>
      <c r="B197" s="21" t="s">
        <v>304</v>
      </c>
      <c r="C197" s="69" t="e">
        <f>MATCH(D197,[1]!Tabla1[Consignatario],0)</f>
        <v>#REF!</v>
      </c>
      <c r="D197" s="31" t="s">
        <v>370</v>
      </c>
      <c r="E197" s="21"/>
      <c r="F197" s="21"/>
      <c r="G197" s="8" t="s">
        <v>138</v>
      </c>
      <c r="H197" s="38" t="s">
        <v>371</v>
      </c>
      <c r="I197" s="23">
        <f>5*200*8</f>
        <v>8000</v>
      </c>
      <c r="J197" s="24"/>
      <c r="K197" s="11" t="s">
        <v>25</v>
      </c>
      <c r="L197" s="11" t="s">
        <v>30</v>
      </c>
      <c r="M197" s="27">
        <v>200</v>
      </c>
      <c r="N197" s="27"/>
      <c r="O197" s="21"/>
    </row>
    <row r="198" spans="1:15" ht="26.25" x14ac:dyDescent="0.25">
      <c r="A198" s="27"/>
      <c r="B198" s="21"/>
      <c r="C198" s="69" t="e">
        <f>MATCH(D198,[1]!Tabla1[Consignatario],0)</f>
        <v>#REF!</v>
      </c>
      <c r="D198" s="31" t="s">
        <v>494</v>
      </c>
      <c r="E198" s="21"/>
      <c r="F198" s="21"/>
      <c r="G198" s="30" t="s">
        <v>11</v>
      </c>
      <c r="H198" s="38" t="s">
        <v>125</v>
      </c>
      <c r="I198" s="23">
        <f>6*2500</f>
        <v>15000</v>
      </c>
      <c r="J198" s="24"/>
      <c r="K198" s="11" t="s">
        <v>25</v>
      </c>
      <c r="L198" s="11" t="s">
        <v>30</v>
      </c>
      <c r="M198" s="27">
        <v>300</v>
      </c>
      <c r="N198" s="27"/>
      <c r="O198" s="21"/>
    </row>
    <row r="199" spans="1:15" ht="26.25" x14ac:dyDescent="0.25">
      <c r="A199" s="27"/>
      <c r="B199" s="21"/>
      <c r="C199" s="69" t="e">
        <f>MATCH(D199,[1]!Tabla1[Consignatario],0)</f>
        <v>#REF!</v>
      </c>
      <c r="D199" s="31" t="s">
        <v>372</v>
      </c>
      <c r="E199" s="21"/>
      <c r="F199" s="21"/>
      <c r="G199" s="30" t="s">
        <v>11</v>
      </c>
      <c r="H199" s="38" t="s">
        <v>48</v>
      </c>
      <c r="I199" s="23">
        <v>2500</v>
      </c>
      <c r="J199" s="24"/>
      <c r="K199" s="11" t="s">
        <v>25</v>
      </c>
      <c r="L199" s="25" t="s">
        <v>30</v>
      </c>
      <c r="M199" s="56"/>
      <c r="N199" s="27"/>
      <c r="O199" s="21"/>
    </row>
    <row r="200" spans="1:15" ht="26.25" x14ac:dyDescent="0.25">
      <c r="A200" s="27"/>
      <c r="B200" s="21"/>
      <c r="C200" s="69" t="e">
        <f>MATCH(D200,[1]!Tabla1[Consignatario],0)</f>
        <v>#REF!</v>
      </c>
      <c r="D200" s="31" t="s">
        <v>372</v>
      </c>
      <c r="E200" s="21"/>
      <c r="F200" s="21"/>
      <c r="G200" s="8" t="s">
        <v>256</v>
      </c>
      <c r="H200" s="38" t="s">
        <v>60</v>
      </c>
      <c r="I200" s="23">
        <v>4000</v>
      </c>
      <c r="J200" s="24"/>
      <c r="K200" s="11" t="s">
        <v>25</v>
      </c>
      <c r="L200" s="11" t="s">
        <v>30</v>
      </c>
      <c r="M200" s="56"/>
      <c r="N200" s="27"/>
      <c r="O200" s="21"/>
    </row>
    <row r="201" spans="1:15" x14ac:dyDescent="0.25">
      <c r="A201" s="27"/>
      <c r="B201" s="21" t="s">
        <v>15</v>
      </c>
      <c r="C201" s="69" t="e">
        <f>MATCH(D201,[1]!Tabla1[Consignatario],0)</f>
        <v>#REF!</v>
      </c>
      <c r="D201" s="31" t="s">
        <v>373</v>
      </c>
      <c r="E201" s="21"/>
      <c r="F201" s="21"/>
      <c r="G201" s="30" t="s">
        <v>11</v>
      </c>
      <c r="H201" s="38" t="s">
        <v>115</v>
      </c>
      <c r="I201" s="23">
        <f>8*2500</f>
        <v>20000</v>
      </c>
      <c r="J201" s="24"/>
      <c r="K201" s="11" t="s">
        <v>25</v>
      </c>
      <c r="L201" s="11" t="s">
        <v>30</v>
      </c>
      <c r="M201" s="27">
        <v>500</v>
      </c>
      <c r="N201" s="27"/>
      <c r="O201" s="21"/>
    </row>
    <row r="202" spans="1:15" x14ac:dyDescent="0.25">
      <c r="A202" s="27"/>
      <c r="B202" s="21"/>
      <c r="C202" s="69" t="e">
        <f>MATCH(D202,[1]!Tabla1[Consignatario],0)</f>
        <v>#REF!</v>
      </c>
      <c r="D202" s="31" t="s">
        <v>373</v>
      </c>
      <c r="E202" s="21"/>
      <c r="F202" s="21"/>
      <c r="G202" s="8" t="s">
        <v>256</v>
      </c>
      <c r="H202" s="38" t="s">
        <v>63</v>
      </c>
      <c r="I202" s="23">
        <v>5000</v>
      </c>
      <c r="J202" s="24"/>
      <c r="K202" s="11" t="s">
        <v>25</v>
      </c>
      <c r="L202" s="25" t="s">
        <v>30</v>
      </c>
      <c r="M202" s="27"/>
      <c r="N202" s="27"/>
      <c r="O202" s="21"/>
    </row>
    <row r="203" spans="1:15" x14ac:dyDescent="0.25">
      <c r="A203" s="27"/>
      <c r="B203" s="21"/>
      <c r="C203" s="69" t="e">
        <f>MATCH(D203,[1]!Tabla1[Consignatario],0)</f>
        <v>#REF!</v>
      </c>
      <c r="D203" s="31" t="s">
        <v>98</v>
      </c>
      <c r="E203" s="21"/>
      <c r="F203" s="21"/>
      <c r="G203" s="30" t="s">
        <v>11</v>
      </c>
      <c r="H203" s="38" t="s">
        <v>39</v>
      </c>
      <c r="I203" s="23">
        <v>7500</v>
      </c>
      <c r="J203" s="24"/>
      <c r="K203" s="11" t="s">
        <v>25</v>
      </c>
      <c r="L203" s="11" t="s">
        <v>30</v>
      </c>
      <c r="M203" s="27">
        <v>300</v>
      </c>
      <c r="N203" s="27"/>
      <c r="O203" s="21"/>
    </row>
    <row r="204" spans="1:15" x14ac:dyDescent="0.25">
      <c r="A204" s="27"/>
      <c r="B204" s="21"/>
      <c r="C204" s="69" t="e">
        <f>MATCH(D204,[1]!Tabla1[Consignatario],0)</f>
        <v>#REF!</v>
      </c>
      <c r="D204" s="31" t="s">
        <v>98</v>
      </c>
      <c r="E204" s="21"/>
      <c r="F204" s="21"/>
      <c r="G204" s="8" t="s">
        <v>256</v>
      </c>
      <c r="H204" s="38" t="s">
        <v>60</v>
      </c>
      <c r="I204" s="23">
        <v>4000</v>
      </c>
      <c r="J204" s="24"/>
      <c r="K204" s="11" t="s">
        <v>25</v>
      </c>
      <c r="L204" s="11" t="s">
        <v>30</v>
      </c>
      <c r="M204" s="27"/>
      <c r="N204" s="27"/>
      <c r="O204" s="21"/>
    </row>
    <row r="205" spans="1:15" ht="25.5" x14ac:dyDescent="0.25">
      <c r="A205" s="27"/>
      <c r="B205" s="21"/>
      <c r="C205" s="69" t="e">
        <f>MATCH(D205,[1]!Tabla1[Consignatario],0)</f>
        <v>#REF!</v>
      </c>
      <c r="D205" s="31" t="s">
        <v>98</v>
      </c>
      <c r="E205" s="21"/>
      <c r="F205" s="21"/>
      <c r="G205" s="8" t="s">
        <v>138</v>
      </c>
      <c r="H205" s="38" t="s">
        <v>46</v>
      </c>
      <c r="I205" s="23">
        <v>2500</v>
      </c>
      <c r="J205" s="24"/>
      <c r="K205" s="11" t="s">
        <v>25</v>
      </c>
      <c r="L205" s="25" t="s">
        <v>30</v>
      </c>
      <c r="M205" s="27"/>
      <c r="N205" s="27"/>
      <c r="O205" s="21"/>
    </row>
    <row r="206" spans="1:15" x14ac:dyDescent="0.25">
      <c r="A206" s="27"/>
      <c r="B206" s="21"/>
      <c r="C206" s="69" t="e">
        <f>MATCH(D206,[1]!Tabla1[Consignatario],0)</f>
        <v>#REF!</v>
      </c>
      <c r="D206" s="31" t="s">
        <v>98</v>
      </c>
      <c r="E206" s="21"/>
      <c r="F206" s="21"/>
      <c r="G206" s="30" t="s">
        <v>11</v>
      </c>
      <c r="H206" s="38" t="s">
        <v>13</v>
      </c>
      <c r="I206" s="23">
        <v>1000</v>
      </c>
      <c r="J206" s="24"/>
      <c r="K206" s="11" t="s">
        <v>25</v>
      </c>
      <c r="L206" s="11" t="s">
        <v>30</v>
      </c>
      <c r="M206" s="56"/>
      <c r="N206" s="27"/>
      <c r="O206" s="21"/>
    </row>
    <row r="207" spans="1:15" ht="26.25" x14ac:dyDescent="0.25">
      <c r="A207" s="27">
        <v>31</v>
      </c>
      <c r="B207" s="21"/>
      <c r="C207" s="69" t="e">
        <f>MATCH(D207,[1]!Tabla1[Consignatario],0)</f>
        <v>#REF!</v>
      </c>
      <c r="D207" s="31" t="s">
        <v>374</v>
      </c>
      <c r="E207" s="21"/>
      <c r="F207" s="21"/>
      <c r="G207" s="30" t="s">
        <v>11</v>
      </c>
      <c r="H207" s="38" t="s">
        <v>125</v>
      </c>
      <c r="I207" s="23">
        <f>6*2500</f>
        <v>15000</v>
      </c>
      <c r="J207" s="24">
        <f>6*50</f>
        <v>300</v>
      </c>
      <c r="K207" s="11" t="s">
        <v>25</v>
      </c>
      <c r="L207" s="11" t="s">
        <v>30</v>
      </c>
      <c r="M207" s="56">
        <v>500</v>
      </c>
      <c r="N207" s="27"/>
      <c r="O207" s="21"/>
    </row>
    <row r="208" spans="1:15" ht="26.25" x14ac:dyDescent="0.25">
      <c r="A208" s="27"/>
      <c r="B208" s="21"/>
      <c r="C208" s="69" t="e">
        <f>MATCH(D208,[1]!Tabla1[Consignatario],0)</f>
        <v>#REF!</v>
      </c>
      <c r="D208" s="31" t="s">
        <v>374</v>
      </c>
      <c r="E208" s="21"/>
      <c r="F208" s="21"/>
      <c r="G208" s="8" t="s">
        <v>256</v>
      </c>
      <c r="H208" s="38" t="s">
        <v>63</v>
      </c>
      <c r="I208" s="23">
        <v>5000</v>
      </c>
      <c r="J208" s="24">
        <v>100</v>
      </c>
      <c r="K208" s="11" t="s">
        <v>25</v>
      </c>
      <c r="L208" s="25" t="s">
        <v>30</v>
      </c>
      <c r="M208" s="56"/>
      <c r="N208" s="27"/>
      <c r="O208" s="21"/>
    </row>
    <row r="209" spans="1:15" ht="26.25" x14ac:dyDescent="0.25">
      <c r="A209" s="27"/>
      <c r="B209" s="21"/>
      <c r="C209" s="69" t="e">
        <f>MATCH(D209,[1]!Tabla1[Consignatario],0)</f>
        <v>#REF!</v>
      </c>
      <c r="D209" s="31" t="s">
        <v>374</v>
      </c>
      <c r="E209" s="21"/>
      <c r="F209" s="21"/>
      <c r="G209" s="8" t="s">
        <v>138</v>
      </c>
      <c r="H209" s="38" t="s">
        <v>65</v>
      </c>
      <c r="I209" s="23">
        <f>80*100/2</f>
        <v>4000</v>
      </c>
      <c r="J209" s="24">
        <v>80</v>
      </c>
      <c r="K209" s="11" t="s">
        <v>25</v>
      </c>
      <c r="L209" s="11" t="s">
        <v>30</v>
      </c>
      <c r="M209" s="56"/>
      <c r="N209" s="27"/>
      <c r="O209" s="21"/>
    </row>
    <row r="210" spans="1:15" ht="26.25" x14ac:dyDescent="0.25">
      <c r="A210" s="27"/>
      <c r="B210" s="21"/>
      <c r="C210" s="69" t="e">
        <f>MATCH(D210,[1]!Tabla1[Consignatario],0)</f>
        <v>#REF!</v>
      </c>
      <c r="D210" s="31" t="s">
        <v>374</v>
      </c>
      <c r="E210" s="21"/>
      <c r="F210" s="21"/>
      <c r="G210" s="30" t="s">
        <v>11</v>
      </c>
      <c r="H210" s="38" t="s">
        <v>13</v>
      </c>
      <c r="I210" s="23">
        <v>1000</v>
      </c>
      <c r="J210" s="24">
        <f>1000/100*2</f>
        <v>20</v>
      </c>
      <c r="K210" s="11" t="s">
        <v>25</v>
      </c>
      <c r="L210" s="11" t="s">
        <v>30</v>
      </c>
      <c r="M210" s="56"/>
      <c r="N210" s="27"/>
      <c r="O210" s="21"/>
    </row>
    <row r="211" spans="1:15" x14ac:dyDescent="0.25">
      <c r="A211" s="27"/>
      <c r="B211" s="21"/>
      <c r="C211" s="69" t="e">
        <f>MATCH(D211,[1]!Tabla1[Consignatario],0)</f>
        <v>#REF!</v>
      </c>
      <c r="D211" s="31" t="s">
        <v>375</v>
      </c>
      <c r="E211" s="21"/>
      <c r="F211" s="21"/>
      <c r="G211" s="8" t="s">
        <v>256</v>
      </c>
      <c r="H211" s="38" t="s">
        <v>63</v>
      </c>
      <c r="I211" s="23">
        <v>5000</v>
      </c>
      <c r="J211" s="24">
        <v>100</v>
      </c>
      <c r="K211" s="11" t="s">
        <v>25</v>
      </c>
      <c r="L211" s="25" t="s">
        <v>30</v>
      </c>
      <c r="M211" s="56">
        <v>200</v>
      </c>
      <c r="N211" s="27"/>
      <c r="O211" s="21"/>
    </row>
    <row r="212" spans="1:15" ht="25.5" x14ac:dyDescent="0.25">
      <c r="A212" s="27"/>
      <c r="B212" s="21"/>
      <c r="C212" s="69" t="e">
        <f>MATCH(D212,[1]!Tabla1[Consignatario],0)</f>
        <v>#REF!</v>
      </c>
      <c r="D212" s="31" t="s">
        <v>375</v>
      </c>
      <c r="E212" s="21"/>
      <c r="F212" s="21"/>
      <c r="G212" s="8" t="s">
        <v>138</v>
      </c>
      <c r="H212" s="38" t="s">
        <v>376</v>
      </c>
      <c r="I212" s="23">
        <v>5000</v>
      </c>
      <c r="J212" s="24">
        <v>100</v>
      </c>
      <c r="K212" s="11" t="s">
        <v>25</v>
      </c>
      <c r="L212" s="11" t="s">
        <v>30</v>
      </c>
      <c r="M212" s="56"/>
      <c r="N212" s="27"/>
      <c r="O212" s="21"/>
    </row>
    <row r="213" spans="1:15" x14ac:dyDescent="0.25">
      <c r="A213" s="27"/>
      <c r="B213" s="21"/>
      <c r="C213" s="69" t="e">
        <f>MATCH(D213,[1]!Tabla1[Consignatario],0)</f>
        <v>#REF!</v>
      </c>
      <c r="D213" s="31" t="s">
        <v>377</v>
      </c>
      <c r="E213" s="21"/>
      <c r="F213" s="21"/>
      <c r="G213" s="30" t="s">
        <v>11</v>
      </c>
      <c r="H213" s="38" t="s">
        <v>124</v>
      </c>
      <c r="I213" s="23">
        <f>4*2500</f>
        <v>10000</v>
      </c>
      <c r="J213" s="24">
        <v>200</v>
      </c>
      <c r="K213" s="11" t="s">
        <v>25</v>
      </c>
      <c r="L213" s="11" t="s">
        <v>30</v>
      </c>
      <c r="M213" s="76">
        <v>392</v>
      </c>
      <c r="N213" s="27"/>
      <c r="O213" s="99" t="s">
        <v>460</v>
      </c>
    </row>
    <row r="214" spans="1:15" x14ac:dyDescent="0.25">
      <c r="A214" s="27"/>
      <c r="B214" s="21"/>
      <c r="C214" s="69" t="e">
        <f>MATCH(D214,[1]!Tabla1[Consignatario],0)</f>
        <v>#REF!</v>
      </c>
      <c r="D214" s="31" t="s">
        <v>377</v>
      </c>
      <c r="E214" s="21"/>
      <c r="F214" s="21"/>
      <c r="G214" s="8" t="s">
        <v>256</v>
      </c>
      <c r="H214" s="65" t="s">
        <v>37</v>
      </c>
      <c r="I214" s="49">
        <v>2000</v>
      </c>
      <c r="J214" s="37">
        <v>40</v>
      </c>
      <c r="K214" s="11" t="s">
        <v>25</v>
      </c>
      <c r="L214" s="25" t="s">
        <v>30</v>
      </c>
      <c r="M214" s="81"/>
      <c r="N214" s="27"/>
      <c r="O214" s="100"/>
    </row>
    <row r="215" spans="1:15" ht="25.5" x14ac:dyDescent="0.25">
      <c r="A215" s="27"/>
      <c r="B215" s="21"/>
      <c r="C215" s="69" t="e">
        <f>MATCH(D215,[1]!Tabla1[Consignatario],0)</f>
        <v>#REF!</v>
      </c>
      <c r="D215" s="31" t="s">
        <v>377</v>
      </c>
      <c r="E215" s="21"/>
      <c r="F215" s="21"/>
      <c r="G215" s="8" t="s">
        <v>138</v>
      </c>
      <c r="H215" s="65" t="s">
        <v>230</v>
      </c>
      <c r="I215" s="49">
        <f>4*2500</f>
        <v>10000</v>
      </c>
      <c r="J215" s="37">
        <v>200</v>
      </c>
      <c r="K215" s="11" t="s">
        <v>25</v>
      </c>
      <c r="L215" s="11" t="s">
        <v>30</v>
      </c>
      <c r="M215" s="77"/>
      <c r="N215" s="27"/>
      <c r="O215" s="101"/>
    </row>
    <row r="216" spans="1:15" ht="26.25" x14ac:dyDescent="0.25">
      <c r="A216" s="27"/>
      <c r="B216" s="21" t="s">
        <v>33</v>
      </c>
      <c r="C216" s="69" t="e">
        <f>MATCH(D216,[1]!Tabla1[Consignatario],0)</f>
        <v>#REF!</v>
      </c>
      <c r="D216" s="33" t="s">
        <v>378</v>
      </c>
      <c r="E216" s="21"/>
      <c r="F216" s="21"/>
      <c r="G216" s="30" t="s">
        <v>11</v>
      </c>
      <c r="H216" s="65" t="s">
        <v>125</v>
      </c>
      <c r="I216" s="49">
        <f>6*2500</f>
        <v>15000</v>
      </c>
      <c r="J216" s="37"/>
      <c r="K216" s="11" t="s">
        <v>25</v>
      </c>
      <c r="L216" s="11" t="s">
        <v>30</v>
      </c>
      <c r="M216" s="27">
        <v>620</v>
      </c>
      <c r="N216" s="27"/>
      <c r="O216" s="21"/>
    </row>
    <row r="217" spans="1:15" ht="26.25" x14ac:dyDescent="0.25">
      <c r="A217" s="27"/>
      <c r="B217" s="21"/>
      <c r="C217" s="69" t="e">
        <f>MATCH(D217,[1]!Tabla1[Consignatario],0)</f>
        <v>#REF!</v>
      </c>
      <c r="D217" s="33" t="s">
        <v>378</v>
      </c>
      <c r="E217" s="21"/>
      <c r="F217" s="21"/>
      <c r="G217" s="8" t="s">
        <v>256</v>
      </c>
      <c r="H217" s="65" t="s">
        <v>237</v>
      </c>
      <c r="I217" s="49">
        <v>16000</v>
      </c>
      <c r="J217" s="37"/>
      <c r="K217" s="11" t="s">
        <v>25</v>
      </c>
      <c r="L217" s="25" t="s">
        <v>30</v>
      </c>
      <c r="M217" s="27"/>
      <c r="N217" s="27"/>
      <c r="O217" s="21"/>
    </row>
    <row r="218" spans="1:15" ht="26.25" x14ac:dyDescent="0.25">
      <c r="A218" s="27"/>
      <c r="B218" s="21"/>
      <c r="C218" s="69" t="e">
        <f>MATCH(D218,[1]!Tabla1[Consignatario],0)</f>
        <v>#REF!</v>
      </c>
      <c r="D218" s="33" t="s">
        <v>379</v>
      </c>
      <c r="E218" s="21"/>
      <c r="F218" s="21"/>
      <c r="G218" s="30" t="s">
        <v>11</v>
      </c>
      <c r="H218" s="65" t="s">
        <v>364</v>
      </c>
      <c r="I218" s="49">
        <f>12*2500</f>
        <v>30000</v>
      </c>
      <c r="J218" s="37"/>
      <c r="K218" s="11" t="s">
        <v>25</v>
      </c>
      <c r="L218" s="11" t="s">
        <v>30</v>
      </c>
      <c r="M218" s="27">
        <v>1600</v>
      </c>
      <c r="N218" s="27"/>
      <c r="O218" s="21"/>
    </row>
    <row r="219" spans="1:15" ht="26.25" x14ac:dyDescent="0.25">
      <c r="A219" s="27"/>
      <c r="B219" s="21"/>
      <c r="C219" s="69" t="e">
        <f>MATCH(D219,[1]!Tabla1[Consignatario],0)</f>
        <v>#REF!</v>
      </c>
      <c r="D219" s="33" t="s">
        <v>379</v>
      </c>
      <c r="E219" s="21"/>
      <c r="F219" s="21"/>
      <c r="G219" s="8" t="s">
        <v>256</v>
      </c>
      <c r="H219" s="65" t="s">
        <v>286</v>
      </c>
      <c r="I219" s="49">
        <v>50000</v>
      </c>
      <c r="J219" s="37"/>
      <c r="K219" s="11" t="s">
        <v>25</v>
      </c>
      <c r="L219" s="11" t="s">
        <v>30</v>
      </c>
      <c r="M219" s="27"/>
      <c r="N219" s="27"/>
      <c r="O219" s="21"/>
    </row>
    <row r="220" spans="1:15" ht="26.25" x14ac:dyDescent="0.25">
      <c r="A220" s="27"/>
      <c r="B220" s="21"/>
      <c r="C220" s="69" t="e">
        <f>MATCH(D220,[1]!Tabla1[Consignatario],0)</f>
        <v>#REF!</v>
      </c>
      <c r="D220" s="31" t="s">
        <v>495</v>
      </c>
      <c r="E220" s="21"/>
      <c r="F220" s="21"/>
      <c r="G220" s="30" t="s">
        <v>11</v>
      </c>
      <c r="H220" s="65" t="s">
        <v>234</v>
      </c>
      <c r="I220" s="49">
        <f>13*2500</f>
        <v>32500</v>
      </c>
      <c r="J220" s="37">
        <f>18*50</f>
        <v>900</v>
      </c>
      <c r="K220" s="11" t="s">
        <v>25</v>
      </c>
      <c r="L220" s="25" t="s">
        <v>30</v>
      </c>
      <c r="M220" s="24">
        <v>1200</v>
      </c>
      <c r="N220" s="27"/>
      <c r="O220" s="99" t="s">
        <v>460</v>
      </c>
    </row>
    <row r="221" spans="1:15" ht="26.25" x14ac:dyDescent="0.25">
      <c r="A221" s="27"/>
      <c r="B221" s="21"/>
      <c r="C221" s="69" t="e">
        <f>MATCH(D221,[1]!Tabla1[Consignatario],0)</f>
        <v>#REF!</v>
      </c>
      <c r="D221" s="31" t="s">
        <v>495</v>
      </c>
      <c r="E221" s="21"/>
      <c r="F221" s="21"/>
      <c r="G221" s="8" t="s">
        <v>256</v>
      </c>
      <c r="H221" s="38" t="s">
        <v>326</v>
      </c>
      <c r="I221" s="23">
        <v>18000</v>
      </c>
      <c r="J221" s="24">
        <f>18*20</f>
        <v>360</v>
      </c>
      <c r="K221" s="11" t="s">
        <v>25</v>
      </c>
      <c r="L221" s="11" t="s">
        <v>30</v>
      </c>
      <c r="M221" s="24"/>
      <c r="N221" s="27"/>
      <c r="O221" s="100"/>
    </row>
    <row r="222" spans="1:15" ht="26.25" x14ac:dyDescent="0.25">
      <c r="A222" s="27"/>
      <c r="B222" s="21"/>
      <c r="C222" s="69" t="e">
        <f>MATCH(D222,[1]!Tabla1[Consignatario],0)</f>
        <v>#REF!</v>
      </c>
      <c r="D222" s="31" t="s">
        <v>495</v>
      </c>
      <c r="E222" s="21"/>
      <c r="F222" s="21"/>
      <c r="G222" s="8" t="s">
        <v>138</v>
      </c>
      <c r="H222" s="38" t="s">
        <v>287</v>
      </c>
      <c r="I222" s="23">
        <v>5000</v>
      </c>
      <c r="J222" s="24">
        <v>100</v>
      </c>
      <c r="K222" s="11" t="s">
        <v>25</v>
      </c>
      <c r="L222" s="11" t="s">
        <v>30</v>
      </c>
      <c r="M222" s="24"/>
      <c r="N222" s="27"/>
      <c r="O222" s="100"/>
    </row>
    <row r="223" spans="1:15" ht="26.25" x14ac:dyDescent="0.25">
      <c r="A223" s="27"/>
      <c r="B223" s="21"/>
      <c r="C223" s="69" t="e">
        <f>MATCH(D223,[1]!Tabla1[Consignatario],0)</f>
        <v>#REF!</v>
      </c>
      <c r="D223" s="31" t="s">
        <v>495</v>
      </c>
      <c r="E223" s="21"/>
      <c r="F223" s="21"/>
      <c r="G223" s="8" t="s">
        <v>138</v>
      </c>
      <c r="H223" s="38" t="s">
        <v>65</v>
      </c>
      <c r="I223" s="34">
        <v>2500</v>
      </c>
      <c r="J223" s="24">
        <v>50</v>
      </c>
      <c r="K223" s="11" t="s">
        <v>25</v>
      </c>
      <c r="L223" s="25" t="s">
        <v>30</v>
      </c>
      <c r="M223" s="24"/>
      <c r="N223" s="27"/>
      <c r="O223" s="100"/>
    </row>
    <row r="224" spans="1:15" ht="26.25" x14ac:dyDescent="0.25">
      <c r="A224" s="27"/>
      <c r="B224" s="21"/>
      <c r="C224" s="69" t="e">
        <f>MATCH(D224,[1]!Tabla1[Consignatario],0)</f>
        <v>#REF!</v>
      </c>
      <c r="D224" s="31" t="s">
        <v>495</v>
      </c>
      <c r="E224" s="21"/>
      <c r="F224" s="21"/>
      <c r="G224" s="30" t="s">
        <v>11</v>
      </c>
      <c r="H224" s="38" t="s">
        <v>54</v>
      </c>
      <c r="I224" s="23">
        <v>2500</v>
      </c>
      <c r="J224" s="24">
        <v>50</v>
      </c>
      <c r="K224" s="11" t="s">
        <v>25</v>
      </c>
      <c r="L224" s="11" t="s">
        <v>30</v>
      </c>
      <c r="M224" s="24"/>
      <c r="N224" s="27"/>
      <c r="O224" s="101"/>
    </row>
    <row r="225" spans="1:15" ht="26.25" x14ac:dyDescent="0.25">
      <c r="A225" s="27"/>
      <c r="B225" s="21"/>
      <c r="C225" s="69" t="e">
        <f>MATCH(D225,[1]!Tabla1[Consignatario],0)</f>
        <v>#REF!</v>
      </c>
      <c r="D225" s="31" t="s">
        <v>496</v>
      </c>
      <c r="E225" s="21"/>
      <c r="F225" s="21"/>
      <c r="G225" s="30" t="s">
        <v>11</v>
      </c>
      <c r="H225" s="38" t="s">
        <v>125</v>
      </c>
      <c r="I225" s="23">
        <f>2500*6</f>
        <v>15000</v>
      </c>
      <c r="J225" s="24"/>
      <c r="K225" s="11" t="s">
        <v>25</v>
      </c>
      <c r="L225" s="11" t="s">
        <v>30</v>
      </c>
      <c r="M225" s="24">
        <v>416</v>
      </c>
      <c r="N225" s="27"/>
      <c r="O225" s="21"/>
    </row>
    <row r="226" spans="1:15" ht="26.25" x14ac:dyDescent="0.25">
      <c r="A226" s="27"/>
      <c r="B226" s="21"/>
      <c r="C226" s="69" t="e">
        <f>MATCH(D226,[1]!Tabla1[Consignatario],0)</f>
        <v>#REF!</v>
      </c>
      <c r="D226" s="31" t="s">
        <v>496</v>
      </c>
      <c r="E226" s="21"/>
      <c r="F226" s="21"/>
      <c r="G226" s="8" t="s">
        <v>256</v>
      </c>
      <c r="H226" s="38" t="s">
        <v>63</v>
      </c>
      <c r="I226" s="23">
        <v>5000</v>
      </c>
      <c r="J226" s="24"/>
      <c r="K226" s="11" t="s">
        <v>25</v>
      </c>
      <c r="L226" s="25" t="s">
        <v>30</v>
      </c>
      <c r="M226" s="24"/>
      <c r="N226" s="27"/>
      <c r="O226" s="21"/>
    </row>
    <row r="227" spans="1:15" ht="26.25" x14ac:dyDescent="0.25">
      <c r="A227" s="27"/>
      <c r="B227" s="21"/>
      <c r="C227" s="69" t="e">
        <f>MATCH(D227,[1]!Tabla1[Consignatario],0)</f>
        <v>#REF!</v>
      </c>
      <c r="D227" s="31" t="s">
        <v>496</v>
      </c>
      <c r="E227" s="21"/>
      <c r="F227" s="21"/>
      <c r="G227" s="8" t="s">
        <v>138</v>
      </c>
      <c r="H227" s="38" t="s">
        <v>81</v>
      </c>
      <c r="I227" s="23">
        <v>800</v>
      </c>
      <c r="J227" s="24"/>
      <c r="K227" s="11" t="s">
        <v>25</v>
      </c>
      <c r="L227" s="11" t="s">
        <v>30</v>
      </c>
      <c r="M227" s="24"/>
      <c r="N227" s="27"/>
      <c r="O227" s="21"/>
    </row>
    <row r="228" spans="1:15" ht="26.25" x14ac:dyDescent="0.25">
      <c r="A228" s="27"/>
      <c r="B228" s="21"/>
      <c r="C228" s="69" t="e">
        <f>MATCH(D228,[1]!Tabla1[Consignatario],0)</f>
        <v>#REF!</v>
      </c>
      <c r="D228" s="31" t="s">
        <v>380</v>
      </c>
      <c r="E228" s="21"/>
      <c r="F228" s="21"/>
      <c r="G228" s="30" t="s">
        <v>11</v>
      </c>
      <c r="H228" s="38" t="s">
        <v>328</v>
      </c>
      <c r="I228" s="23">
        <f>38*2500</f>
        <v>95000</v>
      </c>
      <c r="J228" s="24">
        <f>38*50</f>
        <v>1900</v>
      </c>
      <c r="K228" s="11" t="s">
        <v>25</v>
      </c>
      <c r="L228" s="11" t="s">
        <v>30</v>
      </c>
      <c r="M228" s="24">
        <v>3010</v>
      </c>
      <c r="N228" s="27"/>
      <c r="O228" s="21"/>
    </row>
    <row r="229" spans="1:15" ht="26.25" x14ac:dyDescent="0.25">
      <c r="A229" s="27"/>
      <c r="B229" s="21"/>
      <c r="C229" s="69" t="e">
        <f>MATCH(D229,[1]!Tabla1[Consignatario],0)</f>
        <v>#REF!</v>
      </c>
      <c r="D229" s="31" t="s">
        <v>380</v>
      </c>
      <c r="E229" s="21"/>
      <c r="F229" s="21"/>
      <c r="G229" s="8" t="s">
        <v>256</v>
      </c>
      <c r="H229" s="38" t="s">
        <v>381</v>
      </c>
      <c r="I229" s="23">
        <v>43000</v>
      </c>
      <c r="J229" s="24">
        <f>43*20</f>
        <v>860</v>
      </c>
      <c r="K229" s="11" t="s">
        <v>25</v>
      </c>
      <c r="L229" s="25" t="s">
        <v>30</v>
      </c>
      <c r="M229" s="24"/>
      <c r="N229" s="27"/>
      <c r="O229" s="21"/>
    </row>
    <row r="230" spans="1:15" ht="26.25" x14ac:dyDescent="0.25">
      <c r="A230" s="27"/>
      <c r="B230" s="21"/>
      <c r="C230" s="69" t="e">
        <f>MATCH(D230,[1]!Tabla1[Consignatario],0)</f>
        <v>#REF!</v>
      </c>
      <c r="D230" s="31" t="s">
        <v>380</v>
      </c>
      <c r="E230" s="21"/>
      <c r="F230" s="21"/>
      <c r="G230" s="8" t="s">
        <v>138</v>
      </c>
      <c r="H230" s="38" t="s">
        <v>282</v>
      </c>
      <c r="I230" s="23">
        <f>5*2500</f>
        <v>12500</v>
      </c>
      <c r="J230" s="24">
        <f>5*50</f>
        <v>250</v>
      </c>
      <c r="K230" s="11" t="s">
        <v>25</v>
      </c>
      <c r="L230" s="11" t="s">
        <v>30</v>
      </c>
      <c r="M230" s="24"/>
      <c r="N230" s="27"/>
      <c r="O230" s="21"/>
    </row>
    <row r="231" spans="1:15" x14ac:dyDescent="0.25">
      <c r="A231" s="27" t="s">
        <v>382</v>
      </c>
      <c r="B231" s="21"/>
      <c r="C231" s="69" t="e">
        <f>MATCH(D231,[1]!Tabla1[Consignatario],0)</f>
        <v>#REF!</v>
      </c>
      <c r="D231" s="31" t="s">
        <v>110</v>
      </c>
      <c r="E231" s="21"/>
      <c r="F231" s="21"/>
      <c r="G231" s="30" t="s">
        <v>11</v>
      </c>
      <c r="H231" s="38" t="s">
        <v>225</v>
      </c>
      <c r="I231" s="23">
        <f>20*2500</f>
        <v>50000</v>
      </c>
      <c r="J231" s="24"/>
      <c r="K231" s="11" t="s">
        <v>25</v>
      </c>
      <c r="L231" s="11" t="s">
        <v>30</v>
      </c>
      <c r="M231" s="24">
        <v>1850</v>
      </c>
      <c r="N231" s="27"/>
      <c r="O231" s="21"/>
    </row>
    <row r="232" spans="1:15" x14ac:dyDescent="0.25">
      <c r="A232" s="27"/>
      <c r="B232" s="21"/>
      <c r="C232" s="69" t="e">
        <f>MATCH(D232,[1]!Tabla1[Consignatario],0)</f>
        <v>#REF!</v>
      </c>
      <c r="D232" s="31" t="s">
        <v>110</v>
      </c>
      <c r="E232" s="21"/>
      <c r="F232" s="21"/>
      <c r="G232" s="8" t="s">
        <v>256</v>
      </c>
      <c r="H232" s="38" t="s">
        <v>383</v>
      </c>
      <c r="I232" s="23">
        <v>40000</v>
      </c>
      <c r="J232" s="24"/>
      <c r="K232" s="11" t="s">
        <v>25</v>
      </c>
      <c r="L232" s="25" t="s">
        <v>30</v>
      </c>
      <c r="M232" s="57"/>
      <c r="N232" s="27"/>
      <c r="O232" s="21"/>
    </row>
    <row r="233" spans="1:15" ht="25.5" x14ac:dyDescent="0.25">
      <c r="A233" s="27"/>
      <c r="B233" s="21"/>
      <c r="C233" s="69" t="e">
        <f>MATCH(D233,[1]!Tabla1[Consignatario],0)</f>
        <v>#REF!</v>
      </c>
      <c r="D233" s="31" t="s">
        <v>110</v>
      </c>
      <c r="E233" s="21"/>
      <c r="F233" s="21"/>
      <c r="G233" s="8" t="s">
        <v>138</v>
      </c>
      <c r="H233" s="38" t="s">
        <v>46</v>
      </c>
      <c r="I233" s="23">
        <v>2500</v>
      </c>
      <c r="J233" s="24"/>
      <c r="K233" s="11" t="s">
        <v>25</v>
      </c>
      <c r="L233" s="11" t="s">
        <v>30</v>
      </c>
      <c r="M233" s="57"/>
      <c r="N233" s="27"/>
      <c r="O233" s="21"/>
    </row>
    <row r="234" spans="1:15" ht="26.25" x14ac:dyDescent="0.25">
      <c r="A234" s="27"/>
      <c r="B234" s="21"/>
      <c r="C234" s="69" t="e">
        <f>MATCH(D234,[1]!Tabla1[Consignatario],0)</f>
        <v>#REF!</v>
      </c>
      <c r="D234" s="31" t="s">
        <v>384</v>
      </c>
      <c r="E234" s="21"/>
      <c r="F234" s="21"/>
      <c r="G234" s="30" t="s">
        <v>11</v>
      </c>
      <c r="H234" s="38" t="s">
        <v>48</v>
      </c>
      <c r="I234" s="23">
        <v>2500</v>
      </c>
      <c r="J234" s="24"/>
      <c r="K234" s="11" t="s">
        <v>25</v>
      </c>
      <c r="L234" s="11" t="s">
        <v>30</v>
      </c>
      <c r="M234" s="24">
        <v>90</v>
      </c>
      <c r="N234" s="27"/>
      <c r="O234" s="21"/>
    </row>
    <row r="235" spans="1:15" ht="26.25" x14ac:dyDescent="0.25">
      <c r="A235" s="27"/>
      <c r="B235" s="21"/>
      <c r="C235" s="69" t="e">
        <f>MATCH(D235,[1]!Tabla1[Consignatario],0)</f>
        <v>#REF!</v>
      </c>
      <c r="D235" s="31" t="s">
        <v>384</v>
      </c>
      <c r="E235" s="21"/>
      <c r="F235" s="21"/>
      <c r="G235" s="8" t="s">
        <v>256</v>
      </c>
      <c r="H235" s="38" t="s">
        <v>37</v>
      </c>
      <c r="I235" s="23">
        <v>2000</v>
      </c>
      <c r="J235" s="24"/>
      <c r="K235" s="11" t="s">
        <v>25</v>
      </c>
      <c r="L235" s="25" t="s">
        <v>30</v>
      </c>
      <c r="M235" s="24"/>
      <c r="N235" s="27"/>
      <c r="O235" s="21"/>
    </row>
    <row r="236" spans="1:15" x14ac:dyDescent="0.25">
      <c r="A236" s="27"/>
      <c r="B236" s="21"/>
      <c r="C236" s="69" t="e">
        <f>MATCH(D236,[1]!Tabla1[Consignatario],0)</f>
        <v>#REF!</v>
      </c>
      <c r="D236" s="31" t="s">
        <v>385</v>
      </c>
      <c r="E236" s="21"/>
      <c r="F236" s="21"/>
      <c r="G236" s="30" t="s">
        <v>11</v>
      </c>
      <c r="H236" s="38" t="s">
        <v>48</v>
      </c>
      <c r="I236" s="23">
        <v>2500</v>
      </c>
      <c r="J236" s="24"/>
      <c r="K236" s="11" t="s">
        <v>25</v>
      </c>
      <c r="L236" s="11" t="s">
        <v>30</v>
      </c>
      <c r="M236" s="57">
        <v>153</v>
      </c>
      <c r="N236" s="27"/>
      <c r="O236" s="21"/>
    </row>
    <row r="237" spans="1:15" x14ac:dyDescent="0.25">
      <c r="A237" s="27"/>
      <c r="B237" s="21"/>
      <c r="C237" s="69" t="e">
        <f>MATCH(D237,[1]!Tabla1[Consignatario],0)</f>
        <v>#REF!</v>
      </c>
      <c r="D237" s="31" t="s">
        <v>385</v>
      </c>
      <c r="E237" s="21"/>
      <c r="F237" s="21"/>
      <c r="G237" s="30" t="s">
        <v>11</v>
      </c>
      <c r="H237" s="38" t="s">
        <v>152</v>
      </c>
      <c r="I237" s="23">
        <v>2000</v>
      </c>
      <c r="J237" s="24"/>
      <c r="K237" s="11" t="s">
        <v>25</v>
      </c>
      <c r="L237" s="11" t="s">
        <v>30</v>
      </c>
      <c r="M237" s="57"/>
      <c r="N237" s="27"/>
      <c r="O237" s="21"/>
    </row>
    <row r="238" spans="1:15" ht="25.5" x14ac:dyDescent="0.25">
      <c r="A238" s="27"/>
      <c r="B238" s="21"/>
      <c r="C238" s="69" t="e">
        <f>MATCH(D238,[1]!Tabla1[Consignatario],0)</f>
        <v>#REF!</v>
      </c>
      <c r="D238" s="31" t="s">
        <v>385</v>
      </c>
      <c r="E238" s="21"/>
      <c r="F238" s="21"/>
      <c r="G238" s="8" t="s">
        <v>138</v>
      </c>
      <c r="H238" s="38" t="s">
        <v>46</v>
      </c>
      <c r="I238" s="23">
        <v>2500</v>
      </c>
      <c r="J238" s="24"/>
      <c r="K238" s="11" t="s">
        <v>25</v>
      </c>
      <c r="L238" s="25" t="s">
        <v>30</v>
      </c>
      <c r="M238" s="57"/>
      <c r="N238" s="27"/>
      <c r="O238" s="21"/>
    </row>
    <row r="239" spans="1:15" x14ac:dyDescent="0.25">
      <c r="A239" s="27"/>
      <c r="B239" s="21"/>
      <c r="C239" s="69" t="e">
        <f>MATCH(D239,[1]!Tabla1[Consignatario],0)</f>
        <v>#REF!</v>
      </c>
      <c r="D239" s="31" t="s">
        <v>386</v>
      </c>
      <c r="E239" s="21" t="s">
        <v>387</v>
      </c>
      <c r="F239" s="21"/>
      <c r="G239" s="30" t="s">
        <v>11</v>
      </c>
      <c r="H239" s="38" t="s">
        <v>388</v>
      </c>
      <c r="I239" s="23">
        <f>92*2500</f>
        <v>230000</v>
      </c>
      <c r="J239" s="23">
        <f>92*50</f>
        <v>4600</v>
      </c>
      <c r="K239" s="11" t="s">
        <v>25</v>
      </c>
      <c r="L239" s="11" t="s">
        <v>30</v>
      </c>
      <c r="M239" s="37">
        <v>7000</v>
      </c>
      <c r="N239" s="27"/>
      <c r="O239" s="21"/>
    </row>
    <row r="240" spans="1:15" x14ac:dyDescent="0.25">
      <c r="A240" s="27"/>
      <c r="B240" s="21"/>
      <c r="C240" s="69" t="e">
        <f>MATCH(D240,[1]!Tabla1[Consignatario],0)</f>
        <v>#REF!</v>
      </c>
      <c r="D240" s="31" t="s">
        <v>386</v>
      </c>
      <c r="E240" s="21"/>
      <c r="F240" s="21"/>
      <c r="G240" s="8" t="s">
        <v>256</v>
      </c>
      <c r="H240" s="38" t="s">
        <v>389</v>
      </c>
      <c r="I240" s="23">
        <v>86000</v>
      </c>
      <c r="J240" s="23">
        <f>86*20</f>
        <v>1720</v>
      </c>
      <c r="K240" s="11" t="s">
        <v>25</v>
      </c>
      <c r="L240" s="11" t="s">
        <v>30</v>
      </c>
      <c r="M240" s="37"/>
      <c r="N240" s="27"/>
      <c r="O240" s="21"/>
    </row>
    <row r="241" spans="1:15" ht="25.5" x14ac:dyDescent="0.25">
      <c r="A241" s="27"/>
      <c r="B241" s="21"/>
      <c r="C241" s="69" t="e">
        <f>MATCH(D241,[1]!Tabla1[Consignatario],0)</f>
        <v>#REF!</v>
      </c>
      <c r="D241" s="31" t="s">
        <v>386</v>
      </c>
      <c r="E241" s="21"/>
      <c r="F241" s="21"/>
      <c r="G241" s="8" t="s">
        <v>138</v>
      </c>
      <c r="H241" s="38" t="s">
        <v>390</v>
      </c>
      <c r="I241" s="23">
        <f>12*2500</f>
        <v>30000</v>
      </c>
      <c r="J241" s="23">
        <f>12*50</f>
        <v>600</v>
      </c>
      <c r="K241" s="11" t="s">
        <v>25</v>
      </c>
      <c r="L241" s="25" t="s">
        <v>30</v>
      </c>
      <c r="M241" s="37"/>
      <c r="N241" s="27"/>
      <c r="O241" s="21"/>
    </row>
    <row r="242" spans="1:15" x14ac:dyDescent="0.25">
      <c r="A242" s="27"/>
      <c r="B242" s="21"/>
      <c r="C242" s="69" t="e">
        <f>MATCH(D242,[1]!Tabla1[Consignatario],0)</f>
        <v>#REF!</v>
      </c>
      <c r="D242" s="31" t="s">
        <v>386</v>
      </c>
      <c r="E242" s="21"/>
      <c r="F242" s="21"/>
      <c r="G242" s="30" t="s">
        <v>11</v>
      </c>
      <c r="H242" s="38" t="s">
        <v>391</v>
      </c>
      <c r="I242" s="34">
        <f>80*100/2</f>
        <v>4000</v>
      </c>
      <c r="J242" s="34">
        <v>80</v>
      </c>
      <c r="K242" s="11" t="s">
        <v>25</v>
      </c>
      <c r="L242" s="11" t="s">
        <v>30</v>
      </c>
      <c r="M242" s="58"/>
      <c r="N242" s="27"/>
      <c r="O242" s="21"/>
    </row>
    <row r="243" spans="1:15" ht="26.25" x14ac:dyDescent="0.25">
      <c r="A243" s="27"/>
      <c r="B243" s="21" t="s">
        <v>68</v>
      </c>
      <c r="C243" s="69" t="e">
        <f>MATCH(D243,[1]!Tabla1[Consignatario],0)</f>
        <v>#REF!</v>
      </c>
      <c r="D243" s="31" t="s">
        <v>497</v>
      </c>
      <c r="E243" s="21"/>
      <c r="F243" s="21"/>
      <c r="G243" s="30" t="s">
        <v>11</v>
      </c>
      <c r="H243" s="38" t="s">
        <v>48</v>
      </c>
      <c r="I243" s="34">
        <v>2500</v>
      </c>
      <c r="J243" s="23"/>
      <c r="K243" s="11" t="s">
        <v>25</v>
      </c>
      <c r="L243" s="11" t="s">
        <v>30</v>
      </c>
      <c r="M243" s="58">
        <v>70</v>
      </c>
      <c r="N243" s="27"/>
      <c r="O243" s="21"/>
    </row>
    <row r="244" spans="1:15" ht="26.25" x14ac:dyDescent="0.25">
      <c r="A244" s="27"/>
      <c r="B244" s="21"/>
      <c r="C244" s="69" t="e">
        <f>MATCH(D244,[1]!Tabla1[Consignatario],0)</f>
        <v>#REF!</v>
      </c>
      <c r="D244" s="31" t="s">
        <v>497</v>
      </c>
      <c r="E244" s="21"/>
      <c r="F244" s="21"/>
      <c r="G244" s="8" t="s">
        <v>256</v>
      </c>
      <c r="H244" s="38" t="s">
        <v>38</v>
      </c>
      <c r="I244" s="23">
        <v>1000</v>
      </c>
      <c r="J244" s="24"/>
      <c r="K244" s="11" t="s">
        <v>25</v>
      </c>
      <c r="L244" s="25" t="s">
        <v>30</v>
      </c>
      <c r="M244" s="52"/>
      <c r="N244" s="76"/>
      <c r="O244" s="21"/>
    </row>
    <row r="245" spans="1:15" ht="26.25" x14ac:dyDescent="0.25">
      <c r="A245" s="27"/>
      <c r="B245" s="21"/>
      <c r="C245" s="69" t="e">
        <f>MATCH(D245,[1]!Tabla1[Consignatario],0)</f>
        <v>#REF!</v>
      </c>
      <c r="D245" s="31" t="s">
        <v>498</v>
      </c>
      <c r="E245" s="21"/>
      <c r="F245" s="21"/>
      <c r="G245" s="30" t="s">
        <v>11</v>
      </c>
      <c r="H245" s="38" t="s">
        <v>124</v>
      </c>
      <c r="I245" s="23">
        <v>10000</v>
      </c>
      <c r="J245" s="24"/>
      <c r="K245" s="11" t="s">
        <v>25</v>
      </c>
      <c r="L245" s="11" t="s">
        <v>30</v>
      </c>
      <c r="M245" s="53">
        <v>540</v>
      </c>
      <c r="N245" s="77"/>
      <c r="O245" s="21"/>
    </row>
    <row r="246" spans="1:15" ht="26.25" x14ac:dyDescent="0.25">
      <c r="A246" s="27"/>
      <c r="B246" s="21"/>
      <c r="C246" s="69" t="e">
        <f>MATCH(D246,[1]!Tabla1[Consignatario],0)</f>
        <v>#REF!</v>
      </c>
      <c r="D246" s="31" t="s">
        <v>498</v>
      </c>
      <c r="E246" s="21"/>
      <c r="F246" s="21"/>
      <c r="G246" s="8" t="s">
        <v>256</v>
      </c>
      <c r="H246" s="38" t="s">
        <v>37</v>
      </c>
      <c r="I246" s="23">
        <v>2000</v>
      </c>
      <c r="J246" s="24"/>
      <c r="K246" s="11" t="s">
        <v>25</v>
      </c>
      <c r="L246" s="11" t="s">
        <v>30</v>
      </c>
      <c r="M246" s="52"/>
      <c r="N246" s="27"/>
      <c r="O246" s="21"/>
    </row>
    <row r="247" spans="1:15" ht="26.25" x14ac:dyDescent="0.25">
      <c r="A247" s="27"/>
      <c r="B247" s="21"/>
      <c r="C247" s="69" t="e">
        <f>MATCH(D247,[1]!Tabla1[Consignatario],0)</f>
        <v>#REF!</v>
      </c>
      <c r="D247" s="31" t="s">
        <v>498</v>
      </c>
      <c r="E247" s="21"/>
      <c r="F247" s="21"/>
      <c r="G247" s="8" t="s">
        <v>138</v>
      </c>
      <c r="H247" s="38" t="s">
        <v>392</v>
      </c>
      <c r="I247" s="23">
        <f>3*2500</f>
        <v>7500</v>
      </c>
      <c r="J247" s="24"/>
      <c r="K247" s="11" t="s">
        <v>25</v>
      </c>
      <c r="L247" s="25" t="s">
        <v>30</v>
      </c>
      <c r="M247" s="53"/>
      <c r="N247" s="27"/>
      <c r="O247" s="21"/>
    </row>
    <row r="248" spans="1:15" ht="26.25" x14ac:dyDescent="0.25">
      <c r="A248" s="27"/>
      <c r="B248" s="21"/>
      <c r="C248" s="69" t="e">
        <f>MATCH(D248,[1]!Tabla1[Consignatario],0)</f>
        <v>#REF!</v>
      </c>
      <c r="D248" s="31" t="s">
        <v>498</v>
      </c>
      <c r="E248" s="21"/>
      <c r="F248" s="21"/>
      <c r="G248" s="30" t="s">
        <v>12</v>
      </c>
      <c r="H248" s="38" t="s">
        <v>393</v>
      </c>
      <c r="I248" s="23">
        <f>10*150</f>
        <v>1500</v>
      </c>
      <c r="J248" s="24"/>
      <c r="K248" s="11" t="s">
        <v>25</v>
      </c>
      <c r="L248" s="11" t="s">
        <v>30</v>
      </c>
      <c r="M248" s="52"/>
      <c r="N248" s="27"/>
      <c r="O248" s="21"/>
    </row>
    <row r="249" spans="1:15" ht="26.25" x14ac:dyDescent="0.25">
      <c r="A249" s="27"/>
      <c r="B249" s="21"/>
      <c r="C249" s="69" t="e">
        <f>MATCH(D249,[1]!Tabla1[Consignatario],0)</f>
        <v>#REF!</v>
      </c>
      <c r="D249" s="31" t="s">
        <v>394</v>
      </c>
      <c r="E249" s="21"/>
      <c r="F249" s="21"/>
      <c r="G249" s="30" t="s">
        <v>11</v>
      </c>
      <c r="H249" s="38" t="s">
        <v>225</v>
      </c>
      <c r="I249" s="23">
        <f>2500*20</f>
        <v>50000</v>
      </c>
      <c r="J249" s="24">
        <f>20*50</f>
        <v>1000</v>
      </c>
      <c r="K249" s="11" t="s">
        <v>25</v>
      </c>
      <c r="L249" s="11" t="s">
        <v>30</v>
      </c>
      <c r="M249" s="54">
        <v>1810</v>
      </c>
      <c r="N249" s="27"/>
      <c r="O249" s="21"/>
    </row>
    <row r="250" spans="1:15" ht="26.25" x14ac:dyDescent="0.25">
      <c r="A250" s="27"/>
      <c r="B250" s="21"/>
      <c r="C250" s="69" t="e">
        <f>MATCH(D250,[1]!Tabla1[Consignatario],0)</f>
        <v>#REF!</v>
      </c>
      <c r="D250" s="31" t="s">
        <v>394</v>
      </c>
      <c r="E250" s="21"/>
      <c r="F250" s="21"/>
      <c r="G250" s="8" t="s">
        <v>256</v>
      </c>
      <c r="H250" s="38" t="s">
        <v>395</v>
      </c>
      <c r="I250" s="23">
        <f>38*1000</f>
        <v>38000</v>
      </c>
      <c r="J250" s="24">
        <f>38*20</f>
        <v>760</v>
      </c>
      <c r="K250" s="11" t="s">
        <v>25</v>
      </c>
      <c r="L250" s="25" t="s">
        <v>30</v>
      </c>
      <c r="M250" s="53"/>
      <c r="N250" s="27"/>
      <c r="O250" s="21"/>
    </row>
    <row r="251" spans="1:15" ht="26.25" x14ac:dyDescent="0.25">
      <c r="A251" s="27"/>
      <c r="B251" s="21"/>
      <c r="C251" s="69" t="e">
        <f>MATCH(D251,[1]!Tabla1[Consignatario],0)</f>
        <v>#REF!</v>
      </c>
      <c r="D251" s="31" t="s">
        <v>394</v>
      </c>
      <c r="E251" s="21"/>
      <c r="F251" s="21"/>
      <c r="G251" s="8" t="s">
        <v>138</v>
      </c>
      <c r="H251" s="38" t="s">
        <v>46</v>
      </c>
      <c r="I251" s="23">
        <v>2500</v>
      </c>
      <c r="J251" s="24">
        <v>50</v>
      </c>
      <c r="K251" s="11" t="s">
        <v>25</v>
      </c>
      <c r="L251" s="11" t="s">
        <v>30</v>
      </c>
      <c r="M251" s="27"/>
      <c r="N251" s="27"/>
      <c r="O251" s="21"/>
    </row>
    <row r="252" spans="1:15" x14ac:dyDescent="0.25">
      <c r="A252" s="27"/>
      <c r="B252" s="21"/>
      <c r="C252" s="69" t="e">
        <f>MATCH(D252,[1]!Tabla1[Consignatario],0)</f>
        <v>#REF!</v>
      </c>
      <c r="D252" s="31" t="s">
        <v>396</v>
      </c>
      <c r="E252" s="21"/>
      <c r="F252" s="21"/>
      <c r="G252" s="30" t="s">
        <v>11</v>
      </c>
      <c r="H252" s="38" t="s">
        <v>101</v>
      </c>
      <c r="I252" s="23">
        <v>12500</v>
      </c>
      <c r="J252" s="24"/>
      <c r="K252" s="11" t="s">
        <v>25</v>
      </c>
      <c r="L252" s="11" t="s">
        <v>30</v>
      </c>
      <c r="M252" s="27">
        <v>400</v>
      </c>
      <c r="N252" s="27"/>
      <c r="O252" s="21"/>
    </row>
    <row r="253" spans="1:15" x14ac:dyDescent="0.25">
      <c r="A253" s="27"/>
      <c r="B253" s="21"/>
      <c r="C253" s="69" t="e">
        <f>MATCH(D253,[1]!Tabla1[Consignatario],0)</f>
        <v>#REF!</v>
      </c>
      <c r="D253" s="31" t="s">
        <v>396</v>
      </c>
      <c r="E253" s="21"/>
      <c r="F253" s="21"/>
      <c r="G253" s="8" t="s">
        <v>256</v>
      </c>
      <c r="H253" s="38" t="s">
        <v>229</v>
      </c>
      <c r="I253" s="23">
        <v>6000</v>
      </c>
      <c r="J253" s="24"/>
      <c r="K253" s="11" t="s">
        <v>25</v>
      </c>
      <c r="L253" s="25" t="s">
        <v>30</v>
      </c>
      <c r="M253" s="50"/>
      <c r="N253" s="27"/>
      <c r="O253" s="21"/>
    </row>
    <row r="254" spans="1:15" ht="25.5" x14ac:dyDescent="0.25">
      <c r="A254" s="27"/>
      <c r="B254" s="21"/>
      <c r="C254" s="69" t="e">
        <f>MATCH(D254,[1]!Tabla1[Consignatario],0)</f>
        <v>#REF!</v>
      </c>
      <c r="D254" s="31" t="s">
        <v>396</v>
      </c>
      <c r="E254" s="21"/>
      <c r="F254" s="21"/>
      <c r="G254" s="8" t="s">
        <v>138</v>
      </c>
      <c r="H254" s="38" t="s">
        <v>46</v>
      </c>
      <c r="I254" s="23">
        <v>2500</v>
      </c>
      <c r="J254" s="24"/>
      <c r="K254" s="11" t="s">
        <v>25</v>
      </c>
      <c r="L254" s="11" t="s">
        <v>30</v>
      </c>
      <c r="M254" s="51"/>
      <c r="N254" s="27"/>
      <c r="O254" s="21"/>
    </row>
    <row r="255" spans="1:15" ht="26.25" x14ac:dyDescent="0.25">
      <c r="A255" s="27"/>
      <c r="B255" s="21" t="s">
        <v>398</v>
      </c>
      <c r="C255" s="69" t="e">
        <f>MATCH(D255,[1]!Tabla1[Consignatario],0)</f>
        <v>#REF!</v>
      </c>
      <c r="D255" s="31" t="s">
        <v>397</v>
      </c>
      <c r="E255" s="21"/>
      <c r="F255" s="21"/>
      <c r="G255" s="30" t="s">
        <v>11</v>
      </c>
      <c r="H255" s="38" t="s">
        <v>41</v>
      </c>
      <c r="I255" s="23">
        <f>14*2500</f>
        <v>35000</v>
      </c>
      <c r="J255" s="24"/>
      <c r="K255" s="11" t="s">
        <v>25</v>
      </c>
      <c r="L255" s="11" t="s">
        <v>30</v>
      </c>
      <c r="M255" s="27">
        <v>820</v>
      </c>
      <c r="N255" s="27"/>
      <c r="O255" s="21"/>
    </row>
    <row r="256" spans="1:15" ht="26.25" x14ac:dyDescent="0.25">
      <c r="A256" s="27"/>
      <c r="B256" s="21"/>
      <c r="C256" s="69" t="e">
        <f>MATCH(D256,[1]!Tabla1[Consignatario],0)</f>
        <v>#REF!</v>
      </c>
      <c r="D256" s="31" t="s">
        <v>397</v>
      </c>
      <c r="E256" s="21"/>
      <c r="F256" s="21"/>
      <c r="G256" s="8" t="s">
        <v>256</v>
      </c>
      <c r="H256" s="38" t="s">
        <v>229</v>
      </c>
      <c r="I256" s="23">
        <v>6000</v>
      </c>
      <c r="J256" s="24"/>
      <c r="K256" s="11" t="s">
        <v>25</v>
      </c>
      <c r="L256" s="25" t="s">
        <v>30</v>
      </c>
      <c r="M256" s="27"/>
      <c r="N256" s="27"/>
      <c r="O256" s="21"/>
    </row>
    <row r="257" spans="1:15" ht="26.25" x14ac:dyDescent="0.25">
      <c r="A257" s="27">
        <v>32</v>
      </c>
      <c r="B257" s="21"/>
      <c r="C257" s="69" t="e">
        <f>MATCH(D257,[1]!Tabla1[Consignatario],0)</f>
        <v>#REF!</v>
      </c>
      <c r="D257" s="31" t="s">
        <v>399</v>
      </c>
      <c r="E257" s="21"/>
      <c r="F257" s="21"/>
      <c r="G257" s="30" t="s">
        <v>11</v>
      </c>
      <c r="H257" s="38" t="s">
        <v>101</v>
      </c>
      <c r="I257" s="23">
        <v>12500</v>
      </c>
      <c r="J257" s="24"/>
      <c r="K257" s="11" t="s">
        <v>25</v>
      </c>
      <c r="L257" s="11" t="s">
        <v>30</v>
      </c>
      <c r="M257" s="50">
        <v>290</v>
      </c>
      <c r="N257" s="27"/>
      <c r="O257" s="21"/>
    </row>
    <row r="258" spans="1:15" ht="26.25" x14ac:dyDescent="0.25">
      <c r="A258" s="27"/>
      <c r="B258" s="21"/>
      <c r="C258" s="69" t="e">
        <f>MATCH(D258,[1]!Tabla1[Consignatario],0)</f>
        <v>#REF!</v>
      </c>
      <c r="D258" s="31" t="s">
        <v>399</v>
      </c>
      <c r="E258" s="21"/>
      <c r="F258" s="21"/>
      <c r="G258" s="8" t="s">
        <v>256</v>
      </c>
      <c r="H258" s="38" t="s">
        <v>37</v>
      </c>
      <c r="I258" s="23">
        <v>2000</v>
      </c>
      <c r="J258" s="24"/>
      <c r="K258" s="11" t="s">
        <v>25</v>
      </c>
      <c r="L258" s="11" t="s">
        <v>30</v>
      </c>
      <c r="M258" s="51"/>
      <c r="N258" s="27"/>
      <c r="O258" s="21"/>
    </row>
    <row r="259" spans="1:15" ht="26.25" x14ac:dyDescent="0.25">
      <c r="A259" s="27"/>
      <c r="B259" s="21" t="s">
        <v>15</v>
      </c>
      <c r="C259" s="69" t="e">
        <f>MATCH(D259,[1]!Tabla1[Consignatario],0)</f>
        <v>#REF!</v>
      </c>
      <c r="D259" s="31" t="s">
        <v>16</v>
      </c>
      <c r="E259" s="21"/>
      <c r="F259" s="21"/>
      <c r="G259" s="30" t="s">
        <v>11</v>
      </c>
      <c r="H259" s="38" t="s">
        <v>400</v>
      </c>
      <c r="I259" s="23">
        <f>130*2500</f>
        <v>325000</v>
      </c>
      <c r="J259" s="24"/>
      <c r="K259" s="11" t="s">
        <v>25</v>
      </c>
      <c r="L259" s="25" t="s">
        <v>30</v>
      </c>
      <c r="M259" s="27">
        <v>11100</v>
      </c>
      <c r="N259" s="27"/>
      <c r="O259" s="21"/>
    </row>
    <row r="260" spans="1:15" ht="26.25" x14ac:dyDescent="0.25">
      <c r="A260" s="27"/>
      <c r="B260" s="21"/>
      <c r="C260" s="69" t="e">
        <f>MATCH(D260,[1]!Tabla1[Consignatario],0)</f>
        <v>#REF!</v>
      </c>
      <c r="D260" s="31" t="s">
        <v>16</v>
      </c>
      <c r="E260" s="21"/>
      <c r="F260" s="21"/>
      <c r="G260" s="8" t="s">
        <v>256</v>
      </c>
      <c r="H260" s="38" t="s">
        <v>401</v>
      </c>
      <c r="I260" s="23">
        <v>100000</v>
      </c>
      <c r="J260" s="24"/>
      <c r="K260" s="11" t="s">
        <v>25</v>
      </c>
      <c r="L260" s="11" t="s">
        <v>30</v>
      </c>
      <c r="M260" s="27"/>
      <c r="N260" s="27"/>
      <c r="O260" s="21"/>
    </row>
    <row r="261" spans="1:15" ht="26.25" x14ac:dyDescent="0.25">
      <c r="A261" s="27"/>
      <c r="B261" s="21"/>
      <c r="C261" s="69" t="e">
        <f>MATCH(D261,[1]!Tabla1[Consignatario],0)</f>
        <v>#REF!</v>
      </c>
      <c r="D261" s="31" t="s">
        <v>16</v>
      </c>
      <c r="E261" s="21"/>
      <c r="F261" s="21"/>
      <c r="G261" s="8" t="s">
        <v>138</v>
      </c>
      <c r="H261" s="38" t="s">
        <v>402</v>
      </c>
      <c r="I261" s="23">
        <f>30*2500</f>
        <v>75000</v>
      </c>
      <c r="J261" s="24"/>
      <c r="K261" s="11" t="s">
        <v>25</v>
      </c>
      <c r="L261" s="11" t="s">
        <v>30</v>
      </c>
      <c r="M261" s="50"/>
      <c r="N261" s="27"/>
      <c r="O261" s="21"/>
    </row>
    <row r="262" spans="1:15" x14ac:dyDescent="0.25">
      <c r="A262" s="27"/>
      <c r="B262" s="21" t="s">
        <v>15</v>
      </c>
      <c r="C262" s="69" t="e">
        <f>MATCH(D262,[1]!Tabla1[Consignatario],0)</f>
        <v>#REF!</v>
      </c>
      <c r="D262" s="31" t="s">
        <v>499</v>
      </c>
      <c r="E262" s="21"/>
      <c r="F262" s="21"/>
      <c r="G262" s="30" t="s">
        <v>11</v>
      </c>
      <c r="H262" s="38" t="s">
        <v>403</v>
      </c>
      <c r="I262" s="23">
        <f>43*2500</f>
        <v>107500</v>
      </c>
      <c r="J262" s="24">
        <f>43*50</f>
        <v>2150</v>
      </c>
      <c r="K262" s="11" t="s">
        <v>25</v>
      </c>
      <c r="L262" s="25" t="s">
        <v>30</v>
      </c>
      <c r="M262" s="55">
        <v>3150</v>
      </c>
      <c r="N262" s="27"/>
      <c r="O262" s="21"/>
    </row>
    <row r="263" spans="1:15" x14ac:dyDescent="0.25">
      <c r="A263" s="27"/>
      <c r="B263" s="21"/>
      <c r="C263" s="69" t="e">
        <f>MATCH(D263,[1]!Tabla1[Consignatario],0)</f>
        <v>#REF!</v>
      </c>
      <c r="D263" s="31" t="s">
        <v>499</v>
      </c>
      <c r="E263" s="21"/>
      <c r="F263" s="21"/>
      <c r="G263" s="8" t="s">
        <v>256</v>
      </c>
      <c r="H263" s="38" t="s">
        <v>226</v>
      </c>
      <c r="I263" s="23">
        <v>25000</v>
      </c>
      <c r="J263" s="24">
        <f>25*20</f>
        <v>500</v>
      </c>
      <c r="K263" s="11" t="s">
        <v>25</v>
      </c>
      <c r="L263" s="11" t="s">
        <v>30</v>
      </c>
      <c r="M263" s="51"/>
      <c r="N263" s="27"/>
      <c r="O263" s="21"/>
    </row>
    <row r="264" spans="1:15" ht="25.5" x14ac:dyDescent="0.25">
      <c r="A264" s="27"/>
      <c r="B264" s="21"/>
      <c r="C264" s="69" t="e">
        <f>MATCH(D264,[1]!Tabla1[Consignatario],0)</f>
        <v>#REF!</v>
      </c>
      <c r="D264" s="31" t="s">
        <v>499</v>
      </c>
      <c r="E264" s="21"/>
      <c r="F264" s="21"/>
      <c r="G264" s="8" t="s">
        <v>138</v>
      </c>
      <c r="H264" s="38" t="s">
        <v>404</v>
      </c>
      <c r="I264" s="23">
        <v>15000</v>
      </c>
      <c r="J264" s="24">
        <v>300</v>
      </c>
      <c r="K264" s="11" t="s">
        <v>25</v>
      </c>
      <c r="L264" s="11" t="s">
        <v>30</v>
      </c>
      <c r="M264" s="50"/>
      <c r="N264" s="27"/>
      <c r="O264" s="21"/>
    </row>
    <row r="265" spans="1:15" ht="25.5" x14ac:dyDescent="0.25">
      <c r="A265" s="27"/>
      <c r="B265" s="21"/>
      <c r="C265" s="69" t="e">
        <f>MATCH(D265,[1]!Tabla1[Consignatario],0)</f>
        <v>#REF!</v>
      </c>
      <c r="D265" s="31" t="s">
        <v>499</v>
      </c>
      <c r="E265" s="21"/>
      <c r="F265" s="21"/>
      <c r="G265" s="8" t="s">
        <v>138</v>
      </c>
      <c r="H265" s="38" t="s">
        <v>164</v>
      </c>
      <c r="I265" s="23">
        <v>10000</v>
      </c>
      <c r="J265" s="24">
        <v>200</v>
      </c>
      <c r="K265" s="11" t="s">
        <v>25</v>
      </c>
      <c r="L265" s="25" t="s">
        <v>30</v>
      </c>
      <c r="M265" s="51"/>
      <c r="N265" s="27"/>
      <c r="O265" s="21"/>
    </row>
    <row r="266" spans="1:15" x14ac:dyDescent="0.25">
      <c r="A266" s="27"/>
      <c r="B266" s="21"/>
      <c r="C266" s="69" t="e">
        <f>MATCH(D266,[1]!Tabla1[Consignatario],0)</f>
        <v>#REF!</v>
      </c>
      <c r="D266" s="31" t="s">
        <v>141</v>
      </c>
      <c r="E266" s="21"/>
      <c r="F266" s="21"/>
      <c r="G266" s="8" t="s">
        <v>256</v>
      </c>
      <c r="H266" s="38" t="s">
        <v>346</v>
      </c>
      <c r="I266" s="23">
        <v>7000</v>
      </c>
      <c r="J266" s="24"/>
      <c r="K266" s="11" t="s">
        <v>25</v>
      </c>
      <c r="L266" s="11" t="s">
        <v>30</v>
      </c>
      <c r="M266" s="27">
        <v>140</v>
      </c>
      <c r="N266" s="27"/>
      <c r="O266" s="21"/>
    </row>
    <row r="267" spans="1:15" ht="26.25" x14ac:dyDescent="0.25">
      <c r="A267" s="27"/>
      <c r="B267" s="21"/>
      <c r="C267" s="69" t="e">
        <f>MATCH(D267,[1]!Tabla1[Consignatario],0)</f>
        <v>#REF!</v>
      </c>
      <c r="D267" s="31" t="s">
        <v>405</v>
      </c>
      <c r="E267" s="21"/>
      <c r="F267" s="21"/>
      <c r="G267" s="30" t="s">
        <v>11</v>
      </c>
      <c r="H267" s="38" t="s">
        <v>22</v>
      </c>
      <c r="I267" s="23">
        <v>5000</v>
      </c>
      <c r="J267" s="24"/>
      <c r="K267" s="11" t="s">
        <v>25</v>
      </c>
      <c r="L267" s="11" t="s">
        <v>30</v>
      </c>
      <c r="M267" s="50">
        <v>100</v>
      </c>
      <c r="N267" s="27"/>
      <c r="O267" s="21"/>
    </row>
    <row r="268" spans="1:15" ht="26.25" x14ac:dyDescent="0.25">
      <c r="A268" s="27"/>
      <c r="B268" s="21"/>
      <c r="C268" s="69" t="e">
        <f>MATCH(D268,[1]!Tabla1[Consignatario],0)</f>
        <v>#REF!</v>
      </c>
      <c r="D268" s="31" t="s">
        <v>406</v>
      </c>
      <c r="E268" s="21"/>
      <c r="F268" s="21"/>
      <c r="G268" s="30" t="s">
        <v>11</v>
      </c>
      <c r="H268" s="38" t="s">
        <v>407</v>
      </c>
      <c r="I268" s="23">
        <v>25000</v>
      </c>
      <c r="J268" s="24"/>
      <c r="K268" s="11" t="s">
        <v>25</v>
      </c>
      <c r="L268" s="25" t="s">
        <v>30</v>
      </c>
      <c r="M268" s="51">
        <v>1020</v>
      </c>
      <c r="N268" s="27"/>
      <c r="O268" s="21"/>
    </row>
    <row r="269" spans="1:15" ht="26.25" x14ac:dyDescent="0.25">
      <c r="A269" s="27"/>
      <c r="B269" s="21"/>
      <c r="C269" s="69" t="e">
        <f>MATCH(D269,[1]!Tabla1[Consignatario],0)</f>
        <v>#REF!</v>
      </c>
      <c r="D269" s="31" t="s">
        <v>406</v>
      </c>
      <c r="E269" s="21"/>
      <c r="F269" s="21"/>
      <c r="G269" s="8" t="s">
        <v>256</v>
      </c>
      <c r="H269" s="38" t="s">
        <v>331</v>
      </c>
      <c r="I269" s="23">
        <v>26000</v>
      </c>
      <c r="J269" s="24"/>
      <c r="K269" s="11" t="s">
        <v>25</v>
      </c>
      <c r="L269" s="11" t="s">
        <v>30</v>
      </c>
      <c r="M269" s="27"/>
      <c r="N269" s="27"/>
      <c r="O269" s="21"/>
    </row>
    <row r="270" spans="1:15" x14ac:dyDescent="0.25">
      <c r="A270" s="27"/>
      <c r="B270" s="21"/>
      <c r="C270" s="69" t="e">
        <f>MATCH(D270,[1]!Tabla1[Consignatario],0)</f>
        <v>#REF!</v>
      </c>
      <c r="D270" s="31" t="s">
        <v>408</v>
      </c>
      <c r="E270" s="21"/>
      <c r="F270" s="21"/>
      <c r="G270" s="30" t="s">
        <v>11</v>
      </c>
      <c r="H270" s="38" t="s">
        <v>101</v>
      </c>
      <c r="I270" s="23">
        <v>12500</v>
      </c>
      <c r="J270" s="24"/>
      <c r="K270" s="11" t="s">
        <v>25</v>
      </c>
      <c r="L270" s="11" t="s">
        <v>30</v>
      </c>
      <c r="M270" s="27">
        <v>546</v>
      </c>
      <c r="N270" s="27"/>
      <c r="O270" s="21"/>
    </row>
    <row r="271" spans="1:15" x14ac:dyDescent="0.25">
      <c r="A271" s="27"/>
      <c r="B271" s="21"/>
      <c r="C271" s="69" t="e">
        <f>MATCH(D271,[1]!Tabla1[Consignatario],0)</f>
        <v>#REF!</v>
      </c>
      <c r="D271" s="31" t="s">
        <v>408</v>
      </c>
      <c r="E271" s="21"/>
      <c r="F271" s="21"/>
      <c r="G271" s="8" t="s">
        <v>256</v>
      </c>
      <c r="H271" s="38" t="s">
        <v>235</v>
      </c>
      <c r="I271" s="23">
        <v>9000</v>
      </c>
      <c r="J271" s="24"/>
      <c r="K271" s="11" t="s">
        <v>25</v>
      </c>
      <c r="L271" s="25" t="s">
        <v>30</v>
      </c>
      <c r="M271" s="27"/>
      <c r="N271" s="27"/>
      <c r="O271" s="21"/>
    </row>
    <row r="272" spans="1:15" ht="25.5" x14ac:dyDescent="0.25">
      <c r="A272" s="29"/>
      <c r="B272" s="21"/>
      <c r="C272" s="69" t="e">
        <f>MATCH(D272,[1]!Tabla1[Consignatario],0)</f>
        <v>#REF!</v>
      </c>
      <c r="D272" s="31" t="s">
        <v>408</v>
      </c>
      <c r="E272" s="21"/>
      <c r="F272" s="21"/>
      <c r="G272" s="8" t="s">
        <v>138</v>
      </c>
      <c r="H272" s="39" t="s">
        <v>81</v>
      </c>
      <c r="I272" s="23">
        <v>800</v>
      </c>
      <c r="J272" s="36"/>
      <c r="K272" s="11" t="s">
        <v>25</v>
      </c>
      <c r="L272" s="11" t="s">
        <v>30</v>
      </c>
      <c r="M272" s="29"/>
      <c r="N272" s="29"/>
      <c r="O272" s="21"/>
    </row>
    <row r="273" spans="1:15" ht="26.25" x14ac:dyDescent="0.25">
      <c r="A273" s="29"/>
      <c r="B273" s="21"/>
      <c r="C273" s="69" t="e">
        <f>MATCH(D273,[1]!Tabla1[Consignatario],0)</f>
        <v>#REF!</v>
      </c>
      <c r="D273" s="31" t="s">
        <v>409</v>
      </c>
      <c r="E273" s="21"/>
      <c r="F273" s="21"/>
      <c r="G273" s="30" t="s">
        <v>11</v>
      </c>
      <c r="H273" s="39" t="s">
        <v>410</v>
      </c>
      <c r="I273" s="23">
        <f>26*2500</f>
        <v>65000</v>
      </c>
      <c r="J273" s="36"/>
      <c r="K273" s="11" t="s">
        <v>25</v>
      </c>
      <c r="L273" s="11" t="s">
        <v>30</v>
      </c>
      <c r="M273" s="29">
        <v>2000</v>
      </c>
      <c r="N273" s="29"/>
      <c r="O273" s="21"/>
    </row>
    <row r="274" spans="1:15" ht="26.25" x14ac:dyDescent="0.25">
      <c r="A274" s="29"/>
      <c r="B274" s="21"/>
      <c r="C274" s="69" t="e">
        <f>MATCH(D274,[1]!Tabla1[Consignatario],0)</f>
        <v>#REF!</v>
      </c>
      <c r="D274" s="31" t="s">
        <v>409</v>
      </c>
      <c r="E274" s="21"/>
      <c r="F274" s="21"/>
      <c r="G274" s="8" t="s">
        <v>256</v>
      </c>
      <c r="H274" s="39" t="s">
        <v>279</v>
      </c>
      <c r="I274" s="23">
        <v>35000</v>
      </c>
      <c r="J274" s="36"/>
      <c r="K274" s="11" t="s">
        <v>25</v>
      </c>
      <c r="L274" s="25" t="s">
        <v>30</v>
      </c>
      <c r="M274" s="29"/>
      <c r="N274" s="29"/>
      <c r="O274" s="21"/>
    </row>
    <row r="275" spans="1:15" x14ac:dyDescent="0.25">
      <c r="A275" s="29"/>
      <c r="B275" s="21"/>
      <c r="C275" s="69" t="e">
        <f>MATCH(D275,[1]!Tabla1[Consignatario],0)</f>
        <v>#REF!</v>
      </c>
      <c r="D275" s="31" t="s">
        <v>411</v>
      </c>
      <c r="E275" s="21"/>
      <c r="F275" s="21"/>
      <c r="G275" s="30" t="s">
        <v>11</v>
      </c>
      <c r="H275" s="39" t="s">
        <v>101</v>
      </c>
      <c r="I275" s="23">
        <f>5*2500</f>
        <v>12500</v>
      </c>
      <c r="J275" s="36"/>
      <c r="K275" s="11" t="s">
        <v>25</v>
      </c>
      <c r="L275" s="11" t="s">
        <v>30</v>
      </c>
      <c r="M275" s="29">
        <v>1250</v>
      </c>
      <c r="N275" s="29"/>
      <c r="O275" s="21"/>
    </row>
    <row r="276" spans="1:15" x14ac:dyDescent="0.25">
      <c r="A276" s="29"/>
      <c r="B276" s="21"/>
      <c r="C276" s="69" t="e">
        <f>MATCH(D276,[1]!Tabla1[Consignatario],0)</f>
        <v>#REF!</v>
      </c>
      <c r="D276" s="31" t="s">
        <v>411</v>
      </c>
      <c r="E276" s="21"/>
      <c r="F276" s="21"/>
      <c r="G276" s="8" t="s">
        <v>256</v>
      </c>
      <c r="H276" s="39" t="s">
        <v>336</v>
      </c>
      <c r="I276" s="23">
        <v>30000</v>
      </c>
      <c r="J276" s="36"/>
      <c r="K276" s="11" t="s">
        <v>25</v>
      </c>
      <c r="L276" s="11" t="s">
        <v>30</v>
      </c>
      <c r="M276" s="29"/>
      <c r="N276" s="29"/>
      <c r="O276" s="21"/>
    </row>
    <row r="277" spans="1:15" ht="25.5" x14ac:dyDescent="0.25">
      <c r="A277" s="29"/>
      <c r="B277" s="21"/>
      <c r="C277" s="69" t="e">
        <f>MATCH(D277,[1]!Tabla1[Consignatario],0)</f>
        <v>#REF!</v>
      </c>
      <c r="D277" s="31" t="s">
        <v>411</v>
      </c>
      <c r="E277" s="21"/>
      <c r="F277" s="21"/>
      <c r="G277" s="8" t="s">
        <v>138</v>
      </c>
      <c r="H277" s="39" t="s">
        <v>412</v>
      </c>
      <c r="I277" s="23">
        <f>8*2500</f>
        <v>20000</v>
      </c>
      <c r="J277" s="36"/>
      <c r="K277" s="11" t="s">
        <v>25</v>
      </c>
      <c r="L277" s="25" t="s">
        <v>30</v>
      </c>
      <c r="M277" s="29"/>
      <c r="N277" s="29"/>
      <c r="O277" s="21"/>
    </row>
    <row r="278" spans="1:15" x14ac:dyDescent="0.25">
      <c r="A278" s="29"/>
      <c r="B278" s="21"/>
      <c r="C278" s="69" t="e">
        <f>MATCH(D278,[1]!Tabla1[Consignatario],0)</f>
        <v>#REF!</v>
      </c>
      <c r="D278" s="31" t="s">
        <v>413</v>
      </c>
      <c r="E278" s="21"/>
      <c r="F278" s="21"/>
      <c r="G278" s="30" t="s">
        <v>11</v>
      </c>
      <c r="H278" s="39" t="s">
        <v>289</v>
      </c>
      <c r="I278" s="23">
        <f>7*2500</f>
        <v>17500</v>
      </c>
      <c r="J278" s="36"/>
      <c r="K278" s="11" t="s">
        <v>25</v>
      </c>
      <c r="L278" s="11" t="s">
        <v>30</v>
      </c>
      <c r="M278" s="29">
        <v>400</v>
      </c>
      <c r="N278" s="29"/>
      <c r="O278" s="21"/>
    </row>
    <row r="279" spans="1:15" x14ac:dyDescent="0.25">
      <c r="A279" s="29"/>
      <c r="B279" s="21"/>
      <c r="C279" s="69" t="e">
        <f>MATCH(D279,[1]!Tabla1[Consignatario],0)</f>
        <v>#REF!</v>
      </c>
      <c r="D279" s="31" t="s">
        <v>413</v>
      </c>
      <c r="E279" s="21"/>
      <c r="F279" s="21"/>
      <c r="G279" s="30" t="s">
        <v>11</v>
      </c>
      <c r="H279" s="39" t="s">
        <v>152</v>
      </c>
      <c r="I279" s="23">
        <v>2000</v>
      </c>
      <c r="J279" s="36"/>
      <c r="K279" s="11" t="s">
        <v>25</v>
      </c>
      <c r="L279" s="11" t="s">
        <v>30</v>
      </c>
      <c r="M279" s="29"/>
      <c r="N279" s="29"/>
      <c r="O279" s="21"/>
    </row>
    <row r="280" spans="1:15" ht="25.5" x14ac:dyDescent="0.25">
      <c r="A280" s="29"/>
      <c r="B280" s="21"/>
      <c r="C280" s="69" t="e">
        <f>MATCH(D280,[1]!Tabla1[Consignatario],0)</f>
        <v>#REF!</v>
      </c>
      <c r="D280" s="31" t="s">
        <v>413</v>
      </c>
      <c r="E280" s="21"/>
      <c r="F280" s="21"/>
      <c r="G280" s="8" t="s">
        <v>138</v>
      </c>
      <c r="H280" s="39" t="s">
        <v>106</v>
      </c>
      <c r="I280" s="23">
        <f>80*2500</f>
        <v>200000</v>
      </c>
      <c r="J280" s="36"/>
      <c r="K280" s="11" t="s">
        <v>25</v>
      </c>
      <c r="L280" s="25" t="s">
        <v>30</v>
      </c>
      <c r="M280" s="29"/>
      <c r="N280" s="29"/>
      <c r="O280" s="21"/>
    </row>
    <row r="281" spans="1:15" ht="26.25" x14ac:dyDescent="0.25">
      <c r="A281" s="29"/>
      <c r="B281" s="21"/>
      <c r="C281" s="69" t="e">
        <f>MATCH(D281,[1]!Tabla1[Consignatario],0)</f>
        <v>#REF!</v>
      </c>
      <c r="D281" s="31" t="s">
        <v>414</v>
      </c>
      <c r="E281" s="21"/>
      <c r="F281" s="21"/>
      <c r="G281" s="30" t="s">
        <v>11</v>
      </c>
      <c r="H281" s="39" t="s">
        <v>101</v>
      </c>
      <c r="I281" s="23">
        <f>5*2500</f>
        <v>12500</v>
      </c>
      <c r="J281" s="36">
        <f>5*50</f>
        <v>250</v>
      </c>
      <c r="K281" s="11" t="s">
        <v>25</v>
      </c>
      <c r="L281" s="11" t="s">
        <v>30</v>
      </c>
      <c r="M281" s="29">
        <v>450</v>
      </c>
      <c r="N281" s="29"/>
      <c r="O281" s="21"/>
    </row>
    <row r="282" spans="1:15" ht="26.25" x14ac:dyDescent="0.25">
      <c r="A282" s="29"/>
      <c r="B282" s="21"/>
      <c r="C282" s="69" t="e">
        <f>MATCH(D282,[1]!Tabla1[Consignatario],0)</f>
        <v>#REF!</v>
      </c>
      <c r="D282" s="31" t="s">
        <v>414</v>
      </c>
      <c r="E282" s="21"/>
      <c r="F282" s="21"/>
      <c r="G282" s="8" t="s">
        <v>256</v>
      </c>
      <c r="H282" s="39" t="s">
        <v>346</v>
      </c>
      <c r="I282" s="23">
        <v>7000</v>
      </c>
      <c r="J282" s="36">
        <f>7*20</f>
        <v>140</v>
      </c>
      <c r="K282" s="11" t="s">
        <v>25</v>
      </c>
      <c r="L282" s="11" t="s">
        <v>30</v>
      </c>
      <c r="M282" s="29"/>
      <c r="N282" s="29"/>
      <c r="O282" s="21"/>
    </row>
    <row r="283" spans="1:15" ht="26.25" x14ac:dyDescent="0.25">
      <c r="A283" s="29"/>
      <c r="B283" s="21"/>
      <c r="C283" s="69" t="e">
        <f>MATCH(D283,[1]!Tabla1[Consignatario],0)</f>
        <v>#REF!</v>
      </c>
      <c r="D283" s="31" t="s">
        <v>414</v>
      </c>
      <c r="E283" s="21"/>
      <c r="F283" s="21"/>
      <c r="G283" s="8" t="s">
        <v>138</v>
      </c>
      <c r="H283" s="39" t="s">
        <v>135</v>
      </c>
      <c r="I283" s="23">
        <f>60*100/2</f>
        <v>3000</v>
      </c>
      <c r="J283" s="36">
        <v>60</v>
      </c>
      <c r="K283" s="11" t="s">
        <v>25</v>
      </c>
      <c r="L283" s="25" t="s">
        <v>30</v>
      </c>
      <c r="M283" s="29"/>
      <c r="N283" s="29"/>
      <c r="O283" s="21"/>
    </row>
    <row r="284" spans="1:15" x14ac:dyDescent="0.25">
      <c r="A284" s="21" t="s">
        <v>415</v>
      </c>
      <c r="B284" s="21"/>
      <c r="C284" s="69" t="e">
        <f>MATCH(D284,[1]!Tabla1[Consignatario],0)</f>
        <v>#REF!</v>
      </c>
      <c r="D284" s="31" t="s">
        <v>500</v>
      </c>
      <c r="E284" s="21"/>
      <c r="F284" s="21"/>
      <c r="G284" s="30" t="s">
        <v>11</v>
      </c>
      <c r="H284" s="39" t="s">
        <v>22</v>
      </c>
      <c r="I284" s="23">
        <v>5000</v>
      </c>
      <c r="J284" s="36"/>
      <c r="K284" s="11" t="s">
        <v>25</v>
      </c>
      <c r="L284" s="11" t="s">
        <v>30</v>
      </c>
      <c r="M284" s="29">
        <v>500</v>
      </c>
      <c r="N284" s="29"/>
      <c r="O284" s="21"/>
    </row>
    <row r="285" spans="1:15" x14ac:dyDescent="0.25">
      <c r="A285" s="29"/>
      <c r="B285" s="21"/>
      <c r="C285" s="69" t="e">
        <f>MATCH(D285,[1]!Tabla1[Consignatario],0)</f>
        <v>#REF!</v>
      </c>
      <c r="D285" s="31" t="s">
        <v>500</v>
      </c>
      <c r="E285" s="21"/>
      <c r="F285" s="21"/>
      <c r="G285" s="8" t="s">
        <v>256</v>
      </c>
      <c r="H285" s="39" t="s">
        <v>345</v>
      </c>
      <c r="I285" s="23">
        <v>20000</v>
      </c>
      <c r="J285" s="36"/>
      <c r="K285" s="11" t="s">
        <v>25</v>
      </c>
      <c r="L285" s="11" t="s">
        <v>30</v>
      </c>
      <c r="M285" s="29"/>
      <c r="N285" s="29"/>
      <c r="O285" s="21"/>
    </row>
    <row r="286" spans="1:15" ht="26.25" x14ac:dyDescent="0.25">
      <c r="A286" s="29"/>
      <c r="B286" s="21"/>
      <c r="C286" s="69" t="e">
        <f>MATCH(D286,[1]!Tabla1[Consignatario],0)</f>
        <v>#REF!</v>
      </c>
      <c r="D286" s="31" t="s">
        <v>416</v>
      </c>
      <c r="E286" s="21"/>
      <c r="F286" s="21"/>
      <c r="G286" s="8" t="s">
        <v>138</v>
      </c>
      <c r="H286" s="39" t="s">
        <v>249</v>
      </c>
      <c r="I286" s="23">
        <f>6*2500</f>
        <v>15000</v>
      </c>
      <c r="J286" s="36"/>
      <c r="K286" s="11" t="s">
        <v>25</v>
      </c>
      <c r="L286" s="25" t="s">
        <v>30</v>
      </c>
      <c r="M286" s="29">
        <v>300</v>
      </c>
      <c r="N286" s="29"/>
      <c r="O286" s="21"/>
    </row>
    <row r="287" spans="1:15" ht="26.25" x14ac:dyDescent="0.25">
      <c r="A287" s="29"/>
      <c r="B287" s="21" t="s">
        <v>15</v>
      </c>
      <c r="C287" s="69" t="e">
        <f>MATCH(D287,[1]!Tabla1[Consignatario],0)</f>
        <v>#REF!</v>
      </c>
      <c r="D287" s="31" t="s">
        <v>417</v>
      </c>
      <c r="E287" s="21"/>
      <c r="F287" s="21"/>
      <c r="G287" s="30" t="s">
        <v>11</v>
      </c>
      <c r="H287" s="39" t="s">
        <v>354</v>
      </c>
      <c r="I287" s="23">
        <f>32*2500</f>
        <v>80000</v>
      </c>
      <c r="J287" s="36"/>
      <c r="K287" s="11" t="s">
        <v>25</v>
      </c>
      <c r="L287" s="11" t="s">
        <v>30</v>
      </c>
      <c r="M287" s="29">
        <v>3740</v>
      </c>
      <c r="N287" s="29"/>
      <c r="O287" s="21"/>
    </row>
    <row r="288" spans="1:15" ht="26.25" x14ac:dyDescent="0.25">
      <c r="A288" s="29"/>
      <c r="B288" s="21"/>
      <c r="C288" s="69" t="e">
        <f>MATCH(D288,[1]!Tabla1[Consignatario],0)</f>
        <v>#REF!</v>
      </c>
      <c r="D288" s="31" t="s">
        <v>417</v>
      </c>
      <c r="E288" s="21"/>
      <c r="F288" s="21"/>
      <c r="G288" s="8" t="s">
        <v>256</v>
      </c>
      <c r="H288" s="39" t="s">
        <v>418</v>
      </c>
      <c r="I288" s="23">
        <v>72000</v>
      </c>
      <c r="J288" s="36"/>
      <c r="K288" s="11" t="s">
        <v>25</v>
      </c>
      <c r="L288" s="11" t="s">
        <v>30</v>
      </c>
      <c r="M288" s="29"/>
      <c r="N288" s="29"/>
      <c r="O288" s="21"/>
    </row>
    <row r="289" spans="1:15" ht="26.25" x14ac:dyDescent="0.25">
      <c r="A289" s="29"/>
      <c r="B289" s="21"/>
      <c r="C289" s="69" t="e">
        <f>MATCH(D289,[1]!Tabla1[Consignatario],0)</f>
        <v>#REF!</v>
      </c>
      <c r="D289" s="31" t="s">
        <v>417</v>
      </c>
      <c r="E289" s="21"/>
      <c r="F289" s="21"/>
      <c r="G289" s="8" t="s">
        <v>138</v>
      </c>
      <c r="H289" s="39" t="s">
        <v>419</v>
      </c>
      <c r="I289" s="23">
        <f>14*2500</f>
        <v>35000</v>
      </c>
      <c r="J289" s="36"/>
      <c r="K289" s="11" t="s">
        <v>25</v>
      </c>
      <c r="L289" s="25" t="s">
        <v>30</v>
      </c>
      <c r="M289" s="29"/>
      <c r="N289" s="29"/>
      <c r="O289" s="21"/>
    </row>
    <row r="290" spans="1:15" ht="26.25" x14ac:dyDescent="0.25">
      <c r="A290" s="29"/>
      <c r="B290" s="21"/>
      <c r="C290" s="69" t="e">
        <f>MATCH(D290,[1]!Tabla1[Consignatario],0)</f>
        <v>#REF!</v>
      </c>
      <c r="D290" s="31" t="s">
        <v>420</v>
      </c>
      <c r="E290" s="21"/>
      <c r="F290" s="21"/>
      <c r="G290" s="30" t="s">
        <v>11</v>
      </c>
      <c r="H290" s="39" t="s">
        <v>39</v>
      </c>
      <c r="I290" s="23">
        <v>7500</v>
      </c>
      <c r="J290" s="36"/>
      <c r="K290" s="11" t="s">
        <v>25</v>
      </c>
      <c r="L290" s="11" t="s">
        <v>30</v>
      </c>
      <c r="M290" s="29">
        <v>300</v>
      </c>
      <c r="N290" s="29"/>
      <c r="O290" s="21"/>
    </row>
    <row r="291" spans="1:15" ht="26.25" x14ac:dyDescent="0.25">
      <c r="A291" s="29"/>
      <c r="B291" s="21"/>
      <c r="C291" s="69" t="e">
        <f>MATCH(D291,[1]!Tabla1[Consignatario],0)</f>
        <v>#REF!</v>
      </c>
      <c r="D291" s="31" t="s">
        <v>420</v>
      </c>
      <c r="E291" s="21"/>
      <c r="F291" s="21"/>
      <c r="G291" s="8" t="s">
        <v>256</v>
      </c>
      <c r="H291" s="39" t="s">
        <v>63</v>
      </c>
      <c r="I291" s="23">
        <v>5000</v>
      </c>
      <c r="J291" s="36"/>
      <c r="K291" s="11" t="s">
        <v>25</v>
      </c>
      <c r="L291" s="11" t="s">
        <v>30</v>
      </c>
      <c r="M291" s="29"/>
      <c r="N291" s="29"/>
      <c r="O291" s="21"/>
    </row>
    <row r="292" spans="1:15" ht="26.25" x14ac:dyDescent="0.25">
      <c r="A292" s="29"/>
      <c r="B292" s="21"/>
      <c r="C292" s="69" t="e">
        <f>MATCH(D292,[1]!Tabla1[Consignatario],0)</f>
        <v>#REF!</v>
      </c>
      <c r="D292" s="31" t="s">
        <v>420</v>
      </c>
      <c r="E292" s="21"/>
      <c r="F292" s="21"/>
      <c r="G292" s="8" t="s">
        <v>138</v>
      </c>
      <c r="H292" s="39" t="s">
        <v>173</v>
      </c>
      <c r="I292" s="23">
        <v>1600</v>
      </c>
      <c r="J292" s="36"/>
      <c r="K292" s="11" t="s">
        <v>25</v>
      </c>
      <c r="L292" s="25" t="s">
        <v>30</v>
      </c>
      <c r="M292" s="29"/>
      <c r="N292" s="29"/>
      <c r="O292" s="21"/>
    </row>
    <row r="293" spans="1:15" ht="26.25" x14ac:dyDescent="0.25">
      <c r="A293" s="29"/>
      <c r="B293" s="21"/>
      <c r="C293" s="69" t="e">
        <f>MATCH(D293,[1]!Tabla1[Consignatario],0)</f>
        <v>#REF!</v>
      </c>
      <c r="D293" s="31" t="s">
        <v>154</v>
      </c>
      <c r="E293" s="21"/>
      <c r="F293" s="21"/>
      <c r="G293" s="30" t="s">
        <v>11</v>
      </c>
      <c r="H293" s="39" t="s">
        <v>125</v>
      </c>
      <c r="I293" s="23">
        <f>6*2500</f>
        <v>15000</v>
      </c>
      <c r="J293" s="36">
        <v>300</v>
      </c>
      <c r="K293" s="11" t="s">
        <v>25</v>
      </c>
      <c r="L293" s="11" t="s">
        <v>30</v>
      </c>
      <c r="M293" s="29">
        <v>864</v>
      </c>
      <c r="N293" s="29"/>
      <c r="O293" s="21"/>
    </row>
    <row r="294" spans="1:15" ht="26.25" x14ac:dyDescent="0.25">
      <c r="A294" s="29"/>
      <c r="B294" s="21"/>
      <c r="C294" s="69" t="e">
        <f>MATCH(D294,[1]!Tabla1[Consignatario],0)</f>
        <v>#REF!</v>
      </c>
      <c r="D294" s="31" t="s">
        <v>154</v>
      </c>
      <c r="E294" s="21"/>
      <c r="F294" s="21"/>
      <c r="G294" s="8" t="s">
        <v>256</v>
      </c>
      <c r="H294" s="39" t="s">
        <v>226</v>
      </c>
      <c r="I294" s="23">
        <v>25000</v>
      </c>
      <c r="J294" s="36">
        <f>25*20</f>
        <v>500</v>
      </c>
      <c r="K294" s="11" t="s">
        <v>25</v>
      </c>
      <c r="L294" s="11" t="s">
        <v>30</v>
      </c>
      <c r="M294" s="29"/>
      <c r="N294" s="29"/>
      <c r="O294" s="21"/>
    </row>
    <row r="295" spans="1:15" ht="26.25" x14ac:dyDescent="0.25">
      <c r="A295" s="29"/>
      <c r="B295" s="21"/>
      <c r="C295" s="69" t="e">
        <f>MATCH(D295,[1]!Tabla1[Consignatario],0)</f>
        <v>#REF!</v>
      </c>
      <c r="D295" s="31" t="s">
        <v>154</v>
      </c>
      <c r="E295" s="21"/>
      <c r="F295" s="21"/>
      <c r="G295" s="8" t="s">
        <v>138</v>
      </c>
      <c r="H295" s="39" t="s">
        <v>359</v>
      </c>
      <c r="I295" s="23">
        <f>64*100/2</f>
        <v>3200</v>
      </c>
      <c r="J295" s="36">
        <v>64</v>
      </c>
      <c r="K295" s="11" t="s">
        <v>25</v>
      </c>
      <c r="L295" s="25" t="s">
        <v>30</v>
      </c>
      <c r="M295" s="29"/>
      <c r="N295" s="29"/>
      <c r="O295" s="21"/>
    </row>
    <row r="296" spans="1:15" ht="39" x14ac:dyDescent="0.25">
      <c r="A296" s="29"/>
      <c r="B296" s="21" t="s">
        <v>15</v>
      </c>
      <c r="C296" s="69" t="e">
        <f>MATCH(D296,[1]!Tabla1[Consignatario],0)</f>
        <v>#REF!</v>
      </c>
      <c r="D296" s="31" t="s">
        <v>501</v>
      </c>
      <c r="E296" s="21"/>
      <c r="F296" s="21"/>
      <c r="G296" s="30" t="s">
        <v>11</v>
      </c>
      <c r="H296" s="39" t="s">
        <v>223</v>
      </c>
      <c r="I296" s="23">
        <f>11*2500</f>
        <v>27500</v>
      </c>
      <c r="J296" s="36"/>
      <c r="K296" s="11" t="s">
        <v>25</v>
      </c>
      <c r="L296" s="11" t="s">
        <v>30</v>
      </c>
      <c r="M296" s="29">
        <v>550</v>
      </c>
      <c r="N296" s="29"/>
      <c r="O296" s="21"/>
    </row>
    <row r="297" spans="1:15" ht="26.25" x14ac:dyDescent="0.25">
      <c r="A297" s="29"/>
      <c r="B297" s="21"/>
      <c r="C297" s="69" t="e">
        <f>MATCH(D297,[1]!Tabla1[Consignatario],0)</f>
        <v>#REF!</v>
      </c>
      <c r="D297" s="31" t="s">
        <v>421</v>
      </c>
      <c r="E297" s="21"/>
      <c r="F297" s="21"/>
      <c r="G297" s="30" t="s">
        <v>11</v>
      </c>
      <c r="H297" s="39" t="s">
        <v>39</v>
      </c>
      <c r="I297" s="23">
        <v>7500</v>
      </c>
      <c r="J297" s="36"/>
      <c r="K297" s="11" t="s">
        <v>25</v>
      </c>
      <c r="L297" s="11" t="s">
        <v>30</v>
      </c>
      <c r="M297" s="29">
        <v>210</v>
      </c>
      <c r="N297" s="29"/>
      <c r="O297" s="21"/>
    </row>
    <row r="298" spans="1:15" x14ac:dyDescent="0.25">
      <c r="A298" s="29"/>
      <c r="B298" s="21" t="s">
        <v>15</v>
      </c>
      <c r="C298" s="69" t="e">
        <f>MATCH(D298,[1]!Tabla1[Consignatario],0)</f>
        <v>#REF!</v>
      </c>
      <c r="D298" s="31" t="s">
        <v>502</v>
      </c>
      <c r="E298" s="21"/>
      <c r="F298" s="21"/>
      <c r="G298" s="30" t="s">
        <v>11</v>
      </c>
      <c r="H298" s="39" t="s">
        <v>124</v>
      </c>
      <c r="I298" s="23">
        <v>10000</v>
      </c>
      <c r="J298" s="36"/>
      <c r="K298" s="11" t="s">
        <v>25</v>
      </c>
      <c r="L298" s="25" t="s">
        <v>30</v>
      </c>
      <c r="M298" s="29">
        <v>200</v>
      </c>
      <c r="N298" s="29"/>
      <c r="O298" s="21"/>
    </row>
    <row r="299" spans="1:15" ht="26.25" x14ac:dyDescent="0.25">
      <c r="A299" s="29"/>
      <c r="B299" s="21"/>
      <c r="C299" s="69" t="e">
        <f>MATCH(D299,[1]!Tabla1[Consignatario],0)</f>
        <v>#REF!</v>
      </c>
      <c r="D299" s="31" t="s">
        <v>422</v>
      </c>
      <c r="E299" s="21"/>
      <c r="F299" s="21"/>
      <c r="G299" s="30" t="s">
        <v>11</v>
      </c>
      <c r="H299" s="39" t="s">
        <v>124</v>
      </c>
      <c r="I299" s="23">
        <v>10000</v>
      </c>
      <c r="J299" s="36"/>
      <c r="K299" s="11" t="s">
        <v>25</v>
      </c>
      <c r="L299" s="11" t="s">
        <v>30</v>
      </c>
      <c r="M299" s="29">
        <v>260</v>
      </c>
      <c r="N299" s="29"/>
      <c r="O299" s="21"/>
    </row>
    <row r="300" spans="1:15" ht="26.25" x14ac:dyDescent="0.25">
      <c r="A300" s="29"/>
      <c r="B300" s="21"/>
      <c r="C300" s="69" t="e">
        <f>MATCH(D300,[1]!Tabla1[Consignatario],0)</f>
        <v>#REF!</v>
      </c>
      <c r="D300" s="31" t="s">
        <v>422</v>
      </c>
      <c r="E300" s="21"/>
      <c r="F300" s="21"/>
      <c r="G300" s="8" t="s">
        <v>256</v>
      </c>
      <c r="H300" s="39" t="s">
        <v>45</v>
      </c>
      <c r="I300" s="23">
        <v>3000</v>
      </c>
      <c r="J300" s="36"/>
      <c r="K300" s="11" t="s">
        <v>25</v>
      </c>
      <c r="L300" s="11" t="s">
        <v>30</v>
      </c>
      <c r="M300" s="29"/>
      <c r="N300" s="29"/>
      <c r="O300" s="21"/>
    </row>
    <row r="301" spans="1:15" ht="26.25" x14ac:dyDescent="0.25">
      <c r="A301" s="29"/>
      <c r="B301" s="21"/>
      <c r="C301" s="69" t="e">
        <f>MATCH(D301,[1]!Tabla1[Consignatario],0)</f>
        <v>#REF!</v>
      </c>
      <c r="D301" s="31" t="s">
        <v>503</v>
      </c>
      <c r="E301" s="21"/>
      <c r="F301" s="21"/>
      <c r="G301" s="30" t="s">
        <v>11</v>
      </c>
      <c r="H301" s="39" t="s">
        <v>289</v>
      </c>
      <c r="I301" s="23">
        <f>7*2500</f>
        <v>17500</v>
      </c>
      <c r="J301" s="36"/>
      <c r="K301" s="11" t="s">
        <v>25</v>
      </c>
      <c r="L301" s="25" t="s">
        <v>30</v>
      </c>
      <c r="M301" s="29">
        <v>400</v>
      </c>
      <c r="N301" s="29"/>
      <c r="O301" s="21"/>
    </row>
    <row r="302" spans="1:15" ht="26.25" x14ac:dyDescent="0.25">
      <c r="A302" s="29"/>
      <c r="B302" s="21"/>
      <c r="C302" s="69" t="e">
        <f>MATCH(D302,[1]!Tabla1[Consignatario],0)</f>
        <v>#REF!</v>
      </c>
      <c r="D302" s="31" t="s">
        <v>503</v>
      </c>
      <c r="E302" s="21"/>
      <c r="F302" s="21"/>
      <c r="G302" s="8" t="s">
        <v>256</v>
      </c>
      <c r="H302" s="39" t="s">
        <v>38</v>
      </c>
      <c r="I302" s="23">
        <v>1000</v>
      </c>
      <c r="J302" s="36"/>
      <c r="K302" s="11" t="s">
        <v>25</v>
      </c>
      <c r="L302" s="11" t="s">
        <v>30</v>
      </c>
      <c r="M302" s="29"/>
      <c r="N302" s="29"/>
      <c r="O302" s="21"/>
    </row>
    <row r="303" spans="1:15" x14ac:dyDescent="0.25">
      <c r="A303" s="29">
        <v>33</v>
      </c>
      <c r="B303" s="21"/>
      <c r="C303" s="69" t="e">
        <f>MATCH(D303,[1]!Tabla1[Consignatario],0)</f>
        <v>#REF!</v>
      </c>
      <c r="D303" s="31" t="s">
        <v>423</v>
      </c>
      <c r="E303" s="21"/>
      <c r="F303" s="21"/>
      <c r="G303" s="30" t="s">
        <v>11</v>
      </c>
      <c r="H303" s="39" t="s">
        <v>234</v>
      </c>
      <c r="I303" s="23">
        <f>13*2500</f>
        <v>32500</v>
      </c>
      <c r="J303" s="36"/>
      <c r="K303" s="11" t="s">
        <v>25</v>
      </c>
      <c r="L303" s="11" t="s">
        <v>30</v>
      </c>
      <c r="M303" s="29">
        <v>890</v>
      </c>
      <c r="N303" s="29"/>
      <c r="O303" s="21"/>
    </row>
    <row r="304" spans="1:15" x14ac:dyDescent="0.25">
      <c r="A304" s="29"/>
      <c r="B304" s="21"/>
      <c r="C304" s="69" t="e">
        <f>MATCH(D304,[1]!Tabla1[Consignatario],0)</f>
        <v>#REF!</v>
      </c>
      <c r="D304" s="31" t="s">
        <v>423</v>
      </c>
      <c r="E304" s="21"/>
      <c r="F304" s="21"/>
      <c r="G304" s="8" t="s">
        <v>256</v>
      </c>
      <c r="H304" s="39" t="s">
        <v>93</v>
      </c>
      <c r="I304" s="23">
        <f>12*2500</f>
        <v>30000</v>
      </c>
      <c r="J304" s="36"/>
      <c r="K304" s="11" t="s">
        <v>25</v>
      </c>
      <c r="L304" s="25" t="s">
        <v>30</v>
      </c>
      <c r="M304" s="29"/>
      <c r="N304" s="29"/>
      <c r="O304" s="21"/>
    </row>
    <row r="305" spans="1:15" x14ac:dyDescent="0.25">
      <c r="A305" s="29"/>
      <c r="B305" s="21" t="s">
        <v>15</v>
      </c>
      <c r="C305" s="69" t="e">
        <f>MATCH(D305,[1]!Tabla1[Consignatario],0)</f>
        <v>#REF!</v>
      </c>
      <c r="D305" s="31" t="s">
        <v>424</v>
      </c>
      <c r="E305" s="21"/>
      <c r="F305" s="21"/>
      <c r="G305" s="30" t="s">
        <v>11</v>
      </c>
      <c r="H305" s="39" t="s">
        <v>101</v>
      </c>
      <c r="I305" s="23">
        <v>12500</v>
      </c>
      <c r="J305" s="36"/>
      <c r="K305" s="11" t="s">
        <v>25</v>
      </c>
      <c r="L305" s="11" t="s">
        <v>30</v>
      </c>
      <c r="M305" s="29">
        <v>500</v>
      </c>
      <c r="N305" s="29"/>
      <c r="O305" s="21"/>
    </row>
    <row r="306" spans="1:15" x14ac:dyDescent="0.25">
      <c r="A306" s="29"/>
      <c r="B306" s="21"/>
      <c r="C306" s="69" t="e">
        <f>MATCH(D306,[1]!Tabla1[Consignatario],0)</f>
        <v>#REF!</v>
      </c>
      <c r="D306" s="31" t="s">
        <v>424</v>
      </c>
      <c r="E306" s="21"/>
      <c r="F306" s="21"/>
      <c r="G306" s="8" t="s">
        <v>256</v>
      </c>
      <c r="H306" s="39" t="s">
        <v>346</v>
      </c>
      <c r="I306" s="23">
        <v>7000</v>
      </c>
      <c r="J306" s="36"/>
      <c r="K306" s="11" t="s">
        <v>25</v>
      </c>
      <c r="L306" s="11" t="s">
        <v>30</v>
      </c>
      <c r="M306" s="29"/>
      <c r="N306" s="29"/>
      <c r="O306" s="21"/>
    </row>
    <row r="307" spans="1:15" ht="25.5" x14ac:dyDescent="0.25">
      <c r="A307" s="29"/>
      <c r="B307" s="21"/>
      <c r="C307" s="69" t="e">
        <f>MATCH(D307,[1]!Tabla1[Consignatario],0)</f>
        <v>#REF!</v>
      </c>
      <c r="D307" s="31" t="s">
        <v>424</v>
      </c>
      <c r="E307" s="21"/>
      <c r="F307" s="21"/>
      <c r="G307" s="8" t="s">
        <v>138</v>
      </c>
      <c r="H307" s="39" t="s">
        <v>425</v>
      </c>
      <c r="I307" s="23">
        <f>633*8</f>
        <v>5064</v>
      </c>
      <c r="J307" s="36"/>
      <c r="K307" s="11" t="s">
        <v>25</v>
      </c>
      <c r="L307" s="25" t="s">
        <v>30</v>
      </c>
      <c r="M307" s="29"/>
      <c r="N307" s="29"/>
      <c r="O307" s="21"/>
    </row>
    <row r="308" spans="1:15" ht="26.25" x14ac:dyDescent="0.25">
      <c r="A308" s="29"/>
      <c r="B308" s="21"/>
      <c r="C308" s="69" t="e">
        <f>MATCH(D308,[1]!Tabla1[Consignatario],0)</f>
        <v>#REF!</v>
      </c>
      <c r="D308" s="31" t="s">
        <v>426</v>
      </c>
      <c r="E308" s="21"/>
      <c r="F308" s="21"/>
      <c r="G308" s="30" t="s">
        <v>11</v>
      </c>
      <c r="H308" s="39" t="s">
        <v>22</v>
      </c>
      <c r="I308" s="23">
        <v>5000</v>
      </c>
      <c r="J308" s="36"/>
      <c r="K308" s="11" t="s">
        <v>25</v>
      </c>
      <c r="L308" s="11" t="s">
        <v>30</v>
      </c>
      <c r="M308" s="29">
        <v>100</v>
      </c>
      <c r="N308" s="29"/>
      <c r="O308" s="21"/>
    </row>
    <row r="309" spans="1:15" ht="26.25" x14ac:dyDescent="0.25">
      <c r="A309" s="29"/>
      <c r="B309" s="21"/>
      <c r="C309" s="69" t="e">
        <f>MATCH(D309,[1]!Tabla1[Consignatario],0)</f>
        <v>#REF!</v>
      </c>
      <c r="D309" s="31" t="s">
        <v>504</v>
      </c>
      <c r="E309" s="21"/>
      <c r="F309" s="21"/>
      <c r="G309" s="30" t="s">
        <v>11</v>
      </c>
      <c r="H309" s="39" t="s">
        <v>39</v>
      </c>
      <c r="I309" s="23">
        <v>7500</v>
      </c>
      <c r="J309" s="36"/>
      <c r="K309" s="11" t="s">
        <v>25</v>
      </c>
      <c r="L309" s="11" t="s">
        <v>30</v>
      </c>
      <c r="M309" s="29">
        <v>290</v>
      </c>
      <c r="N309" s="29"/>
      <c r="O309" s="21"/>
    </row>
    <row r="310" spans="1:15" ht="26.25" x14ac:dyDescent="0.25">
      <c r="A310" s="29"/>
      <c r="B310" s="21"/>
      <c r="C310" s="69" t="e">
        <f>MATCH(D310,[1]!Tabla1[Consignatario],0)</f>
        <v>#REF!</v>
      </c>
      <c r="D310" s="31" t="s">
        <v>504</v>
      </c>
      <c r="E310" s="21"/>
      <c r="F310" s="21"/>
      <c r="G310" s="8" t="s">
        <v>256</v>
      </c>
      <c r="H310" s="39" t="s">
        <v>60</v>
      </c>
      <c r="I310" s="23">
        <v>4000</v>
      </c>
      <c r="J310" s="36"/>
      <c r="K310" s="11" t="s">
        <v>25</v>
      </c>
      <c r="L310" s="25" t="s">
        <v>30</v>
      </c>
      <c r="M310" s="29"/>
      <c r="N310" s="29"/>
      <c r="O310" s="21"/>
    </row>
    <row r="311" spans="1:15" ht="26.25" x14ac:dyDescent="0.25">
      <c r="A311" s="29"/>
      <c r="B311" s="21"/>
      <c r="C311" s="69" t="e">
        <f>MATCH(D311,[1]!Tabla1[Consignatario],0)</f>
        <v>#REF!</v>
      </c>
      <c r="D311" s="31" t="s">
        <v>504</v>
      </c>
      <c r="E311" s="21"/>
      <c r="F311" s="21"/>
      <c r="G311" s="8" t="s">
        <v>138</v>
      </c>
      <c r="H311" s="39" t="s">
        <v>427</v>
      </c>
      <c r="I311" s="23">
        <f>250*8</f>
        <v>2000</v>
      </c>
      <c r="J311" s="36"/>
      <c r="K311" s="11" t="s">
        <v>25</v>
      </c>
      <c r="L311" s="11" t="s">
        <v>30</v>
      </c>
      <c r="M311" s="29"/>
      <c r="N311" s="29"/>
      <c r="O311" s="21"/>
    </row>
    <row r="312" spans="1:15" ht="26.25" x14ac:dyDescent="0.25">
      <c r="A312" s="29"/>
      <c r="B312" s="21"/>
      <c r="C312" s="69" t="e">
        <f>MATCH(D312,[1]!Tabla1[Consignatario],0)</f>
        <v>#REF!</v>
      </c>
      <c r="D312" s="31" t="s">
        <v>504</v>
      </c>
      <c r="E312" s="21"/>
      <c r="F312" s="21"/>
      <c r="G312" s="30" t="s">
        <v>11</v>
      </c>
      <c r="H312" s="39" t="s">
        <v>13</v>
      </c>
      <c r="I312" s="23">
        <v>1000</v>
      </c>
      <c r="J312" s="36"/>
      <c r="K312" s="11" t="s">
        <v>25</v>
      </c>
      <c r="L312" s="11" t="s">
        <v>30</v>
      </c>
      <c r="M312" s="29"/>
      <c r="N312" s="29"/>
      <c r="O312" s="21"/>
    </row>
    <row r="313" spans="1:15" ht="26.25" x14ac:dyDescent="0.25">
      <c r="A313" s="29"/>
      <c r="B313" s="21"/>
      <c r="C313" s="69" t="e">
        <f>MATCH(D313,[1]!Tabla1[Consignatario],0)</f>
        <v>#REF!</v>
      </c>
      <c r="D313" s="31" t="s">
        <v>428</v>
      </c>
      <c r="E313" s="21"/>
      <c r="F313" s="21"/>
      <c r="G313" s="30" t="s">
        <v>11</v>
      </c>
      <c r="H313" s="39" t="s">
        <v>22</v>
      </c>
      <c r="I313" s="23">
        <v>5000</v>
      </c>
      <c r="J313" s="36">
        <v>100</v>
      </c>
      <c r="K313" s="11" t="s">
        <v>25</v>
      </c>
      <c r="L313" s="25" t="s">
        <v>30</v>
      </c>
      <c r="M313" s="29">
        <v>244</v>
      </c>
      <c r="N313" s="29"/>
      <c r="O313" s="21"/>
    </row>
    <row r="314" spans="1:15" ht="26.25" x14ac:dyDescent="0.25">
      <c r="A314" s="29"/>
      <c r="B314" s="21"/>
      <c r="C314" s="69" t="e">
        <f>MATCH(D314,[1]!Tabla1[Consignatario],0)</f>
        <v>#REF!</v>
      </c>
      <c r="D314" s="31" t="s">
        <v>428</v>
      </c>
      <c r="E314" s="21"/>
      <c r="F314" s="21"/>
      <c r="G314" s="8" t="s">
        <v>256</v>
      </c>
      <c r="H314" s="39" t="s">
        <v>60</v>
      </c>
      <c r="I314" s="23">
        <v>4000</v>
      </c>
      <c r="J314" s="36">
        <v>80</v>
      </c>
      <c r="K314" s="11" t="s">
        <v>25</v>
      </c>
      <c r="L314" s="11" t="s">
        <v>30</v>
      </c>
      <c r="M314" s="29"/>
      <c r="N314" s="29"/>
      <c r="O314" s="21"/>
    </row>
    <row r="315" spans="1:15" ht="26.25" x14ac:dyDescent="0.25">
      <c r="A315" s="29"/>
      <c r="B315" s="21"/>
      <c r="C315" s="69" t="e">
        <f>MATCH(D315,[1]!Tabla1[Consignatario],0)</f>
        <v>#REF!</v>
      </c>
      <c r="D315" s="31" t="s">
        <v>428</v>
      </c>
      <c r="E315" s="21"/>
      <c r="F315" s="21"/>
      <c r="G315" s="8" t="s">
        <v>138</v>
      </c>
      <c r="H315" s="39" t="s">
        <v>53</v>
      </c>
      <c r="I315" s="23">
        <f>48*100/2</f>
        <v>2400</v>
      </c>
      <c r="J315" s="36">
        <v>48</v>
      </c>
      <c r="K315" s="11" t="s">
        <v>25</v>
      </c>
      <c r="L315" s="11" t="s">
        <v>30</v>
      </c>
      <c r="M315" s="29"/>
      <c r="N315" s="29"/>
      <c r="O315" s="21"/>
    </row>
    <row r="316" spans="1:15" ht="26.25" x14ac:dyDescent="0.25">
      <c r="A316" s="29"/>
      <c r="B316" s="21"/>
      <c r="C316" s="69" t="e">
        <f>MATCH(D316,[1]!Tabla1[Consignatario],0)</f>
        <v>#REF!</v>
      </c>
      <c r="D316" s="31" t="s">
        <v>428</v>
      </c>
      <c r="E316" s="21"/>
      <c r="F316" s="21"/>
      <c r="G316" s="30" t="s">
        <v>11</v>
      </c>
      <c r="H316" s="39" t="s">
        <v>150</v>
      </c>
      <c r="I316" s="23">
        <v>800</v>
      </c>
      <c r="J316" s="36">
        <f>800/100*2</f>
        <v>16</v>
      </c>
      <c r="K316" s="11" t="s">
        <v>25</v>
      </c>
      <c r="L316" s="25" t="s">
        <v>30</v>
      </c>
      <c r="M316" s="29"/>
      <c r="N316" s="29"/>
      <c r="O316" s="21"/>
    </row>
    <row r="317" spans="1:15" x14ac:dyDescent="0.25">
      <c r="A317" s="29"/>
      <c r="B317" s="21"/>
      <c r="C317" s="69" t="e">
        <f>MATCH(D317,[1]!Tabla1[Consignatario],0)</f>
        <v>#REF!</v>
      </c>
      <c r="D317" s="31" t="s">
        <v>429</v>
      </c>
      <c r="E317" s="21"/>
      <c r="F317" s="21"/>
      <c r="G317" s="30" t="s">
        <v>11</v>
      </c>
      <c r="H317" s="39" t="s">
        <v>115</v>
      </c>
      <c r="I317" s="23">
        <f>8*2500</f>
        <v>20000</v>
      </c>
      <c r="J317" s="36">
        <v>400</v>
      </c>
      <c r="K317" s="11" t="s">
        <v>25</v>
      </c>
      <c r="L317" s="11" t="s">
        <v>30</v>
      </c>
      <c r="M317" s="29">
        <v>808</v>
      </c>
      <c r="N317" s="29"/>
      <c r="O317" s="21"/>
    </row>
    <row r="318" spans="1:15" x14ac:dyDescent="0.25">
      <c r="A318" s="29"/>
      <c r="B318" s="21"/>
      <c r="C318" s="69" t="e">
        <f>MATCH(D318,[1]!Tabla1[Consignatario],0)</f>
        <v>#REF!</v>
      </c>
      <c r="D318" s="31" t="s">
        <v>429</v>
      </c>
      <c r="E318" s="21"/>
      <c r="F318" s="21"/>
      <c r="G318" s="8" t="s">
        <v>256</v>
      </c>
      <c r="H318" s="39" t="s">
        <v>71</v>
      </c>
      <c r="I318" s="23">
        <v>14000</v>
      </c>
      <c r="J318" s="36">
        <f>14*20</f>
        <v>280</v>
      </c>
      <c r="K318" s="11" t="s">
        <v>25</v>
      </c>
      <c r="L318" s="11" t="s">
        <v>30</v>
      </c>
      <c r="M318" s="29"/>
      <c r="N318" s="29"/>
      <c r="O318" s="21"/>
    </row>
    <row r="319" spans="1:15" ht="26.25" x14ac:dyDescent="0.25">
      <c r="A319" s="29"/>
      <c r="B319" s="21"/>
      <c r="C319" s="69" t="e">
        <f>MATCH(D319,[1]!Tabla1[Consignatario],0)</f>
        <v>#REF!</v>
      </c>
      <c r="D319" s="31" t="s">
        <v>429</v>
      </c>
      <c r="E319" s="21"/>
      <c r="F319" s="21"/>
      <c r="G319" s="8" t="s">
        <v>138</v>
      </c>
      <c r="H319" s="39" t="s">
        <v>164</v>
      </c>
      <c r="I319" s="23">
        <f>128*100/2</f>
        <v>6400</v>
      </c>
      <c r="J319" s="36">
        <v>128</v>
      </c>
      <c r="K319" s="11" t="s">
        <v>25</v>
      </c>
      <c r="L319" s="25" t="s">
        <v>30</v>
      </c>
      <c r="M319" s="29"/>
      <c r="N319" s="29"/>
      <c r="O319" s="21"/>
    </row>
    <row r="320" spans="1:15" ht="26.25" x14ac:dyDescent="0.25">
      <c r="A320" s="29"/>
      <c r="B320" s="21"/>
      <c r="C320" s="69" t="e">
        <f>MATCH(D320,[1]!Tabla1[Consignatario],0)</f>
        <v>#REF!</v>
      </c>
      <c r="D320" s="31" t="s">
        <v>430</v>
      </c>
      <c r="E320" s="21"/>
      <c r="F320" s="21"/>
      <c r="G320" s="30" t="s">
        <v>11</v>
      </c>
      <c r="H320" s="39" t="s">
        <v>48</v>
      </c>
      <c r="I320" s="23">
        <v>2500</v>
      </c>
      <c r="J320" s="36"/>
      <c r="K320" s="11" t="s">
        <v>25</v>
      </c>
      <c r="L320" s="11" t="s">
        <v>30</v>
      </c>
      <c r="M320" s="29">
        <v>325</v>
      </c>
      <c r="N320" s="29"/>
      <c r="O320" s="21"/>
    </row>
    <row r="321" spans="1:15" ht="26.25" x14ac:dyDescent="0.25">
      <c r="A321" s="29"/>
      <c r="B321" s="21"/>
      <c r="C321" s="69" t="e">
        <f>MATCH(D321,[1]!Tabla1[Consignatario],0)</f>
        <v>#REF!</v>
      </c>
      <c r="D321" s="31" t="s">
        <v>430</v>
      </c>
      <c r="E321" s="21"/>
      <c r="F321" s="21"/>
      <c r="G321" s="8" t="s">
        <v>256</v>
      </c>
      <c r="H321" s="39" t="s">
        <v>325</v>
      </c>
      <c r="I321" s="23">
        <v>10000</v>
      </c>
      <c r="J321" s="36"/>
      <c r="K321" s="11" t="s">
        <v>25</v>
      </c>
      <c r="L321" s="11" t="s">
        <v>30</v>
      </c>
      <c r="M321" s="29"/>
      <c r="N321" s="29"/>
      <c r="O321" s="21"/>
    </row>
    <row r="322" spans="1:15" ht="26.25" x14ac:dyDescent="0.25">
      <c r="A322" s="29"/>
      <c r="B322" s="21"/>
      <c r="C322" s="69" t="e">
        <f>MATCH(D322,[1]!Tabla1[Consignatario],0)</f>
        <v>#REF!</v>
      </c>
      <c r="D322" s="31" t="s">
        <v>430</v>
      </c>
      <c r="E322" s="21"/>
      <c r="F322" s="21"/>
      <c r="G322" s="8" t="s">
        <v>138</v>
      </c>
      <c r="H322" s="39" t="s">
        <v>287</v>
      </c>
      <c r="I322" s="23">
        <v>5000</v>
      </c>
      <c r="J322" s="36"/>
      <c r="K322" s="11" t="s">
        <v>25</v>
      </c>
      <c r="L322" s="25" t="s">
        <v>30</v>
      </c>
      <c r="M322" s="29"/>
      <c r="N322" s="29"/>
      <c r="O322" s="21"/>
    </row>
    <row r="323" spans="1:15" x14ac:dyDescent="0.25">
      <c r="A323" s="29"/>
      <c r="B323" s="21"/>
      <c r="C323" s="69" t="e">
        <f>MATCH(D323,[1]!Tabla1[Consignatario],0)</f>
        <v>#REF!</v>
      </c>
      <c r="D323" s="72" t="s">
        <v>543</v>
      </c>
      <c r="E323" s="21"/>
      <c r="F323" s="21"/>
      <c r="G323" s="30" t="s">
        <v>11</v>
      </c>
      <c r="H323" s="39" t="s">
        <v>223</v>
      </c>
      <c r="I323" s="23">
        <f>11*2500</f>
        <v>27500</v>
      </c>
      <c r="J323" s="36"/>
      <c r="K323" s="11" t="s">
        <v>25</v>
      </c>
      <c r="L323" s="11" t="s">
        <v>30</v>
      </c>
      <c r="M323" s="29">
        <v>660</v>
      </c>
      <c r="N323" s="29"/>
      <c r="O323" s="21"/>
    </row>
    <row r="324" spans="1:15" x14ac:dyDescent="0.25">
      <c r="A324" s="29"/>
      <c r="B324" s="21"/>
      <c r="C324" s="69" t="e">
        <f>MATCH(D324,[1]!Tabla1[Consignatario],0)</f>
        <v>#REF!</v>
      </c>
      <c r="D324" s="72" t="s">
        <v>543</v>
      </c>
      <c r="E324" s="21"/>
      <c r="F324" s="21"/>
      <c r="G324" s="8" t="s">
        <v>256</v>
      </c>
      <c r="H324" s="39" t="s">
        <v>45</v>
      </c>
      <c r="I324" s="23">
        <v>3000</v>
      </c>
      <c r="J324" s="36"/>
      <c r="K324" s="11" t="s">
        <v>25</v>
      </c>
      <c r="L324" s="11" t="s">
        <v>30</v>
      </c>
      <c r="M324" s="29"/>
      <c r="N324" s="29"/>
      <c r="O324" s="21"/>
    </row>
    <row r="325" spans="1:15" ht="25.5" x14ac:dyDescent="0.25">
      <c r="A325" s="29"/>
      <c r="B325" s="21"/>
      <c r="C325" s="69" t="e">
        <f>MATCH(D325,[1]!Tabla1[Consignatario],0)</f>
        <v>#REF!</v>
      </c>
      <c r="D325" s="72" t="s">
        <v>543</v>
      </c>
      <c r="E325" s="21"/>
      <c r="F325" s="21"/>
      <c r="G325" s="8" t="s">
        <v>138</v>
      </c>
      <c r="H325" s="39" t="s">
        <v>46</v>
      </c>
      <c r="I325" s="23">
        <v>2500</v>
      </c>
      <c r="J325" s="36"/>
      <c r="K325" s="11" t="s">
        <v>25</v>
      </c>
      <c r="L325" s="25" t="s">
        <v>30</v>
      </c>
      <c r="M325" s="29"/>
      <c r="N325" s="29"/>
      <c r="O325" s="21"/>
    </row>
    <row r="326" spans="1:15" ht="26.25" x14ac:dyDescent="0.25">
      <c r="A326" s="29"/>
      <c r="B326" s="21" t="s">
        <v>431</v>
      </c>
      <c r="C326" s="69" t="e">
        <f>MATCH(D326,[1]!Tabla1[Consignatario],0)</f>
        <v>#REF!</v>
      </c>
      <c r="D326" s="31" t="s">
        <v>181</v>
      </c>
      <c r="E326" s="21"/>
      <c r="F326" s="21"/>
      <c r="G326" s="30" t="s">
        <v>11</v>
      </c>
      <c r="H326" s="39" t="s">
        <v>101</v>
      </c>
      <c r="I326" s="23">
        <f>5*2500</f>
        <v>12500</v>
      </c>
      <c r="J326" s="36">
        <v>250</v>
      </c>
      <c r="K326" s="11" t="s">
        <v>25</v>
      </c>
      <c r="L326" s="11" t="s">
        <v>30</v>
      </c>
      <c r="M326" s="29">
        <v>442</v>
      </c>
      <c r="N326" s="29"/>
      <c r="O326" s="21"/>
    </row>
    <row r="327" spans="1:15" ht="26.25" x14ac:dyDescent="0.25">
      <c r="A327" s="29"/>
      <c r="B327" s="21"/>
      <c r="C327" s="69" t="e">
        <f>MATCH(D327,[1]!Tabla1[Consignatario],0)</f>
        <v>#REF!</v>
      </c>
      <c r="D327" s="31" t="s">
        <v>181</v>
      </c>
      <c r="E327" s="21"/>
      <c r="F327" s="21"/>
      <c r="G327" s="8" t="s">
        <v>256</v>
      </c>
      <c r="H327" s="39" t="s">
        <v>229</v>
      </c>
      <c r="I327" s="23">
        <v>6000</v>
      </c>
      <c r="J327" s="36">
        <v>120</v>
      </c>
      <c r="K327" s="11" t="s">
        <v>25</v>
      </c>
      <c r="L327" s="11" t="s">
        <v>30</v>
      </c>
      <c r="M327" s="29"/>
      <c r="N327" s="29"/>
      <c r="O327" s="21"/>
    </row>
    <row r="328" spans="1:15" ht="26.25" x14ac:dyDescent="0.25">
      <c r="A328" s="29"/>
      <c r="B328" s="21"/>
      <c r="C328" s="69" t="e">
        <f>MATCH(D328,[1]!Tabla1[Consignatario],0)</f>
        <v>#REF!</v>
      </c>
      <c r="D328" s="31" t="s">
        <v>181</v>
      </c>
      <c r="E328" s="21"/>
      <c r="F328" s="21"/>
      <c r="G328" s="8" t="s">
        <v>138</v>
      </c>
      <c r="H328" s="39" t="s">
        <v>135</v>
      </c>
      <c r="I328" s="23">
        <f>72*100/2</f>
        <v>3600</v>
      </c>
      <c r="J328" s="36">
        <v>72</v>
      </c>
      <c r="K328" s="11" t="s">
        <v>25</v>
      </c>
      <c r="L328" s="25" t="s">
        <v>30</v>
      </c>
      <c r="M328" s="29"/>
      <c r="N328" s="29"/>
      <c r="O328" s="21"/>
    </row>
    <row r="329" spans="1:15" x14ac:dyDescent="0.25">
      <c r="A329" s="29" t="s">
        <v>432</v>
      </c>
      <c r="B329" s="21"/>
      <c r="C329" s="69" t="e">
        <f>MATCH(D329,[1]!Tabla1[Consignatario],0)</f>
        <v>#REF!</v>
      </c>
      <c r="D329" s="71" t="s">
        <v>179</v>
      </c>
      <c r="E329" s="21"/>
      <c r="F329" s="21"/>
      <c r="G329" s="30" t="s">
        <v>11</v>
      </c>
      <c r="H329" s="39" t="s">
        <v>364</v>
      </c>
      <c r="I329" s="23">
        <f>12*2500</f>
        <v>30000</v>
      </c>
      <c r="J329" s="36"/>
      <c r="K329" s="11" t="s">
        <v>25</v>
      </c>
      <c r="L329" s="11" t="s">
        <v>30</v>
      </c>
      <c r="M329" s="29">
        <v>1130</v>
      </c>
      <c r="N329" s="29"/>
      <c r="O329" s="21"/>
    </row>
    <row r="330" spans="1:15" x14ac:dyDescent="0.25">
      <c r="A330" s="29"/>
      <c r="B330" s="21"/>
      <c r="C330" s="69" t="e">
        <f>MATCH(D330,[1]!Tabla1[Consignatario],0)</f>
        <v>#REF!</v>
      </c>
      <c r="D330" s="71" t="s">
        <v>179</v>
      </c>
      <c r="E330" s="21"/>
      <c r="F330" s="21"/>
      <c r="G330" s="8" t="s">
        <v>256</v>
      </c>
      <c r="H330" s="39" t="s">
        <v>344</v>
      </c>
      <c r="I330" s="23">
        <v>19000</v>
      </c>
      <c r="J330" s="36"/>
      <c r="K330" s="11" t="s">
        <v>25</v>
      </c>
      <c r="L330" s="11" t="s">
        <v>30</v>
      </c>
      <c r="M330" s="29"/>
      <c r="N330" s="29"/>
      <c r="O330" s="21"/>
    </row>
    <row r="331" spans="1:15" ht="25.5" x14ac:dyDescent="0.25">
      <c r="A331" s="29"/>
      <c r="B331" s="21"/>
      <c r="C331" s="69" t="e">
        <f>MATCH(D331,[1]!Tabla1[Consignatario],0)</f>
        <v>#REF!</v>
      </c>
      <c r="D331" s="71" t="s">
        <v>179</v>
      </c>
      <c r="E331" s="21"/>
      <c r="F331" s="21"/>
      <c r="G331" s="8" t="s">
        <v>138</v>
      </c>
      <c r="H331" s="39" t="s">
        <v>282</v>
      </c>
      <c r="I331" s="23">
        <f>5*2500</f>
        <v>12500</v>
      </c>
      <c r="J331" s="36"/>
      <c r="K331" s="11" t="s">
        <v>25</v>
      </c>
      <c r="L331" s="25" t="s">
        <v>30</v>
      </c>
      <c r="M331" s="29"/>
      <c r="N331" s="29"/>
      <c r="O331" s="21"/>
    </row>
    <row r="332" spans="1:15" x14ac:dyDescent="0.25">
      <c r="A332" s="29"/>
      <c r="B332" s="21" t="s">
        <v>15</v>
      </c>
      <c r="C332" s="69" t="e">
        <f>MATCH(D332,[1]!Tabla1[Consignatario],0)</f>
        <v>#REF!</v>
      </c>
      <c r="D332" s="31" t="s">
        <v>142</v>
      </c>
      <c r="E332" s="21"/>
      <c r="F332" s="21"/>
      <c r="G332" s="30" t="s">
        <v>11</v>
      </c>
      <c r="H332" s="39" t="s">
        <v>125</v>
      </c>
      <c r="I332" s="23">
        <f>6*2500</f>
        <v>15000</v>
      </c>
      <c r="J332" s="36"/>
      <c r="K332" s="11" t="s">
        <v>25</v>
      </c>
      <c r="L332" s="11" t="s">
        <v>30</v>
      </c>
      <c r="M332" s="29">
        <v>700</v>
      </c>
      <c r="N332" s="29"/>
      <c r="O332" s="21"/>
    </row>
    <row r="333" spans="1:15" x14ac:dyDescent="0.25">
      <c r="A333" s="29"/>
      <c r="B333" s="21"/>
      <c r="C333" s="69" t="e">
        <f>MATCH(D333,[1]!Tabla1[Consignatario],0)</f>
        <v>#REF!</v>
      </c>
      <c r="D333" s="31" t="s">
        <v>142</v>
      </c>
      <c r="E333" s="21"/>
      <c r="F333" s="21"/>
      <c r="G333" s="8" t="s">
        <v>256</v>
      </c>
      <c r="H333" s="39" t="s">
        <v>345</v>
      </c>
      <c r="I333" s="23">
        <v>20000</v>
      </c>
      <c r="J333" s="36"/>
      <c r="K333" s="11" t="s">
        <v>25</v>
      </c>
      <c r="L333" s="11" t="s">
        <v>30</v>
      </c>
      <c r="M333" s="29"/>
      <c r="N333" s="29"/>
      <c r="O333" s="21"/>
    </row>
    <row r="334" spans="1:15" x14ac:dyDescent="0.25">
      <c r="A334" s="29"/>
      <c r="B334" s="21"/>
      <c r="C334" s="69" t="e">
        <f>MATCH(D334,[1]!Tabla1[Consignatario],0)</f>
        <v>#REF!</v>
      </c>
      <c r="D334" s="31" t="s">
        <v>433</v>
      </c>
      <c r="E334" s="21"/>
      <c r="F334" s="21"/>
      <c r="G334" s="30" t="s">
        <v>11</v>
      </c>
      <c r="H334" s="39" t="s">
        <v>125</v>
      </c>
      <c r="I334" s="23">
        <f>6*2500</f>
        <v>15000</v>
      </c>
      <c r="J334" s="36">
        <f>6*50</f>
        <v>300</v>
      </c>
      <c r="K334" s="11" t="s">
        <v>25</v>
      </c>
      <c r="L334" s="25" t="s">
        <v>30</v>
      </c>
      <c r="M334" s="29">
        <f>940+550+600</f>
        <v>2090</v>
      </c>
      <c r="N334" s="29"/>
      <c r="O334" s="21"/>
    </row>
    <row r="335" spans="1:15" ht="25.5" x14ac:dyDescent="0.25">
      <c r="A335" s="29"/>
      <c r="B335" s="21"/>
      <c r="C335" s="69" t="e">
        <f>MATCH(D335,[1]!Tabla1[Consignatario],0)</f>
        <v>#REF!</v>
      </c>
      <c r="D335" s="31" t="s">
        <v>433</v>
      </c>
      <c r="E335" s="21"/>
      <c r="F335" s="21"/>
      <c r="G335" s="8" t="s">
        <v>138</v>
      </c>
      <c r="H335" s="39" t="s">
        <v>434</v>
      </c>
      <c r="I335" s="23">
        <f>5*2500</f>
        <v>12500</v>
      </c>
      <c r="J335" s="36">
        <v>250</v>
      </c>
      <c r="K335" s="11" t="s">
        <v>25</v>
      </c>
      <c r="L335" s="11" t="s">
        <v>30</v>
      </c>
      <c r="M335" s="29"/>
      <c r="N335" s="29"/>
      <c r="O335" s="21"/>
    </row>
    <row r="336" spans="1:15" x14ac:dyDescent="0.25">
      <c r="A336" s="29"/>
      <c r="B336" s="21"/>
      <c r="C336" s="69" t="e">
        <f>MATCH(D336,[1]!Tabla1[Consignatario],0)</f>
        <v>#REF!</v>
      </c>
      <c r="D336" s="31" t="s">
        <v>433</v>
      </c>
      <c r="E336" s="21"/>
      <c r="F336" s="21"/>
      <c r="G336" s="30" t="s">
        <v>11</v>
      </c>
      <c r="H336" s="39" t="s">
        <v>115</v>
      </c>
      <c r="I336" s="23">
        <f>8*2500</f>
        <v>20000</v>
      </c>
      <c r="J336" s="36">
        <v>400</v>
      </c>
      <c r="K336" s="11" t="s">
        <v>25</v>
      </c>
      <c r="L336" s="11" t="s">
        <v>30</v>
      </c>
      <c r="M336" s="29"/>
      <c r="N336" s="29"/>
      <c r="O336" s="21"/>
    </row>
    <row r="337" spans="1:16" x14ac:dyDescent="0.25">
      <c r="A337" s="29"/>
      <c r="B337" s="21"/>
      <c r="C337" s="69" t="e">
        <f>MATCH(D337,[1]!Tabla1[Consignatario],0)</f>
        <v>#REF!</v>
      </c>
      <c r="D337" s="31" t="s">
        <v>433</v>
      </c>
      <c r="E337" s="21"/>
      <c r="F337" s="21"/>
      <c r="G337" s="8" t="s">
        <v>256</v>
      </c>
      <c r="H337" s="39" t="s">
        <v>349</v>
      </c>
      <c r="I337" s="23">
        <v>27000</v>
      </c>
      <c r="J337" s="36">
        <f>27*20</f>
        <v>540</v>
      </c>
      <c r="K337" s="11" t="s">
        <v>25</v>
      </c>
      <c r="L337" s="25" t="s">
        <v>30</v>
      </c>
      <c r="M337" s="29"/>
      <c r="N337" s="29"/>
      <c r="O337" s="21"/>
    </row>
    <row r="338" spans="1:16" x14ac:dyDescent="0.25">
      <c r="A338" s="29"/>
      <c r="B338" s="21"/>
      <c r="C338" s="69" t="e">
        <f>MATCH(D338,[1]!Tabla1[Consignatario],0)</f>
        <v>#REF!</v>
      </c>
      <c r="D338" s="31" t="s">
        <v>433</v>
      </c>
      <c r="E338" s="21"/>
      <c r="F338" s="21"/>
      <c r="G338" s="8" t="s">
        <v>256</v>
      </c>
      <c r="H338" s="39" t="s">
        <v>336</v>
      </c>
      <c r="I338" s="23">
        <v>30000</v>
      </c>
      <c r="J338" s="36">
        <f>30*20</f>
        <v>600</v>
      </c>
      <c r="K338" s="11" t="s">
        <v>25</v>
      </c>
      <c r="L338" s="11" t="s">
        <v>30</v>
      </c>
      <c r="M338" s="29"/>
      <c r="N338" s="29"/>
      <c r="O338" s="21"/>
    </row>
    <row r="339" spans="1:16" ht="26.25" x14ac:dyDescent="0.25">
      <c r="A339" s="29"/>
      <c r="B339" s="21"/>
      <c r="C339" s="69" t="e">
        <f>MATCH(D339,[1]!Tabla1[Consignatario],0)</f>
        <v>#REF!</v>
      </c>
      <c r="D339" s="31" t="s">
        <v>505</v>
      </c>
      <c r="E339" s="21"/>
      <c r="F339" s="21"/>
      <c r="G339" s="30" t="s">
        <v>11</v>
      </c>
      <c r="H339" s="39" t="s">
        <v>125</v>
      </c>
      <c r="I339" s="23">
        <f>6*2500</f>
        <v>15000</v>
      </c>
      <c r="J339" s="36"/>
      <c r="K339" s="11" t="s">
        <v>25</v>
      </c>
      <c r="L339" s="11" t="s">
        <v>30</v>
      </c>
      <c r="M339" s="29">
        <v>640</v>
      </c>
      <c r="N339" s="29"/>
      <c r="O339" s="21"/>
    </row>
    <row r="340" spans="1:16" ht="26.25" x14ac:dyDescent="0.25">
      <c r="A340" s="29"/>
      <c r="B340" s="21"/>
      <c r="C340" s="69" t="e">
        <f>MATCH(D340,[1]!Tabla1[Consignatario],0)</f>
        <v>#REF!</v>
      </c>
      <c r="D340" s="31" t="s">
        <v>505</v>
      </c>
      <c r="E340" s="21"/>
      <c r="F340" s="21"/>
      <c r="G340" s="8" t="s">
        <v>256</v>
      </c>
      <c r="H340" s="39" t="s">
        <v>353</v>
      </c>
      <c r="I340" s="23">
        <v>17000</v>
      </c>
      <c r="J340" s="36"/>
      <c r="K340" s="11" t="s">
        <v>25</v>
      </c>
      <c r="L340" s="25" t="s">
        <v>30</v>
      </c>
      <c r="M340" s="29"/>
      <c r="N340" s="29"/>
      <c r="O340" s="21"/>
    </row>
    <row r="341" spans="1:16" x14ac:dyDescent="0.25">
      <c r="A341" s="29"/>
      <c r="B341" s="21"/>
      <c r="C341" s="69" t="e">
        <f>MATCH(D341,[1]!Tabla1[Consignatario],0)</f>
        <v>#REF!</v>
      </c>
      <c r="D341" s="71" t="s">
        <v>506</v>
      </c>
      <c r="E341" s="21"/>
      <c r="F341" s="21"/>
      <c r="G341" s="30" t="s">
        <v>11</v>
      </c>
      <c r="H341" s="39" t="s">
        <v>104</v>
      </c>
      <c r="I341" s="23">
        <f>22*2500</f>
        <v>55000</v>
      </c>
      <c r="J341" s="36">
        <f>22*50</f>
        <v>1100</v>
      </c>
      <c r="K341" s="11" t="s">
        <v>25</v>
      </c>
      <c r="L341" s="11" t="s">
        <v>30</v>
      </c>
      <c r="M341" s="29">
        <v>2488</v>
      </c>
      <c r="N341" s="29"/>
      <c r="O341" s="21"/>
    </row>
    <row r="342" spans="1:16" x14ac:dyDescent="0.25">
      <c r="A342" s="29"/>
      <c r="B342" s="21"/>
      <c r="C342" s="69" t="e">
        <f>MATCH(D342,[1]!Tabla1[Consignatario],0)</f>
        <v>#REF!</v>
      </c>
      <c r="D342" s="71" t="s">
        <v>506</v>
      </c>
      <c r="E342" s="21"/>
      <c r="F342" s="21"/>
      <c r="G342" s="8" t="s">
        <v>256</v>
      </c>
      <c r="H342" s="39" t="s">
        <v>435</v>
      </c>
      <c r="I342" s="23">
        <v>55000</v>
      </c>
      <c r="J342" s="36">
        <f>55*20</f>
        <v>1100</v>
      </c>
      <c r="K342" s="11" t="s">
        <v>25</v>
      </c>
      <c r="L342" s="11" t="s">
        <v>30</v>
      </c>
      <c r="M342" s="29"/>
      <c r="N342" s="29"/>
      <c r="O342" s="21"/>
    </row>
    <row r="343" spans="1:16" ht="25.5" x14ac:dyDescent="0.25">
      <c r="A343" s="29"/>
      <c r="B343" s="21"/>
      <c r="C343" s="69" t="e">
        <f>MATCH(D343,[1]!Tabla1[Consignatario],0)</f>
        <v>#REF!</v>
      </c>
      <c r="D343" s="71" t="s">
        <v>506</v>
      </c>
      <c r="E343" s="21"/>
      <c r="F343" s="21"/>
      <c r="G343" s="8" t="s">
        <v>138</v>
      </c>
      <c r="H343" s="39" t="s">
        <v>436</v>
      </c>
      <c r="I343" s="23">
        <f>288*100/2</f>
        <v>14400</v>
      </c>
      <c r="J343" s="36">
        <v>288</v>
      </c>
      <c r="K343" s="11" t="s">
        <v>25</v>
      </c>
      <c r="L343" s="25" t="s">
        <v>30</v>
      </c>
      <c r="M343" s="29"/>
      <c r="N343" s="29"/>
      <c r="O343" s="21"/>
    </row>
    <row r="344" spans="1:16" ht="26.25" x14ac:dyDescent="0.25">
      <c r="A344" s="29"/>
      <c r="B344" s="31" t="s">
        <v>438</v>
      </c>
      <c r="C344" s="69"/>
      <c r="D344" s="31"/>
      <c r="E344" s="21"/>
      <c r="F344" s="21"/>
      <c r="G344" s="30" t="s">
        <v>11</v>
      </c>
      <c r="H344" s="39" t="s">
        <v>439</v>
      </c>
      <c r="I344" s="23"/>
      <c r="J344" s="36"/>
      <c r="K344" s="11" t="s">
        <v>25</v>
      </c>
      <c r="L344" s="11" t="s">
        <v>30</v>
      </c>
      <c r="M344" s="29" t="s">
        <v>261</v>
      </c>
      <c r="N344" s="29"/>
      <c r="O344" s="21" t="s">
        <v>437</v>
      </c>
      <c r="P344" s="23">
        <v>490</v>
      </c>
    </row>
    <row r="345" spans="1:16" ht="26.25" x14ac:dyDescent="0.25">
      <c r="A345" s="29"/>
      <c r="B345" s="21"/>
      <c r="C345" s="69" t="e">
        <f>MATCH(D345,[1]!Tabla1[Consignatario],0)</f>
        <v>#REF!</v>
      </c>
      <c r="D345" s="31" t="s">
        <v>445</v>
      </c>
      <c r="E345" s="21"/>
      <c r="F345" s="21"/>
      <c r="G345" s="30" t="s">
        <v>11</v>
      </c>
      <c r="H345" s="39" t="s">
        <v>440</v>
      </c>
      <c r="I345" s="23">
        <v>14000</v>
      </c>
      <c r="J345" s="36"/>
      <c r="K345" s="11" t="s">
        <v>25</v>
      </c>
      <c r="L345" s="11" t="s">
        <v>30</v>
      </c>
      <c r="M345" s="29">
        <v>300</v>
      </c>
      <c r="N345" s="29"/>
      <c r="O345" s="21"/>
    </row>
    <row r="346" spans="1:16" ht="26.25" x14ac:dyDescent="0.25">
      <c r="A346" s="29"/>
      <c r="B346" s="21"/>
      <c r="C346" s="69" t="e">
        <f>MATCH(D346,[1]!Tabla1[Consignatario],0)</f>
        <v>#REF!</v>
      </c>
      <c r="D346" s="31" t="s">
        <v>445</v>
      </c>
      <c r="E346" s="21"/>
      <c r="F346" s="21"/>
      <c r="G346" s="8" t="s">
        <v>256</v>
      </c>
      <c r="H346" s="39" t="s">
        <v>38</v>
      </c>
      <c r="I346" s="23">
        <v>1000</v>
      </c>
      <c r="J346" s="36"/>
      <c r="K346" s="11" t="s">
        <v>25</v>
      </c>
      <c r="L346" s="25" t="s">
        <v>30</v>
      </c>
      <c r="M346" s="29"/>
      <c r="N346" s="29"/>
      <c r="O346" s="21"/>
    </row>
    <row r="347" spans="1:16" ht="39" x14ac:dyDescent="0.25">
      <c r="A347" s="29"/>
      <c r="B347" s="21"/>
      <c r="C347" s="69" t="e">
        <f>MATCH(D347,[1]!Tabla1[Consignatario],0)</f>
        <v>#REF!</v>
      </c>
      <c r="D347" s="31" t="s">
        <v>441</v>
      </c>
      <c r="E347" s="21"/>
      <c r="F347" s="21"/>
      <c r="G347" s="30" t="s">
        <v>11</v>
      </c>
      <c r="H347" s="39" t="s">
        <v>101</v>
      </c>
      <c r="I347" s="23">
        <f>5*2500</f>
        <v>12500</v>
      </c>
      <c r="J347" s="36"/>
      <c r="K347" s="11" t="s">
        <v>25</v>
      </c>
      <c r="L347" s="11" t="s">
        <v>30</v>
      </c>
      <c r="M347" s="29">
        <v>250</v>
      </c>
      <c r="N347" s="29"/>
      <c r="O347" s="21"/>
    </row>
    <row r="348" spans="1:16" x14ac:dyDescent="0.25">
      <c r="A348" s="29">
        <v>34</v>
      </c>
      <c r="B348" s="21"/>
      <c r="C348" s="69" t="e">
        <f>MATCH(D348,[1]!Tabla1[Consignatario],0)</f>
        <v>#REF!</v>
      </c>
      <c r="D348" s="31" t="s">
        <v>507</v>
      </c>
      <c r="E348" s="21"/>
      <c r="F348" s="21"/>
      <c r="G348" s="30" t="s">
        <v>11</v>
      </c>
      <c r="H348" s="39" t="s">
        <v>101</v>
      </c>
      <c r="I348" s="23">
        <v>12500</v>
      </c>
      <c r="J348" s="36">
        <v>250</v>
      </c>
      <c r="K348" s="11" t="s">
        <v>25</v>
      </c>
      <c r="L348" s="11" t="s">
        <v>30</v>
      </c>
      <c r="M348" s="29">
        <v>570</v>
      </c>
      <c r="N348" s="29"/>
      <c r="O348" s="21"/>
    </row>
    <row r="349" spans="1:16" ht="26.25" x14ac:dyDescent="0.25">
      <c r="A349" s="29"/>
      <c r="B349" s="21"/>
      <c r="C349" s="69" t="e">
        <f>MATCH(D349,[1]!Tabla1[Consignatario],0)</f>
        <v>#REF!</v>
      </c>
      <c r="D349" s="31" t="s">
        <v>507</v>
      </c>
      <c r="E349" s="21"/>
      <c r="F349" s="21"/>
      <c r="G349" s="8" t="s">
        <v>256</v>
      </c>
      <c r="H349" s="39" t="s">
        <v>237</v>
      </c>
      <c r="I349" s="23">
        <v>16000</v>
      </c>
      <c r="J349" s="36">
        <f>16*20</f>
        <v>320</v>
      </c>
      <c r="K349" s="11" t="s">
        <v>25</v>
      </c>
      <c r="L349" s="25" t="s">
        <v>30</v>
      </c>
      <c r="M349" s="29"/>
      <c r="N349" s="29"/>
      <c r="O349" s="21"/>
    </row>
    <row r="350" spans="1:16" x14ac:dyDescent="0.25">
      <c r="A350" s="29"/>
      <c r="B350" s="21"/>
      <c r="C350" s="69" t="e">
        <f>MATCH(D350,[1]!Tabla1[Consignatario],0)</f>
        <v>#REF!</v>
      </c>
      <c r="D350" s="31" t="s">
        <v>442</v>
      </c>
      <c r="E350" s="21"/>
      <c r="F350" s="21"/>
      <c r="G350" s="30" t="s">
        <v>11</v>
      </c>
      <c r="H350" s="39" t="s">
        <v>125</v>
      </c>
      <c r="I350" s="23">
        <v>15000</v>
      </c>
      <c r="J350" s="36"/>
      <c r="K350" s="11" t="s">
        <v>25</v>
      </c>
      <c r="L350" s="11" t="s">
        <v>30</v>
      </c>
      <c r="M350" s="29">
        <v>400</v>
      </c>
      <c r="N350" s="29"/>
      <c r="O350" s="21"/>
    </row>
    <row r="351" spans="1:16" x14ac:dyDescent="0.25">
      <c r="A351" s="29"/>
      <c r="B351" s="21"/>
      <c r="C351" s="69" t="e">
        <f>MATCH(D351,[1]!Tabla1[Consignatario],0)</f>
        <v>#REF!</v>
      </c>
      <c r="D351" s="31" t="s">
        <v>442</v>
      </c>
      <c r="E351" s="21"/>
      <c r="F351" s="21"/>
      <c r="G351" s="8" t="s">
        <v>256</v>
      </c>
      <c r="H351" s="39" t="s">
        <v>45</v>
      </c>
      <c r="I351" s="23">
        <v>3000</v>
      </c>
      <c r="J351" s="36"/>
      <c r="K351" s="11" t="s">
        <v>25</v>
      </c>
      <c r="L351" s="11" t="s">
        <v>30</v>
      </c>
      <c r="M351" s="29"/>
      <c r="N351" s="29"/>
      <c r="O351" s="21"/>
    </row>
    <row r="352" spans="1:16" x14ac:dyDescent="0.25">
      <c r="A352" s="29"/>
      <c r="B352" s="21"/>
      <c r="C352" s="69" t="e">
        <f>MATCH(D352,[1]!Tabla1[Consignatario],0)</f>
        <v>#REF!</v>
      </c>
      <c r="D352" s="31" t="s">
        <v>442</v>
      </c>
      <c r="E352" s="21"/>
      <c r="F352" s="21"/>
      <c r="G352" s="30" t="s">
        <v>11</v>
      </c>
      <c r="H352" s="39" t="s">
        <v>152</v>
      </c>
      <c r="I352" s="23">
        <v>2000</v>
      </c>
      <c r="J352" s="36"/>
      <c r="K352" s="11" t="s">
        <v>25</v>
      </c>
      <c r="L352" s="25" t="s">
        <v>30</v>
      </c>
      <c r="M352" s="29"/>
      <c r="N352" s="29"/>
      <c r="O352" s="21"/>
    </row>
    <row r="353" spans="1:15" x14ac:dyDescent="0.25">
      <c r="A353" s="29"/>
      <c r="B353" s="21"/>
      <c r="C353" s="69" t="e">
        <f>MATCH(D353,[1]!Tabla1[Consignatario],0)</f>
        <v>#REF!</v>
      </c>
      <c r="D353" s="31" t="s">
        <v>443</v>
      </c>
      <c r="E353" s="21"/>
      <c r="F353" s="21"/>
      <c r="G353" s="30" t="s">
        <v>11</v>
      </c>
      <c r="H353" s="39" t="s">
        <v>225</v>
      </c>
      <c r="I353" s="23">
        <f>20*2500</f>
        <v>50000</v>
      </c>
      <c r="J353" s="36"/>
      <c r="K353" s="11" t="s">
        <v>25</v>
      </c>
      <c r="L353" s="11" t="s">
        <v>30</v>
      </c>
      <c r="M353" s="29">
        <v>2500</v>
      </c>
      <c r="N353" s="29"/>
      <c r="O353" s="21"/>
    </row>
    <row r="354" spans="1:15" ht="26.25" x14ac:dyDescent="0.25">
      <c r="A354" s="29"/>
      <c r="B354" s="21"/>
      <c r="C354" s="69" t="e">
        <f>MATCH(D354,[1]!Tabla1[Consignatario],0)</f>
        <v>#REF!</v>
      </c>
      <c r="D354" s="31" t="s">
        <v>443</v>
      </c>
      <c r="E354" s="21"/>
      <c r="F354" s="21"/>
      <c r="G354" s="8" t="s">
        <v>256</v>
      </c>
      <c r="H354" s="39" t="s">
        <v>42</v>
      </c>
      <c r="I354" s="23">
        <v>75000</v>
      </c>
      <c r="J354" s="36"/>
      <c r="K354" s="11" t="s">
        <v>25</v>
      </c>
      <c r="L354" s="11" t="s">
        <v>30</v>
      </c>
      <c r="M354" s="29"/>
      <c r="N354" s="29"/>
      <c r="O354" s="21"/>
    </row>
    <row r="355" spans="1:15" ht="26.25" x14ac:dyDescent="0.25">
      <c r="A355" s="29"/>
      <c r="B355" s="21"/>
      <c r="C355" s="69" t="e">
        <f>MATCH(D355,[1]!Tabla1[Consignatario],0)</f>
        <v>#REF!</v>
      </c>
      <c r="D355" s="31" t="s">
        <v>508</v>
      </c>
      <c r="E355" s="21"/>
      <c r="F355" s="21"/>
      <c r="G355" s="30" t="s">
        <v>11</v>
      </c>
      <c r="H355" s="39" t="s">
        <v>125</v>
      </c>
      <c r="I355" s="23">
        <f>2500*6</f>
        <v>15000</v>
      </c>
      <c r="J355" s="36"/>
      <c r="K355" s="11" t="s">
        <v>25</v>
      </c>
      <c r="L355" s="25" t="s">
        <v>30</v>
      </c>
      <c r="M355" s="29">
        <v>640</v>
      </c>
      <c r="N355" s="29"/>
      <c r="O355" s="21"/>
    </row>
    <row r="356" spans="1:15" ht="26.25" x14ac:dyDescent="0.25">
      <c r="A356" s="29"/>
      <c r="B356" s="21"/>
      <c r="C356" s="69" t="e">
        <f>MATCH(D356,[1]!Tabla1[Consignatario],0)</f>
        <v>#REF!</v>
      </c>
      <c r="D356" s="31" t="s">
        <v>508</v>
      </c>
      <c r="E356" s="21"/>
      <c r="F356" s="21"/>
      <c r="G356" s="8" t="s">
        <v>256</v>
      </c>
      <c r="H356" s="39" t="s">
        <v>353</v>
      </c>
      <c r="I356" s="23">
        <v>17000</v>
      </c>
      <c r="J356" s="36"/>
      <c r="K356" s="11" t="s">
        <v>25</v>
      </c>
      <c r="L356" s="11" t="s">
        <v>30</v>
      </c>
      <c r="M356" s="29"/>
      <c r="N356" s="29"/>
      <c r="O356" s="21"/>
    </row>
    <row r="357" spans="1:15" ht="26.25" x14ac:dyDescent="0.25">
      <c r="A357" s="29"/>
      <c r="B357" s="21"/>
      <c r="C357" s="69" t="e">
        <f>MATCH(D357,[1]!Tabla1[Consignatario],0)</f>
        <v>#REF!</v>
      </c>
      <c r="D357" s="31" t="s">
        <v>469</v>
      </c>
      <c r="E357" s="21"/>
      <c r="F357" s="21"/>
      <c r="G357" s="30" t="s">
        <v>11</v>
      </c>
      <c r="H357" s="39" t="s">
        <v>101</v>
      </c>
      <c r="I357" s="23">
        <f>5*2500</f>
        <v>12500</v>
      </c>
      <c r="J357" s="36"/>
      <c r="K357" s="11" t="s">
        <v>25</v>
      </c>
      <c r="L357" s="11" t="s">
        <v>30</v>
      </c>
      <c r="M357" s="29">
        <v>580</v>
      </c>
      <c r="N357" s="29"/>
      <c r="O357" s="21"/>
    </row>
    <row r="358" spans="1:15" ht="26.25" x14ac:dyDescent="0.25">
      <c r="A358" s="29"/>
      <c r="B358" s="21"/>
      <c r="C358" s="69" t="e">
        <f>MATCH(D358,[1]!Tabla1[Consignatario],0)</f>
        <v>#REF!</v>
      </c>
      <c r="D358" s="31" t="s">
        <v>469</v>
      </c>
      <c r="E358" s="21"/>
      <c r="F358" s="21"/>
      <c r="G358" s="8" t="s">
        <v>256</v>
      </c>
      <c r="H358" s="39" t="s">
        <v>71</v>
      </c>
      <c r="I358" s="23">
        <v>14000</v>
      </c>
      <c r="J358" s="36"/>
      <c r="K358" s="11" t="s">
        <v>25</v>
      </c>
      <c r="L358" s="25" t="s">
        <v>30</v>
      </c>
      <c r="M358" s="29"/>
      <c r="N358" s="29"/>
      <c r="O358" s="21"/>
    </row>
    <row r="359" spans="1:15" ht="26.25" x14ac:dyDescent="0.25">
      <c r="A359" s="29"/>
      <c r="B359" s="21"/>
      <c r="C359" s="69" t="e">
        <f>MATCH(D359,[1]!Tabla1[Consignatario],0)</f>
        <v>#REF!</v>
      </c>
      <c r="D359" s="31" t="s">
        <v>469</v>
      </c>
      <c r="E359" s="21"/>
      <c r="F359" s="21"/>
      <c r="G359" s="8" t="s">
        <v>138</v>
      </c>
      <c r="H359" s="39" t="s">
        <v>46</v>
      </c>
      <c r="I359" s="23">
        <v>2500</v>
      </c>
      <c r="J359" s="36"/>
      <c r="K359" s="11" t="s">
        <v>25</v>
      </c>
      <c r="L359" s="11" t="s">
        <v>30</v>
      </c>
      <c r="M359" s="29"/>
      <c r="N359" s="29"/>
      <c r="O359" s="21"/>
    </row>
    <row r="360" spans="1:15" x14ac:dyDescent="0.25">
      <c r="A360" s="29"/>
      <c r="B360" s="21"/>
      <c r="C360" s="69" t="e">
        <f>MATCH(D360,[1]!Tabla1[Consignatario],0)</f>
        <v>#REF!</v>
      </c>
      <c r="D360" s="31" t="s">
        <v>502</v>
      </c>
      <c r="E360" s="21"/>
      <c r="F360" s="21"/>
      <c r="G360" s="30" t="s">
        <v>11</v>
      </c>
      <c r="H360" s="39" t="s">
        <v>40</v>
      </c>
      <c r="I360" s="23">
        <f>9*2500</f>
        <v>22500</v>
      </c>
      <c r="J360" s="36">
        <f>9*50</f>
        <v>450</v>
      </c>
      <c r="K360" s="11" t="s">
        <v>25</v>
      </c>
      <c r="L360" s="11" t="s">
        <v>30</v>
      </c>
      <c r="M360" s="29">
        <v>470</v>
      </c>
      <c r="N360" s="29"/>
      <c r="O360" s="21"/>
    </row>
    <row r="361" spans="1:15" x14ac:dyDescent="0.25">
      <c r="A361" s="29"/>
      <c r="B361" s="21"/>
      <c r="C361" s="69" t="e">
        <f>MATCH(D361,[1]!Tabla1[Consignatario],0)</f>
        <v>#REF!</v>
      </c>
      <c r="D361" s="31" t="s">
        <v>502</v>
      </c>
      <c r="E361" s="21"/>
      <c r="F361" s="21"/>
      <c r="G361" s="8" t="s">
        <v>256</v>
      </c>
      <c r="H361" s="39" t="s">
        <v>38</v>
      </c>
      <c r="I361" s="23">
        <v>1000</v>
      </c>
      <c r="J361" s="36">
        <v>20</v>
      </c>
      <c r="K361" s="11" t="s">
        <v>25</v>
      </c>
      <c r="L361" s="25" t="s">
        <v>30</v>
      </c>
      <c r="M361" s="29"/>
      <c r="N361" s="29"/>
      <c r="O361" s="21"/>
    </row>
    <row r="362" spans="1:15" x14ac:dyDescent="0.25">
      <c r="A362" s="29"/>
      <c r="B362" s="21"/>
      <c r="C362" s="69" t="e">
        <f>MATCH(D362,[1]!Tabla1[Consignatario],0)</f>
        <v>#REF!</v>
      </c>
      <c r="D362" s="31" t="s">
        <v>186</v>
      </c>
      <c r="E362" s="21"/>
      <c r="F362" s="21"/>
      <c r="G362" s="30" t="s">
        <v>11</v>
      </c>
      <c r="H362" s="39" t="s">
        <v>101</v>
      </c>
      <c r="I362" s="23">
        <f>5*2500</f>
        <v>12500</v>
      </c>
      <c r="J362" s="36">
        <v>250</v>
      </c>
      <c r="K362" s="11" t="s">
        <v>25</v>
      </c>
      <c r="L362" s="11" t="s">
        <v>30</v>
      </c>
      <c r="M362" s="29">
        <v>1060</v>
      </c>
      <c r="N362" s="29"/>
      <c r="O362" s="21"/>
    </row>
    <row r="363" spans="1:15" x14ac:dyDescent="0.25">
      <c r="A363" s="29"/>
      <c r="B363" s="21"/>
      <c r="C363" s="69" t="e">
        <f>MATCH(D363,[1]!Tabla1[Consignatario],0)</f>
        <v>#REF!</v>
      </c>
      <c r="D363" s="31" t="s">
        <v>186</v>
      </c>
      <c r="E363" s="21"/>
      <c r="F363" s="21"/>
      <c r="G363" s="8" t="s">
        <v>256</v>
      </c>
      <c r="H363" s="39" t="s">
        <v>395</v>
      </c>
      <c r="I363" s="23">
        <v>38000</v>
      </c>
      <c r="J363" s="36">
        <f>38*20</f>
        <v>760</v>
      </c>
      <c r="K363" s="11" t="s">
        <v>25</v>
      </c>
      <c r="L363" s="11" t="s">
        <v>30</v>
      </c>
      <c r="M363" s="29"/>
      <c r="N363" s="29"/>
      <c r="O363" s="21"/>
    </row>
    <row r="364" spans="1:15" ht="25.5" x14ac:dyDescent="0.25">
      <c r="A364" s="29"/>
      <c r="B364" s="21"/>
      <c r="C364" s="69" t="e">
        <f>MATCH(D364,[1]!Tabla1[Consignatario],0)</f>
        <v>#REF!</v>
      </c>
      <c r="D364" s="31" t="s">
        <v>186</v>
      </c>
      <c r="E364" s="21"/>
      <c r="F364" s="21"/>
      <c r="G364" s="8" t="s">
        <v>138</v>
      </c>
      <c r="H364" s="39" t="s">
        <v>53</v>
      </c>
      <c r="I364" s="23">
        <v>2500</v>
      </c>
      <c r="J364" s="36">
        <v>50</v>
      </c>
      <c r="K364" s="11" t="s">
        <v>25</v>
      </c>
      <c r="L364" s="25" t="s">
        <v>30</v>
      </c>
      <c r="M364" s="29"/>
      <c r="N364" s="29"/>
      <c r="O364" s="21"/>
    </row>
    <row r="365" spans="1:15" x14ac:dyDescent="0.25">
      <c r="A365" s="29"/>
      <c r="B365" s="21"/>
      <c r="C365" s="69" t="e">
        <f>MATCH(D365,[1]!Tabla1[Consignatario],0)</f>
        <v>#REF!</v>
      </c>
      <c r="D365" s="31" t="s">
        <v>191</v>
      </c>
      <c r="E365" s="21"/>
      <c r="F365" s="21"/>
      <c r="G365" s="30" t="s">
        <v>11</v>
      </c>
      <c r="H365" s="39" t="s">
        <v>70</v>
      </c>
      <c r="I365" s="23">
        <f>16*2500</f>
        <v>40000</v>
      </c>
      <c r="J365" s="36"/>
      <c r="K365" s="11" t="s">
        <v>25</v>
      </c>
      <c r="L365" s="11" t="s">
        <v>30</v>
      </c>
      <c r="M365" s="29">
        <v>2000</v>
      </c>
      <c r="N365" s="29"/>
      <c r="O365" s="21"/>
    </row>
    <row r="366" spans="1:15" x14ac:dyDescent="0.25">
      <c r="A366" s="29"/>
      <c r="B366" s="21"/>
      <c r="C366" s="69" t="e">
        <f>MATCH(D366,[1]!Tabla1[Consignatario],0)</f>
        <v>#REF!</v>
      </c>
      <c r="D366" s="31" t="s">
        <v>191</v>
      </c>
      <c r="E366" s="21"/>
      <c r="F366" s="21"/>
      <c r="G366" s="8" t="s">
        <v>256</v>
      </c>
      <c r="H366" s="39" t="s">
        <v>435</v>
      </c>
      <c r="I366" s="23">
        <v>55000</v>
      </c>
      <c r="J366" s="36"/>
      <c r="K366" s="11" t="s">
        <v>25</v>
      </c>
      <c r="L366" s="11" t="s">
        <v>30</v>
      </c>
      <c r="M366" s="29"/>
      <c r="N366" s="29"/>
      <c r="O366" s="21"/>
    </row>
    <row r="367" spans="1:15" ht="25.5" x14ac:dyDescent="0.25">
      <c r="A367" s="29"/>
      <c r="B367" s="21"/>
      <c r="C367" s="69" t="e">
        <f>MATCH(D367,[1]!Tabla1[Consignatario],0)</f>
        <v>#REF!</v>
      </c>
      <c r="D367" s="31" t="s">
        <v>191</v>
      </c>
      <c r="E367" s="21"/>
      <c r="F367" s="21"/>
      <c r="G367" s="8" t="s">
        <v>138</v>
      </c>
      <c r="H367" s="39" t="s">
        <v>287</v>
      </c>
      <c r="I367" s="23">
        <v>5000</v>
      </c>
      <c r="J367" s="36"/>
      <c r="K367" s="11" t="s">
        <v>25</v>
      </c>
      <c r="L367" s="25" t="s">
        <v>30</v>
      </c>
      <c r="M367" s="29"/>
      <c r="N367" s="29"/>
      <c r="O367" s="21"/>
    </row>
    <row r="368" spans="1:15" x14ac:dyDescent="0.25">
      <c r="A368" s="29"/>
      <c r="B368" s="21"/>
      <c r="C368" s="69" t="e">
        <f>MATCH(D368,[1]!Tabla1[Consignatario],0)</f>
        <v>#REF!</v>
      </c>
      <c r="D368" s="31" t="s">
        <v>189</v>
      </c>
      <c r="E368" s="21"/>
      <c r="F368" s="21"/>
      <c r="G368" s="30" t="s">
        <v>11</v>
      </c>
      <c r="H368" s="39" t="s">
        <v>115</v>
      </c>
      <c r="I368" s="23">
        <f>8*2500</f>
        <v>20000</v>
      </c>
      <c r="J368" s="36"/>
      <c r="K368" s="11" t="s">
        <v>25</v>
      </c>
      <c r="L368" s="11" t="s">
        <v>30</v>
      </c>
      <c r="M368" s="29">
        <v>400</v>
      </c>
      <c r="N368" s="29"/>
      <c r="O368" s="21"/>
    </row>
    <row r="369" spans="1:16" x14ac:dyDescent="0.25">
      <c r="A369" s="29"/>
      <c r="B369" s="21"/>
      <c r="C369" s="69" t="e">
        <f>MATCH(D369,[1]!Tabla1[Consignatario],0)</f>
        <v>#REF!</v>
      </c>
      <c r="D369" s="31" t="s">
        <v>444</v>
      </c>
      <c r="E369" s="21"/>
      <c r="F369" s="21"/>
      <c r="G369" s="30" t="s">
        <v>11</v>
      </c>
      <c r="H369" s="39" t="s">
        <v>70</v>
      </c>
      <c r="I369" s="23">
        <v>40000</v>
      </c>
      <c r="J369" s="36"/>
      <c r="K369" s="11" t="s">
        <v>25</v>
      </c>
      <c r="L369" s="11" t="s">
        <v>30</v>
      </c>
      <c r="M369" s="29">
        <v>900</v>
      </c>
      <c r="N369" s="29"/>
      <c r="O369" s="21"/>
    </row>
    <row r="370" spans="1:16" ht="26.25" x14ac:dyDescent="0.25">
      <c r="A370" s="29"/>
      <c r="B370" s="21"/>
      <c r="C370" s="69" t="e">
        <f>MATCH(D370,[1]!Tabla1[Consignatario],0)</f>
        <v>#REF!</v>
      </c>
      <c r="D370" s="31" t="s">
        <v>444</v>
      </c>
      <c r="E370" s="21"/>
      <c r="F370" s="21"/>
      <c r="G370" s="8" t="s">
        <v>256</v>
      </c>
      <c r="H370" s="39" t="s">
        <v>63</v>
      </c>
      <c r="I370" s="23">
        <v>5000</v>
      </c>
      <c r="J370" s="36"/>
      <c r="K370" s="11" t="s">
        <v>25</v>
      </c>
      <c r="L370" s="25" t="s">
        <v>30</v>
      </c>
      <c r="M370" s="29"/>
      <c r="N370" s="29"/>
      <c r="O370" s="21"/>
    </row>
    <row r="371" spans="1:16" x14ac:dyDescent="0.25">
      <c r="A371" s="29" t="s">
        <v>446</v>
      </c>
      <c r="B371" s="21"/>
      <c r="C371" s="69" t="e">
        <f>MATCH(D371,[1]!Tabla1[Consignatario],0)</f>
        <v>#REF!</v>
      </c>
      <c r="D371" s="31" t="s">
        <v>447</v>
      </c>
      <c r="E371" s="21"/>
      <c r="F371" s="21"/>
      <c r="G371" s="30" t="s">
        <v>11</v>
      </c>
      <c r="H371" s="39" t="s">
        <v>125</v>
      </c>
      <c r="I371" s="23">
        <f>6*2500</f>
        <v>15000</v>
      </c>
      <c r="J371" s="36"/>
      <c r="K371" s="11" t="s">
        <v>25</v>
      </c>
      <c r="L371" s="11" t="s">
        <v>30</v>
      </c>
      <c r="M371" s="29">
        <v>400</v>
      </c>
      <c r="N371" s="29"/>
      <c r="O371" s="21"/>
    </row>
    <row r="372" spans="1:16" x14ac:dyDescent="0.25">
      <c r="A372" s="29"/>
      <c r="B372" s="21"/>
      <c r="C372" s="69" t="e">
        <f>MATCH(D372,[1]!Tabla1[Consignatario],0)</f>
        <v>#REF!</v>
      </c>
      <c r="D372" s="31" t="s">
        <v>447</v>
      </c>
      <c r="E372" s="21"/>
      <c r="F372" s="21"/>
      <c r="G372" s="8" t="s">
        <v>256</v>
      </c>
      <c r="H372" s="39" t="s">
        <v>45</v>
      </c>
      <c r="I372" s="23">
        <v>3000</v>
      </c>
      <c r="J372" s="36"/>
      <c r="K372" s="11" t="s">
        <v>25</v>
      </c>
      <c r="L372" s="11" t="s">
        <v>30</v>
      </c>
      <c r="M372" s="29"/>
      <c r="N372" s="29"/>
      <c r="O372" s="21"/>
    </row>
    <row r="373" spans="1:16" ht="25.5" x14ac:dyDescent="0.25">
      <c r="A373" s="29"/>
      <c r="B373" s="21"/>
      <c r="C373" s="69" t="e">
        <f>MATCH(D373,[1]!Tabla1[Consignatario],0)</f>
        <v>#REF!</v>
      </c>
      <c r="D373" s="31" t="s">
        <v>447</v>
      </c>
      <c r="E373" s="21"/>
      <c r="F373" s="21"/>
      <c r="G373" s="8" t="s">
        <v>138</v>
      </c>
      <c r="H373" s="39" t="s">
        <v>427</v>
      </c>
      <c r="I373" s="23">
        <f>250*8</f>
        <v>2000</v>
      </c>
      <c r="J373" s="36"/>
      <c r="K373" s="11" t="s">
        <v>25</v>
      </c>
      <c r="L373" s="25" t="s">
        <v>30</v>
      </c>
      <c r="M373" s="29"/>
      <c r="N373" s="29"/>
      <c r="O373" s="21"/>
    </row>
    <row r="374" spans="1:16" x14ac:dyDescent="0.25">
      <c r="A374" s="29"/>
      <c r="B374" s="21"/>
      <c r="C374" s="69" t="e">
        <f>MATCH(D374,[1]!Tabla1[Consignatario],0)</f>
        <v>#REF!</v>
      </c>
      <c r="D374" s="31" t="s">
        <v>193</v>
      </c>
      <c r="E374" s="21"/>
      <c r="F374" s="21"/>
      <c r="G374" s="30" t="s">
        <v>11</v>
      </c>
      <c r="H374" s="39" t="s">
        <v>48</v>
      </c>
      <c r="I374" s="23">
        <v>2500</v>
      </c>
      <c r="J374" s="36"/>
      <c r="K374" s="11" t="s">
        <v>25</v>
      </c>
      <c r="L374" s="11" t="s">
        <v>30</v>
      </c>
      <c r="M374" s="29">
        <v>760</v>
      </c>
      <c r="N374" s="29"/>
      <c r="O374" s="21"/>
    </row>
    <row r="375" spans="1:16" ht="25.5" x14ac:dyDescent="0.25">
      <c r="A375" s="29"/>
      <c r="B375" s="21"/>
      <c r="C375" s="69" t="e">
        <f>MATCH(D375,[1]!Tabla1[Consignatario],0)</f>
        <v>#REF!</v>
      </c>
      <c r="D375" s="31" t="s">
        <v>193</v>
      </c>
      <c r="E375" s="21"/>
      <c r="F375" s="21"/>
      <c r="G375" s="8" t="s">
        <v>138</v>
      </c>
      <c r="H375" s="39" t="s">
        <v>46</v>
      </c>
      <c r="I375" s="23">
        <v>2500</v>
      </c>
      <c r="J375" s="36"/>
      <c r="K375" s="11" t="s">
        <v>25</v>
      </c>
      <c r="L375" s="11" t="s">
        <v>30</v>
      </c>
      <c r="M375" s="29"/>
      <c r="N375" s="29"/>
      <c r="O375" s="21"/>
    </row>
    <row r="376" spans="1:16" x14ac:dyDescent="0.25">
      <c r="A376" s="29"/>
      <c r="B376" s="21"/>
      <c r="C376" s="69" t="e">
        <f>MATCH(D376,[1]!Tabla1[Consignatario],0)</f>
        <v>#REF!</v>
      </c>
      <c r="D376" s="31" t="s">
        <v>193</v>
      </c>
      <c r="E376" s="21"/>
      <c r="F376" s="21"/>
      <c r="G376" s="8" t="s">
        <v>256</v>
      </c>
      <c r="H376" s="39" t="s">
        <v>338</v>
      </c>
      <c r="I376" s="23">
        <f>28000</f>
        <v>28000</v>
      </c>
      <c r="J376" s="36"/>
      <c r="K376" s="11" t="s">
        <v>25</v>
      </c>
      <c r="L376" s="25" t="s">
        <v>30</v>
      </c>
      <c r="M376" s="29"/>
      <c r="N376" s="29"/>
      <c r="O376" s="21"/>
    </row>
    <row r="377" spans="1:16" ht="25.5" x14ac:dyDescent="0.25">
      <c r="A377" s="29"/>
      <c r="B377" s="21"/>
      <c r="C377" s="69" t="e">
        <f>MATCH(D377,[1]!Tabla1[Consignatario],0)</f>
        <v>#REF!</v>
      </c>
      <c r="D377" s="31" t="s">
        <v>193</v>
      </c>
      <c r="E377" s="21"/>
      <c r="F377" s="21"/>
      <c r="G377" s="8" t="s">
        <v>138</v>
      </c>
      <c r="H377" s="39" t="s">
        <v>287</v>
      </c>
      <c r="I377" s="23">
        <v>5000</v>
      </c>
      <c r="J377" s="36"/>
      <c r="K377" s="11" t="s">
        <v>25</v>
      </c>
      <c r="L377" s="11" t="s">
        <v>30</v>
      </c>
      <c r="M377" s="29"/>
      <c r="N377" s="29"/>
      <c r="O377" s="21"/>
    </row>
    <row r="378" spans="1:16" ht="26.25" x14ac:dyDescent="0.25">
      <c r="A378" s="29"/>
      <c r="B378" s="21"/>
      <c r="C378" s="69" t="e">
        <f>MATCH(D378,[1]!Tabla1[Consignatario],0)</f>
        <v>#REF!</v>
      </c>
      <c r="D378" s="31" t="s">
        <v>509</v>
      </c>
      <c r="E378" s="21"/>
      <c r="F378" s="21"/>
      <c r="G378" s="30" t="s">
        <v>11</v>
      </c>
      <c r="H378" s="39" t="s">
        <v>70</v>
      </c>
      <c r="I378" s="23">
        <f>16*2500</f>
        <v>40000</v>
      </c>
      <c r="J378" s="36"/>
      <c r="K378" s="11" t="s">
        <v>25</v>
      </c>
      <c r="L378" s="11" t="s">
        <v>30</v>
      </c>
      <c r="M378" s="29">
        <v>1612</v>
      </c>
      <c r="N378" s="29"/>
      <c r="O378" s="21"/>
      <c r="P378" t="s">
        <v>513</v>
      </c>
    </row>
    <row r="379" spans="1:16" ht="26.25" x14ac:dyDescent="0.25">
      <c r="A379" s="29"/>
      <c r="B379" s="21"/>
      <c r="C379" s="69" t="e">
        <f>MATCH(D379,[1]!Tabla1[Consignatario],0)</f>
        <v>#REF!</v>
      </c>
      <c r="D379" s="31" t="s">
        <v>509</v>
      </c>
      <c r="E379" s="21"/>
      <c r="F379" s="21"/>
      <c r="G379" s="8" t="s">
        <v>256</v>
      </c>
      <c r="H379" s="39" t="s">
        <v>347</v>
      </c>
      <c r="I379" s="23">
        <v>33000</v>
      </c>
      <c r="J379" s="36"/>
      <c r="K379" s="11" t="s">
        <v>25</v>
      </c>
      <c r="L379" s="25" t="s">
        <v>30</v>
      </c>
      <c r="M379" s="29"/>
      <c r="N379" s="29"/>
      <c r="O379" s="21"/>
    </row>
    <row r="380" spans="1:16" ht="26.25" x14ac:dyDescent="0.25">
      <c r="A380" s="29"/>
      <c r="B380" s="21"/>
      <c r="C380" s="69" t="e">
        <f>MATCH(D380,[1]!Tabla1[Consignatario],0)</f>
        <v>#REF!</v>
      </c>
      <c r="D380" s="31" t="s">
        <v>509</v>
      </c>
      <c r="E380" s="21"/>
      <c r="F380" s="21"/>
      <c r="G380" s="8" t="s">
        <v>138</v>
      </c>
      <c r="H380" s="39" t="s">
        <v>448</v>
      </c>
      <c r="I380" s="23">
        <f>950*8</f>
        <v>7600</v>
      </c>
      <c r="J380" s="36"/>
      <c r="K380" s="11" t="s">
        <v>25</v>
      </c>
      <c r="L380" s="11" t="s">
        <v>30</v>
      </c>
      <c r="M380" s="29"/>
      <c r="N380" s="29"/>
      <c r="O380" s="21"/>
    </row>
    <row r="381" spans="1:16" x14ac:dyDescent="0.25">
      <c r="A381" s="29"/>
      <c r="B381" s="21"/>
      <c r="C381" s="69" t="e">
        <f>MATCH(D381,[1]!Tabla1[Consignatario],0)</f>
        <v>#REF!</v>
      </c>
      <c r="D381" s="31" t="s">
        <v>449</v>
      </c>
      <c r="E381" s="21"/>
      <c r="F381" s="21"/>
      <c r="G381" s="30" t="s">
        <v>11</v>
      </c>
      <c r="H381" s="39" t="s">
        <v>124</v>
      </c>
      <c r="I381" s="23">
        <v>10000</v>
      </c>
      <c r="J381" s="36"/>
      <c r="K381" s="11" t="s">
        <v>25</v>
      </c>
      <c r="L381" s="11" t="s">
        <v>30</v>
      </c>
      <c r="M381" s="29">
        <v>550</v>
      </c>
      <c r="N381" s="29"/>
      <c r="O381" s="21"/>
    </row>
    <row r="382" spans="1:16" x14ac:dyDescent="0.25">
      <c r="A382" s="29"/>
      <c r="B382" s="21"/>
      <c r="C382" s="69" t="e">
        <f>MATCH(D382,[1]!Tabla1[Consignatario],0)</f>
        <v>#REF!</v>
      </c>
      <c r="D382" s="31" t="s">
        <v>449</v>
      </c>
      <c r="E382" s="21"/>
      <c r="F382" s="21"/>
      <c r="G382" s="8" t="s">
        <v>256</v>
      </c>
      <c r="H382" s="39" t="s">
        <v>63</v>
      </c>
      <c r="I382" s="23">
        <v>5000</v>
      </c>
      <c r="J382" s="36"/>
      <c r="K382" s="11" t="s">
        <v>25</v>
      </c>
      <c r="L382" s="25" t="s">
        <v>30</v>
      </c>
      <c r="M382" s="29"/>
      <c r="N382" s="29"/>
      <c r="O382" s="21"/>
    </row>
    <row r="383" spans="1:16" ht="25.5" x14ac:dyDescent="0.25">
      <c r="A383" s="29"/>
      <c r="B383" s="21"/>
      <c r="C383" s="69" t="e">
        <f>MATCH(D383,[1]!Tabla1[Consignatario],0)</f>
        <v>#REF!</v>
      </c>
      <c r="D383" s="31" t="s">
        <v>449</v>
      </c>
      <c r="E383" s="21"/>
      <c r="F383" s="21"/>
      <c r="G383" s="8" t="s">
        <v>138</v>
      </c>
      <c r="H383" s="39" t="s">
        <v>230</v>
      </c>
      <c r="I383" s="23">
        <v>10000</v>
      </c>
      <c r="J383" s="36"/>
      <c r="K383" s="11" t="s">
        <v>25</v>
      </c>
      <c r="L383" s="11" t="s">
        <v>30</v>
      </c>
      <c r="M383" s="29"/>
      <c r="N383" s="29"/>
      <c r="O383" s="21"/>
    </row>
    <row r="384" spans="1:16" x14ac:dyDescent="0.25">
      <c r="A384" s="29"/>
      <c r="B384" s="21"/>
      <c r="C384" s="69" t="e">
        <f>MATCH(D384,[1]!Tabla1[Consignatario],0)</f>
        <v>#REF!</v>
      </c>
      <c r="D384" s="31" t="s">
        <v>449</v>
      </c>
      <c r="E384" s="21"/>
      <c r="F384" s="21"/>
      <c r="G384" s="30" t="s">
        <v>11</v>
      </c>
      <c r="H384" s="39" t="s">
        <v>152</v>
      </c>
      <c r="I384" s="23">
        <v>2000</v>
      </c>
      <c r="J384" s="36"/>
      <c r="K384" s="11" t="s">
        <v>25</v>
      </c>
      <c r="L384" s="11" t="s">
        <v>30</v>
      </c>
      <c r="M384" s="29"/>
      <c r="N384" s="29"/>
      <c r="O384" s="21"/>
    </row>
    <row r="385" spans="1:15" x14ac:dyDescent="0.25">
      <c r="A385" s="29"/>
      <c r="B385" s="21"/>
      <c r="C385" s="69" t="e">
        <f>MATCH(D385,[1]!Tabla1[Consignatario],0)</f>
        <v>#REF!</v>
      </c>
      <c r="D385" s="31" t="s">
        <v>510</v>
      </c>
      <c r="E385" s="21"/>
      <c r="F385" s="21"/>
      <c r="G385" s="30" t="s">
        <v>11</v>
      </c>
      <c r="H385" s="39" t="s">
        <v>22</v>
      </c>
      <c r="I385" s="23">
        <v>5000</v>
      </c>
      <c r="J385" s="36"/>
      <c r="K385" s="11" t="s">
        <v>25</v>
      </c>
      <c r="L385" s="25" t="s">
        <v>30</v>
      </c>
      <c r="M385" s="29">
        <v>100</v>
      </c>
      <c r="N385" s="29"/>
      <c r="O385" s="21"/>
    </row>
    <row r="386" spans="1:15" x14ac:dyDescent="0.25">
      <c r="A386" s="29"/>
      <c r="B386" s="21"/>
      <c r="C386" s="69" t="e">
        <f>MATCH(D386,[1]!Tabla1[Consignatario],0)</f>
        <v>#REF!</v>
      </c>
      <c r="D386" s="31" t="s">
        <v>196</v>
      </c>
      <c r="E386" s="21"/>
      <c r="F386" s="21"/>
      <c r="G386" s="30" t="s">
        <v>11</v>
      </c>
      <c r="H386" s="39" t="s">
        <v>39</v>
      </c>
      <c r="I386" s="23">
        <v>7500</v>
      </c>
      <c r="J386" s="36"/>
      <c r="K386" s="11" t="s">
        <v>25</v>
      </c>
      <c r="L386" s="11" t="s">
        <v>30</v>
      </c>
      <c r="M386" s="29">
        <v>150</v>
      </c>
      <c r="N386" s="29"/>
      <c r="O386" s="21"/>
    </row>
    <row r="387" spans="1:15" ht="26.25" x14ac:dyDescent="0.25">
      <c r="A387" s="29"/>
      <c r="B387" s="21"/>
      <c r="C387" s="69" t="e">
        <f>MATCH(D387,[1]!Tabla1[Consignatario],0)</f>
        <v>#REF!</v>
      </c>
      <c r="D387" s="31" t="s">
        <v>511</v>
      </c>
      <c r="E387" s="21"/>
      <c r="F387" s="21"/>
      <c r="G387" s="30" t="s">
        <v>11</v>
      </c>
      <c r="H387" s="39" t="s">
        <v>39</v>
      </c>
      <c r="I387" s="23">
        <v>7500</v>
      </c>
      <c r="J387" s="36"/>
      <c r="K387" s="11" t="s">
        <v>25</v>
      </c>
      <c r="L387" s="11" t="s">
        <v>30</v>
      </c>
      <c r="M387" s="29">
        <v>200</v>
      </c>
      <c r="N387" s="29"/>
      <c r="O387" s="21"/>
    </row>
    <row r="388" spans="1:15" ht="26.25" x14ac:dyDescent="0.25">
      <c r="A388" s="29"/>
      <c r="B388" s="21"/>
      <c r="C388" s="69" t="e">
        <f>MATCH(D388,[1]!Tabla1[Consignatario],0)</f>
        <v>#REF!</v>
      </c>
      <c r="D388" s="31" t="s">
        <v>511</v>
      </c>
      <c r="E388" s="21"/>
      <c r="F388" s="21"/>
      <c r="G388" s="8" t="s">
        <v>138</v>
      </c>
      <c r="H388" s="39" t="s">
        <v>81</v>
      </c>
      <c r="I388" s="23">
        <v>800</v>
      </c>
      <c r="J388" s="36"/>
      <c r="K388" s="11" t="s">
        <v>25</v>
      </c>
      <c r="L388" s="25" t="s">
        <v>30</v>
      </c>
      <c r="M388" s="29"/>
      <c r="N388" s="29"/>
      <c r="O388" s="21"/>
    </row>
    <row r="389" spans="1:15" x14ac:dyDescent="0.25">
      <c r="A389" s="29"/>
      <c r="B389" s="21"/>
      <c r="C389" s="69" t="e">
        <f>MATCH(D389,[1]!Tabla1[Consignatario],0)</f>
        <v>#REF!</v>
      </c>
      <c r="D389" s="31" t="s">
        <v>512</v>
      </c>
      <c r="E389" s="21"/>
      <c r="F389" s="21"/>
      <c r="G389" s="30" t="s">
        <v>11</v>
      </c>
      <c r="H389" s="39" t="s">
        <v>364</v>
      </c>
      <c r="I389" s="23">
        <f>12*2500</f>
        <v>30000</v>
      </c>
      <c r="J389" s="36"/>
      <c r="K389" s="11" t="s">
        <v>25</v>
      </c>
      <c r="L389" s="11" t="s">
        <v>30</v>
      </c>
      <c r="M389" s="29">
        <v>900</v>
      </c>
      <c r="N389" s="29"/>
      <c r="O389" s="21"/>
    </row>
    <row r="390" spans="1:15" x14ac:dyDescent="0.25">
      <c r="A390" s="29"/>
      <c r="B390" s="21"/>
      <c r="C390" s="69" t="e">
        <f>MATCH(D390,[1]!Tabla1[Consignatario],0)</f>
        <v>#REF!</v>
      </c>
      <c r="D390" s="31" t="s">
        <v>512</v>
      </c>
      <c r="E390" s="21"/>
      <c r="F390" s="21"/>
      <c r="G390" s="8" t="s">
        <v>256</v>
      </c>
      <c r="H390" s="39" t="s">
        <v>342</v>
      </c>
      <c r="I390" s="23">
        <v>15000</v>
      </c>
      <c r="J390" s="36"/>
      <c r="K390" s="11" t="s">
        <v>25</v>
      </c>
      <c r="L390" s="11" t="s">
        <v>30</v>
      </c>
      <c r="M390" s="29"/>
      <c r="N390" s="29"/>
      <c r="O390" s="21"/>
    </row>
    <row r="391" spans="1:15" x14ac:dyDescent="0.25">
      <c r="A391" s="29"/>
      <c r="B391" s="21"/>
      <c r="C391" s="69" t="e">
        <f>MATCH(D391,[1]!Tabla1[Consignatario],0)</f>
        <v>#REF!</v>
      </c>
      <c r="D391" s="31" t="s">
        <v>450</v>
      </c>
      <c r="E391" s="21"/>
      <c r="F391" s="21"/>
      <c r="G391" s="30" t="s">
        <v>11</v>
      </c>
      <c r="H391" s="39" t="s">
        <v>153</v>
      </c>
      <c r="I391" s="23">
        <f>17*2500</f>
        <v>42500</v>
      </c>
      <c r="J391" s="36"/>
      <c r="K391" s="11" t="s">
        <v>25</v>
      </c>
      <c r="L391" s="25" t="s">
        <v>30</v>
      </c>
      <c r="M391" s="29">
        <v>1050</v>
      </c>
      <c r="N391" s="29"/>
      <c r="O391" s="21"/>
    </row>
    <row r="392" spans="1:15" x14ac:dyDescent="0.25">
      <c r="A392" s="29"/>
      <c r="B392" s="21"/>
      <c r="C392" s="69" t="e">
        <f>MATCH(D392,[1]!Tabla1[Consignatario],0)</f>
        <v>#REF!</v>
      </c>
      <c r="D392" s="31" t="s">
        <v>450</v>
      </c>
      <c r="E392" s="21"/>
      <c r="F392" s="21"/>
      <c r="G392" s="8" t="s">
        <v>256</v>
      </c>
      <c r="H392" s="39" t="s">
        <v>325</v>
      </c>
      <c r="I392" s="23">
        <v>10000</v>
      </c>
      <c r="J392" s="36"/>
      <c r="K392" s="11" t="s">
        <v>25</v>
      </c>
      <c r="L392" s="11" t="s">
        <v>30</v>
      </c>
      <c r="M392" s="29"/>
      <c r="N392" s="29"/>
      <c r="O392" s="21"/>
    </row>
    <row r="393" spans="1:15" ht="26.25" x14ac:dyDescent="0.25">
      <c r="A393" s="29">
        <v>35</v>
      </c>
      <c r="B393" s="21" t="s">
        <v>201</v>
      </c>
      <c r="C393" s="69" t="e">
        <f>MATCH(D393,[1]!Tabla1[Consignatario],0)</f>
        <v>#REF!</v>
      </c>
      <c r="D393" s="31" t="s">
        <v>452</v>
      </c>
      <c r="E393" s="21" t="s">
        <v>451</v>
      </c>
      <c r="F393" s="21"/>
      <c r="G393" s="30" t="s">
        <v>11</v>
      </c>
      <c r="H393" s="39" t="s">
        <v>48</v>
      </c>
      <c r="I393" s="23">
        <v>2500</v>
      </c>
      <c r="J393" s="36"/>
      <c r="K393" s="11" t="s">
        <v>25</v>
      </c>
      <c r="L393" s="11" t="s">
        <v>30</v>
      </c>
      <c r="M393" s="29">
        <v>175</v>
      </c>
      <c r="N393" s="29"/>
      <c r="O393" s="29" t="s">
        <v>178</v>
      </c>
    </row>
    <row r="394" spans="1:15" ht="26.25" x14ac:dyDescent="0.25">
      <c r="A394" s="29"/>
      <c r="B394" s="21" t="s">
        <v>201</v>
      </c>
      <c r="C394" s="69" t="e">
        <f>MATCH(D394,[1]!Tabla1[Consignatario],0)</f>
        <v>#REF!</v>
      </c>
      <c r="D394" s="31" t="s">
        <v>452</v>
      </c>
      <c r="E394" s="21"/>
      <c r="F394" s="21"/>
      <c r="G394" s="30" t="s">
        <v>11</v>
      </c>
      <c r="H394" s="39" t="s">
        <v>225</v>
      </c>
      <c r="I394" s="23">
        <f>20*2500</f>
        <v>50000</v>
      </c>
      <c r="J394" s="36">
        <f>20*50</f>
        <v>1000</v>
      </c>
      <c r="K394" s="11" t="s">
        <v>25</v>
      </c>
      <c r="L394" s="25" t="s">
        <v>30</v>
      </c>
      <c r="M394" s="29">
        <v>1000</v>
      </c>
      <c r="N394" s="29"/>
      <c r="O394" s="21"/>
    </row>
    <row r="395" spans="1:15" ht="26.25" x14ac:dyDescent="0.25">
      <c r="A395" s="29"/>
      <c r="B395" s="21"/>
      <c r="C395" s="69" t="e">
        <f>MATCH(D395,[1]!Tabla1[Consignatario],0)</f>
        <v>#REF!</v>
      </c>
      <c r="D395" s="31" t="s">
        <v>204</v>
      </c>
      <c r="E395" s="21"/>
      <c r="F395" s="21"/>
      <c r="G395" s="30" t="s">
        <v>11</v>
      </c>
      <c r="H395" s="39" t="s">
        <v>101</v>
      </c>
      <c r="I395" s="23">
        <f>5*2500</f>
        <v>12500</v>
      </c>
      <c r="J395" s="36"/>
      <c r="K395" s="11" t="s">
        <v>25</v>
      </c>
      <c r="L395" s="11" t="s">
        <v>30</v>
      </c>
      <c r="M395" s="76">
        <v>290</v>
      </c>
      <c r="N395" s="29"/>
      <c r="O395" s="21"/>
    </row>
    <row r="396" spans="1:15" ht="26.25" x14ac:dyDescent="0.25">
      <c r="A396" s="29"/>
      <c r="B396" s="21"/>
      <c r="C396" s="69" t="e">
        <f>MATCH(D396,[1]!Tabla1[Consignatario],0)</f>
        <v>#REF!</v>
      </c>
      <c r="D396" s="31" t="s">
        <v>204</v>
      </c>
      <c r="E396" s="21"/>
      <c r="F396" s="21"/>
      <c r="G396" s="8" t="s">
        <v>256</v>
      </c>
      <c r="H396" s="39" t="s">
        <v>37</v>
      </c>
      <c r="I396" s="23">
        <v>2000</v>
      </c>
      <c r="J396" s="36"/>
      <c r="K396" s="11" t="s">
        <v>25</v>
      </c>
      <c r="L396" s="11" t="s">
        <v>30</v>
      </c>
      <c r="M396" s="77"/>
      <c r="N396" s="29"/>
      <c r="O396" s="21"/>
    </row>
    <row r="397" spans="1:15" ht="26.25" x14ac:dyDescent="0.25">
      <c r="A397" s="29"/>
      <c r="B397" s="21"/>
      <c r="C397" s="69" t="e">
        <f>MATCH(D397,[1]!Tabla1[Consignatario],0)</f>
        <v>#REF!</v>
      </c>
      <c r="D397" s="31" t="s">
        <v>211</v>
      </c>
      <c r="E397" s="21"/>
      <c r="F397" s="21"/>
      <c r="G397" s="30" t="s">
        <v>11</v>
      </c>
      <c r="H397" s="39" t="s">
        <v>289</v>
      </c>
      <c r="I397" s="23">
        <f>7*2500</f>
        <v>17500</v>
      </c>
      <c r="J397" s="36">
        <f>7*50</f>
        <v>350</v>
      </c>
      <c r="K397" s="11" t="s">
        <v>25</v>
      </c>
      <c r="L397" s="25" t="s">
        <v>30</v>
      </c>
      <c r="M397" s="76">
        <v>732</v>
      </c>
      <c r="N397" s="29"/>
      <c r="O397" s="21"/>
    </row>
    <row r="398" spans="1:15" ht="26.25" x14ac:dyDescent="0.25">
      <c r="A398" s="29"/>
      <c r="B398" s="21"/>
      <c r="C398" s="69" t="e">
        <f>MATCH(D398,[1]!Tabla1[Consignatario],0)</f>
        <v>#REF!</v>
      </c>
      <c r="D398" s="31" t="s">
        <v>211</v>
      </c>
      <c r="E398" s="21"/>
      <c r="F398" s="21"/>
      <c r="G398" s="8" t="s">
        <v>256</v>
      </c>
      <c r="H398" s="39" t="s">
        <v>237</v>
      </c>
      <c r="I398" s="23">
        <v>16000</v>
      </c>
      <c r="J398" s="36">
        <f>16*20</f>
        <v>320</v>
      </c>
      <c r="K398" s="11" t="s">
        <v>25</v>
      </c>
      <c r="L398" s="11" t="s">
        <v>30</v>
      </c>
      <c r="M398" s="81"/>
      <c r="N398" s="29"/>
      <c r="O398" s="21"/>
    </row>
    <row r="399" spans="1:15" ht="26.25" x14ac:dyDescent="0.25">
      <c r="A399" s="29"/>
      <c r="B399" s="21"/>
      <c r="C399" s="69" t="e">
        <f>MATCH(D399,[1]!Tabla1[Consignatario],0)</f>
        <v>#REF!</v>
      </c>
      <c r="D399" s="31" t="s">
        <v>211</v>
      </c>
      <c r="E399" s="21"/>
      <c r="F399" s="21"/>
      <c r="G399" s="8" t="s">
        <v>138</v>
      </c>
      <c r="H399" s="39" t="s">
        <v>53</v>
      </c>
      <c r="I399" s="23">
        <v>2500</v>
      </c>
      <c r="J399" s="36">
        <v>50</v>
      </c>
      <c r="K399" s="11" t="s">
        <v>25</v>
      </c>
      <c r="L399" s="11" t="s">
        <v>30</v>
      </c>
      <c r="M399" s="81"/>
      <c r="N399" s="29"/>
      <c r="O399" s="21"/>
    </row>
    <row r="400" spans="1:15" ht="26.25" x14ac:dyDescent="0.25">
      <c r="A400" s="29"/>
      <c r="B400" s="21"/>
      <c r="C400" s="69" t="e">
        <f>MATCH(D400,[1]!Tabla1[Consignatario],0)</f>
        <v>#REF!</v>
      </c>
      <c r="D400" s="31" t="s">
        <v>211</v>
      </c>
      <c r="E400" s="21"/>
      <c r="F400" s="21"/>
      <c r="G400" s="30" t="s">
        <v>12</v>
      </c>
      <c r="H400" s="39" t="s">
        <v>255</v>
      </c>
      <c r="I400" s="23">
        <f>4*150</f>
        <v>600</v>
      </c>
      <c r="J400" s="36">
        <f>600/100*2</f>
        <v>12</v>
      </c>
      <c r="K400" s="11" t="s">
        <v>25</v>
      </c>
      <c r="L400" s="25" t="s">
        <v>30</v>
      </c>
      <c r="M400" s="77"/>
      <c r="N400" s="29"/>
      <c r="O400" s="21"/>
    </row>
    <row r="401" spans="1:15" ht="26.25" x14ac:dyDescent="0.25">
      <c r="A401" s="29"/>
      <c r="B401" s="21"/>
      <c r="C401" s="69" t="e">
        <f>MATCH(D401,[1]!Tabla1[Consignatario],0)</f>
        <v>#REF!</v>
      </c>
      <c r="D401" s="31" t="s">
        <v>514</v>
      </c>
      <c r="E401" s="21"/>
      <c r="F401" s="21"/>
      <c r="G401" s="30" t="s">
        <v>11</v>
      </c>
      <c r="H401" s="39" t="s">
        <v>101</v>
      </c>
      <c r="I401" s="23">
        <v>12500</v>
      </c>
      <c r="J401" s="36"/>
      <c r="K401" s="11" t="s">
        <v>25</v>
      </c>
      <c r="L401" s="11" t="s">
        <v>30</v>
      </c>
      <c r="M401" s="76">
        <v>320</v>
      </c>
      <c r="N401" s="29"/>
      <c r="O401" s="21"/>
    </row>
    <row r="402" spans="1:15" ht="26.25" x14ac:dyDescent="0.25">
      <c r="A402" s="29"/>
      <c r="B402" s="21"/>
      <c r="C402" s="69" t="e">
        <f>MATCH(D402,[1]!Tabla1[Consignatario],0)</f>
        <v>#REF!</v>
      </c>
      <c r="D402" s="31" t="s">
        <v>514</v>
      </c>
      <c r="E402" s="21"/>
      <c r="F402" s="21"/>
      <c r="G402" s="8" t="s">
        <v>256</v>
      </c>
      <c r="H402" s="39" t="s">
        <v>45</v>
      </c>
      <c r="I402" s="23">
        <v>3000</v>
      </c>
      <c r="J402" s="36"/>
      <c r="K402" s="11" t="s">
        <v>25</v>
      </c>
      <c r="L402" s="11" t="s">
        <v>30</v>
      </c>
      <c r="M402" s="77"/>
      <c r="N402" s="29"/>
      <c r="O402" s="21"/>
    </row>
    <row r="403" spans="1:15" ht="26.25" x14ac:dyDescent="0.25">
      <c r="A403" s="29"/>
      <c r="B403" s="21"/>
      <c r="C403" s="69" t="e">
        <f>MATCH(D403,[1]!Tabla1[Consignatario],0)</f>
        <v>#REF!</v>
      </c>
      <c r="D403" s="31" t="s">
        <v>453</v>
      </c>
      <c r="E403" s="21"/>
      <c r="F403" s="21"/>
      <c r="G403" s="30" t="s">
        <v>11</v>
      </c>
      <c r="H403" s="39" t="s">
        <v>265</v>
      </c>
      <c r="I403" s="23">
        <f>24*2500</f>
        <v>60000</v>
      </c>
      <c r="J403" s="36"/>
      <c r="K403" s="11" t="s">
        <v>25</v>
      </c>
      <c r="L403" s="25" t="s">
        <v>30</v>
      </c>
      <c r="M403" s="76">
        <v>1660</v>
      </c>
      <c r="N403" s="29"/>
      <c r="O403" s="21"/>
    </row>
    <row r="404" spans="1:15" ht="26.25" x14ac:dyDescent="0.25">
      <c r="A404" s="29"/>
      <c r="B404" s="21"/>
      <c r="C404" s="69" t="e">
        <f>MATCH(D404,[1]!Tabla1[Consignatario],0)</f>
        <v>#REF!</v>
      </c>
      <c r="D404" s="31" t="s">
        <v>453</v>
      </c>
      <c r="E404" s="21"/>
      <c r="F404" s="21"/>
      <c r="G404" s="8" t="s">
        <v>256</v>
      </c>
      <c r="H404" s="39" t="s">
        <v>358</v>
      </c>
      <c r="I404" s="23">
        <v>23000</v>
      </c>
      <c r="J404" s="36"/>
      <c r="K404" s="11" t="s">
        <v>25</v>
      </c>
      <c r="L404" s="11" t="s">
        <v>30</v>
      </c>
      <c r="M404" s="77"/>
      <c r="N404" s="29"/>
      <c r="O404" s="21"/>
    </row>
    <row r="405" spans="1:15" ht="26.25" x14ac:dyDescent="0.25">
      <c r="A405" s="29"/>
      <c r="B405" s="21"/>
      <c r="C405" s="69" t="e">
        <f>MATCH(D405,[1]!Tabla1[Consignatario],0)</f>
        <v>#REF!</v>
      </c>
      <c r="D405" s="31" t="s">
        <v>209</v>
      </c>
      <c r="E405" s="21"/>
      <c r="F405" s="21"/>
      <c r="G405" s="30" t="s">
        <v>11</v>
      </c>
      <c r="H405" s="39" t="s">
        <v>41</v>
      </c>
      <c r="I405" s="23">
        <f>14*2500</f>
        <v>35000</v>
      </c>
      <c r="J405" s="36"/>
      <c r="K405" s="11" t="s">
        <v>25</v>
      </c>
      <c r="L405" s="11" t="s">
        <v>30</v>
      </c>
      <c r="M405" s="76">
        <v>1100</v>
      </c>
      <c r="N405" s="29"/>
      <c r="O405" s="21"/>
    </row>
    <row r="406" spans="1:15" ht="26.25" x14ac:dyDescent="0.25">
      <c r="A406" s="29"/>
      <c r="B406" s="21"/>
      <c r="C406" s="69" t="e">
        <f>MATCH(D406,[1]!Tabla1[Consignatario],0)</f>
        <v>#REF!</v>
      </c>
      <c r="D406" s="31" t="s">
        <v>209</v>
      </c>
      <c r="E406" s="21"/>
      <c r="F406" s="21"/>
      <c r="G406" s="8" t="s">
        <v>256</v>
      </c>
      <c r="H406" s="39" t="s">
        <v>353</v>
      </c>
      <c r="I406" s="23">
        <v>17000</v>
      </c>
      <c r="J406" s="36"/>
      <c r="K406" s="11" t="s">
        <v>25</v>
      </c>
      <c r="L406" s="25" t="s">
        <v>30</v>
      </c>
      <c r="M406" s="81"/>
      <c r="N406" s="29"/>
      <c r="O406" s="21"/>
    </row>
    <row r="407" spans="1:15" ht="26.25" x14ac:dyDescent="0.25">
      <c r="A407" s="29"/>
      <c r="B407" s="21"/>
      <c r="C407" s="69" t="e">
        <f>MATCH(D407,[1]!Tabla1[Consignatario],0)</f>
        <v>#REF!</v>
      </c>
      <c r="D407" s="31" t="s">
        <v>209</v>
      </c>
      <c r="E407" s="21"/>
      <c r="F407" s="21"/>
      <c r="G407" s="8" t="s">
        <v>138</v>
      </c>
      <c r="H407" s="39" t="s">
        <v>287</v>
      </c>
      <c r="I407" s="23">
        <v>5000</v>
      </c>
      <c r="J407" s="36"/>
      <c r="K407" s="11" t="s">
        <v>25</v>
      </c>
      <c r="L407" s="11" t="s">
        <v>30</v>
      </c>
      <c r="M407" s="77"/>
      <c r="N407" s="29"/>
      <c r="O407" s="21"/>
    </row>
    <row r="408" spans="1:15" ht="26.25" x14ac:dyDescent="0.25">
      <c r="A408" s="29"/>
      <c r="B408" s="21"/>
      <c r="C408" s="69" t="e">
        <f>MATCH(D408,[1]!Tabla1[Consignatario],0)</f>
        <v>#REF!</v>
      </c>
      <c r="D408" s="31" t="s">
        <v>293</v>
      </c>
      <c r="E408" s="21"/>
      <c r="F408" s="21"/>
      <c r="G408" s="30" t="s">
        <v>11</v>
      </c>
      <c r="H408" s="39" t="s">
        <v>48</v>
      </c>
      <c r="I408" s="23">
        <v>25000</v>
      </c>
      <c r="J408" s="36"/>
      <c r="K408" s="11" t="s">
        <v>25</v>
      </c>
      <c r="L408" s="11" t="s">
        <v>30</v>
      </c>
      <c r="M408" s="76">
        <v>94</v>
      </c>
      <c r="N408" s="29"/>
      <c r="O408" s="21"/>
    </row>
    <row r="409" spans="1:15" ht="26.25" x14ac:dyDescent="0.25">
      <c r="A409" s="29"/>
      <c r="B409" s="21"/>
      <c r="C409" s="69" t="e">
        <f>MATCH(D409,[1]!Tabla1[Consignatario],0)</f>
        <v>#REF!</v>
      </c>
      <c r="D409" s="31" t="s">
        <v>293</v>
      </c>
      <c r="E409" s="21"/>
      <c r="F409" s="21"/>
      <c r="G409" s="8" t="s">
        <v>138</v>
      </c>
      <c r="H409" s="39" t="s">
        <v>352</v>
      </c>
      <c r="I409" s="23">
        <f>150*8</f>
        <v>1200</v>
      </c>
      <c r="J409" s="36"/>
      <c r="K409" s="11" t="s">
        <v>25</v>
      </c>
      <c r="L409" s="25" t="s">
        <v>30</v>
      </c>
      <c r="M409" s="81"/>
      <c r="N409" s="29"/>
      <c r="O409" s="21"/>
    </row>
    <row r="410" spans="1:15" ht="26.25" x14ac:dyDescent="0.25">
      <c r="A410" s="29"/>
      <c r="B410" s="21"/>
      <c r="C410" s="69" t="e">
        <f>MATCH(D410,[1]!Tabla1[Consignatario],0)</f>
        <v>#REF!</v>
      </c>
      <c r="D410" s="31" t="s">
        <v>293</v>
      </c>
      <c r="E410" s="21"/>
      <c r="F410" s="21"/>
      <c r="G410" s="30" t="s">
        <v>11</v>
      </c>
      <c r="H410" s="39" t="s">
        <v>13</v>
      </c>
      <c r="I410" s="23">
        <v>1000</v>
      </c>
      <c r="J410" s="36"/>
      <c r="K410" s="11" t="s">
        <v>25</v>
      </c>
      <c r="L410" s="11" t="s">
        <v>30</v>
      </c>
      <c r="M410" s="77"/>
      <c r="N410" s="29"/>
      <c r="O410" s="21"/>
    </row>
    <row r="411" spans="1:15" ht="26.25" x14ac:dyDescent="0.25">
      <c r="A411" s="29"/>
      <c r="B411" s="21"/>
      <c r="C411" s="69" t="e">
        <f>MATCH(D411,[1]!Tabla1[Consignatario],0)</f>
        <v>#REF!</v>
      </c>
      <c r="D411" s="31" t="s">
        <v>515</v>
      </c>
      <c r="E411" s="21"/>
      <c r="F411" s="21"/>
      <c r="G411" s="30" t="s">
        <v>11</v>
      </c>
      <c r="H411" s="39" t="s">
        <v>124</v>
      </c>
      <c r="I411" s="23">
        <v>10000</v>
      </c>
      <c r="J411" s="36"/>
      <c r="K411" s="11" t="s">
        <v>25</v>
      </c>
      <c r="L411" s="11" t="s">
        <v>30</v>
      </c>
      <c r="M411" s="29">
        <v>200</v>
      </c>
      <c r="N411" s="29"/>
      <c r="O411" s="21"/>
    </row>
    <row r="412" spans="1:15" ht="26.25" x14ac:dyDescent="0.25">
      <c r="A412" s="29" t="s">
        <v>454</v>
      </c>
      <c r="B412" s="21"/>
      <c r="C412" s="69" t="e">
        <f>MATCH(D412,[1]!Tabla1[Consignatario],0)</f>
        <v>#REF!</v>
      </c>
      <c r="D412" s="31" t="s">
        <v>207</v>
      </c>
      <c r="E412" s="21"/>
      <c r="F412" s="21"/>
      <c r="G412" s="30" t="s">
        <v>11</v>
      </c>
      <c r="H412" s="39" t="s">
        <v>455</v>
      </c>
      <c r="I412" s="23">
        <f>82*2500</f>
        <v>205000</v>
      </c>
      <c r="J412" s="36"/>
      <c r="K412" s="11" t="s">
        <v>25</v>
      </c>
      <c r="L412" s="25" t="s">
        <v>30</v>
      </c>
      <c r="M412" s="76">
        <v>2150</v>
      </c>
      <c r="N412" s="29"/>
      <c r="O412" s="21"/>
    </row>
    <row r="413" spans="1:15" ht="26.25" x14ac:dyDescent="0.25">
      <c r="A413" s="29"/>
      <c r="B413" s="21"/>
      <c r="C413" s="69" t="e">
        <f>MATCH(D413,[1]!Tabla1[Consignatario],0)</f>
        <v>#REF!</v>
      </c>
      <c r="D413" s="31" t="s">
        <v>207</v>
      </c>
      <c r="E413" s="21"/>
      <c r="F413" s="21"/>
      <c r="G413" s="8" t="s">
        <v>256</v>
      </c>
      <c r="H413" s="39" t="s">
        <v>456</v>
      </c>
      <c r="I413" s="23">
        <v>102000</v>
      </c>
      <c r="J413" s="36"/>
      <c r="K413" s="11" t="s">
        <v>25</v>
      </c>
      <c r="L413" s="11" t="s">
        <v>30</v>
      </c>
      <c r="M413" s="77"/>
      <c r="N413" s="29"/>
      <c r="O413" s="21"/>
    </row>
    <row r="414" spans="1:15" ht="26.25" x14ac:dyDescent="0.25">
      <c r="A414" s="29"/>
      <c r="B414" s="21"/>
      <c r="C414" s="69" t="e">
        <f>MATCH(D414,[1]!Tabla1[Consignatario],0)</f>
        <v>#REF!</v>
      </c>
      <c r="D414" s="31" t="s">
        <v>457</v>
      </c>
      <c r="E414" s="21"/>
      <c r="F414" s="21"/>
      <c r="G414" s="30" t="s">
        <v>11</v>
      </c>
      <c r="H414" s="39" t="s">
        <v>70</v>
      </c>
      <c r="I414" s="23">
        <f>16*2500</f>
        <v>40000</v>
      </c>
      <c r="J414" s="36">
        <f>16*50</f>
        <v>800</v>
      </c>
      <c r="K414" s="11" t="s">
        <v>25</v>
      </c>
      <c r="L414" s="11" t="s">
        <v>30</v>
      </c>
      <c r="M414" s="76">
        <v>1819</v>
      </c>
      <c r="N414" s="29"/>
      <c r="O414" s="21"/>
    </row>
    <row r="415" spans="1:15" ht="26.25" x14ac:dyDescent="0.25">
      <c r="A415" s="29"/>
      <c r="B415" s="21"/>
      <c r="C415" s="69" t="e">
        <f>MATCH(D415,[1]!Tabla1[Consignatario],0)</f>
        <v>#REF!</v>
      </c>
      <c r="D415" s="31" t="s">
        <v>457</v>
      </c>
      <c r="E415" s="21"/>
      <c r="F415" s="21"/>
      <c r="G415" s="8" t="s">
        <v>256</v>
      </c>
      <c r="H415" s="39" t="s">
        <v>458</v>
      </c>
      <c r="I415" s="23">
        <v>45000</v>
      </c>
      <c r="J415" s="36">
        <f>45*20</f>
        <v>900</v>
      </c>
      <c r="K415" s="11" t="s">
        <v>25</v>
      </c>
      <c r="L415" s="25" t="s">
        <v>30</v>
      </c>
      <c r="M415" s="81"/>
      <c r="N415" s="29"/>
      <c r="O415" s="21"/>
    </row>
    <row r="416" spans="1:15" ht="26.25" x14ac:dyDescent="0.25">
      <c r="A416" s="29"/>
      <c r="B416" s="21"/>
      <c r="C416" s="69" t="e">
        <f>MATCH(D416,[1]!Tabla1[Consignatario],0)</f>
        <v>#REF!</v>
      </c>
      <c r="D416" s="31" t="s">
        <v>457</v>
      </c>
      <c r="E416" s="21"/>
      <c r="F416" s="21"/>
      <c r="G416" s="8" t="s">
        <v>138</v>
      </c>
      <c r="H416" s="39" t="s">
        <v>135</v>
      </c>
      <c r="I416" s="23">
        <f>80*100/2</f>
        <v>4000</v>
      </c>
      <c r="J416" s="36">
        <v>80</v>
      </c>
      <c r="K416" s="11" t="s">
        <v>25</v>
      </c>
      <c r="L416" s="11" t="s">
        <v>30</v>
      </c>
      <c r="M416" s="81"/>
      <c r="N416" s="29"/>
      <c r="O416" s="21"/>
    </row>
    <row r="417" spans="1:15" ht="26.25" x14ac:dyDescent="0.25">
      <c r="A417" s="29"/>
      <c r="B417" s="21"/>
      <c r="C417" s="69" t="e">
        <f>MATCH(D417,[1]!Tabla1[Consignatario],0)</f>
        <v>#REF!</v>
      </c>
      <c r="D417" s="31" t="s">
        <v>457</v>
      </c>
      <c r="E417" s="21"/>
      <c r="F417" s="21"/>
      <c r="G417" s="30" t="s">
        <v>11</v>
      </c>
      <c r="H417" s="39" t="s">
        <v>221</v>
      </c>
      <c r="I417" s="23">
        <v>1500</v>
      </c>
      <c r="J417" s="36">
        <f>1500*2/100</f>
        <v>30</v>
      </c>
      <c r="K417" s="11" t="s">
        <v>25</v>
      </c>
      <c r="L417" s="11" t="s">
        <v>30</v>
      </c>
      <c r="M417" s="81"/>
      <c r="N417" s="29"/>
      <c r="O417" s="21"/>
    </row>
    <row r="418" spans="1:15" ht="26.25" x14ac:dyDescent="0.25">
      <c r="A418" s="29"/>
      <c r="B418" s="21"/>
      <c r="C418" s="69" t="e">
        <f>MATCH(D418,[1]!Tabla1[Consignatario],0)</f>
        <v>#REF!</v>
      </c>
      <c r="D418" s="31" t="s">
        <v>457</v>
      </c>
      <c r="E418" s="21"/>
      <c r="F418" s="21"/>
      <c r="G418" s="30" t="s">
        <v>12</v>
      </c>
      <c r="H418" s="39" t="s">
        <v>239</v>
      </c>
      <c r="I418" s="23">
        <f>3*150</f>
        <v>450</v>
      </c>
      <c r="J418" s="36">
        <f>450*2/100</f>
        <v>9</v>
      </c>
      <c r="K418" s="11" t="s">
        <v>25</v>
      </c>
      <c r="L418" s="25" t="s">
        <v>30</v>
      </c>
      <c r="M418" s="77"/>
      <c r="N418" s="29"/>
      <c r="O418" s="21"/>
    </row>
    <row r="419" spans="1:15" x14ac:dyDescent="0.25">
      <c r="A419" s="29"/>
      <c r="B419" s="21"/>
      <c r="C419" s="69" t="e">
        <f>MATCH(D419,[1]!Tabla1[Consignatario],0)</f>
        <v>#REF!</v>
      </c>
      <c r="D419" s="31" t="s">
        <v>459</v>
      </c>
      <c r="E419" s="21"/>
      <c r="F419" s="21"/>
      <c r="G419" s="30" t="s">
        <v>11</v>
      </c>
      <c r="H419" s="39" t="s">
        <v>124</v>
      </c>
      <c r="I419" s="23">
        <v>10000</v>
      </c>
      <c r="J419" s="36"/>
      <c r="K419" s="11" t="s">
        <v>25</v>
      </c>
      <c r="L419" s="11" t="s">
        <v>30</v>
      </c>
      <c r="M419" s="29">
        <v>200</v>
      </c>
      <c r="N419" s="29"/>
      <c r="O419" s="21"/>
    </row>
    <row r="420" spans="1:15" ht="26.25" x14ac:dyDescent="0.25">
      <c r="A420" s="29"/>
      <c r="B420" s="21"/>
      <c r="C420" s="69" t="e">
        <f>MATCH(D420,[1]!Tabla1[Consignatario],0)</f>
        <v>#REF!</v>
      </c>
      <c r="D420" s="31" t="s">
        <v>213</v>
      </c>
      <c r="E420" s="21"/>
      <c r="F420" s="21"/>
      <c r="G420" s="30" t="s">
        <v>11</v>
      </c>
      <c r="H420" s="39" t="s">
        <v>39</v>
      </c>
      <c r="I420" s="23">
        <v>7500</v>
      </c>
      <c r="J420" s="36"/>
      <c r="K420" s="11" t="s">
        <v>25</v>
      </c>
      <c r="L420" s="11" t="s">
        <v>30</v>
      </c>
      <c r="M420" s="29">
        <v>170</v>
      </c>
      <c r="N420" s="29"/>
      <c r="O420" s="21"/>
    </row>
    <row r="421" spans="1:15" ht="26.25" x14ac:dyDescent="0.25">
      <c r="A421" s="29"/>
      <c r="B421" s="21"/>
      <c r="C421" s="69" t="e">
        <f>MATCH(D421,[1]!Tabla1[Consignatario],0)</f>
        <v>#REF!</v>
      </c>
      <c r="D421" s="31" t="s">
        <v>213</v>
      </c>
      <c r="E421" s="21"/>
      <c r="F421" s="21"/>
      <c r="G421" s="8" t="s">
        <v>256</v>
      </c>
      <c r="H421" s="39" t="s">
        <v>38</v>
      </c>
      <c r="I421" s="23">
        <v>1000</v>
      </c>
      <c r="J421" s="36"/>
      <c r="K421" s="11" t="s">
        <v>25</v>
      </c>
      <c r="L421" s="25" t="s">
        <v>30</v>
      </c>
      <c r="M421" s="29"/>
      <c r="N421" s="29"/>
      <c r="O421" s="21"/>
    </row>
    <row r="422" spans="1:15" x14ac:dyDescent="0.25">
      <c r="A422" s="29"/>
      <c r="B422" s="21"/>
      <c r="C422" s="69" t="e">
        <f>MATCH(D422,[1]!Tabla1[Consignatario],0)</f>
        <v>#REF!</v>
      </c>
      <c r="D422" s="70" t="s">
        <v>516</v>
      </c>
      <c r="E422" s="21"/>
      <c r="F422" s="21"/>
      <c r="G422" s="30" t="s">
        <v>11</v>
      </c>
      <c r="H422" s="39" t="s">
        <v>124</v>
      </c>
      <c r="I422" s="23">
        <v>10000</v>
      </c>
      <c r="J422" s="36"/>
      <c r="K422" s="11" t="s">
        <v>25</v>
      </c>
      <c r="L422" s="11" t="s">
        <v>30</v>
      </c>
      <c r="M422" s="29">
        <v>200</v>
      </c>
      <c r="N422" s="29"/>
      <c r="O422" s="21"/>
    </row>
    <row r="423" spans="1:15" x14ac:dyDescent="0.25">
      <c r="I423" s="43">
        <f>SUM(I2:I422)</f>
        <v>9016129</v>
      </c>
    </row>
  </sheetData>
  <autoFilter ref="A1:O423" xr:uid="{A2EDB33F-37F1-4D50-A5D6-02ACEB843F34}"/>
  <mergeCells count="18">
    <mergeCell ref="M401:M402"/>
    <mergeCell ref="M397:M400"/>
    <mergeCell ref="M395:M396"/>
    <mergeCell ref="M414:M418"/>
    <mergeCell ref="M412:M413"/>
    <mergeCell ref="M408:M410"/>
    <mergeCell ref="M405:M407"/>
    <mergeCell ref="M403:M404"/>
    <mergeCell ref="N244:N245"/>
    <mergeCell ref="O213:O215"/>
    <mergeCell ref="M213:M215"/>
    <mergeCell ref="O220:O224"/>
    <mergeCell ref="M6:M9"/>
    <mergeCell ref="M2:M4"/>
    <mergeCell ref="O2:O4"/>
    <mergeCell ref="O17:O21"/>
    <mergeCell ref="O146:O148"/>
    <mergeCell ref="M146:M14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C3972-51A5-4C76-B6A9-4532875DFD42}">
  <dimension ref="A2:E15"/>
  <sheetViews>
    <sheetView tabSelected="1" workbookViewId="0">
      <selection activeCell="G13" sqref="G13"/>
    </sheetView>
  </sheetViews>
  <sheetFormatPr baseColWidth="10" defaultRowHeight="15" x14ac:dyDescent="0.25"/>
  <sheetData>
    <row r="2" spans="1:5" x14ac:dyDescent="0.25">
      <c r="A2" s="104" t="s">
        <v>464</v>
      </c>
      <c r="B2" s="104"/>
    </row>
    <row r="3" spans="1:5" x14ac:dyDescent="0.25">
      <c r="A3" t="s">
        <v>465</v>
      </c>
      <c r="B3" s="68">
        <v>1472170</v>
      </c>
    </row>
    <row r="4" spans="1:5" x14ac:dyDescent="0.25">
      <c r="A4" t="s">
        <v>466</v>
      </c>
      <c r="B4" s="68">
        <f>9016619-490</f>
        <v>9016129</v>
      </c>
    </row>
    <row r="5" spans="1:5" x14ac:dyDescent="0.25">
      <c r="A5" t="s">
        <v>467</v>
      </c>
      <c r="B5" s="68">
        <f>SUM(B3:B4)</f>
        <v>10488299</v>
      </c>
    </row>
    <row r="10" spans="1:5" x14ac:dyDescent="0.25">
      <c r="A10" t="s">
        <v>547</v>
      </c>
    </row>
    <row r="12" spans="1:5" x14ac:dyDescent="0.25">
      <c r="B12" t="s">
        <v>11</v>
      </c>
      <c r="C12" s="68">
        <f>SUMIF('1675 (1)'!$G$2:$G$254,Resumen!B12,'1675 (1)'!$I$2:$I$254)+SUMIF('1675 (2)'!$G$2:$G$422,Resumen!B12,'1675 (2)'!$I$2:$I$422)</f>
        <v>5862812</v>
      </c>
      <c r="D12" s="105">
        <f>SUM(C12:C14)</f>
        <v>10450874</v>
      </c>
      <c r="E12" s="106">
        <f>SUM(D12:D15)</f>
        <v>10488299</v>
      </c>
    </row>
    <row r="13" spans="1:5" x14ac:dyDescent="0.25">
      <c r="A13" t="s">
        <v>545</v>
      </c>
      <c r="B13" t="s">
        <v>138</v>
      </c>
      <c r="C13" s="68">
        <f>SUMIF('1675 (1)'!$G$2:$G$254,Resumen!B13,'1675 (1)'!$I$2:$I$254)+SUMIF('1675 (2)'!$G$2:$G$422,Resumen!B13,'1675 (2)'!$I$2:$I$422)</f>
        <v>1124862</v>
      </c>
      <c r="D13" s="105"/>
      <c r="E13" s="106"/>
    </row>
    <row r="14" spans="1:5" x14ac:dyDescent="0.25">
      <c r="B14" t="s">
        <v>256</v>
      </c>
      <c r="C14" s="68">
        <f>SUMIF('1675 (1)'!$G$2:$G$254,Resumen!B14,'1675 (1)'!$I$2:$I$254)+SUMIF('1675 (2)'!$G$2:$G$422,Resumen!B14,'1675 (2)'!$I$2:$I$422)</f>
        <v>3463200</v>
      </c>
      <c r="D14" s="105"/>
      <c r="E14" s="106"/>
    </row>
    <row r="15" spans="1:5" x14ac:dyDescent="0.25">
      <c r="A15" t="s">
        <v>546</v>
      </c>
      <c r="B15" t="s">
        <v>12</v>
      </c>
      <c r="C15" s="68">
        <f>SUMIF('1675 (1)'!$G$2:$G$254,Resumen!B15,'1675 (1)'!$I$2:$I$254)+SUMIF('1675 (2)'!$G$2:$G$422,Resumen!B15,'1675 (2)'!$I$2:$I$422)</f>
        <v>37425</v>
      </c>
      <c r="D15" s="68">
        <f>C15</f>
        <v>37425</v>
      </c>
      <c r="E15" s="106"/>
    </row>
  </sheetData>
  <mergeCells count="3">
    <mergeCell ref="A2:B2"/>
    <mergeCell ref="D12:D14"/>
    <mergeCell ref="E12:E1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9721B-061E-462A-8A2A-EA8F95120503}">
  <dimension ref="A1:K675"/>
  <sheetViews>
    <sheetView topLeftCell="A113" workbookViewId="0">
      <selection activeCell="F117" sqref="F117"/>
    </sheetView>
  </sheetViews>
  <sheetFormatPr baseColWidth="10" defaultRowHeight="15" x14ac:dyDescent="0.25"/>
  <cols>
    <col min="10" max="10" width="23" customWidth="1"/>
    <col min="11" max="11" width="12" customWidth="1"/>
  </cols>
  <sheetData>
    <row r="1" spans="1:11" x14ac:dyDescent="0.25">
      <c r="A1" t="s">
        <v>534</v>
      </c>
      <c r="B1" t="s">
        <v>537</v>
      </c>
      <c r="C1" t="s">
        <v>538</v>
      </c>
      <c r="D1" t="s">
        <v>539</v>
      </c>
      <c r="E1" t="s">
        <v>535</v>
      </c>
      <c r="F1" t="s">
        <v>536</v>
      </c>
      <c r="I1" s="74" t="s">
        <v>540</v>
      </c>
      <c r="J1" s="74" t="s">
        <v>541</v>
      </c>
      <c r="K1" s="74" t="s">
        <v>542</v>
      </c>
    </row>
    <row r="2" spans="1:11" ht="15" customHeight="1" x14ac:dyDescent="0.25">
      <c r="A2" t="s">
        <v>231</v>
      </c>
      <c r="B2" cm="1">
        <f t="array" ref="B2">SUMPRODUCT((A2='1675 (1)'!$D$2:$D$254)*'1675 (1)'!$I$2:$I$254)</f>
        <v>74500</v>
      </c>
      <c r="C2" cm="1">
        <f t="array" ref="C2">SUMPRODUCT((A2='1675 (2)'!$D$2:$D$422)*'1675 (2)'!$I$2:$I$422)</f>
        <v>81000</v>
      </c>
      <c r="D2">
        <f>B2+C2</f>
        <v>155500</v>
      </c>
      <c r="E2">
        <f>D2+0.000001*ROW()</f>
        <v>155500.00000199999</v>
      </c>
      <c r="F2">
        <f>_xlfn.RANK.EQ(E2,$E$2:$E$247)</f>
        <v>11</v>
      </c>
      <c r="I2" s="73">
        <v>1</v>
      </c>
      <c r="J2" s="73" t="str">
        <f>INDEX($A$2:$A$247,MATCH(I2,$F$2:$F$247,0))</f>
        <v>Valladares, Juan Antonio de</v>
      </c>
      <c r="K2" s="73">
        <f>INDEX($D$2:$D$247,MATCH(I2,$F$2:$F$247,0))</f>
        <v>508550</v>
      </c>
    </row>
    <row r="3" spans="1:11" ht="15" customHeight="1" x14ac:dyDescent="0.25">
      <c r="A3" t="s">
        <v>471</v>
      </c>
      <c r="B3" cm="1">
        <f t="array" ref="B3">SUMPRODUCT((A3='1675 (1)'!$D$2:$D$254)*'1675 (1)'!$I$2:$I$254)</f>
        <v>0</v>
      </c>
      <c r="C3" cm="1">
        <f t="array" ref="C3">SUMPRODUCT((A3='1675 (2)'!$D$2:$D$422)*'1675 (2)'!$I$2:$I$422)</f>
        <v>133500</v>
      </c>
      <c r="D3">
        <f t="shared" ref="D3:D66" si="0">B3+C3</f>
        <v>133500</v>
      </c>
      <c r="E3">
        <f t="shared" ref="E3:E66" si="1">D3+0.000001*ROW()</f>
        <v>133500.00000299999</v>
      </c>
      <c r="F3">
        <f t="shared" ref="F3:F66" si="2">_xlfn.RANK.EQ(E3,$E$2:$E$247)</f>
        <v>16</v>
      </c>
      <c r="I3" s="73">
        <v>2</v>
      </c>
      <c r="J3" s="73" t="str">
        <f t="shared" ref="J3:J66" si="3">INDEX($A$2:$A$247,MATCH(I3,$F$2:$F$247,0))</f>
        <v>García, Lorenzo de</v>
      </c>
      <c r="K3" s="73">
        <f t="shared" ref="K3:K66" si="4">INDEX($D$2:$D$247,MATCH(I3,$F$2:$F$247,0))</f>
        <v>350000</v>
      </c>
    </row>
    <row r="4" spans="1:11" ht="15" customHeight="1" x14ac:dyDescent="0.25">
      <c r="A4" t="s">
        <v>271</v>
      </c>
      <c r="B4" cm="1">
        <f t="array" ref="B4">SUMPRODUCT((A4='1675 (1)'!$D$2:$D$254)*'1675 (1)'!$I$2:$I$254)</f>
        <v>0</v>
      </c>
      <c r="C4" cm="1">
        <f t="array" ref="C4">SUMPRODUCT((A4='1675 (2)'!$D$2:$D$422)*'1675 (2)'!$I$2:$I$422)</f>
        <v>12500</v>
      </c>
      <c r="D4">
        <f t="shared" si="0"/>
        <v>12500</v>
      </c>
      <c r="E4">
        <f t="shared" si="1"/>
        <v>12500.000004</v>
      </c>
      <c r="F4">
        <f t="shared" si="2"/>
        <v>159</v>
      </c>
      <c r="I4" s="73">
        <v>3</v>
      </c>
      <c r="J4" s="73" t="str">
        <f t="shared" si="3"/>
        <v>Puente, Isidoro de la</v>
      </c>
      <c r="K4" s="73">
        <f t="shared" si="4"/>
        <v>307450</v>
      </c>
    </row>
    <row r="5" spans="1:11" ht="15" customHeight="1" x14ac:dyDescent="0.25">
      <c r="A5" t="s">
        <v>472</v>
      </c>
      <c r="B5" cm="1">
        <f t="array" ref="B5">SUMPRODUCT((A5='1675 (1)'!$D$2:$D$254)*'1675 (1)'!$I$2:$I$254)</f>
        <v>0</v>
      </c>
      <c r="C5" cm="1">
        <f t="array" ref="C5">SUMPRODUCT((A5='1675 (2)'!$D$2:$D$422)*'1675 (2)'!$I$2:$I$422)</f>
        <v>20000</v>
      </c>
      <c r="D5">
        <f t="shared" si="0"/>
        <v>20000</v>
      </c>
      <c r="E5">
        <f t="shared" si="1"/>
        <v>20000.000005000002</v>
      </c>
      <c r="F5">
        <f t="shared" si="2"/>
        <v>133</v>
      </c>
      <c r="I5" s="73">
        <v>4</v>
      </c>
      <c r="J5" s="73" t="str">
        <f t="shared" si="3"/>
        <v>Ramos de Arana, Francisco</v>
      </c>
      <c r="K5" s="73">
        <f t="shared" si="4"/>
        <v>229000</v>
      </c>
    </row>
    <row r="6" spans="1:11" ht="15" customHeight="1" x14ac:dyDescent="0.25">
      <c r="A6" t="s">
        <v>273</v>
      </c>
      <c r="B6" cm="1">
        <f t="array" ref="B6">SUMPRODUCT((A6='1675 (1)'!$D$2:$D$254)*'1675 (1)'!$I$2:$I$254)</f>
        <v>0</v>
      </c>
      <c r="C6" cm="1">
        <f t="array" ref="C6">SUMPRODUCT((A6='1675 (2)'!$D$2:$D$422)*'1675 (2)'!$I$2:$I$422)</f>
        <v>105000</v>
      </c>
      <c r="D6">
        <f t="shared" si="0"/>
        <v>105000</v>
      </c>
      <c r="E6">
        <f t="shared" si="1"/>
        <v>105000.000006</v>
      </c>
      <c r="F6">
        <f t="shared" si="2"/>
        <v>29</v>
      </c>
      <c r="I6" s="73">
        <v>5</v>
      </c>
      <c r="J6" s="73" t="str">
        <f t="shared" si="3"/>
        <v>Ubinza, Miguel de</v>
      </c>
      <c r="K6" s="73">
        <f t="shared" si="4"/>
        <v>219500</v>
      </c>
    </row>
    <row r="7" spans="1:11" ht="15" customHeight="1" x14ac:dyDescent="0.25">
      <c r="A7" t="s">
        <v>274</v>
      </c>
      <c r="B7" cm="1">
        <f t="array" ref="B7">SUMPRODUCT((A7='1675 (1)'!$D$2:$D$254)*'1675 (1)'!$I$2:$I$254)</f>
        <v>0</v>
      </c>
      <c r="C7" cm="1">
        <f t="array" ref="C7">SUMPRODUCT((A7='1675 (2)'!$D$2:$D$422)*'1675 (2)'!$I$2:$I$422)</f>
        <v>104450</v>
      </c>
      <c r="D7">
        <f t="shared" si="0"/>
        <v>104450</v>
      </c>
      <c r="E7">
        <f t="shared" si="1"/>
        <v>104450.000007</v>
      </c>
      <c r="F7">
        <f t="shared" si="2"/>
        <v>31</v>
      </c>
      <c r="I7" s="73">
        <v>6</v>
      </c>
      <c r="J7" s="73" t="str">
        <f t="shared" si="3"/>
        <v>Peña Zevallos, Diego</v>
      </c>
      <c r="K7" s="73">
        <f t="shared" si="4"/>
        <v>194500</v>
      </c>
    </row>
    <row r="8" spans="1:11" ht="15" customHeight="1" x14ac:dyDescent="0.25">
      <c r="A8" t="s">
        <v>275</v>
      </c>
      <c r="B8" cm="1">
        <f t="array" ref="B8">SUMPRODUCT((A8='1675 (1)'!$D$2:$D$254)*'1675 (1)'!$I$2:$I$254)</f>
        <v>0</v>
      </c>
      <c r="C8" cm="1">
        <f t="array" ref="C8">SUMPRODUCT((A8='1675 (2)'!$D$2:$D$422)*'1675 (2)'!$I$2:$I$422)</f>
        <v>118000</v>
      </c>
      <c r="D8">
        <f t="shared" si="0"/>
        <v>118000</v>
      </c>
      <c r="E8">
        <f t="shared" si="1"/>
        <v>118000.000008</v>
      </c>
      <c r="F8">
        <f t="shared" si="2"/>
        <v>21</v>
      </c>
      <c r="I8" s="73">
        <v>7</v>
      </c>
      <c r="J8" s="73" t="str">
        <f t="shared" si="3"/>
        <v>Vásquez de Acuña, Ignacio</v>
      </c>
      <c r="K8" s="73">
        <f t="shared" si="4"/>
        <v>189000</v>
      </c>
    </row>
    <row r="9" spans="1:11" ht="15" customHeight="1" x14ac:dyDescent="0.25">
      <c r="A9" t="s">
        <v>47</v>
      </c>
      <c r="B9" cm="1">
        <f t="array" ref="B9">SUMPRODUCT((A9='1675 (1)'!$D$2:$D$254)*'1675 (1)'!$I$2:$I$254)</f>
        <v>2500</v>
      </c>
      <c r="C9" cm="1">
        <f t="array" ref="C9">SUMPRODUCT((A9='1675 (2)'!$D$2:$D$422)*'1675 (2)'!$I$2:$I$422)</f>
        <v>2500</v>
      </c>
      <c r="D9">
        <f t="shared" si="0"/>
        <v>5000</v>
      </c>
      <c r="E9">
        <f t="shared" si="1"/>
        <v>5000.0000090000003</v>
      </c>
      <c r="F9">
        <f t="shared" si="2"/>
        <v>202</v>
      </c>
      <c r="I9" s="73">
        <v>8</v>
      </c>
      <c r="J9" s="73" t="str">
        <f t="shared" si="3"/>
        <v>García, Juan Eusebio</v>
      </c>
      <c r="K9" s="73">
        <f t="shared" si="4"/>
        <v>187000</v>
      </c>
    </row>
    <row r="10" spans="1:11" ht="15" customHeight="1" x14ac:dyDescent="0.25">
      <c r="A10" t="s">
        <v>276</v>
      </c>
      <c r="B10" cm="1">
        <f t="array" ref="B10">SUMPRODUCT((A10='1675 (1)'!$D$2:$D$254)*'1675 (1)'!$I$2:$I$254)</f>
        <v>7500</v>
      </c>
      <c r="C10" cm="1">
        <f t="array" ref="C10">SUMPRODUCT((A10='1675 (2)'!$D$2:$D$422)*'1675 (2)'!$I$2:$I$422)</f>
        <v>145000</v>
      </c>
      <c r="D10">
        <f t="shared" si="0"/>
        <v>152500</v>
      </c>
      <c r="E10">
        <f t="shared" si="1"/>
        <v>152500.00000999999</v>
      </c>
      <c r="F10">
        <f t="shared" si="2"/>
        <v>12</v>
      </c>
      <c r="I10" s="73">
        <v>9</v>
      </c>
      <c r="J10" s="73" t="str">
        <f t="shared" si="3"/>
        <v>Espinosa, Pedro de</v>
      </c>
      <c r="K10" s="73">
        <f t="shared" si="4"/>
        <v>175000</v>
      </c>
    </row>
    <row r="11" spans="1:11" ht="15" customHeight="1" x14ac:dyDescent="0.25">
      <c r="A11" t="s">
        <v>120</v>
      </c>
      <c r="B11" cm="1">
        <f t="array" ref="B11">SUMPRODUCT((A11='1675 (1)'!$D$2:$D$254)*'1675 (1)'!$I$2:$I$254)</f>
        <v>15800</v>
      </c>
      <c r="C11" cm="1">
        <f t="array" ref="C11">SUMPRODUCT((A11='1675 (2)'!$D$2:$D$422)*'1675 (2)'!$I$2:$I$422)</f>
        <v>100000</v>
      </c>
      <c r="D11">
        <f t="shared" si="0"/>
        <v>115800</v>
      </c>
      <c r="E11">
        <f t="shared" si="1"/>
        <v>115800.000011</v>
      </c>
      <c r="F11">
        <f t="shared" si="2"/>
        <v>23</v>
      </c>
      <c r="I11" s="73">
        <v>10</v>
      </c>
      <c r="J11" s="73" t="str">
        <f t="shared" si="3"/>
        <v>Panes, Tomás de</v>
      </c>
      <c r="K11" s="73">
        <f t="shared" si="4"/>
        <v>158570</v>
      </c>
    </row>
    <row r="12" spans="1:11" ht="15" customHeight="1" x14ac:dyDescent="0.25">
      <c r="A12" t="s">
        <v>473</v>
      </c>
      <c r="B12" cm="1">
        <f t="array" ref="B12">SUMPRODUCT((A12='1675 (1)'!$D$2:$D$254)*'1675 (1)'!$I$2:$I$254)</f>
        <v>0</v>
      </c>
      <c r="C12" cm="1">
        <f t="array" ref="C12">SUMPRODUCT((A12='1675 (2)'!$D$2:$D$422)*'1675 (2)'!$I$2:$I$422)</f>
        <v>194500</v>
      </c>
      <c r="D12">
        <f t="shared" si="0"/>
        <v>194500</v>
      </c>
      <c r="E12">
        <f t="shared" si="1"/>
        <v>194500.000012</v>
      </c>
      <c r="F12">
        <f t="shared" si="2"/>
        <v>6</v>
      </c>
      <c r="I12" s="73">
        <v>11</v>
      </c>
      <c r="J12" s="73" t="str">
        <f t="shared" si="3"/>
        <v>Arauz, Tomás de</v>
      </c>
      <c r="K12" s="73">
        <f t="shared" si="4"/>
        <v>155500</v>
      </c>
    </row>
    <row r="13" spans="1:11" ht="15" customHeight="1" x14ac:dyDescent="0.25">
      <c r="A13" t="s">
        <v>474</v>
      </c>
      <c r="B13" cm="1">
        <f t="array" ref="B13">SUMPRODUCT((A13='1675 (1)'!$D$2:$D$254)*'1675 (1)'!$I$2:$I$254)</f>
        <v>0</v>
      </c>
      <c r="C13" cm="1">
        <f t="array" ref="C13">SUMPRODUCT((A13='1675 (2)'!$D$2:$D$422)*'1675 (2)'!$I$2:$I$422)</f>
        <v>22500</v>
      </c>
      <c r="D13">
        <f t="shared" si="0"/>
        <v>22500</v>
      </c>
      <c r="E13">
        <f t="shared" si="1"/>
        <v>22500.000013000001</v>
      </c>
      <c r="F13">
        <f t="shared" si="2"/>
        <v>120</v>
      </c>
      <c r="I13" s="73">
        <v>12</v>
      </c>
      <c r="J13" s="73" t="str">
        <f t="shared" si="3"/>
        <v>Ortiz, Tomás</v>
      </c>
      <c r="K13" s="73">
        <f t="shared" si="4"/>
        <v>152500</v>
      </c>
    </row>
    <row r="14" spans="1:11" ht="15" customHeight="1" x14ac:dyDescent="0.25">
      <c r="A14" t="s">
        <v>291</v>
      </c>
      <c r="B14" cm="1">
        <f t="array" ref="B14">SUMPRODUCT((A14='1675 (1)'!$D$2:$D$254)*'1675 (1)'!$I$2:$I$254)</f>
        <v>0</v>
      </c>
      <c r="C14" cm="1">
        <f t="array" ref="C14">SUMPRODUCT((A14='1675 (2)'!$D$2:$D$422)*'1675 (2)'!$I$2:$I$422)</f>
        <v>37500</v>
      </c>
      <c r="D14">
        <f t="shared" si="0"/>
        <v>37500</v>
      </c>
      <c r="E14">
        <f t="shared" si="1"/>
        <v>37500.000013999997</v>
      </c>
      <c r="F14">
        <f t="shared" si="2"/>
        <v>83</v>
      </c>
      <c r="I14" s="73">
        <v>13</v>
      </c>
      <c r="J14" s="73" t="str">
        <f t="shared" si="3"/>
        <v>Martínez de Castro, Andrés</v>
      </c>
      <c r="K14" s="73">
        <f t="shared" si="4"/>
        <v>150500</v>
      </c>
    </row>
    <row r="15" spans="1:11" ht="15" customHeight="1" x14ac:dyDescent="0.25">
      <c r="A15" t="s">
        <v>292</v>
      </c>
      <c r="B15" cm="1">
        <f t="array" ref="B15">SUMPRODUCT((A15='1675 (1)'!$D$2:$D$254)*'1675 (1)'!$I$2:$I$254)</f>
        <v>0</v>
      </c>
      <c r="C15" cm="1">
        <f t="array" ref="C15">SUMPRODUCT((A15='1675 (2)'!$D$2:$D$422)*'1675 (2)'!$I$2:$I$422)</f>
        <v>12500</v>
      </c>
      <c r="D15">
        <f t="shared" si="0"/>
        <v>12500</v>
      </c>
      <c r="E15">
        <f t="shared" si="1"/>
        <v>12500.000015</v>
      </c>
      <c r="F15">
        <f t="shared" si="2"/>
        <v>158</v>
      </c>
      <c r="I15" s="73">
        <v>14</v>
      </c>
      <c r="J15" s="73" t="str">
        <f t="shared" si="3"/>
        <v>Blanco Rejón, Alonso</v>
      </c>
      <c r="K15" s="73">
        <f t="shared" si="4"/>
        <v>150000</v>
      </c>
    </row>
    <row r="16" spans="1:11" ht="15" customHeight="1" x14ac:dyDescent="0.25">
      <c r="A16" t="s">
        <v>475</v>
      </c>
      <c r="B16" cm="1">
        <f t="array" ref="B16">SUMPRODUCT((A16='1675 (1)'!$D$2:$D$254)*'1675 (1)'!$I$2:$I$254)</f>
        <v>11000</v>
      </c>
      <c r="C16" cm="1">
        <f t="array" ref="C16">SUMPRODUCT((A16='1675 (2)'!$D$2:$D$422)*'1675 (2)'!$I$2:$I$422)</f>
        <v>37100</v>
      </c>
      <c r="D16">
        <f t="shared" si="0"/>
        <v>48100</v>
      </c>
      <c r="E16">
        <f t="shared" si="1"/>
        <v>48100.000015999998</v>
      </c>
      <c r="F16">
        <f t="shared" si="2"/>
        <v>65</v>
      </c>
      <c r="I16" s="73">
        <v>15</v>
      </c>
      <c r="J16" s="73" t="str">
        <f t="shared" si="3"/>
        <v>Cueto, Domingo de</v>
      </c>
      <c r="K16" s="73">
        <f t="shared" si="4"/>
        <v>142500</v>
      </c>
    </row>
    <row r="17" spans="1:11" ht="15" customHeight="1" x14ac:dyDescent="0.25">
      <c r="A17" t="s">
        <v>96</v>
      </c>
      <c r="B17" cm="1">
        <f t="array" ref="B17">SUMPRODUCT((A17='1675 (1)'!$D$2:$D$254)*'1675 (1)'!$I$2:$I$254)</f>
        <v>1480</v>
      </c>
      <c r="C17" cm="1">
        <f t="array" ref="C17">SUMPRODUCT((A17='1675 (2)'!$D$2:$D$422)*'1675 (2)'!$I$2:$I$422)</f>
        <v>30500</v>
      </c>
      <c r="D17">
        <f t="shared" si="0"/>
        <v>31980</v>
      </c>
      <c r="E17">
        <f t="shared" si="1"/>
        <v>31980.000016999998</v>
      </c>
      <c r="F17">
        <f t="shared" si="2"/>
        <v>94</v>
      </c>
      <c r="I17" s="73">
        <v>16</v>
      </c>
      <c r="J17" s="73" t="str">
        <f t="shared" si="3"/>
        <v>Rodríguez Cortés, Andrés</v>
      </c>
      <c r="K17" s="73">
        <f t="shared" si="4"/>
        <v>133500</v>
      </c>
    </row>
    <row r="18" spans="1:11" ht="15" customHeight="1" x14ac:dyDescent="0.25">
      <c r="A18" t="s">
        <v>476</v>
      </c>
      <c r="B18" cm="1">
        <f t="array" ref="B18">SUMPRODUCT((A18='1675 (1)'!$D$2:$D$254)*'1675 (1)'!$I$2:$I$254)</f>
        <v>0</v>
      </c>
      <c r="C18" cm="1">
        <f t="array" ref="C18">SUMPRODUCT((A18='1675 (2)'!$D$2:$D$422)*'1675 (2)'!$I$2:$I$422)</f>
        <v>189000</v>
      </c>
      <c r="D18">
        <f t="shared" si="0"/>
        <v>189000</v>
      </c>
      <c r="E18">
        <f t="shared" si="1"/>
        <v>189000.00001799999</v>
      </c>
      <c r="F18">
        <f t="shared" si="2"/>
        <v>7</v>
      </c>
      <c r="I18" s="73">
        <v>17</v>
      </c>
      <c r="J18" s="73" t="str">
        <f t="shared" si="3"/>
        <v>Quesada, Juan Santos de</v>
      </c>
      <c r="K18" s="73">
        <f t="shared" si="4"/>
        <v>131500</v>
      </c>
    </row>
    <row r="19" spans="1:11" ht="15" customHeight="1" x14ac:dyDescent="0.25">
      <c r="A19" t="s">
        <v>293</v>
      </c>
      <c r="B19" cm="1">
        <f t="array" ref="B19">SUMPRODUCT((A19='1675 (1)'!$D$2:$D$254)*'1675 (1)'!$I$2:$I$254)</f>
        <v>0</v>
      </c>
      <c r="C19" cm="1">
        <f t="array" ref="C19">SUMPRODUCT((A19='1675 (2)'!$D$2:$D$422)*'1675 (2)'!$I$2:$I$422)</f>
        <v>113700</v>
      </c>
      <c r="D19">
        <f t="shared" si="0"/>
        <v>113700</v>
      </c>
      <c r="E19">
        <f t="shared" si="1"/>
        <v>113700.000019</v>
      </c>
      <c r="F19">
        <f t="shared" si="2"/>
        <v>25</v>
      </c>
      <c r="I19" s="73">
        <v>18</v>
      </c>
      <c r="J19" s="73" t="str">
        <f t="shared" si="3"/>
        <v>Zumarraga, Pedro de</v>
      </c>
      <c r="K19" s="73">
        <f t="shared" si="4"/>
        <v>128550</v>
      </c>
    </row>
    <row r="20" spans="1:11" ht="15" customHeight="1" x14ac:dyDescent="0.25">
      <c r="A20" t="s">
        <v>294</v>
      </c>
      <c r="B20" cm="1">
        <f t="array" ref="B20">SUMPRODUCT((A20='1675 (1)'!$D$2:$D$254)*'1675 (1)'!$I$2:$I$254)</f>
        <v>0</v>
      </c>
      <c r="C20" cm="1">
        <f t="array" ref="C20">SUMPRODUCT((A20='1675 (2)'!$D$2:$D$422)*'1675 (2)'!$I$2:$I$422)</f>
        <v>114000</v>
      </c>
      <c r="D20">
        <f t="shared" si="0"/>
        <v>114000</v>
      </c>
      <c r="E20">
        <f t="shared" si="1"/>
        <v>114000.00002000001</v>
      </c>
      <c r="F20">
        <f t="shared" si="2"/>
        <v>24</v>
      </c>
      <c r="I20" s="73">
        <v>19</v>
      </c>
      <c r="J20" s="73" t="str">
        <f t="shared" si="3"/>
        <v>Torre, Manuel de la</v>
      </c>
      <c r="K20" s="73">
        <f t="shared" si="4"/>
        <v>125000</v>
      </c>
    </row>
    <row r="21" spans="1:11" ht="15" customHeight="1" x14ac:dyDescent="0.25">
      <c r="A21" t="s">
        <v>477</v>
      </c>
      <c r="B21" cm="1">
        <f t="array" ref="B21">SUMPRODUCT((A21='1675 (1)'!$D$2:$D$254)*'1675 (1)'!$I$2:$I$254)</f>
        <v>15000</v>
      </c>
      <c r="C21" cm="1">
        <f t="array" ref="C21">SUMPRODUCT((A21='1675 (2)'!$D$2:$D$422)*'1675 (2)'!$I$2:$I$422)</f>
        <v>48500</v>
      </c>
      <c r="D21">
        <f t="shared" si="0"/>
        <v>63500</v>
      </c>
      <c r="E21">
        <f t="shared" si="1"/>
        <v>63500.000021</v>
      </c>
      <c r="F21">
        <f t="shared" si="2"/>
        <v>50</v>
      </c>
      <c r="I21" s="73">
        <v>20</v>
      </c>
      <c r="J21" s="73" t="str">
        <f t="shared" si="3"/>
        <v>Lucen, Pablo de</v>
      </c>
      <c r="K21" s="73">
        <f t="shared" si="4"/>
        <v>125000</v>
      </c>
    </row>
    <row r="22" spans="1:11" ht="15" customHeight="1" x14ac:dyDescent="0.25">
      <c r="A22" t="s">
        <v>295</v>
      </c>
      <c r="B22" cm="1">
        <f t="array" ref="B22">SUMPRODUCT((A22='1675 (1)'!$D$2:$D$254)*'1675 (1)'!$I$2:$I$254)</f>
        <v>0</v>
      </c>
      <c r="C22" cm="1">
        <f t="array" ref="C22">SUMPRODUCT((A22='1675 (2)'!$D$2:$D$422)*'1675 (2)'!$I$2:$I$422)</f>
        <v>125000</v>
      </c>
      <c r="D22">
        <f t="shared" si="0"/>
        <v>125000</v>
      </c>
      <c r="E22">
        <f t="shared" si="1"/>
        <v>125000.00002199999</v>
      </c>
      <c r="F22">
        <f t="shared" si="2"/>
        <v>20</v>
      </c>
      <c r="I22" s="73">
        <v>21</v>
      </c>
      <c r="J22" s="73" t="str">
        <f t="shared" si="3"/>
        <v>Pérez de Arozqueta, Juan</v>
      </c>
      <c r="K22" s="73">
        <f t="shared" si="4"/>
        <v>118000</v>
      </c>
    </row>
    <row r="23" spans="1:11" ht="15" customHeight="1" x14ac:dyDescent="0.25">
      <c r="A23" t="s">
        <v>296</v>
      </c>
      <c r="B23" cm="1">
        <f t="array" ref="B23">SUMPRODUCT((A23='1675 (1)'!$D$2:$D$254)*'1675 (1)'!$I$2:$I$254)</f>
        <v>0</v>
      </c>
      <c r="C23" cm="1">
        <f t="array" ref="C23">SUMPRODUCT((A23='1675 (2)'!$D$2:$D$422)*'1675 (2)'!$I$2:$I$422)</f>
        <v>60000</v>
      </c>
      <c r="D23">
        <f t="shared" si="0"/>
        <v>60000</v>
      </c>
      <c r="E23">
        <f t="shared" si="1"/>
        <v>60000.000023000001</v>
      </c>
      <c r="F23">
        <f t="shared" si="2"/>
        <v>57</v>
      </c>
      <c r="I23" s="73">
        <v>22</v>
      </c>
      <c r="J23" s="73" t="str">
        <f t="shared" si="3"/>
        <v>Jímenez Vela de Lara, Alonso</v>
      </c>
      <c r="K23" s="73">
        <f t="shared" si="4"/>
        <v>117475</v>
      </c>
    </row>
    <row r="24" spans="1:11" ht="15" customHeight="1" x14ac:dyDescent="0.25">
      <c r="A24" t="s">
        <v>478</v>
      </c>
      <c r="B24" cm="1">
        <f t="array" ref="B24">SUMPRODUCT((A24='1675 (1)'!$D$2:$D$254)*'1675 (1)'!$I$2:$I$254)</f>
        <v>1600</v>
      </c>
      <c r="C24" cm="1">
        <f t="array" ref="C24">SUMPRODUCT((A24='1675 (2)'!$D$2:$D$422)*'1675 (2)'!$I$2:$I$422)</f>
        <v>4000</v>
      </c>
      <c r="D24">
        <f t="shared" si="0"/>
        <v>5600</v>
      </c>
      <c r="E24">
        <f t="shared" si="1"/>
        <v>5600.0000239999999</v>
      </c>
      <c r="F24">
        <f t="shared" si="2"/>
        <v>197</v>
      </c>
      <c r="I24" s="73">
        <v>23</v>
      </c>
      <c r="J24" s="73" t="str">
        <f t="shared" si="3"/>
        <v>Retana, Francisco de</v>
      </c>
      <c r="K24" s="73">
        <f t="shared" si="4"/>
        <v>115800</v>
      </c>
    </row>
    <row r="25" spans="1:11" ht="15" customHeight="1" x14ac:dyDescent="0.25">
      <c r="A25" t="s">
        <v>297</v>
      </c>
      <c r="B25" cm="1">
        <f t="array" ref="B25">SUMPRODUCT((A25='1675 (1)'!$D$2:$D$254)*'1675 (1)'!$I$2:$I$254)</f>
        <v>0</v>
      </c>
      <c r="C25" cm="1">
        <f t="array" ref="C25">SUMPRODUCT((A25='1675 (2)'!$D$2:$D$422)*'1675 (2)'!$I$2:$I$422)</f>
        <v>16000</v>
      </c>
      <c r="D25">
        <f t="shared" si="0"/>
        <v>16000</v>
      </c>
      <c r="E25">
        <f t="shared" si="1"/>
        <v>16000.000024999999</v>
      </c>
      <c r="F25">
        <f t="shared" si="2"/>
        <v>141</v>
      </c>
      <c r="I25" s="73">
        <v>24</v>
      </c>
      <c r="J25" s="73" t="str">
        <f t="shared" si="3"/>
        <v>Fernández del Campo, Diego</v>
      </c>
      <c r="K25" s="73">
        <f t="shared" si="4"/>
        <v>114000</v>
      </c>
    </row>
    <row r="26" spans="1:11" ht="15" customHeight="1" x14ac:dyDescent="0.25">
      <c r="A26" t="s">
        <v>298</v>
      </c>
      <c r="B26" cm="1">
        <f t="array" ref="B26">SUMPRODUCT((A26='1675 (1)'!$D$2:$D$254)*'1675 (1)'!$I$2:$I$254)</f>
        <v>0</v>
      </c>
      <c r="C26" cm="1">
        <f t="array" ref="C26">SUMPRODUCT((A26='1675 (2)'!$D$2:$D$422)*'1675 (2)'!$I$2:$I$422)</f>
        <v>229000</v>
      </c>
      <c r="D26">
        <f t="shared" si="0"/>
        <v>229000</v>
      </c>
      <c r="E26">
        <f t="shared" si="1"/>
        <v>229000.00002599999</v>
      </c>
      <c r="F26">
        <f t="shared" si="2"/>
        <v>4</v>
      </c>
      <c r="I26" s="73">
        <v>25</v>
      </c>
      <c r="J26" s="73" t="str">
        <f t="shared" si="3"/>
        <v>Mena Caballero, Juan de</v>
      </c>
      <c r="K26" s="73">
        <f t="shared" si="4"/>
        <v>113700</v>
      </c>
    </row>
    <row r="27" spans="1:11" ht="15" customHeight="1" x14ac:dyDescent="0.25">
      <c r="A27" t="s">
        <v>299</v>
      </c>
      <c r="B27" cm="1">
        <f t="array" ref="B27">SUMPRODUCT((A27='1675 (1)'!$D$2:$D$254)*'1675 (1)'!$I$2:$I$254)</f>
        <v>0</v>
      </c>
      <c r="C27" cm="1">
        <f t="array" ref="C27">SUMPRODUCT((A27='1675 (2)'!$D$2:$D$422)*'1675 (2)'!$I$2:$I$422)</f>
        <v>82500</v>
      </c>
      <c r="D27">
        <f t="shared" si="0"/>
        <v>82500</v>
      </c>
      <c r="E27">
        <f t="shared" si="1"/>
        <v>82500.000027000002</v>
      </c>
      <c r="F27">
        <f t="shared" si="2"/>
        <v>40</v>
      </c>
      <c r="I27" s="73">
        <v>26</v>
      </c>
      <c r="J27" s="73" t="str">
        <f t="shared" si="3"/>
        <v>Luján, Luis Antonio</v>
      </c>
      <c r="K27" s="73">
        <f t="shared" si="4"/>
        <v>111200</v>
      </c>
    </row>
    <row r="28" spans="1:11" ht="15" customHeight="1" x14ac:dyDescent="0.25">
      <c r="A28" t="s">
        <v>301</v>
      </c>
      <c r="B28" cm="1">
        <f t="array" ref="B28">SUMPRODUCT((A28='1675 (1)'!$D$2:$D$254)*'1675 (1)'!$I$2:$I$254)</f>
        <v>2500</v>
      </c>
      <c r="C28" cm="1">
        <f t="array" ref="C28">SUMPRODUCT((A28='1675 (2)'!$D$2:$D$422)*'1675 (2)'!$I$2:$I$422)</f>
        <v>62000</v>
      </c>
      <c r="D28">
        <f t="shared" si="0"/>
        <v>64500</v>
      </c>
      <c r="E28">
        <f t="shared" si="1"/>
        <v>64500.000028000002</v>
      </c>
      <c r="F28">
        <f t="shared" si="2"/>
        <v>48</v>
      </c>
      <c r="I28" s="73">
        <v>27</v>
      </c>
      <c r="J28" s="73" t="str">
        <f t="shared" si="3"/>
        <v>Zuñiga, Francisco de</v>
      </c>
      <c r="K28" s="73">
        <f t="shared" si="4"/>
        <v>109000</v>
      </c>
    </row>
    <row r="29" spans="1:11" ht="15" customHeight="1" x14ac:dyDescent="0.25">
      <c r="A29" t="s">
        <v>479</v>
      </c>
      <c r="B29" cm="1">
        <f t="array" ref="B29">SUMPRODUCT((A29='1675 (1)'!$D$2:$D$254)*'1675 (1)'!$I$2:$I$254)</f>
        <v>0</v>
      </c>
      <c r="C29" cm="1">
        <f t="array" ref="C29">SUMPRODUCT((A29='1675 (2)'!$D$2:$D$422)*'1675 (2)'!$I$2:$I$422)</f>
        <v>32500</v>
      </c>
      <c r="D29">
        <f t="shared" si="0"/>
        <v>32500</v>
      </c>
      <c r="E29">
        <f t="shared" si="1"/>
        <v>32500.000028999999</v>
      </c>
      <c r="F29">
        <f t="shared" si="2"/>
        <v>91</v>
      </c>
      <c r="I29" s="73">
        <v>28</v>
      </c>
      <c r="J29" s="73" t="str">
        <f t="shared" si="3"/>
        <v>Vergara, Lucas de</v>
      </c>
      <c r="K29" s="73">
        <f t="shared" si="4"/>
        <v>107500</v>
      </c>
    </row>
    <row r="30" spans="1:11" ht="15" customHeight="1" x14ac:dyDescent="0.25">
      <c r="A30" t="s">
        <v>302</v>
      </c>
      <c r="B30" cm="1">
        <f t="array" ref="B30">SUMPRODUCT((A30='1675 (1)'!$D$2:$D$254)*'1675 (1)'!$I$2:$I$254)</f>
        <v>0</v>
      </c>
      <c r="C30" cm="1">
        <f t="array" ref="C30">SUMPRODUCT((A30='1675 (2)'!$D$2:$D$422)*'1675 (2)'!$I$2:$I$422)</f>
        <v>4000</v>
      </c>
      <c r="D30">
        <f t="shared" si="0"/>
        <v>4000</v>
      </c>
      <c r="E30">
        <f t="shared" si="1"/>
        <v>4000.0000300000002</v>
      </c>
      <c r="F30">
        <f t="shared" si="2"/>
        <v>207</v>
      </c>
      <c r="I30" s="73">
        <v>29</v>
      </c>
      <c r="J30" s="73" t="str">
        <f t="shared" si="3"/>
        <v>Herboso, Francisco de</v>
      </c>
      <c r="K30" s="73">
        <f t="shared" si="4"/>
        <v>105000</v>
      </c>
    </row>
    <row r="31" spans="1:11" ht="15" customHeight="1" x14ac:dyDescent="0.25">
      <c r="A31" t="s">
        <v>480</v>
      </c>
      <c r="B31" cm="1">
        <f t="array" ref="B31">SUMPRODUCT((A31='1675 (1)'!$D$2:$D$254)*'1675 (1)'!$I$2:$I$254)</f>
        <v>720</v>
      </c>
      <c r="C31" cm="1">
        <f t="array" ref="C31">SUMPRODUCT((A31='1675 (2)'!$D$2:$D$422)*'1675 (2)'!$I$2:$I$422)</f>
        <v>75500</v>
      </c>
      <c r="D31">
        <f t="shared" si="0"/>
        <v>76220</v>
      </c>
      <c r="E31">
        <f t="shared" si="1"/>
        <v>76220.000031000003</v>
      </c>
      <c r="F31">
        <f t="shared" si="2"/>
        <v>44</v>
      </c>
      <c r="I31" s="73">
        <v>30</v>
      </c>
      <c r="J31" s="73" t="str">
        <f t="shared" si="3"/>
        <v>Arriano, Juan de</v>
      </c>
      <c r="K31" s="73">
        <f t="shared" si="4"/>
        <v>104500</v>
      </c>
    </row>
    <row r="32" spans="1:11" ht="15" customHeight="1" x14ac:dyDescent="0.25">
      <c r="A32" t="s">
        <v>303</v>
      </c>
      <c r="B32" cm="1">
        <f t="array" ref="B32">SUMPRODUCT((A32='1675 (1)'!$D$2:$D$254)*'1675 (1)'!$I$2:$I$254)</f>
        <v>0</v>
      </c>
      <c r="C32" cm="1">
        <f t="array" ref="C32">SUMPRODUCT((A32='1675 (2)'!$D$2:$D$422)*'1675 (2)'!$I$2:$I$422)</f>
        <v>41950</v>
      </c>
      <c r="D32">
        <f t="shared" si="0"/>
        <v>41950</v>
      </c>
      <c r="E32">
        <f t="shared" si="1"/>
        <v>41950.000032000004</v>
      </c>
      <c r="F32">
        <f t="shared" si="2"/>
        <v>78</v>
      </c>
      <c r="I32" s="73">
        <v>31</v>
      </c>
      <c r="J32" s="73" t="str">
        <f t="shared" si="3"/>
        <v>Velaochaga, Francisco de</v>
      </c>
      <c r="K32" s="73">
        <f t="shared" si="4"/>
        <v>104450</v>
      </c>
    </row>
    <row r="33" spans="1:11" ht="15" customHeight="1" x14ac:dyDescent="0.25">
      <c r="A33" t="s">
        <v>481</v>
      </c>
      <c r="B33" cm="1">
        <f t="array" ref="B33">SUMPRODUCT((A33='1675 (1)'!$D$2:$D$254)*'1675 (1)'!$I$2:$I$254)</f>
        <v>0</v>
      </c>
      <c r="C33" cm="1">
        <f t="array" ref="C33">SUMPRODUCT((A33='1675 (2)'!$D$2:$D$422)*'1675 (2)'!$I$2:$I$422)</f>
        <v>48500</v>
      </c>
      <c r="D33">
        <f t="shared" si="0"/>
        <v>48500</v>
      </c>
      <c r="E33">
        <f t="shared" si="1"/>
        <v>48500.000032999997</v>
      </c>
      <c r="F33">
        <f t="shared" si="2"/>
        <v>64</v>
      </c>
      <c r="I33" s="73">
        <v>32</v>
      </c>
      <c r="J33" s="73" t="str">
        <f t="shared" si="3"/>
        <v>Pérez Castellanos, Alonso</v>
      </c>
      <c r="K33" s="73">
        <f t="shared" si="4"/>
        <v>102000</v>
      </c>
    </row>
    <row r="34" spans="1:11" ht="15" customHeight="1" x14ac:dyDescent="0.25">
      <c r="A34" t="s">
        <v>64</v>
      </c>
      <c r="B34" cm="1">
        <f t="array" ref="B34">SUMPRODUCT((A34='1675 (1)'!$D$2:$D$254)*'1675 (1)'!$I$2:$I$254)</f>
        <v>3477</v>
      </c>
      <c r="C34" cm="1">
        <f t="array" ref="C34">SUMPRODUCT((A34='1675 (2)'!$D$2:$D$422)*'1675 (2)'!$I$2:$I$422)</f>
        <v>43000</v>
      </c>
      <c r="D34">
        <f t="shared" si="0"/>
        <v>46477</v>
      </c>
      <c r="E34">
        <f t="shared" si="1"/>
        <v>46477.000033999997</v>
      </c>
      <c r="F34">
        <f t="shared" si="2"/>
        <v>69</v>
      </c>
      <c r="I34" s="73">
        <v>33</v>
      </c>
      <c r="J34" s="73" t="str">
        <f t="shared" si="3"/>
        <v>López Zambrano, Francisco</v>
      </c>
      <c r="K34" s="73">
        <f t="shared" si="4"/>
        <v>100000</v>
      </c>
    </row>
    <row r="35" spans="1:11" ht="15" customHeight="1" x14ac:dyDescent="0.25">
      <c r="A35" t="s">
        <v>73</v>
      </c>
      <c r="B35" cm="1">
        <f t="array" ref="B35">SUMPRODUCT((A35='1675 (1)'!$D$2:$D$254)*'1675 (1)'!$I$2:$I$254)</f>
        <v>5000</v>
      </c>
      <c r="C35" cm="1">
        <f t="array" ref="C35">SUMPRODUCT((A35='1675 (2)'!$D$2:$D$422)*'1675 (2)'!$I$2:$I$422)</f>
        <v>50000</v>
      </c>
      <c r="D35">
        <f t="shared" si="0"/>
        <v>55000</v>
      </c>
      <c r="E35">
        <f t="shared" si="1"/>
        <v>55000.000034999997</v>
      </c>
      <c r="F35">
        <f t="shared" si="2"/>
        <v>59</v>
      </c>
      <c r="I35" s="73">
        <v>34</v>
      </c>
      <c r="J35" s="73" t="str">
        <f t="shared" si="3"/>
        <v>Fernández Montejo, Melchor</v>
      </c>
      <c r="K35" s="73">
        <f t="shared" si="4"/>
        <v>100000</v>
      </c>
    </row>
    <row r="36" spans="1:11" ht="15" customHeight="1" x14ac:dyDescent="0.25">
      <c r="A36" t="s">
        <v>305</v>
      </c>
      <c r="B36" cm="1">
        <f t="array" ref="B36">SUMPRODUCT((A36='1675 (1)'!$D$2:$D$254)*'1675 (1)'!$I$2:$I$254)</f>
        <v>0</v>
      </c>
      <c r="C36" cm="1">
        <f t="array" ref="C36">SUMPRODUCT((A36='1675 (2)'!$D$2:$D$422)*'1675 (2)'!$I$2:$I$422)</f>
        <v>46500</v>
      </c>
      <c r="D36">
        <f t="shared" si="0"/>
        <v>46500</v>
      </c>
      <c r="E36">
        <f t="shared" si="1"/>
        <v>46500.000035999998</v>
      </c>
      <c r="F36">
        <f t="shared" si="2"/>
        <v>68</v>
      </c>
      <c r="I36" s="73">
        <v>35</v>
      </c>
      <c r="J36" s="73" t="str">
        <f t="shared" si="3"/>
        <v>Freire, Antonio</v>
      </c>
      <c r="K36" s="73">
        <f t="shared" si="4"/>
        <v>95300</v>
      </c>
    </row>
    <row r="37" spans="1:11" ht="15" customHeight="1" x14ac:dyDescent="0.25">
      <c r="A37" t="s">
        <v>482</v>
      </c>
      <c r="B37" cm="1">
        <f t="array" ref="B37">SUMPRODUCT((A37='1675 (1)'!$D$2:$D$254)*'1675 (1)'!$I$2:$I$254)</f>
        <v>5640</v>
      </c>
      <c r="C37" cm="1">
        <f t="array" ref="C37">SUMPRODUCT((A37='1675 (2)'!$D$2:$D$422)*'1675 (2)'!$I$2:$I$422)</f>
        <v>39000</v>
      </c>
      <c r="D37">
        <f t="shared" si="0"/>
        <v>44640</v>
      </c>
      <c r="E37">
        <f t="shared" si="1"/>
        <v>44640.000036999998</v>
      </c>
      <c r="F37">
        <f t="shared" si="2"/>
        <v>74</v>
      </c>
      <c r="I37" s="73">
        <v>36</v>
      </c>
      <c r="J37" s="73" t="str">
        <f t="shared" si="3"/>
        <v>García Ciudad, Gregorio</v>
      </c>
      <c r="K37" s="73">
        <f t="shared" si="4"/>
        <v>91400</v>
      </c>
    </row>
    <row r="38" spans="1:11" ht="15" customHeight="1" x14ac:dyDescent="0.25">
      <c r="A38" t="s">
        <v>306</v>
      </c>
      <c r="B38" cm="1">
        <f t="array" ref="B38">SUMPRODUCT((A38='1675 (1)'!$D$2:$D$254)*'1675 (1)'!$I$2:$I$254)</f>
        <v>0</v>
      </c>
      <c r="C38" cm="1">
        <f t="array" ref="C38">SUMPRODUCT((A38='1675 (2)'!$D$2:$D$422)*'1675 (2)'!$I$2:$I$422)</f>
        <v>47000</v>
      </c>
      <c r="D38">
        <f t="shared" si="0"/>
        <v>47000</v>
      </c>
      <c r="E38">
        <f t="shared" si="1"/>
        <v>47000.000037999998</v>
      </c>
      <c r="F38">
        <f t="shared" si="2"/>
        <v>67</v>
      </c>
      <c r="I38" s="73">
        <v>37</v>
      </c>
      <c r="J38" s="73" t="str">
        <f t="shared" si="3"/>
        <v>Fernández de Paredes, Francisco</v>
      </c>
      <c r="K38" s="73">
        <f t="shared" si="4"/>
        <v>90950</v>
      </c>
    </row>
    <row r="39" spans="1:11" ht="15" customHeight="1" x14ac:dyDescent="0.25">
      <c r="A39" t="s">
        <v>483</v>
      </c>
      <c r="B39" cm="1">
        <f t="array" ref="B39">SUMPRODUCT((A39='1675 (1)'!$D$2:$D$254)*'1675 (1)'!$I$2:$I$254)</f>
        <v>0</v>
      </c>
      <c r="C39" cm="1">
        <f t="array" ref="C39">SUMPRODUCT((A39='1675 (2)'!$D$2:$D$422)*'1675 (2)'!$I$2:$I$422)</f>
        <v>60500</v>
      </c>
      <c r="D39">
        <f t="shared" si="0"/>
        <v>60500</v>
      </c>
      <c r="E39">
        <f t="shared" si="1"/>
        <v>60500.000038999999</v>
      </c>
      <c r="F39">
        <f t="shared" si="2"/>
        <v>56</v>
      </c>
      <c r="I39" s="73">
        <v>38</v>
      </c>
      <c r="J39" s="73" t="str">
        <f t="shared" si="3"/>
        <v>Méndez de Alanparte, Jacinto</v>
      </c>
      <c r="K39" s="73">
        <f t="shared" si="4"/>
        <v>90500</v>
      </c>
    </row>
    <row r="40" spans="1:11" ht="15" customHeight="1" x14ac:dyDescent="0.25">
      <c r="A40" t="s">
        <v>69</v>
      </c>
      <c r="B40" cm="1">
        <f t="array" ref="B40">SUMPRODUCT((A40='1675 (1)'!$D$2:$D$254)*'1675 (1)'!$I$2:$I$254)</f>
        <v>100000</v>
      </c>
      <c r="C40" cm="1">
        <f t="array" ref="C40">SUMPRODUCT((A40='1675 (2)'!$D$2:$D$422)*'1675 (2)'!$I$2:$I$422)</f>
        <v>50000</v>
      </c>
      <c r="D40">
        <f t="shared" si="0"/>
        <v>150000</v>
      </c>
      <c r="E40">
        <f t="shared" si="1"/>
        <v>150000.00004000001</v>
      </c>
      <c r="F40">
        <f t="shared" si="2"/>
        <v>14</v>
      </c>
      <c r="I40" s="73">
        <v>39</v>
      </c>
      <c r="J40" s="73" t="str">
        <f t="shared" si="3"/>
        <v>Barnechea, Roque de</v>
      </c>
      <c r="K40" s="73">
        <f t="shared" si="4"/>
        <v>88600</v>
      </c>
    </row>
    <row r="41" spans="1:11" ht="15" customHeight="1" x14ac:dyDescent="0.25">
      <c r="A41" t="s">
        <v>170</v>
      </c>
      <c r="B41" cm="1">
        <f t="array" ref="B41">SUMPRODUCT((A41='1675 (1)'!$D$2:$D$254)*'1675 (1)'!$I$2:$I$254)</f>
        <v>7500</v>
      </c>
      <c r="C41" cm="1">
        <f t="array" ref="C41">SUMPRODUCT((A41='1675 (2)'!$D$2:$D$422)*'1675 (2)'!$I$2:$I$422)</f>
        <v>100000</v>
      </c>
      <c r="D41">
        <f t="shared" si="0"/>
        <v>107500</v>
      </c>
      <c r="E41">
        <f t="shared" si="1"/>
        <v>107500.00004100001</v>
      </c>
      <c r="F41">
        <f t="shared" si="2"/>
        <v>28</v>
      </c>
      <c r="I41" s="73">
        <v>40</v>
      </c>
      <c r="J41" s="73" t="str">
        <f t="shared" si="3"/>
        <v>Caicuegui, Agustín de</v>
      </c>
      <c r="K41" s="73">
        <f t="shared" si="4"/>
        <v>82500</v>
      </c>
    </row>
    <row r="42" spans="1:11" ht="15" customHeight="1" x14ac:dyDescent="0.25">
      <c r="A42" t="s">
        <v>484</v>
      </c>
      <c r="B42" cm="1">
        <f t="array" ref="B42">SUMPRODUCT((A42='1675 (1)'!$D$2:$D$254)*'1675 (1)'!$I$2:$I$254)</f>
        <v>1080</v>
      </c>
      <c r="C42" cm="1">
        <f t="array" ref="C42">SUMPRODUCT((A42='1675 (2)'!$D$2:$D$422)*'1675 (2)'!$I$2:$I$422)</f>
        <v>58000</v>
      </c>
      <c r="D42">
        <f t="shared" si="0"/>
        <v>59080</v>
      </c>
      <c r="E42">
        <f t="shared" si="1"/>
        <v>59080.000042</v>
      </c>
      <c r="F42">
        <f t="shared" si="2"/>
        <v>58</v>
      </c>
      <c r="I42" s="73">
        <v>41</v>
      </c>
      <c r="J42" s="73" t="str">
        <f t="shared" si="3"/>
        <v>Mugaburu, Pedro de</v>
      </c>
      <c r="K42" s="73">
        <f t="shared" si="4"/>
        <v>80600</v>
      </c>
    </row>
    <row r="43" spans="1:11" ht="15" customHeight="1" x14ac:dyDescent="0.25">
      <c r="A43" t="s">
        <v>485</v>
      </c>
      <c r="B43" cm="1">
        <f t="array" ref="B43">SUMPRODUCT((A43='1675 (1)'!$D$2:$D$254)*'1675 (1)'!$I$2:$I$254)</f>
        <v>692</v>
      </c>
      <c r="C43" cm="1">
        <f t="array" ref="C43">SUMPRODUCT((A43='1675 (2)'!$D$2:$D$422)*'1675 (2)'!$I$2:$I$422)</f>
        <v>25500</v>
      </c>
      <c r="D43">
        <f t="shared" si="0"/>
        <v>26192</v>
      </c>
      <c r="E43">
        <f t="shared" si="1"/>
        <v>26192.000043</v>
      </c>
      <c r="F43">
        <f t="shared" si="2"/>
        <v>107</v>
      </c>
      <c r="I43" s="73">
        <v>42</v>
      </c>
      <c r="J43" s="73" t="str">
        <f t="shared" si="3"/>
        <v>León Carnero, Antonio</v>
      </c>
      <c r="K43" s="73">
        <f t="shared" si="4"/>
        <v>80000</v>
      </c>
    </row>
    <row r="44" spans="1:11" ht="15" customHeight="1" x14ac:dyDescent="0.25">
      <c r="A44" t="s">
        <v>308</v>
      </c>
      <c r="B44" cm="1">
        <f t="array" ref="B44">SUMPRODUCT((A44='1675 (1)'!$D$2:$D$254)*'1675 (1)'!$I$2:$I$254)</f>
        <v>0</v>
      </c>
      <c r="C44" cm="1">
        <f t="array" ref="C44">SUMPRODUCT((A44='1675 (2)'!$D$2:$D$422)*'1675 (2)'!$I$2:$I$422)</f>
        <v>30000</v>
      </c>
      <c r="D44">
        <f t="shared" si="0"/>
        <v>30000</v>
      </c>
      <c r="E44">
        <f t="shared" si="1"/>
        <v>30000.000044</v>
      </c>
      <c r="F44">
        <f t="shared" si="2"/>
        <v>100</v>
      </c>
      <c r="I44" s="73">
        <v>43</v>
      </c>
      <c r="J44" s="73" t="str">
        <f t="shared" si="3"/>
        <v>Zapata, Manuel</v>
      </c>
      <c r="K44" s="73">
        <f t="shared" si="4"/>
        <v>78400</v>
      </c>
    </row>
    <row r="45" spans="1:11" ht="15" customHeight="1" x14ac:dyDescent="0.25">
      <c r="A45" t="s">
        <v>172</v>
      </c>
      <c r="B45" cm="1">
        <f t="array" ref="B45">SUMPRODUCT((A45='1675 (1)'!$D$2:$D$254)*'1675 (1)'!$I$2:$I$254)</f>
        <v>400</v>
      </c>
      <c r="C45" cm="1">
        <f t="array" ref="C45">SUMPRODUCT((A45='1675 (2)'!$D$2:$D$422)*'1675 (2)'!$I$2:$I$422)</f>
        <v>91000</v>
      </c>
      <c r="D45">
        <f t="shared" si="0"/>
        <v>91400</v>
      </c>
      <c r="E45">
        <f t="shared" si="1"/>
        <v>91400.000044999993</v>
      </c>
      <c r="F45">
        <f t="shared" si="2"/>
        <v>36</v>
      </c>
      <c r="I45" s="73">
        <v>44</v>
      </c>
      <c r="J45" s="73" t="str">
        <f t="shared" si="3"/>
        <v>Urrieta, Cristóbal de</v>
      </c>
      <c r="K45" s="73">
        <f t="shared" si="4"/>
        <v>76220</v>
      </c>
    </row>
    <row r="46" spans="1:11" ht="15" customHeight="1" x14ac:dyDescent="0.25">
      <c r="A46" t="s">
        <v>74</v>
      </c>
      <c r="B46" cm="1">
        <f t="array" ref="B46">SUMPRODUCT((A46='1675 (1)'!$D$2:$D$254)*'1675 (1)'!$I$2:$I$254)</f>
        <v>500</v>
      </c>
      <c r="C46" cm="1">
        <f t="array" ref="C46">SUMPRODUCT((A46='1675 (2)'!$D$2:$D$422)*'1675 (2)'!$I$2:$I$422)</f>
        <v>64000</v>
      </c>
      <c r="D46">
        <f t="shared" si="0"/>
        <v>64500</v>
      </c>
      <c r="E46">
        <f t="shared" si="1"/>
        <v>64500.000046000001</v>
      </c>
      <c r="F46">
        <f t="shared" si="2"/>
        <v>47</v>
      </c>
      <c r="I46" s="73">
        <v>45</v>
      </c>
      <c r="J46" s="73" t="str">
        <f t="shared" si="3"/>
        <v>Cueto, Andrés de</v>
      </c>
      <c r="K46" s="73">
        <f t="shared" si="4"/>
        <v>71900</v>
      </c>
    </row>
    <row r="47" spans="1:11" ht="15" customHeight="1" x14ac:dyDescent="0.25">
      <c r="A47" t="s">
        <v>350</v>
      </c>
      <c r="B47" cm="1">
        <f t="array" ref="B47">SUMPRODUCT((A47='1675 (1)'!$D$2:$D$254)*'1675 (1)'!$I$2:$I$254)</f>
        <v>0</v>
      </c>
      <c r="C47" cm="1">
        <f t="array" ref="C47">SUMPRODUCT((A47='1675 (2)'!$D$2:$D$422)*'1675 (2)'!$I$2:$I$422)</f>
        <v>8640</v>
      </c>
      <c r="D47">
        <f t="shared" si="0"/>
        <v>8640</v>
      </c>
      <c r="E47">
        <f t="shared" si="1"/>
        <v>8640.0000469999995</v>
      </c>
      <c r="F47">
        <f t="shared" si="2"/>
        <v>178</v>
      </c>
      <c r="I47" s="73">
        <v>46</v>
      </c>
      <c r="J47" s="73" t="str">
        <f t="shared" si="3"/>
        <v>Navarro, Nicolás</v>
      </c>
      <c r="K47" s="73">
        <f t="shared" si="4"/>
        <v>71000</v>
      </c>
    </row>
    <row r="48" spans="1:11" ht="15" customHeight="1" x14ac:dyDescent="0.25">
      <c r="A48" t="s">
        <v>309</v>
      </c>
      <c r="B48" cm="1">
        <f t="array" ref="B48">SUMPRODUCT((A48='1675 (1)'!$D$2:$D$254)*'1675 (1)'!$I$2:$I$254)</f>
        <v>0</v>
      </c>
      <c r="C48" cm="1">
        <f t="array" ref="C48">SUMPRODUCT((A48='1675 (2)'!$D$2:$D$422)*'1675 (2)'!$I$2:$I$422)</f>
        <v>16000</v>
      </c>
      <c r="D48">
        <f t="shared" si="0"/>
        <v>16000</v>
      </c>
      <c r="E48">
        <f t="shared" si="1"/>
        <v>16000.000048</v>
      </c>
      <c r="F48">
        <f t="shared" si="2"/>
        <v>140</v>
      </c>
      <c r="I48" s="73">
        <v>47</v>
      </c>
      <c r="J48" s="73" t="str">
        <f t="shared" si="3"/>
        <v>Romero, Gabriel</v>
      </c>
      <c r="K48" s="73">
        <f t="shared" si="4"/>
        <v>64500</v>
      </c>
    </row>
    <row r="49" spans="1:11" ht="15" customHeight="1" x14ac:dyDescent="0.25">
      <c r="A49" t="s">
        <v>486</v>
      </c>
      <c r="B49" cm="1">
        <f t="array" ref="B49">SUMPRODUCT((A49='1675 (1)'!$D$2:$D$254)*'1675 (1)'!$I$2:$I$254)</f>
        <v>0</v>
      </c>
      <c r="C49" cm="1">
        <f t="array" ref="C49">SUMPRODUCT((A49='1675 (2)'!$D$2:$D$422)*'1675 (2)'!$I$2:$I$422)</f>
        <v>15000</v>
      </c>
      <c r="D49">
        <f t="shared" si="0"/>
        <v>15000</v>
      </c>
      <c r="E49">
        <f t="shared" si="1"/>
        <v>15000.000049</v>
      </c>
      <c r="F49">
        <f t="shared" si="2"/>
        <v>146</v>
      </c>
      <c r="I49" s="73">
        <v>48</v>
      </c>
      <c r="J49" s="73" t="str">
        <f t="shared" si="3"/>
        <v>García Prieto, Juan</v>
      </c>
      <c r="K49" s="73">
        <f t="shared" si="4"/>
        <v>64500</v>
      </c>
    </row>
    <row r="50" spans="1:11" ht="15" customHeight="1" x14ac:dyDescent="0.25">
      <c r="A50" t="s">
        <v>310</v>
      </c>
      <c r="B50" cm="1">
        <f t="array" ref="B50">SUMPRODUCT((A50='1675 (1)'!$D$2:$D$254)*'1675 (1)'!$I$2:$I$254)</f>
        <v>2400</v>
      </c>
      <c r="C50" cm="1">
        <f t="array" ref="C50">SUMPRODUCT((A50='1675 (2)'!$D$2:$D$422)*'1675 (2)'!$I$2:$I$422)</f>
        <v>1000</v>
      </c>
      <c r="D50">
        <f t="shared" si="0"/>
        <v>3400</v>
      </c>
      <c r="E50">
        <f t="shared" si="1"/>
        <v>3400.0000500000001</v>
      </c>
      <c r="F50">
        <f t="shared" si="2"/>
        <v>212</v>
      </c>
      <c r="I50" s="73">
        <v>49</v>
      </c>
      <c r="J50" s="73" t="str">
        <f t="shared" si="3"/>
        <v>Sabogal, Bartolomé de</v>
      </c>
      <c r="K50" s="73">
        <f t="shared" si="4"/>
        <v>63500</v>
      </c>
    </row>
    <row r="51" spans="1:11" ht="15" customHeight="1" x14ac:dyDescent="0.25">
      <c r="A51" t="s">
        <v>311</v>
      </c>
      <c r="B51" cm="1">
        <f t="array" ref="B51">SUMPRODUCT((A51='1675 (1)'!$D$2:$D$254)*'1675 (1)'!$I$2:$I$254)</f>
        <v>0</v>
      </c>
      <c r="C51" cm="1">
        <f t="array" ref="C51">SUMPRODUCT((A51='1675 (2)'!$D$2:$D$422)*'1675 (2)'!$I$2:$I$422)</f>
        <v>100000</v>
      </c>
      <c r="D51">
        <f t="shared" si="0"/>
        <v>100000</v>
      </c>
      <c r="E51">
        <f t="shared" si="1"/>
        <v>100000.000051</v>
      </c>
      <c r="F51">
        <f t="shared" si="2"/>
        <v>34</v>
      </c>
      <c r="I51" s="73">
        <v>50</v>
      </c>
      <c r="J51" s="73" t="str">
        <f t="shared" si="3"/>
        <v>Taborga, Juan Bautista de</v>
      </c>
      <c r="K51" s="73">
        <f t="shared" si="4"/>
        <v>63500</v>
      </c>
    </row>
    <row r="52" spans="1:11" ht="15" customHeight="1" x14ac:dyDescent="0.25">
      <c r="A52" t="s">
        <v>119</v>
      </c>
      <c r="B52" cm="1">
        <f t="array" ref="B52">SUMPRODUCT((A52='1675 (1)'!$D$2:$D$254)*'1675 (1)'!$I$2:$I$254)</f>
        <v>10000</v>
      </c>
      <c r="C52" cm="1">
        <f t="array" ref="C52">SUMPRODUCT((A52='1675 (2)'!$D$2:$D$422)*'1675 (2)'!$I$2:$I$422)</f>
        <v>25000</v>
      </c>
      <c r="D52">
        <f t="shared" si="0"/>
        <v>35000</v>
      </c>
      <c r="E52">
        <f t="shared" si="1"/>
        <v>35000.000052000003</v>
      </c>
      <c r="F52">
        <f t="shared" si="2"/>
        <v>88</v>
      </c>
      <c r="I52" s="73">
        <v>51</v>
      </c>
      <c r="J52" s="73" t="str">
        <f t="shared" si="3"/>
        <v>Hermosilla, Francisco de</v>
      </c>
      <c r="K52" s="73">
        <f t="shared" si="4"/>
        <v>63300</v>
      </c>
    </row>
    <row r="53" spans="1:11" ht="15" customHeight="1" x14ac:dyDescent="0.25">
      <c r="A53" t="s">
        <v>80</v>
      </c>
      <c r="B53" cm="1">
        <f t="array" ref="B53">SUMPRODUCT((A53='1675 (1)'!$D$2:$D$254)*'1675 (1)'!$I$2:$I$254)</f>
        <v>1200</v>
      </c>
      <c r="C53" cm="1">
        <f t="array" ref="C53">SUMPRODUCT((A53='1675 (2)'!$D$2:$D$422)*'1675 (2)'!$I$2:$I$422)</f>
        <v>17000</v>
      </c>
      <c r="D53">
        <f t="shared" si="0"/>
        <v>18200</v>
      </c>
      <c r="E53">
        <f t="shared" si="1"/>
        <v>18200.000053</v>
      </c>
      <c r="F53">
        <f t="shared" si="2"/>
        <v>136</v>
      </c>
      <c r="I53" s="73">
        <v>52</v>
      </c>
      <c r="J53" s="73" t="str">
        <f t="shared" si="3"/>
        <v>García de la Cuesta, Juan</v>
      </c>
      <c r="K53" s="73">
        <f t="shared" si="4"/>
        <v>63200</v>
      </c>
    </row>
    <row r="54" spans="1:11" ht="15" customHeight="1" x14ac:dyDescent="0.25">
      <c r="A54" t="s">
        <v>312</v>
      </c>
      <c r="B54" cm="1">
        <f t="array" ref="B54">SUMPRODUCT((A54='1675 (1)'!$D$2:$D$254)*'1675 (1)'!$I$2:$I$254)</f>
        <v>0</v>
      </c>
      <c r="C54" cm="1">
        <f t="array" ref="C54">SUMPRODUCT((A54='1675 (2)'!$D$2:$D$422)*'1675 (2)'!$I$2:$I$422)</f>
        <v>22200</v>
      </c>
      <c r="D54">
        <f t="shared" si="0"/>
        <v>22200</v>
      </c>
      <c r="E54">
        <f t="shared" si="1"/>
        <v>22200.000054</v>
      </c>
      <c r="F54">
        <f t="shared" si="2"/>
        <v>122</v>
      </c>
      <c r="I54" s="73">
        <v>53</v>
      </c>
      <c r="J54" s="73" t="str">
        <f t="shared" si="3"/>
        <v>Tras, Gabriel de la</v>
      </c>
      <c r="K54" s="73">
        <f t="shared" si="4"/>
        <v>62500</v>
      </c>
    </row>
    <row r="55" spans="1:11" ht="15" customHeight="1" x14ac:dyDescent="0.25">
      <c r="A55" t="s">
        <v>487</v>
      </c>
      <c r="B55" cm="1">
        <f t="array" ref="B55">SUMPRODUCT((A55='1675 (1)'!$D$2:$D$254)*'1675 (1)'!$I$2:$I$254)</f>
        <v>0</v>
      </c>
      <c r="C55" cm="1">
        <f t="array" ref="C55">SUMPRODUCT((A55='1675 (2)'!$D$2:$D$422)*'1675 (2)'!$I$2:$I$422)</f>
        <v>22000</v>
      </c>
      <c r="D55">
        <f t="shared" si="0"/>
        <v>22000</v>
      </c>
      <c r="E55">
        <f t="shared" si="1"/>
        <v>22000.000055</v>
      </c>
      <c r="F55">
        <f t="shared" si="2"/>
        <v>123</v>
      </c>
      <c r="I55" s="73">
        <v>54</v>
      </c>
      <c r="J55" s="73" t="str">
        <f t="shared" si="3"/>
        <v>Venegas, Bernabé</v>
      </c>
      <c r="K55" s="73">
        <f t="shared" si="4"/>
        <v>62500</v>
      </c>
    </row>
    <row r="56" spans="1:11" ht="15" customHeight="1" x14ac:dyDescent="0.25">
      <c r="A56" t="s">
        <v>313</v>
      </c>
      <c r="B56" cm="1">
        <f t="array" ref="B56">SUMPRODUCT((A56='1675 (1)'!$D$2:$D$254)*'1675 (1)'!$I$2:$I$254)</f>
        <v>0</v>
      </c>
      <c r="C56" cm="1">
        <f t="array" ref="C56">SUMPRODUCT((A56='1675 (2)'!$D$2:$D$422)*'1675 (2)'!$I$2:$I$422)</f>
        <v>36000</v>
      </c>
      <c r="D56">
        <f t="shared" si="0"/>
        <v>36000</v>
      </c>
      <c r="E56">
        <f t="shared" si="1"/>
        <v>36000.000055999997</v>
      </c>
      <c r="F56">
        <f t="shared" si="2"/>
        <v>85</v>
      </c>
      <c r="I56" s="73">
        <v>55</v>
      </c>
      <c r="J56" s="73" t="str">
        <f t="shared" si="3"/>
        <v>Rotalde, Domingo de</v>
      </c>
      <c r="K56" s="73">
        <f t="shared" si="4"/>
        <v>61500</v>
      </c>
    </row>
    <row r="57" spans="1:11" ht="15" customHeight="1" x14ac:dyDescent="0.25">
      <c r="A57" t="s">
        <v>314</v>
      </c>
      <c r="B57" cm="1">
        <f t="array" ref="B57">SUMPRODUCT((A57='1675 (1)'!$D$2:$D$254)*'1675 (1)'!$I$2:$I$254)</f>
        <v>0</v>
      </c>
      <c r="C57" cm="1">
        <f t="array" ref="C57">SUMPRODUCT((A57='1675 (2)'!$D$2:$D$422)*'1675 (2)'!$I$2:$I$422)</f>
        <v>9500</v>
      </c>
      <c r="D57">
        <f t="shared" si="0"/>
        <v>9500</v>
      </c>
      <c r="E57">
        <f t="shared" si="1"/>
        <v>9500.0000569999993</v>
      </c>
      <c r="F57">
        <f t="shared" si="2"/>
        <v>174</v>
      </c>
      <c r="I57" s="73">
        <v>56</v>
      </c>
      <c r="J57" s="73" t="str">
        <f t="shared" si="3"/>
        <v>Rodríguez Rivadeneira, Francisco</v>
      </c>
      <c r="K57" s="73">
        <f t="shared" si="4"/>
        <v>60500</v>
      </c>
    </row>
    <row r="58" spans="1:11" ht="15" customHeight="1" x14ac:dyDescent="0.25">
      <c r="A58" t="s">
        <v>488</v>
      </c>
      <c r="B58" cm="1">
        <f t="array" ref="B58">SUMPRODUCT((A58='1675 (1)'!$D$2:$D$254)*'1675 (1)'!$I$2:$I$254)</f>
        <v>0</v>
      </c>
      <c r="C58" cm="1">
        <f t="array" ref="C58">SUMPRODUCT((A58='1675 (2)'!$D$2:$D$422)*'1675 (2)'!$I$2:$I$422)</f>
        <v>33500</v>
      </c>
      <c r="D58">
        <f t="shared" si="0"/>
        <v>33500</v>
      </c>
      <c r="E58">
        <f t="shared" si="1"/>
        <v>33500.000057999998</v>
      </c>
      <c r="F58">
        <f t="shared" si="2"/>
        <v>89</v>
      </c>
      <c r="I58" s="73">
        <v>57</v>
      </c>
      <c r="J58" s="73" t="str">
        <f t="shared" si="3"/>
        <v>Pérez de Ircio, Pedro</v>
      </c>
      <c r="K58" s="73">
        <f t="shared" si="4"/>
        <v>60000</v>
      </c>
    </row>
    <row r="59" spans="1:11" ht="15" customHeight="1" x14ac:dyDescent="0.25">
      <c r="A59" t="s">
        <v>83</v>
      </c>
      <c r="B59" cm="1">
        <f t="array" ref="B59">SUMPRODUCT((A59='1675 (1)'!$D$2:$D$254)*'1675 (1)'!$I$2:$I$254)</f>
        <v>1000</v>
      </c>
      <c r="C59" cm="1">
        <f t="array" ref="C59">SUMPRODUCT((A59='1675 (2)'!$D$2:$D$422)*'1675 (2)'!$I$2:$I$422)</f>
        <v>20000</v>
      </c>
      <c r="D59">
        <f t="shared" si="0"/>
        <v>21000</v>
      </c>
      <c r="E59">
        <f t="shared" si="1"/>
        <v>21000.000059000002</v>
      </c>
      <c r="F59">
        <f t="shared" si="2"/>
        <v>128</v>
      </c>
      <c r="I59" s="73">
        <v>58</v>
      </c>
      <c r="J59" s="73" t="str">
        <f t="shared" si="3"/>
        <v>Serrao, Francisco</v>
      </c>
      <c r="K59" s="73">
        <f t="shared" si="4"/>
        <v>59080</v>
      </c>
    </row>
    <row r="60" spans="1:11" ht="15" customHeight="1" x14ac:dyDescent="0.25">
      <c r="A60" t="s">
        <v>316</v>
      </c>
      <c r="B60" cm="1">
        <f t="array" ref="B60">SUMPRODUCT((A60='1675 (1)'!$D$2:$D$254)*'1675 (1)'!$I$2:$I$254)</f>
        <v>0</v>
      </c>
      <c r="C60" cm="1">
        <f t="array" ref="C60">SUMPRODUCT((A60='1675 (2)'!$D$2:$D$422)*'1675 (2)'!$I$2:$I$422)</f>
        <v>102000</v>
      </c>
      <c r="D60">
        <f t="shared" si="0"/>
        <v>102000</v>
      </c>
      <c r="E60">
        <f t="shared" si="1"/>
        <v>102000.00006000001</v>
      </c>
      <c r="F60">
        <f t="shared" si="2"/>
        <v>32</v>
      </c>
      <c r="I60" s="73">
        <v>59</v>
      </c>
      <c r="J60" s="73" t="str">
        <f t="shared" si="3"/>
        <v>Sánchez Barragan, Alonso</v>
      </c>
      <c r="K60" s="73">
        <f t="shared" si="4"/>
        <v>55000</v>
      </c>
    </row>
    <row r="61" spans="1:11" ht="15" customHeight="1" x14ac:dyDescent="0.25">
      <c r="A61" t="s">
        <v>489</v>
      </c>
      <c r="B61" cm="1">
        <f t="array" ref="B61">SUMPRODUCT((A61='1675 (1)'!$D$2:$D$254)*'1675 (1)'!$I$2:$I$254)</f>
        <v>3000</v>
      </c>
      <c r="C61" cm="1">
        <f t="array" ref="C61">SUMPRODUCT((A61='1675 (2)'!$D$2:$D$422)*'1675 (2)'!$I$2:$I$422)</f>
        <v>23000</v>
      </c>
      <c r="D61">
        <f t="shared" si="0"/>
        <v>26000</v>
      </c>
      <c r="E61">
        <f t="shared" si="1"/>
        <v>26000.000060999999</v>
      </c>
      <c r="F61">
        <f t="shared" si="2"/>
        <v>108</v>
      </c>
      <c r="I61" s="73">
        <v>60</v>
      </c>
      <c r="J61" s="73" t="str">
        <f t="shared" si="3"/>
        <v>Mariscal, Juan de</v>
      </c>
      <c r="K61" s="73">
        <f t="shared" si="4"/>
        <v>54000</v>
      </c>
    </row>
    <row r="62" spans="1:11" ht="15" customHeight="1" x14ac:dyDescent="0.25">
      <c r="A62" t="s">
        <v>317</v>
      </c>
      <c r="B62" cm="1">
        <f t="array" ref="B62">SUMPRODUCT((A62='1675 (1)'!$D$2:$D$254)*'1675 (1)'!$I$2:$I$254)</f>
        <v>0</v>
      </c>
      <c r="C62" cm="1">
        <f t="array" ref="C62">SUMPRODUCT((A62='1675 (2)'!$D$2:$D$422)*'1675 (2)'!$I$2:$I$422)</f>
        <v>13500</v>
      </c>
      <c r="D62">
        <f t="shared" si="0"/>
        <v>13500</v>
      </c>
      <c r="E62">
        <f t="shared" si="1"/>
        <v>13500.000061999999</v>
      </c>
      <c r="F62">
        <f t="shared" si="2"/>
        <v>151</v>
      </c>
      <c r="I62" s="73">
        <v>61</v>
      </c>
      <c r="J62" s="73" t="str">
        <f t="shared" si="3"/>
        <v>Sabogal, Tomás de</v>
      </c>
      <c r="K62" s="73">
        <f t="shared" si="4"/>
        <v>52500</v>
      </c>
    </row>
    <row r="63" spans="1:11" ht="15" customHeight="1" x14ac:dyDescent="0.25">
      <c r="A63" t="s">
        <v>318</v>
      </c>
      <c r="B63" cm="1">
        <f t="array" ref="B63">SUMPRODUCT((A63='1675 (1)'!$D$2:$D$254)*'1675 (1)'!$I$2:$I$254)</f>
        <v>0</v>
      </c>
      <c r="C63" cm="1">
        <f t="array" ref="C63">SUMPRODUCT((A63='1675 (2)'!$D$2:$D$422)*'1675 (2)'!$I$2:$I$422)</f>
        <v>3000</v>
      </c>
      <c r="D63">
        <f t="shared" si="0"/>
        <v>3000</v>
      </c>
      <c r="E63">
        <f t="shared" si="1"/>
        <v>3000.000063</v>
      </c>
      <c r="F63">
        <f t="shared" si="2"/>
        <v>216</v>
      </c>
      <c r="I63" s="73">
        <v>62</v>
      </c>
      <c r="J63" s="73" t="str">
        <f t="shared" si="3"/>
        <v>Martínez del Valle, Miguel</v>
      </c>
      <c r="K63" s="73">
        <f t="shared" si="4"/>
        <v>51000</v>
      </c>
    </row>
    <row r="64" spans="1:11" ht="15" customHeight="1" x14ac:dyDescent="0.25">
      <c r="A64" t="s">
        <v>319</v>
      </c>
      <c r="B64" cm="1">
        <f t="array" ref="B64">SUMPRODUCT((A64='1675 (1)'!$D$2:$D$254)*'1675 (1)'!$I$2:$I$254)</f>
        <v>0</v>
      </c>
      <c r="C64" cm="1">
        <f t="array" ref="C64">SUMPRODUCT((A64='1675 (2)'!$D$2:$D$422)*'1675 (2)'!$I$2:$I$422)</f>
        <v>3500</v>
      </c>
      <c r="D64">
        <f t="shared" si="0"/>
        <v>3500</v>
      </c>
      <c r="E64">
        <f t="shared" si="1"/>
        <v>3500.0000639999998</v>
      </c>
      <c r="F64">
        <f t="shared" si="2"/>
        <v>211</v>
      </c>
      <c r="I64" s="73">
        <v>63</v>
      </c>
      <c r="J64" s="73" t="str">
        <f t="shared" si="3"/>
        <v>Ortiz de Foronda, Juan</v>
      </c>
      <c r="K64" s="73">
        <f t="shared" si="4"/>
        <v>49900</v>
      </c>
    </row>
    <row r="65" spans="1:11" ht="15" customHeight="1" x14ac:dyDescent="0.25">
      <c r="A65" t="s">
        <v>490</v>
      </c>
      <c r="B65" cm="1">
        <f t="array" ref="B65">SUMPRODUCT((A65='1675 (1)'!$D$2:$D$254)*'1675 (1)'!$I$2:$I$254)</f>
        <v>0</v>
      </c>
      <c r="C65" cm="1">
        <f t="array" ref="C65">SUMPRODUCT((A65='1675 (2)'!$D$2:$D$422)*'1675 (2)'!$I$2:$I$422)</f>
        <v>117475</v>
      </c>
      <c r="D65">
        <f t="shared" si="0"/>
        <v>117475</v>
      </c>
      <c r="E65">
        <f t="shared" si="1"/>
        <v>117475.000065</v>
      </c>
      <c r="F65">
        <f t="shared" si="2"/>
        <v>22</v>
      </c>
      <c r="I65" s="73">
        <v>64</v>
      </c>
      <c r="J65" s="73" t="str">
        <f t="shared" si="3"/>
        <v>Fajardo de Córdova, Luis</v>
      </c>
      <c r="K65" s="73">
        <f t="shared" si="4"/>
        <v>48500</v>
      </c>
    </row>
    <row r="66" spans="1:11" ht="15" customHeight="1" x14ac:dyDescent="0.25">
      <c r="A66" t="s">
        <v>320</v>
      </c>
      <c r="B66" cm="1">
        <f t="array" ref="B66">SUMPRODUCT((A66='1675 (1)'!$D$2:$D$254)*'1675 (1)'!$I$2:$I$254)</f>
        <v>0</v>
      </c>
      <c r="C66" cm="1">
        <f t="array" ref="C66">SUMPRODUCT((A66='1675 (2)'!$D$2:$D$422)*'1675 (2)'!$I$2:$I$422)</f>
        <v>71000</v>
      </c>
      <c r="D66">
        <f t="shared" si="0"/>
        <v>71000</v>
      </c>
      <c r="E66">
        <f t="shared" si="1"/>
        <v>71000.000065999993</v>
      </c>
      <c r="F66">
        <f t="shared" si="2"/>
        <v>46</v>
      </c>
      <c r="I66" s="73">
        <v>65</v>
      </c>
      <c r="J66" s="73" t="str">
        <f t="shared" si="3"/>
        <v>Oláez, Esteban de</v>
      </c>
      <c r="K66" s="73">
        <f t="shared" si="4"/>
        <v>48100</v>
      </c>
    </row>
    <row r="67" spans="1:11" ht="15" customHeight="1" x14ac:dyDescent="0.25">
      <c r="A67" t="s">
        <v>86</v>
      </c>
      <c r="B67" cm="1">
        <f t="array" ref="B67">SUMPRODUCT((A67='1675 (1)'!$D$2:$D$254)*'1675 (1)'!$I$2:$I$254)</f>
        <v>2500</v>
      </c>
      <c r="C67" cm="1">
        <f t="array" ref="C67">SUMPRODUCT((A67='1675 (2)'!$D$2:$D$422)*'1675 (2)'!$I$2:$I$422)</f>
        <v>69400</v>
      </c>
      <c r="D67">
        <f t="shared" ref="D67:D130" si="5">B67+C67</f>
        <v>71900</v>
      </c>
      <c r="E67">
        <f t="shared" ref="E67:E130" si="6">D67+0.000001*ROW()</f>
        <v>71900.000067000001</v>
      </c>
      <c r="F67">
        <f t="shared" ref="F67:F130" si="7">_xlfn.RANK.EQ(E67,$E$2:$E$247)</f>
        <v>45</v>
      </c>
      <c r="I67" s="73">
        <v>66</v>
      </c>
      <c r="J67" s="73" t="str">
        <f t="shared" ref="J67:J130" si="8">INDEX($A$2:$A$247,MATCH(I67,$F$2:$F$247,0))</f>
        <v>Quesada, Diego de</v>
      </c>
      <c r="K67" s="73">
        <f t="shared" ref="K67:K130" si="9">INDEX($D$2:$D$247,MATCH(I67,$F$2:$F$247,0))</f>
        <v>47500</v>
      </c>
    </row>
    <row r="68" spans="1:11" ht="15" customHeight="1" x14ac:dyDescent="0.25">
      <c r="A68" t="s">
        <v>544</v>
      </c>
      <c r="B68" cm="1">
        <f t="array" ref="B68">SUMPRODUCT((A68='1675 (1)'!$D$2:$D$254)*'1675 (1)'!$I$2:$I$254)</f>
        <v>0</v>
      </c>
      <c r="C68" cm="1">
        <f t="array" ref="C68">SUMPRODUCT((A68='1675 (2)'!$D$2:$D$422)*'1675 (2)'!$I$2:$I$422)</f>
        <v>25200</v>
      </c>
      <c r="D68">
        <f t="shared" si="5"/>
        <v>25200</v>
      </c>
      <c r="E68">
        <f t="shared" si="6"/>
        <v>25200.000068000001</v>
      </c>
      <c r="F68">
        <f t="shared" si="7"/>
        <v>109</v>
      </c>
      <c r="I68" s="73">
        <v>67</v>
      </c>
      <c r="J68" s="73" t="str">
        <f t="shared" si="8"/>
        <v>Centeno, Antonio</v>
      </c>
      <c r="K68" s="73">
        <f t="shared" si="9"/>
        <v>47000</v>
      </c>
    </row>
    <row r="69" spans="1:11" ht="15" customHeight="1" x14ac:dyDescent="0.25">
      <c r="A69" t="s">
        <v>461</v>
      </c>
      <c r="B69" cm="1">
        <f t="array" ref="B69">SUMPRODUCT((A69='1675 (1)'!$D$2:$D$254)*'1675 (1)'!$I$2:$I$254)</f>
        <v>0</v>
      </c>
      <c r="C69" cm="1">
        <f t="array" ref="C69">SUMPRODUCT((A69='1675 (2)'!$D$2:$D$422)*'1675 (2)'!$I$2:$I$422)</f>
        <v>20000</v>
      </c>
      <c r="D69">
        <f t="shared" si="5"/>
        <v>20000</v>
      </c>
      <c r="E69">
        <f t="shared" si="6"/>
        <v>20000.000069000002</v>
      </c>
      <c r="F69">
        <f t="shared" si="7"/>
        <v>132</v>
      </c>
      <c r="I69" s="73">
        <v>68</v>
      </c>
      <c r="J69" s="73" t="str">
        <f t="shared" si="8"/>
        <v>Agüero, Rodrigo</v>
      </c>
      <c r="K69" s="73">
        <f t="shared" si="9"/>
        <v>46500</v>
      </c>
    </row>
    <row r="70" spans="1:11" ht="15" customHeight="1" x14ac:dyDescent="0.25">
      <c r="A70" t="s">
        <v>491</v>
      </c>
      <c r="B70" cm="1">
        <f t="array" ref="B70">SUMPRODUCT((A70='1675 (1)'!$D$2:$D$254)*'1675 (1)'!$I$2:$I$254)</f>
        <v>2400</v>
      </c>
      <c r="C70" cm="1">
        <f t="array" ref="C70">SUMPRODUCT((A70='1675 (2)'!$D$2:$D$422)*'1675 (2)'!$I$2:$I$422)</f>
        <v>8000</v>
      </c>
      <c r="D70">
        <f t="shared" si="5"/>
        <v>10400</v>
      </c>
      <c r="E70">
        <f t="shared" si="6"/>
        <v>10400.00007</v>
      </c>
      <c r="F70">
        <f t="shared" si="7"/>
        <v>168</v>
      </c>
      <c r="I70" s="73">
        <v>69</v>
      </c>
      <c r="J70" s="73" t="str">
        <f t="shared" si="8"/>
        <v>Torres, Juan Simón de</v>
      </c>
      <c r="K70" s="73">
        <f t="shared" si="9"/>
        <v>46477</v>
      </c>
    </row>
    <row r="71" spans="1:11" ht="15" customHeight="1" x14ac:dyDescent="0.25">
      <c r="A71" t="s">
        <v>324</v>
      </c>
      <c r="B71" cm="1">
        <f t="array" ref="B71">SUMPRODUCT((A71='1675 (1)'!$D$2:$D$254)*'1675 (1)'!$I$2:$I$254)</f>
        <v>0</v>
      </c>
      <c r="C71" cm="1">
        <f t="array" ref="C71">SUMPRODUCT((A71='1675 (2)'!$D$2:$D$422)*'1675 (2)'!$I$2:$I$422)</f>
        <v>27000</v>
      </c>
      <c r="D71">
        <f t="shared" si="5"/>
        <v>27000</v>
      </c>
      <c r="E71">
        <f t="shared" si="6"/>
        <v>27000.000070999999</v>
      </c>
      <c r="F71">
        <f t="shared" si="7"/>
        <v>106</v>
      </c>
      <c r="I71" s="73">
        <v>70</v>
      </c>
      <c r="J71" s="73" t="str">
        <f t="shared" si="8"/>
        <v>Fernández de Córdova, Luisa</v>
      </c>
      <c r="K71" s="73">
        <f t="shared" si="9"/>
        <v>46000</v>
      </c>
    </row>
    <row r="72" spans="1:11" ht="15" customHeight="1" x14ac:dyDescent="0.25">
      <c r="A72" t="s">
        <v>321</v>
      </c>
      <c r="B72" cm="1">
        <f t="array" ref="B72">SUMPRODUCT((A72='1675 (1)'!$D$2:$D$254)*'1675 (1)'!$I$2:$I$254)</f>
        <v>0</v>
      </c>
      <c r="C72" cm="1">
        <f t="array" ref="C72">SUMPRODUCT((A72='1675 (2)'!$D$2:$D$422)*'1675 (2)'!$I$2:$I$422)</f>
        <v>30500</v>
      </c>
      <c r="D72">
        <f t="shared" si="5"/>
        <v>30500</v>
      </c>
      <c r="E72">
        <f t="shared" si="6"/>
        <v>30500.000071999999</v>
      </c>
      <c r="F72">
        <f t="shared" si="7"/>
        <v>97</v>
      </c>
      <c r="I72" s="73">
        <v>71</v>
      </c>
      <c r="J72" s="73" t="str">
        <f t="shared" si="8"/>
        <v>Baquero, Francisco</v>
      </c>
      <c r="K72" s="73">
        <f t="shared" si="9"/>
        <v>45000</v>
      </c>
    </row>
    <row r="73" spans="1:11" ht="15" customHeight="1" x14ac:dyDescent="0.25">
      <c r="A73" t="s">
        <v>322</v>
      </c>
      <c r="B73" cm="1">
        <f t="array" ref="B73">SUMPRODUCT((A73='1675 (1)'!$D$2:$D$254)*'1675 (1)'!$I$2:$I$254)</f>
        <v>0</v>
      </c>
      <c r="C73" cm="1">
        <f t="array" ref="C73">SUMPRODUCT((A73='1675 (2)'!$D$2:$D$422)*'1675 (2)'!$I$2:$I$422)</f>
        <v>21000</v>
      </c>
      <c r="D73">
        <f t="shared" si="5"/>
        <v>21000</v>
      </c>
      <c r="E73">
        <f t="shared" si="6"/>
        <v>21000.000072999999</v>
      </c>
      <c r="F73">
        <f t="shared" si="7"/>
        <v>127</v>
      </c>
      <c r="I73" s="73">
        <v>72</v>
      </c>
      <c r="J73" s="73" t="str">
        <f t="shared" si="8"/>
        <v>Alcedo, Santiago de</v>
      </c>
      <c r="K73" s="73">
        <f t="shared" si="9"/>
        <v>45000</v>
      </c>
    </row>
    <row r="74" spans="1:11" ht="15" customHeight="1" x14ac:dyDescent="0.25">
      <c r="A74" t="s">
        <v>323</v>
      </c>
      <c r="B74" cm="1">
        <f t="array" ref="B74">SUMPRODUCT((A74='1675 (1)'!$D$2:$D$254)*'1675 (1)'!$I$2:$I$254)</f>
        <v>0</v>
      </c>
      <c r="C74" cm="1">
        <f t="array" ref="C74">SUMPRODUCT((A74='1675 (2)'!$D$2:$D$422)*'1675 (2)'!$I$2:$I$422)</f>
        <v>24500</v>
      </c>
      <c r="D74">
        <f t="shared" si="5"/>
        <v>24500</v>
      </c>
      <c r="E74">
        <f t="shared" si="6"/>
        <v>24500.000074</v>
      </c>
      <c r="F74">
        <f t="shared" si="7"/>
        <v>113</v>
      </c>
      <c r="I74" s="73">
        <v>73</v>
      </c>
      <c r="J74" s="73" t="str">
        <f t="shared" si="8"/>
        <v>Fernández del Casal, Mateo</v>
      </c>
      <c r="K74" s="73">
        <f t="shared" si="9"/>
        <v>44660</v>
      </c>
    </row>
    <row r="75" spans="1:11" ht="15" customHeight="1" x14ac:dyDescent="0.25">
      <c r="A75" t="s">
        <v>89</v>
      </c>
      <c r="B75" cm="1">
        <f t="array" ref="B75">SUMPRODUCT((A75='1675 (1)'!$D$2:$D$254)*'1675 (1)'!$I$2:$I$254)</f>
        <v>920</v>
      </c>
      <c r="C75" cm="1">
        <f t="array" ref="C75">SUMPRODUCT((A75='1675 (2)'!$D$2:$D$422)*'1675 (2)'!$I$2:$I$422)</f>
        <v>12500</v>
      </c>
      <c r="D75">
        <f t="shared" si="5"/>
        <v>13420</v>
      </c>
      <c r="E75">
        <f t="shared" si="6"/>
        <v>13420.000075</v>
      </c>
      <c r="F75">
        <f t="shared" si="7"/>
        <v>152</v>
      </c>
      <c r="I75" s="73">
        <v>74</v>
      </c>
      <c r="J75" s="73" t="str">
        <f t="shared" si="8"/>
        <v>Lamas y Sandi, Andrés de</v>
      </c>
      <c r="K75" s="73">
        <f t="shared" si="9"/>
        <v>44640</v>
      </c>
    </row>
    <row r="76" spans="1:11" ht="15" customHeight="1" x14ac:dyDescent="0.25">
      <c r="A76" t="s">
        <v>92</v>
      </c>
      <c r="B76" cm="1">
        <f t="array" ref="B76">SUMPRODUCT((A76='1675 (1)'!$D$2:$D$254)*'1675 (1)'!$I$2:$I$254)</f>
        <v>13300</v>
      </c>
      <c r="C76" cm="1">
        <f t="array" ref="C76">SUMPRODUCT((A76='1675 (2)'!$D$2:$D$422)*'1675 (2)'!$I$2:$I$422)</f>
        <v>30000</v>
      </c>
      <c r="D76">
        <f t="shared" si="5"/>
        <v>43300</v>
      </c>
      <c r="E76">
        <f t="shared" si="6"/>
        <v>43300.000075999997</v>
      </c>
      <c r="F76">
        <f t="shared" si="7"/>
        <v>76</v>
      </c>
      <c r="I76" s="73">
        <v>75</v>
      </c>
      <c r="J76" s="73" t="str">
        <f t="shared" si="8"/>
        <v>López Vélez, Francisco</v>
      </c>
      <c r="K76" s="73">
        <f t="shared" si="9"/>
        <v>43350</v>
      </c>
    </row>
    <row r="77" spans="1:11" ht="15" customHeight="1" x14ac:dyDescent="0.25">
      <c r="A77" t="s">
        <v>492</v>
      </c>
      <c r="B77" cm="1">
        <f t="array" ref="B77">SUMPRODUCT((A77='1675 (1)'!$D$2:$D$254)*'1675 (1)'!$I$2:$I$254)</f>
        <v>0</v>
      </c>
      <c r="C77" cm="1">
        <f t="array" ref="C77">SUMPRODUCT((A77='1675 (2)'!$D$2:$D$422)*'1675 (2)'!$I$2:$I$422)</f>
        <v>131500</v>
      </c>
      <c r="D77">
        <f t="shared" si="5"/>
        <v>131500</v>
      </c>
      <c r="E77">
        <f t="shared" si="6"/>
        <v>131500.000077</v>
      </c>
      <c r="F77">
        <f t="shared" si="7"/>
        <v>17</v>
      </c>
      <c r="I77" s="73">
        <v>76</v>
      </c>
      <c r="J77" s="73" t="str">
        <f t="shared" si="8"/>
        <v>Torre, Santiago de la</v>
      </c>
      <c r="K77" s="73">
        <f t="shared" si="9"/>
        <v>43300</v>
      </c>
    </row>
    <row r="78" spans="1:11" ht="15" customHeight="1" x14ac:dyDescent="0.25">
      <c r="A78" t="s">
        <v>367</v>
      </c>
      <c r="B78" cm="1">
        <f t="array" ref="B78">SUMPRODUCT((A78='1675 (1)'!$D$2:$D$254)*'1675 (1)'!$I$2:$I$254)</f>
        <v>0</v>
      </c>
      <c r="C78" cm="1">
        <f t="array" ref="C78">SUMPRODUCT((A78='1675 (2)'!$D$2:$D$422)*'1675 (2)'!$I$2:$I$422)</f>
        <v>142500</v>
      </c>
      <c r="D78">
        <f t="shared" si="5"/>
        <v>142500</v>
      </c>
      <c r="E78">
        <f t="shared" si="6"/>
        <v>142500.00007800001</v>
      </c>
      <c r="F78">
        <f t="shared" si="7"/>
        <v>15</v>
      </c>
      <c r="I78" s="73">
        <v>77</v>
      </c>
      <c r="J78" s="73" t="str">
        <f t="shared" si="8"/>
        <v>García Negrete, Juan Eusebio</v>
      </c>
      <c r="K78" s="73">
        <f t="shared" si="9"/>
        <v>42500</v>
      </c>
    </row>
    <row r="79" spans="1:11" ht="15" customHeight="1" x14ac:dyDescent="0.25">
      <c r="A79" t="s">
        <v>369</v>
      </c>
      <c r="B79" cm="1">
        <f t="array" ref="B79">SUMPRODUCT((A79='1675 (1)'!$D$2:$D$254)*'1675 (1)'!$I$2:$I$254)</f>
        <v>0</v>
      </c>
      <c r="C79" cm="1">
        <f t="array" ref="C79">SUMPRODUCT((A79='1675 (2)'!$D$2:$D$422)*'1675 (2)'!$I$2:$I$422)</f>
        <v>12500</v>
      </c>
      <c r="D79">
        <f t="shared" si="5"/>
        <v>12500</v>
      </c>
      <c r="E79">
        <f t="shared" si="6"/>
        <v>12500.000078999999</v>
      </c>
      <c r="F79">
        <f t="shared" si="7"/>
        <v>157</v>
      </c>
      <c r="I79" s="73">
        <v>78</v>
      </c>
      <c r="J79" s="73" t="str">
        <f t="shared" si="8"/>
        <v>Martínez Fajardo, Julián</v>
      </c>
      <c r="K79" s="73">
        <f t="shared" si="9"/>
        <v>41950</v>
      </c>
    </row>
    <row r="80" spans="1:11" ht="15" customHeight="1" x14ac:dyDescent="0.25">
      <c r="A80" t="s">
        <v>370</v>
      </c>
      <c r="B80" cm="1">
        <f t="array" ref="B80">SUMPRODUCT((A80='1675 (1)'!$D$2:$D$254)*'1675 (1)'!$I$2:$I$254)</f>
        <v>0</v>
      </c>
      <c r="C80" cm="1">
        <f t="array" ref="C80">SUMPRODUCT((A80='1675 (2)'!$D$2:$D$422)*'1675 (2)'!$I$2:$I$422)</f>
        <v>8000</v>
      </c>
      <c r="D80">
        <f t="shared" si="5"/>
        <v>8000</v>
      </c>
      <c r="E80">
        <f t="shared" si="6"/>
        <v>8000.0000799999998</v>
      </c>
      <c r="F80">
        <f t="shared" si="7"/>
        <v>183</v>
      </c>
      <c r="I80" s="73">
        <v>79</v>
      </c>
      <c r="J80" s="73" t="str">
        <f t="shared" si="8"/>
        <v>Martínez del Portillo, Antonio</v>
      </c>
      <c r="K80" s="73">
        <f t="shared" si="9"/>
        <v>41000</v>
      </c>
    </row>
    <row r="81" spans="1:11" ht="15" customHeight="1" x14ac:dyDescent="0.25">
      <c r="A81" t="s">
        <v>494</v>
      </c>
      <c r="B81" cm="1">
        <f t="array" ref="B81">SUMPRODUCT((A81='1675 (1)'!$D$2:$D$254)*'1675 (1)'!$I$2:$I$254)</f>
        <v>0</v>
      </c>
      <c r="C81" cm="1">
        <f t="array" ref="C81">SUMPRODUCT((A81='1675 (2)'!$D$2:$D$422)*'1675 (2)'!$I$2:$I$422)</f>
        <v>15000</v>
      </c>
      <c r="D81">
        <f t="shared" si="5"/>
        <v>15000</v>
      </c>
      <c r="E81">
        <f t="shared" si="6"/>
        <v>15000.000081</v>
      </c>
      <c r="F81">
        <f t="shared" si="7"/>
        <v>145</v>
      </c>
      <c r="I81" s="73">
        <v>80</v>
      </c>
      <c r="J81" s="73" t="str">
        <f t="shared" si="8"/>
        <v>Lizarriturri, Joseph</v>
      </c>
      <c r="K81" s="73">
        <f t="shared" si="9"/>
        <v>40500</v>
      </c>
    </row>
    <row r="82" spans="1:11" ht="15" customHeight="1" x14ac:dyDescent="0.25">
      <c r="A82" t="s">
        <v>372</v>
      </c>
      <c r="B82" cm="1">
        <f t="array" ref="B82">SUMPRODUCT((A82='1675 (1)'!$D$2:$D$254)*'1675 (1)'!$I$2:$I$254)</f>
        <v>0</v>
      </c>
      <c r="C82" cm="1">
        <f t="array" ref="C82">SUMPRODUCT((A82='1675 (2)'!$D$2:$D$422)*'1675 (2)'!$I$2:$I$422)</f>
        <v>6500</v>
      </c>
      <c r="D82">
        <f t="shared" si="5"/>
        <v>6500</v>
      </c>
      <c r="E82">
        <f t="shared" si="6"/>
        <v>6500.0000819999996</v>
      </c>
      <c r="F82">
        <f t="shared" si="7"/>
        <v>191</v>
      </c>
      <c r="I82" s="73">
        <v>81</v>
      </c>
      <c r="J82" s="73" t="str">
        <f t="shared" si="8"/>
        <v>Calderón, Cristóbal</v>
      </c>
      <c r="K82" s="73">
        <f t="shared" si="9"/>
        <v>40400</v>
      </c>
    </row>
    <row r="83" spans="1:11" ht="15" customHeight="1" x14ac:dyDescent="0.25">
      <c r="A83" t="s">
        <v>373</v>
      </c>
      <c r="B83" cm="1">
        <f t="array" ref="B83">SUMPRODUCT((A83='1675 (1)'!$D$2:$D$254)*'1675 (1)'!$I$2:$I$254)</f>
        <v>0</v>
      </c>
      <c r="C83" cm="1">
        <f t="array" ref="C83">SUMPRODUCT((A83='1675 (2)'!$D$2:$D$422)*'1675 (2)'!$I$2:$I$422)</f>
        <v>25000</v>
      </c>
      <c r="D83">
        <f t="shared" si="5"/>
        <v>25000</v>
      </c>
      <c r="E83">
        <f t="shared" si="6"/>
        <v>25000.000082999999</v>
      </c>
      <c r="F83">
        <f t="shared" si="7"/>
        <v>111</v>
      </c>
      <c r="I83" s="73">
        <v>82</v>
      </c>
      <c r="J83" s="73" t="str">
        <f t="shared" si="8"/>
        <v>Arechavaleta, Baltazar de</v>
      </c>
      <c r="K83" s="73">
        <f t="shared" si="9"/>
        <v>39640</v>
      </c>
    </row>
    <row r="84" spans="1:11" ht="15" customHeight="1" x14ac:dyDescent="0.25">
      <c r="A84" t="s">
        <v>98</v>
      </c>
      <c r="B84" cm="1">
        <f t="array" ref="B84">SUMPRODUCT((A84='1675 (1)'!$D$2:$D$254)*'1675 (1)'!$I$2:$I$254)</f>
        <v>1900</v>
      </c>
      <c r="C84" cm="1">
        <f t="array" ref="C84">SUMPRODUCT((A84='1675 (2)'!$D$2:$D$422)*'1675 (2)'!$I$2:$I$422)</f>
        <v>15000</v>
      </c>
      <c r="D84">
        <f t="shared" si="5"/>
        <v>16900</v>
      </c>
      <c r="E84">
        <f t="shared" si="6"/>
        <v>16900.000083999999</v>
      </c>
      <c r="F84">
        <f t="shared" si="7"/>
        <v>138</v>
      </c>
      <c r="I84" s="73">
        <v>83</v>
      </c>
      <c r="J84" s="73" t="str">
        <f t="shared" si="8"/>
        <v>Cementerio, Juan Antonio</v>
      </c>
      <c r="K84" s="73">
        <f t="shared" si="9"/>
        <v>37500</v>
      </c>
    </row>
    <row r="85" spans="1:11" ht="15" customHeight="1" x14ac:dyDescent="0.25">
      <c r="A85" t="s">
        <v>374</v>
      </c>
      <c r="B85" cm="1">
        <f t="array" ref="B85">SUMPRODUCT((A85='1675 (1)'!$D$2:$D$254)*'1675 (1)'!$I$2:$I$254)</f>
        <v>0</v>
      </c>
      <c r="C85" cm="1">
        <f t="array" ref="C85">SUMPRODUCT((A85='1675 (2)'!$D$2:$D$422)*'1675 (2)'!$I$2:$I$422)</f>
        <v>25000</v>
      </c>
      <c r="D85">
        <f t="shared" si="5"/>
        <v>25000</v>
      </c>
      <c r="E85">
        <f t="shared" si="6"/>
        <v>25000.000085</v>
      </c>
      <c r="F85">
        <f t="shared" si="7"/>
        <v>110</v>
      </c>
      <c r="I85" s="73">
        <v>84</v>
      </c>
      <c r="J85" s="73" t="str">
        <f t="shared" si="8"/>
        <v>Lascuraín, Pedro de</v>
      </c>
      <c r="K85" s="73">
        <f t="shared" si="9"/>
        <v>36000</v>
      </c>
    </row>
    <row r="86" spans="1:11" ht="15" customHeight="1" x14ac:dyDescent="0.25">
      <c r="A86" t="s">
        <v>375</v>
      </c>
      <c r="B86" cm="1">
        <f t="array" ref="B86">SUMPRODUCT((A86='1675 (1)'!$D$2:$D$254)*'1675 (1)'!$I$2:$I$254)</f>
        <v>0</v>
      </c>
      <c r="C86" cm="1">
        <f t="array" ref="C86">SUMPRODUCT((A86='1675 (2)'!$D$2:$D$422)*'1675 (2)'!$I$2:$I$422)</f>
        <v>10000</v>
      </c>
      <c r="D86">
        <f t="shared" si="5"/>
        <v>10000</v>
      </c>
      <c r="E86">
        <f t="shared" si="6"/>
        <v>10000.000086</v>
      </c>
      <c r="F86">
        <f t="shared" si="7"/>
        <v>172</v>
      </c>
      <c r="I86" s="73">
        <v>85</v>
      </c>
      <c r="J86" s="73" t="str">
        <f t="shared" si="8"/>
        <v>Díaz de Remolino, Pedro</v>
      </c>
      <c r="K86" s="73">
        <f t="shared" si="9"/>
        <v>36000</v>
      </c>
    </row>
    <row r="87" spans="1:11" ht="15" customHeight="1" x14ac:dyDescent="0.25">
      <c r="A87" t="s">
        <v>377</v>
      </c>
      <c r="B87" cm="1">
        <f t="array" ref="B87">SUMPRODUCT((A87='1675 (1)'!$D$2:$D$254)*'1675 (1)'!$I$2:$I$254)</f>
        <v>1200</v>
      </c>
      <c r="C87" cm="1">
        <f t="array" ref="C87">SUMPRODUCT((A87='1675 (2)'!$D$2:$D$422)*'1675 (2)'!$I$2:$I$422)</f>
        <v>22000</v>
      </c>
      <c r="D87">
        <f t="shared" si="5"/>
        <v>23200</v>
      </c>
      <c r="E87">
        <f t="shared" si="6"/>
        <v>23200.000087</v>
      </c>
      <c r="F87">
        <f t="shared" si="7"/>
        <v>117</v>
      </c>
      <c r="I87" s="73">
        <v>86</v>
      </c>
      <c r="J87" s="73" t="str">
        <f t="shared" si="8"/>
        <v>Urrutia, Pedro de</v>
      </c>
      <c r="K87" s="73">
        <f t="shared" si="9"/>
        <v>35800</v>
      </c>
    </row>
    <row r="88" spans="1:11" ht="15" customHeight="1" x14ac:dyDescent="0.25">
      <c r="A88" t="s">
        <v>378</v>
      </c>
      <c r="B88" cm="1">
        <f t="array" ref="B88">SUMPRODUCT((A88='1675 (1)'!$D$2:$D$254)*'1675 (1)'!$I$2:$I$254)</f>
        <v>0</v>
      </c>
      <c r="C88" cm="1">
        <f t="array" ref="C88">SUMPRODUCT((A88='1675 (2)'!$D$2:$D$422)*'1675 (2)'!$I$2:$I$422)</f>
        <v>31000</v>
      </c>
      <c r="D88">
        <f t="shared" si="5"/>
        <v>31000</v>
      </c>
      <c r="E88">
        <f t="shared" si="6"/>
        <v>31000.000088000001</v>
      </c>
      <c r="F88">
        <f t="shared" si="7"/>
        <v>95</v>
      </c>
      <c r="I88" s="73">
        <v>87</v>
      </c>
      <c r="J88" s="73" t="str">
        <f t="shared" si="8"/>
        <v>Ramos de Azu, Juan</v>
      </c>
      <c r="K88" s="73">
        <f t="shared" si="9"/>
        <v>35100</v>
      </c>
    </row>
    <row r="89" spans="1:11" ht="15" customHeight="1" x14ac:dyDescent="0.25">
      <c r="A89" t="s">
        <v>379</v>
      </c>
      <c r="B89" cm="1">
        <f t="array" ref="B89">SUMPRODUCT((A89='1675 (1)'!$D$2:$D$254)*'1675 (1)'!$I$2:$I$254)</f>
        <v>0</v>
      </c>
      <c r="C89" cm="1">
        <f t="array" ref="C89">SUMPRODUCT((A89='1675 (2)'!$D$2:$D$422)*'1675 (2)'!$I$2:$I$422)</f>
        <v>80000</v>
      </c>
      <c r="D89">
        <f t="shared" si="5"/>
        <v>80000</v>
      </c>
      <c r="E89">
        <f t="shared" si="6"/>
        <v>80000.000088999994</v>
      </c>
      <c r="F89">
        <f t="shared" si="7"/>
        <v>42</v>
      </c>
      <c r="I89" s="73">
        <v>88</v>
      </c>
      <c r="J89" s="73" t="str">
        <f t="shared" si="8"/>
        <v>Betancur, Miguel de</v>
      </c>
      <c r="K89" s="73">
        <f t="shared" si="9"/>
        <v>35000</v>
      </c>
    </row>
    <row r="90" spans="1:11" ht="15" customHeight="1" x14ac:dyDescent="0.25">
      <c r="A90" t="s">
        <v>495</v>
      </c>
      <c r="B90" cm="1">
        <f t="array" ref="B90">SUMPRODUCT((A90='1675 (1)'!$D$2:$D$254)*'1675 (1)'!$I$2:$I$254)</f>
        <v>1000</v>
      </c>
      <c r="C90" cm="1">
        <f t="array" ref="C90">SUMPRODUCT((A90='1675 (2)'!$D$2:$D$422)*'1675 (2)'!$I$2:$I$422)</f>
        <v>60500</v>
      </c>
      <c r="D90">
        <f t="shared" si="5"/>
        <v>61500</v>
      </c>
      <c r="E90">
        <f t="shared" si="6"/>
        <v>61500.000090000001</v>
      </c>
      <c r="F90">
        <f t="shared" si="7"/>
        <v>55</v>
      </c>
      <c r="I90" s="73">
        <v>89</v>
      </c>
      <c r="J90" s="73" t="str">
        <f t="shared" si="8"/>
        <v>Sánchez de Bada, Francisco</v>
      </c>
      <c r="K90" s="73">
        <f t="shared" si="9"/>
        <v>33500</v>
      </c>
    </row>
    <row r="91" spans="1:11" ht="15" customHeight="1" x14ac:dyDescent="0.25">
      <c r="A91" t="s">
        <v>496</v>
      </c>
      <c r="B91" cm="1">
        <f t="array" ref="B91">SUMPRODUCT((A91='1675 (1)'!$D$2:$D$254)*'1675 (1)'!$I$2:$I$254)</f>
        <v>0</v>
      </c>
      <c r="C91" cm="1">
        <f t="array" ref="C91">SUMPRODUCT((A91='1675 (2)'!$D$2:$D$422)*'1675 (2)'!$I$2:$I$422)</f>
        <v>20800</v>
      </c>
      <c r="D91">
        <f t="shared" si="5"/>
        <v>20800</v>
      </c>
      <c r="E91">
        <f t="shared" si="6"/>
        <v>20800.000091000002</v>
      </c>
      <c r="F91">
        <f t="shared" si="7"/>
        <v>129</v>
      </c>
      <c r="I91" s="73">
        <v>90</v>
      </c>
      <c r="J91" s="73" t="str">
        <f t="shared" si="8"/>
        <v>Espinosa, Juan</v>
      </c>
      <c r="K91" s="73">
        <f t="shared" si="9"/>
        <v>33000</v>
      </c>
    </row>
    <row r="92" spans="1:11" ht="15" customHeight="1" x14ac:dyDescent="0.25">
      <c r="A92" t="s">
        <v>380</v>
      </c>
      <c r="B92" cm="1">
        <f t="array" ref="B92">SUMPRODUCT((A92='1675 (1)'!$D$2:$D$254)*'1675 (1)'!$I$2:$I$254)</f>
        <v>0</v>
      </c>
      <c r="C92" cm="1">
        <f t="array" ref="C92">SUMPRODUCT((A92='1675 (2)'!$D$2:$D$422)*'1675 (2)'!$I$2:$I$422)</f>
        <v>150500</v>
      </c>
      <c r="D92">
        <f t="shared" si="5"/>
        <v>150500</v>
      </c>
      <c r="E92">
        <f t="shared" si="6"/>
        <v>150500.000092</v>
      </c>
      <c r="F92">
        <f t="shared" si="7"/>
        <v>13</v>
      </c>
      <c r="I92" s="73">
        <v>91</v>
      </c>
      <c r="J92" s="73" t="str">
        <f t="shared" si="8"/>
        <v>Castañeda, Francisco de</v>
      </c>
      <c r="K92" s="73">
        <f t="shared" si="9"/>
        <v>32500</v>
      </c>
    </row>
    <row r="93" spans="1:11" ht="15" customHeight="1" x14ac:dyDescent="0.25">
      <c r="A93" t="s">
        <v>110</v>
      </c>
      <c r="B93" cm="1">
        <f t="array" ref="B93">SUMPRODUCT((A93='1675 (1)'!$D$2:$D$254)*'1675 (1)'!$I$2:$I$254)</f>
        <v>2800</v>
      </c>
      <c r="C93" cm="1">
        <f t="array" ref="C93">SUMPRODUCT((A93='1675 (2)'!$D$2:$D$422)*'1675 (2)'!$I$2:$I$422)</f>
        <v>92500</v>
      </c>
      <c r="D93">
        <f t="shared" si="5"/>
        <v>95300</v>
      </c>
      <c r="E93">
        <f t="shared" si="6"/>
        <v>95300.000092999995</v>
      </c>
      <c r="F93">
        <f t="shared" si="7"/>
        <v>35</v>
      </c>
      <c r="I93" s="73">
        <v>92</v>
      </c>
      <c r="J93" s="73" t="str">
        <f t="shared" si="8"/>
        <v>Monasterio Guren, Antonio de</v>
      </c>
      <c r="K93" s="73">
        <f t="shared" si="9"/>
        <v>32000</v>
      </c>
    </row>
    <row r="94" spans="1:11" ht="15" customHeight="1" x14ac:dyDescent="0.25">
      <c r="A94" t="s">
        <v>384</v>
      </c>
      <c r="B94" cm="1">
        <f t="array" ref="B94">SUMPRODUCT((A94='1675 (1)'!$D$2:$D$254)*'1675 (1)'!$I$2:$I$254)</f>
        <v>0</v>
      </c>
      <c r="C94" cm="1">
        <f t="array" ref="C94">SUMPRODUCT((A94='1675 (2)'!$D$2:$D$422)*'1675 (2)'!$I$2:$I$422)</f>
        <v>4500</v>
      </c>
      <c r="D94">
        <f t="shared" si="5"/>
        <v>4500</v>
      </c>
      <c r="E94">
        <f t="shared" si="6"/>
        <v>4500.000094</v>
      </c>
      <c r="F94">
        <f t="shared" si="7"/>
        <v>204</v>
      </c>
      <c r="I94" s="73">
        <v>93</v>
      </c>
      <c r="J94" s="73" t="str">
        <f t="shared" si="8"/>
        <v>Torresillas, Joseph de</v>
      </c>
      <c r="K94" s="73">
        <f t="shared" si="9"/>
        <v>32000</v>
      </c>
    </row>
    <row r="95" spans="1:11" ht="15" customHeight="1" x14ac:dyDescent="0.25">
      <c r="A95" t="s">
        <v>385</v>
      </c>
      <c r="B95" cm="1">
        <f t="array" ref="B95">SUMPRODUCT((A95='1675 (1)'!$D$2:$D$254)*'1675 (1)'!$I$2:$I$254)</f>
        <v>0</v>
      </c>
      <c r="C95" cm="1">
        <f t="array" ref="C95">SUMPRODUCT((A95='1675 (2)'!$D$2:$D$422)*'1675 (2)'!$I$2:$I$422)</f>
        <v>7000</v>
      </c>
      <c r="D95">
        <f t="shared" si="5"/>
        <v>7000</v>
      </c>
      <c r="E95">
        <f t="shared" si="6"/>
        <v>7000.0000950000003</v>
      </c>
      <c r="F95">
        <f t="shared" si="7"/>
        <v>190</v>
      </c>
      <c r="I95" s="73">
        <v>94</v>
      </c>
      <c r="J95" s="73" t="str">
        <f t="shared" si="8"/>
        <v>Navarrete, Esteban de</v>
      </c>
      <c r="K95" s="73">
        <f t="shared" si="9"/>
        <v>31980</v>
      </c>
    </row>
    <row r="96" spans="1:11" ht="15" customHeight="1" x14ac:dyDescent="0.25">
      <c r="A96" t="s">
        <v>386</v>
      </c>
      <c r="B96" cm="1">
        <f t="array" ref="B96">SUMPRODUCT((A96='1675 (1)'!$D$2:$D$254)*'1675 (1)'!$I$2:$I$254)</f>
        <v>0</v>
      </c>
      <c r="C96" cm="1">
        <f t="array" ref="C96">SUMPRODUCT((A96='1675 (2)'!$D$2:$D$422)*'1675 (2)'!$I$2:$I$422)</f>
        <v>350000</v>
      </c>
      <c r="D96">
        <f t="shared" si="5"/>
        <v>350000</v>
      </c>
      <c r="E96">
        <f t="shared" si="6"/>
        <v>350000.00009599997</v>
      </c>
      <c r="F96">
        <f t="shared" si="7"/>
        <v>2</v>
      </c>
      <c r="I96" s="73">
        <v>95</v>
      </c>
      <c r="J96" s="73" t="str">
        <f t="shared" si="8"/>
        <v>Gonzáles Galeano, Francisco</v>
      </c>
      <c r="K96" s="73">
        <f t="shared" si="9"/>
        <v>31000</v>
      </c>
    </row>
    <row r="97" spans="1:11" ht="15" customHeight="1" x14ac:dyDescent="0.25">
      <c r="A97" t="s">
        <v>497</v>
      </c>
      <c r="B97" cm="1">
        <f t="array" ref="B97">SUMPRODUCT((A97='1675 (1)'!$D$2:$D$254)*'1675 (1)'!$I$2:$I$254)</f>
        <v>0</v>
      </c>
      <c r="C97" cm="1">
        <f t="array" ref="C97">SUMPRODUCT((A97='1675 (2)'!$D$2:$D$422)*'1675 (2)'!$I$2:$I$422)</f>
        <v>3500</v>
      </c>
      <c r="D97">
        <f t="shared" si="5"/>
        <v>3500</v>
      </c>
      <c r="E97">
        <f t="shared" si="6"/>
        <v>3500.0000970000001</v>
      </c>
      <c r="F97">
        <f t="shared" si="7"/>
        <v>210</v>
      </c>
      <c r="I97" s="73">
        <v>96</v>
      </c>
      <c r="J97" s="73" t="str">
        <f t="shared" si="8"/>
        <v>Aguilar, Juan de</v>
      </c>
      <c r="K97" s="73">
        <f t="shared" si="9"/>
        <v>30500</v>
      </c>
    </row>
    <row r="98" spans="1:11" ht="15" customHeight="1" x14ac:dyDescent="0.25">
      <c r="A98" t="s">
        <v>498</v>
      </c>
      <c r="B98" cm="1">
        <f t="array" ref="B98">SUMPRODUCT((A98='1675 (1)'!$D$2:$D$254)*'1675 (1)'!$I$2:$I$254)</f>
        <v>0</v>
      </c>
      <c r="C98" cm="1">
        <f t="array" ref="C98">SUMPRODUCT((A98='1675 (2)'!$D$2:$D$422)*'1675 (2)'!$I$2:$I$422)</f>
        <v>21000</v>
      </c>
      <c r="D98">
        <f t="shared" si="5"/>
        <v>21000</v>
      </c>
      <c r="E98">
        <f t="shared" si="6"/>
        <v>21000.000098</v>
      </c>
      <c r="F98">
        <f t="shared" si="7"/>
        <v>126</v>
      </c>
      <c r="I98" s="73">
        <v>97</v>
      </c>
      <c r="J98" s="73" t="str">
        <f t="shared" si="8"/>
        <v>Gómez Garrido, Fernando</v>
      </c>
      <c r="K98" s="73">
        <f t="shared" si="9"/>
        <v>30500</v>
      </c>
    </row>
    <row r="99" spans="1:11" ht="15" customHeight="1" x14ac:dyDescent="0.25">
      <c r="A99" t="s">
        <v>394</v>
      </c>
      <c r="B99" cm="1">
        <f t="array" ref="B99">SUMPRODUCT((A99='1675 (1)'!$D$2:$D$254)*'1675 (1)'!$I$2:$I$254)</f>
        <v>0</v>
      </c>
      <c r="C99" cm="1">
        <f t="array" ref="C99">SUMPRODUCT((A99='1675 (2)'!$D$2:$D$422)*'1675 (2)'!$I$2:$I$422)</f>
        <v>90500</v>
      </c>
      <c r="D99">
        <f t="shared" si="5"/>
        <v>90500</v>
      </c>
      <c r="E99">
        <f t="shared" si="6"/>
        <v>90500.000098999997</v>
      </c>
      <c r="F99">
        <f t="shared" si="7"/>
        <v>38</v>
      </c>
      <c r="I99" s="73">
        <v>98</v>
      </c>
      <c r="J99" s="73" t="str">
        <f t="shared" si="8"/>
        <v>Prado, Andrés de</v>
      </c>
      <c r="K99" s="73">
        <f t="shared" si="9"/>
        <v>30000</v>
      </c>
    </row>
    <row r="100" spans="1:11" ht="15" customHeight="1" x14ac:dyDescent="0.25">
      <c r="A100" t="s">
        <v>396</v>
      </c>
      <c r="B100" cm="1">
        <f t="array" ref="B100">SUMPRODUCT((A100='1675 (1)'!$D$2:$D$254)*'1675 (1)'!$I$2:$I$254)</f>
        <v>0</v>
      </c>
      <c r="C100" cm="1">
        <f t="array" ref="C100">SUMPRODUCT((A100='1675 (2)'!$D$2:$D$422)*'1675 (2)'!$I$2:$I$422)</f>
        <v>21000</v>
      </c>
      <c r="D100">
        <f t="shared" si="5"/>
        <v>21000</v>
      </c>
      <c r="E100">
        <f t="shared" si="6"/>
        <v>21000.000100000001</v>
      </c>
      <c r="F100">
        <f t="shared" si="7"/>
        <v>125</v>
      </c>
      <c r="I100" s="73">
        <v>99</v>
      </c>
      <c r="J100" s="73" t="str">
        <f t="shared" si="8"/>
        <v>Nuñovero, Gabriel de</v>
      </c>
      <c r="K100" s="73">
        <f t="shared" si="9"/>
        <v>30000</v>
      </c>
    </row>
    <row r="101" spans="1:11" ht="15" customHeight="1" x14ac:dyDescent="0.25">
      <c r="A101" t="s">
        <v>397</v>
      </c>
      <c r="B101" cm="1">
        <f t="array" ref="B101">SUMPRODUCT((A101='1675 (1)'!$D$2:$D$254)*'1675 (1)'!$I$2:$I$254)</f>
        <v>0</v>
      </c>
      <c r="C101" cm="1">
        <f t="array" ref="C101">SUMPRODUCT((A101='1675 (2)'!$D$2:$D$422)*'1675 (2)'!$I$2:$I$422)</f>
        <v>41000</v>
      </c>
      <c r="D101">
        <f t="shared" si="5"/>
        <v>41000</v>
      </c>
      <c r="E101">
        <f t="shared" si="6"/>
        <v>41000.000100999998</v>
      </c>
      <c r="F101">
        <f t="shared" si="7"/>
        <v>79</v>
      </c>
      <c r="I101" s="73">
        <v>100</v>
      </c>
      <c r="J101" s="73" t="str">
        <f t="shared" si="8"/>
        <v>Fernández de Otero, Alonso</v>
      </c>
      <c r="K101" s="73">
        <f t="shared" si="9"/>
        <v>30000</v>
      </c>
    </row>
    <row r="102" spans="1:11" ht="15" customHeight="1" x14ac:dyDescent="0.25">
      <c r="A102" t="s">
        <v>399</v>
      </c>
      <c r="B102" cm="1">
        <f t="array" ref="B102">SUMPRODUCT((A102='1675 (1)'!$D$2:$D$254)*'1675 (1)'!$I$2:$I$254)</f>
        <v>0</v>
      </c>
      <c r="C102" cm="1">
        <f t="array" ref="C102">SUMPRODUCT((A102='1675 (2)'!$D$2:$D$422)*'1675 (2)'!$I$2:$I$422)</f>
        <v>14500</v>
      </c>
      <c r="D102">
        <f t="shared" si="5"/>
        <v>14500</v>
      </c>
      <c r="E102">
        <f t="shared" si="6"/>
        <v>14500.000102</v>
      </c>
      <c r="F102">
        <f t="shared" si="7"/>
        <v>148</v>
      </c>
      <c r="I102" s="73">
        <v>101</v>
      </c>
      <c r="J102" s="73" t="str">
        <f t="shared" si="8"/>
        <v>Sancho de Ávila, Antonio</v>
      </c>
      <c r="K102" s="73">
        <f t="shared" si="9"/>
        <v>29060</v>
      </c>
    </row>
    <row r="103" spans="1:11" ht="15" customHeight="1" x14ac:dyDescent="0.25">
      <c r="A103" t="s">
        <v>16</v>
      </c>
      <c r="B103" cm="1">
        <f t="array" ref="B103">SUMPRODUCT((A103='1675 (1)'!$D$2:$D$254)*'1675 (1)'!$I$2:$I$254)</f>
        <v>8550</v>
      </c>
      <c r="C103" cm="1">
        <f t="array" ref="C103">SUMPRODUCT((A103='1675 (2)'!$D$2:$D$422)*'1675 (2)'!$I$2:$I$422)</f>
        <v>500000</v>
      </c>
      <c r="D103">
        <f t="shared" si="5"/>
        <v>508550</v>
      </c>
      <c r="E103">
        <f t="shared" si="6"/>
        <v>508550.00010300003</v>
      </c>
      <c r="F103">
        <f t="shared" si="7"/>
        <v>1</v>
      </c>
      <c r="I103" s="73">
        <v>102</v>
      </c>
      <c r="J103" s="73" t="str">
        <f t="shared" si="8"/>
        <v>Fernández Dávila, Marcos</v>
      </c>
      <c r="K103" s="73">
        <f t="shared" si="9"/>
        <v>29000</v>
      </c>
    </row>
    <row r="104" spans="1:11" ht="15" customHeight="1" x14ac:dyDescent="0.25">
      <c r="A104" t="s">
        <v>499</v>
      </c>
      <c r="B104" cm="1">
        <f t="array" ref="B104">SUMPRODUCT((A104='1675 (1)'!$D$2:$D$254)*'1675 (1)'!$I$2:$I$254)</f>
        <v>1070</v>
      </c>
      <c r="C104" cm="1">
        <f t="array" ref="C104">SUMPRODUCT((A104='1675 (2)'!$D$2:$D$422)*'1675 (2)'!$I$2:$I$422)</f>
        <v>157500</v>
      </c>
      <c r="D104">
        <f t="shared" si="5"/>
        <v>158570</v>
      </c>
      <c r="E104">
        <f t="shared" si="6"/>
        <v>158570.00010400001</v>
      </c>
      <c r="F104">
        <f t="shared" si="7"/>
        <v>10</v>
      </c>
      <c r="I104" s="73">
        <v>103</v>
      </c>
      <c r="J104" s="73" t="str">
        <f t="shared" si="8"/>
        <v>Valverde y Mercado, Joseph de</v>
      </c>
      <c r="K104" s="73">
        <f t="shared" si="9"/>
        <v>27500</v>
      </c>
    </row>
    <row r="105" spans="1:11" ht="15" customHeight="1" x14ac:dyDescent="0.25">
      <c r="A105" t="s">
        <v>141</v>
      </c>
      <c r="B105" cm="1">
        <f t="array" ref="B105">SUMPRODUCT((A105='1675 (1)'!$D$2:$D$254)*'1675 (1)'!$I$2:$I$254)</f>
        <v>1000</v>
      </c>
      <c r="C105" cm="1">
        <f t="array" ref="C105">SUMPRODUCT((A105='1675 (2)'!$D$2:$D$422)*'1675 (2)'!$I$2:$I$422)</f>
        <v>7000</v>
      </c>
      <c r="D105">
        <f t="shared" si="5"/>
        <v>8000</v>
      </c>
      <c r="E105">
        <f t="shared" si="6"/>
        <v>8000.0001050000001</v>
      </c>
      <c r="F105">
        <f t="shared" si="7"/>
        <v>182</v>
      </c>
      <c r="I105" s="73">
        <v>104</v>
      </c>
      <c r="J105" s="73" t="str">
        <f t="shared" si="8"/>
        <v>Coello de Fonseca, Manuel</v>
      </c>
      <c r="K105" s="73">
        <f t="shared" si="9"/>
        <v>27000</v>
      </c>
    </row>
    <row r="106" spans="1:11" ht="15" customHeight="1" x14ac:dyDescent="0.25">
      <c r="A106" t="s">
        <v>405</v>
      </c>
      <c r="B106" cm="1">
        <f t="array" ref="B106">SUMPRODUCT((A106='1675 (1)'!$D$2:$D$254)*'1675 (1)'!$I$2:$I$254)</f>
        <v>0</v>
      </c>
      <c r="C106" cm="1">
        <f t="array" ref="C106">SUMPRODUCT((A106='1675 (2)'!$D$2:$D$422)*'1675 (2)'!$I$2:$I$422)</f>
        <v>5000</v>
      </c>
      <c r="D106">
        <f t="shared" si="5"/>
        <v>5000</v>
      </c>
      <c r="E106">
        <f t="shared" si="6"/>
        <v>5000.0001060000004</v>
      </c>
      <c r="F106">
        <f t="shared" si="7"/>
        <v>201</v>
      </c>
      <c r="I106" s="73">
        <v>105</v>
      </c>
      <c r="J106" s="73" t="str">
        <f t="shared" si="8"/>
        <v>Capetillo, Diego</v>
      </c>
      <c r="K106" s="73">
        <f t="shared" si="9"/>
        <v>27000</v>
      </c>
    </row>
    <row r="107" spans="1:11" ht="15" customHeight="1" x14ac:dyDescent="0.25">
      <c r="A107" t="s">
        <v>406</v>
      </c>
      <c r="B107" cm="1">
        <f t="array" ref="B107">SUMPRODUCT((A107='1675 (1)'!$D$2:$D$254)*'1675 (1)'!$I$2:$I$254)</f>
        <v>0</v>
      </c>
      <c r="C107" cm="1">
        <f t="array" ref="C107">SUMPRODUCT((A107='1675 (2)'!$D$2:$D$422)*'1675 (2)'!$I$2:$I$422)</f>
        <v>51000</v>
      </c>
      <c r="D107">
        <f t="shared" si="5"/>
        <v>51000</v>
      </c>
      <c r="E107">
        <f t="shared" si="6"/>
        <v>51000.000107</v>
      </c>
      <c r="F107">
        <f t="shared" si="7"/>
        <v>62</v>
      </c>
      <c r="I107" s="73">
        <v>106</v>
      </c>
      <c r="J107" s="73" t="str">
        <f t="shared" si="8"/>
        <v>Rodríguez, Andrés</v>
      </c>
      <c r="K107" s="73">
        <f t="shared" si="9"/>
        <v>27000</v>
      </c>
    </row>
    <row r="108" spans="1:11" ht="15" customHeight="1" x14ac:dyDescent="0.25">
      <c r="A108" t="s">
        <v>408</v>
      </c>
      <c r="B108" cm="1">
        <f t="array" ref="B108">SUMPRODUCT((A108='1675 (1)'!$D$2:$D$254)*'1675 (1)'!$I$2:$I$254)</f>
        <v>0</v>
      </c>
      <c r="C108" cm="1">
        <f t="array" ref="C108">SUMPRODUCT((A108='1675 (2)'!$D$2:$D$422)*'1675 (2)'!$I$2:$I$422)</f>
        <v>22300</v>
      </c>
      <c r="D108">
        <f t="shared" si="5"/>
        <v>22300</v>
      </c>
      <c r="E108">
        <f t="shared" si="6"/>
        <v>22300.000108</v>
      </c>
      <c r="F108">
        <f t="shared" si="7"/>
        <v>121</v>
      </c>
      <c r="I108" s="73">
        <v>107</v>
      </c>
      <c r="J108" s="73" t="str">
        <f t="shared" si="8"/>
        <v>Orue Sagasti, Juan</v>
      </c>
      <c r="K108" s="73">
        <f t="shared" si="9"/>
        <v>26192</v>
      </c>
    </row>
    <row r="109" spans="1:11" ht="15" customHeight="1" x14ac:dyDescent="0.25">
      <c r="A109" t="s">
        <v>409</v>
      </c>
      <c r="B109" cm="1">
        <f t="array" ref="B109">SUMPRODUCT((A109='1675 (1)'!$D$2:$D$254)*'1675 (1)'!$I$2:$I$254)</f>
        <v>0</v>
      </c>
      <c r="C109" cm="1">
        <f t="array" ref="C109">SUMPRODUCT((A109='1675 (2)'!$D$2:$D$422)*'1675 (2)'!$I$2:$I$422)</f>
        <v>100000</v>
      </c>
      <c r="D109">
        <f t="shared" si="5"/>
        <v>100000</v>
      </c>
      <c r="E109">
        <f t="shared" si="6"/>
        <v>100000.000109</v>
      </c>
      <c r="F109">
        <f t="shared" si="7"/>
        <v>33</v>
      </c>
      <c r="I109" s="73">
        <v>108</v>
      </c>
      <c r="J109" s="73" t="str">
        <f t="shared" si="8"/>
        <v>Hoz, Sebastián de la</v>
      </c>
      <c r="K109" s="73">
        <f t="shared" si="9"/>
        <v>26000</v>
      </c>
    </row>
    <row r="110" spans="1:11" ht="15" customHeight="1" x14ac:dyDescent="0.25">
      <c r="A110" t="s">
        <v>411</v>
      </c>
      <c r="B110" cm="1">
        <f t="array" ref="B110">SUMPRODUCT((A110='1675 (1)'!$D$2:$D$254)*'1675 (1)'!$I$2:$I$254)</f>
        <v>0</v>
      </c>
      <c r="C110" cm="1">
        <f t="array" ref="C110">SUMPRODUCT((A110='1675 (2)'!$D$2:$D$422)*'1675 (2)'!$I$2:$I$422)</f>
        <v>62500</v>
      </c>
      <c r="D110">
        <f t="shared" si="5"/>
        <v>62500</v>
      </c>
      <c r="E110">
        <f t="shared" si="6"/>
        <v>62500.000110000001</v>
      </c>
      <c r="F110">
        <f t="shared" si="7"/>
        <v>54</v>
      </c>
      <c r="I110" s="73">
        <v>109</v>
      </c>
      <c r="J110" s="73" t="str">
        <f t="shared" si="8"/>
        <v>Díaz del Rincón, Pedro</v>
      </c>
      <c r="K110" s="73">
        <f t="shared" si="9"/>
        <v>25200</v>
      </c>
    </row>
    <row r="111" spans="1:11" ht="15" customHeight="1" x14ac:dyDescent="0.25">
      <c r="A111" t="s">
        <v>413</v>
      </c>
      <c r="B111" cm="1">
        <f t="array" ref="B111">SUMPRODUCT((A111='1675 (1)'!$D$2:$D$254)*'1675 (1)'!$I$2:$I$254)</f>
        <v>0</v>
      </c>
      <c r="C111" cm="1">
        <f t="array" ref="C111">SUMPRODUCT((A111='1675 (2)'!$D$2:$D$422)*'1675 (2)'!$I$2:$I$422)</f>
        <v>219500</v>
      </c>
      <c r="D111">
        <f t="shared" si="5"/>
        <v>219500</v>
      </c>
      <c r="E111">
        <f t="shared" si="6"/>
        <v>219500.000111</v>
      </c>
      <c r="F111">
        <f t="shared" si="7"/>
        <v>5</v>
      </c>
      <c r="I111" s="73">
        <v>110</v>
      </c>
      <c r="J111" s="73" t="str">
        <f t="shared" si="8"/>
        <v>Riquelme, Cristóbal</v>
      </c>
      <c r="K111" s="73">
        <f t="shared" si="9"/>
        <v>25000</v>
      </c>
    </row>
    <row r="112" spans="1:11" ht="15" customHeight="1" x14ac:dyDescent="0.25">
      <c r="A112" t="s">
        <v>414</v>
      </c>
      <c r="B112" cm="1">
        <f t="array" ref="B112">SUMPRODUCT((A112='1675 (1)'!$D$2:$D$254)*'1675 (1)'!$I$2:$I$254)</f>
        <v>0</v>
      </c>
      <c r="C112" cm="1">
        <f t="array" ref="C112">SUMPRODUCT((A112='1675 (2)'!$D$2:$D$422)*'1675 (2)'!$I$2:$I$422)</f>
        <v>22500</v>
      </c>
      <c r="D112">
        <f t="shared" si="5"/>
        <v>22500</v>
      </c>
      <c r="E112">
        <f t="shared" si="6"/>
        <v>22500.000112000002</v>
      </c>
      <c r="F112">
        <f t="shared" si="7"/>
        <v>119</v>
      </c>
      <c r="I112" s="73">
        <v>111</v>
      </c>
      <c r="J112" s="73" t="str">
        <f t="shared" si="8"/>
        <v>Díaz Zorrilla, Pedro</v>
      </c>
      <c r="K112" s="73">
        <f t="shared" si="9"/>
        <v>25000</v>
      </c>
    </row>
    <row r="113" spans="1:11" ht="15" customHeight="1" x14ac:dyDescent="0.25">
      <c r="A113" t="s">
        <v>500</v>
      </c>
      <c r="B113" cm="1">
        <f t="array" ref="B113">SUMPRODUCT((A113='1675 (1)'!$D$2:$D$254)*'1675 (1)'!$I$2:$I$254)</f>
        <v>22500</v>
      </c>
      <c r="C113" cm="1">
        <f t="array" ref="C113">SUMPRODUCT((A113='1675 (2)'!$D$2:$D$422)*'1675 (2)'!$I$2:$I$422)</f>
        <v>25000</v>
      </c>
      <c r="D113">
        <f t="shared" si="5"/>
        <v>47500</v>
      </c>
      <c r="E113">
        <f t="shared" si="6"/>
        <v>47500.000113000002</v>
      </c>
      <c r="F113">
        <f t="shared" si="7"/>
        <v>66</v>
      </c>
      <c r="I113" s="73">
        <v>112</v>
      </c>
      <c r="J113" s="73" t="str">
        <f t="shared" si="8"/>
        <v>Pérez, Fernando</v>
      </c>
      <c r="K113" s="73">
        <f t="shared" si="9"/>
        <v>24564</v>
      </c>
    </row>
    <row r="114" spans="1:11" ht="15" customHeight="1" x14ac:dyDescent="0.25">
      <c r="A114" t="s">
        <v>416</v>
      </c>
      <c r="B114" cm="1">
        <f t="array" ref="B114">SUMPRODUCT((A114='1675 (1)'!$D$2:$D$254)*'1675 (1)'!$I$2:$I$254)</f>
        <v>0</v>
      </c>
      <c r="C114" cm="1">
        <f t="array" ref="C114">SUMPRODUCT((A114='1675 (2)'!$D$2:$D$422)*'1675 (2)'!$I$2:$I$422)</f>
        <v>15000</v>
      </c>
      <c r="D114">
        <f t="shared" si="5"/>
        <v>15000</v>
      </c>
      <c r="E114">
        <f t="shared" si="6"/>
        <v>15000.000114</v>
      </c>
      <c r="F114">
        <f t="shared" si="7"/>
        <v>144</v>
      </c>
      <c r="I114" s="73">
        <v>113</v>
      </c>
      <c r="J114" s="73" t="str">
        <f t="shared" si="8"/>
        <v>Romero Soriano, Domingo</v>
      </c>
      <c r="K114" s="73">
        <f t="shared" si="9"/>
        <v>24500</v>
      </c>
    </row>
    <row r="115" spans="1:11" ht="15" customHeight="1" x14ac:dyDescent="0.25">
      <c r="A115" t="s">
        <v>417</v>
      </c>
      <c r="B115" cm="1">
        <f t="array" ref="B115">SUMPRODUCT((A115='1675 (1)'!$D$2:$D$254)*'1675 (1)'!$I$2:$I$254)</f>
        <v>0</v>
      </c>
      <c r="C115" cm="1">
        <f t="array" ref="C115">SUMPRODUCT((A115='1675 (2)'!$D$2:$D$422)*'1675 (2)'!$I$2:$I$422)</f>
        <v>187000</v>
      </c>
      <c r="D115">
        <f t="shared" si="5"/>
        <v>187000</v>
      </c>
      <c r="E115">
        <f t="shared" si="6"/>
        <v>187000.000115</v>
      </c>
      <c r="F115">
        <f t="shared" si="7"/>
        <v>8</v>
      </c>
      <c r="I115" s="73">
        <v>114</v>
      </c>
      <c r="J115" s="73" t="str">
        <f t="shared" si="8"/>
        <v>López de Torres, Francisco</v>
      </c>
      <c r="K115" s="73">
        <f t="shared" si="9"/>
        <v>24000</v>
      </c>
    </row>
    <row r="116" spans="1:11" ht="15" customHeight="1" x14ac:dyDescent="0.25">
      <c r="A116" t="s">
        <v>420</v>
      </c>
      <c r="B116" cm="1">
        <f t="array" ref="B116">SUMPRODUCT((A116='1675 (1)'!$D$2:$D$254)*'1675 (1)'!$I$2:$I$254)</f>
        <v>0</v>
      </c>
      <c r="C116" cm="1">
        <f t="array" ref="C116">SUMPRODUCT((A116='1675 (2)'!$D$2:$D$422)*'1675 (2)'!$I$2:$I$422)</f>
        <v>14100</v>
      </c>
      <c r="D116">
        <f t="shared" si="5"/>
        <v>14100</v>
      </c>
      <c r="E116">
        <f t="shared" si="6"/>
        <v>14100.000115999999</v>
      </c>
      <c r="F116">
        <f t="shared" si="7"/>
        <v>149</v>
      </c>
      <c r="I116" s="73">
        <v>115</v>
      </c>
      <c r="J116" s="73" t="str">
        <f t="shared" si="8"/>
        <v>Mendía, Gerónimo de</v>
      </c>
      <c r="K116" s="73">
        <f t="shared" si="9"/>
        <v>23600</v>
      </c>
    </row>
    <row r="117" spans="1:11" ht="15" customHeight="1" x14ac:dyDescent="0.25">
      <c r="A117" t="s">
        <v>154</v>
      </c>
      <c r="B117" cm="1">
        <f t="array" ref="B117">SUMPRODUCT((A117='1675 (1)'!$D$2:$D$254)*'1675 (1)'!$I$2:$I$254)</f>
        <v>150</v>
      </c>
      <c r="C117" cm="1">
        <f t="array" ref="C117">SUMPRODUCT((A117='1675 (2)'!$D$2:$D$422)*'1675 (2)'!$I$2:$I$422)</f>
        <v>43200</v>
      </c>
      <c r="D117">
        <f t="shared" si="5"/>
        <v>43350</v>
      </c>
      <c r="E117">
        <f t="shared" si="6"/>
        <v>43350.000117000003</v>
      </c>
      <c r="F117">
        <f t="shared" si="7"/>
        <v>75</v>
      </c>
      <c r="I117" s="73">
        <v>116</v>
      </c>
      <c r="J117" s="73" t="str">
        <f t="shared" si="8"/>
        <v>Corro, Fernando</v>
      </c>
      <c r="K117" s="73">
        <f t="shared" si="9"/>
        <v>23500</v>
      </c>
    </row>
    <row r="118" spans="1:11" ht="15" customHeight="1" x14ac:dyDescent="0.25">
      <c r="A118" t="s">
        <v>501</v>
      </c>
      <c r="B118" cm="1">
        <f t="array" ref="B118">SUMPRODUCT((A118='1675 (1)'!$D$2:$D$254)*'1675 (1)'!$I$2:$I$254)</f>
        <v>0</v>
      </c>
      <c r="C118" cm="1">
        <f t="array" ref="C118">SUMPRODUCT((A118='1675 (2)'!$D$2:$D$422)*'1675 (2)'!$I$2:$I$422)</f>
        <v>27500</v>
      </c>
      <c r="D118">
        <f t="shared" si="5"/>
        <v>27500</v>
      </c>
      <c r="E118">
        <f t="shared" si="6"/>
        <v>27500.000118</v>
      </c>
      <c r="F118">
        <f t="shared" si="7"/>
        <v>103</v>
      </c>
      <c r="I118" s="73">
        <v>117</v>
      </c>
      <c r="J118" s="73" t="str">
        <f t="shared" si="8"/>
        <v>Jiménez, Diego</v>
      </c>
      <c r="K118" s="73">
        <f t="shared" si="9"/>
        <v>23200</v>
      </c>
    </row>
    <row r="119" spans="1:11" ht="15" customHeight="1" x14ac:dyDescent="0.25">
      <c r="A119" t="s">
        <v>421</v>
      </c>
      <c r="B119" cm="1">
        <f t="array" ref="B119">SUMPRODUCT((A119='1675 (1)'!$D$2:$D$254)*'1675 (1)'!$I$2:$I$254)</f>
        <v>0</v>
      </c>
      <c r="C119" cm="1">
        <f t="array" ref="C119">SUMPRODUCT((A119='1675 (2)'!$D$2:$D$422)*'1675 (2)'!$I$2:$I$422)</f>
        <v>7500</v>
      </c>
      <c r="D119">
        <f t="shared" si="5"/>
        <v>7500</v>
      </c>
      <c r="E119">
        <f t="shared" si="6"/>
        <v>7500.0001190000003</v>
      </c>
      <c r="F119">
        <f t="shared" si="7"/>
        <v>187</v>
      </c>
      <c r="I119" s="73">
        <v>118</v>
      </c>
      <c r="J119" s="73" t="str">
        <f t="shared" si="8"/>
        <v>Peña, Pedro de la</v>
      </c>
      <c r="K119" s="73">
        <f t="shared" si="9"/>
        <v>22500</v>
      </c>
    </row>
    <row r="120" spans="1:11" ht="15" customHeight="1" x14ac:dyDescent="0.25">
      <c r="A120" t="s">
        <v>502</v>
      </c>
      <c r="B120" cm="1">
        <f t="array" ref="B120">SUMPRODUCT((A120='1675 (1)'!$D$2:$D$254)*'1675 (1)'!$I$2:$I$254)</f>
        <v>1600</v>
      </c>
      <c r="C120" cm="1">
        <f t="array" ref="C120">SUMPRODUCT((A120='1675 (2)'!$D$2:$D$422)*'1675 (2)'!$I$2:$I$422)</f>
        <v>33500</v>
      </c>
      <c r="D120">
        <f t="shared" si="5"/>
        <v>35100</v>
      </c>
      <c r="E120">
        <f t="shared" si="6"/>
        <v>35100.000119999997</v>
      </c>
      <c r="F120">
        <f t="shared" si="7"/>
        <v>87</v>
      </c>
      <c r="I120" s="73">
        <v>119</v>
      </c>
      <c r="J120" s="73" t="str">
        <f t="shared" si="8"/>
        <v>Cuesta, Martín de la</v>
      </c>
      <c r="K120" s="73">
        <f t="shared" si="9"/>
        <v>22500</v>
      </c>
    </row>
    <row r="121" spans="1:11" ht="15" customHeight="1" x14ac:dyDescent="0.25">
      <c r="A121" t="s">
        <v>422</v>
      </c>
      <c r="B121" cm="1">
        <f t="array" ref="B121">SUMPRODUCT((A121='1675 (1)'!$D$2:$D$254)*'1675 (1)'!$I$2:$I$254)</f>
        <v>0</v>
      </c>
      <c r="C121" cm="1">
        <f t="array" ref="C121">SUMPRODUCT((A121='1675 (2)'!$D$2:$D$422)*'1675 (2)'!$I$2:$I$422)</f>
        <v>13000</v>
      </c>
      <c r="D121">
        <f t="shared" si="5"/>
        <v>13000</v>
      </c>
      <c r="E121">
        <f t="shared" si="6"/>
        <v>13000.000120999999</v>
      </c>
      <c r="F121">
        <f t="shared" si="7"/>
        <v>153</v>
      </c>
      <c r="I121" s="73">
        <v>120</v>
      </c>
      <c r="J121" s="73" t="str">
        <f t="shared" si="8"/>
        <v>Arana Jáuregui, Gerónimo de</v>
      </c>
      <c r="K121" s="73">
        <f t="shared" si="9"/>
        <v>22500</v>
      </c>
    </row>
    <row r="122" spans="1:11" ht="15" customHeight="1" x14ac:dyDescent="0.25">
      <c r="A122" t="s">
        <v>503</v>
      </c>
      <c r="B122" cm="1">
        <f t="array" ref="B122">SUMPRODUCT((A122='1675 (1)'!$D$2:$D$254)*'1675 (1)'!$I$2:$I$254)</f>
        <v>0</v>
      </c>
      <c r="C122" cm="1">
        <f t="array" ref="C122">SUMPRODUCT((A122='1675 (2)'!$D$2:$D$422)*'1675 (2)'!$I$2:$I$422)</f>
        <v>18500</v>
      </c>
      <c r="D122">
        <f t="shared" si="5"/>
        <v>18500</v>
      </c>
      <c r="E122">
        <f t="shared" si="6"/>
        <v>18500.000122000001</v>
      </c>
      <c r="F122">
        <f t="shared" si="7"/>
        <v>135</v>
      </c>
      <c r="I122" s="73">
        <v>121</v>
      </c>
      <c r="J122" s="73" t="str">
        <f t="shared" si="8"/>
        <v>Serrano, Juan</v>
      </c>
      <c r="K122" s="73">
        <f t="shared" si="9"/>
        <v>22300</v>
      </c>
    </row>
    <row r="123" spans="1:11" ht="15" customHeight="1" x14ac:dyDescent="0.25">
      <c r="A123" t="s">
        <v>423</v>
      </c>
      <c r="B123" cm="1">
        <f t="array" ref="B123">SUMPRODUCT((A123='1675 (1)'!$D$2:$D$254)*'1675 (1)'!$I$2:$I$254)</f>
        <v>0</v>
      </c>
      <c r="C123" cm="1">
        <f t="array" ref="C123">SUMPRODUCT((A123='1675 (2)'!$D$2:$D$422)*'1675 (2)'!$I$2:$I$422)</f>
        <v>62500</v>
      </c>
      <c r="D123">
        <f t="shared" si="5"/>
        <v>62500</v>
      </c>
      <c r="E123">
        <f t="shared" si="6"/>
        <v>62500.000122999998</v>
      </c>
      <c r="F123">
        <f t="shared" si="7"/>
        <v>53</v>
      </c>
      <c r="I123" s="73">
        <v>122</v>
      </c>
      <c r="J123" s="73" t="str">
        <f t="shared" si="8"/>
        <v>Valle, Juan Ambrosio del</v>
      </c>
      <c r="K123" s="73">
        <f t="shared" si="9"/>
        <v>22200</v>
      </c>
    </row>
    <row r="124" spans="1:11" ht="15" customHeight="1" x14ac:dyDescent="0.25">
      <c r="A124" t="s">
        <v>424</v>
      </c>
      <c r="B124" cm="1">
        <f t="array" ref="B124">SUMPRODUCT((A124='1675 (1)'!$D$2:$D$254)*'1675 (1)'!$I$2:$I$254)</f>
        <v>0</v>
      </c>
      <c r="C124" cm="1">
        <f t="array" ref="C124">SUMPRODUCT((A124='1675 (2)'!$D$2:$D$422)*'1675 (2)'!$I$2:$I$422)</f>
        <v>24564</v>
      </c>
      <c r="D124">
        <f t="shared" si="5"/>
        <v>24564</v>
      </c>
      <c r="E124">
        <f t="shared" si="6"/>
        <v>24564.000123999998</v>
      </c>
      <c r="F124">
        <f t="shared" si="7"/>
        <v>112</v>
      </c>
      <c r="I124" s="73">
        <v>123</v>
      </c>
      <c r="J124" s="73" t="str">
        <f t="shared" si="8"/>
        <v>León, Joseph Bernardo de</v>
      </c>
      <c r="K124" s="73">
        <f t="shared" si="9"/>
        <v>22000</v>
      </c>
    </row>
    <row r="125" spans="1:11" ht="15" customHeight="1" x14ac:dyDescent="0.25">
      <c r="A125" t="s">
        <v>426</v>
      </c>
      <c r="B125" cm="1">
        <f t="array" ref="B125">SUMPRODUCT((A125='1675 (1)'!$D$2:$D$254)*'1675 (1)'!$I$2:$I$254)</f>
        <v>400</v>
      </c>
      <c r="C125" cm="1">
        <f t="array" ref="C125">SUMPRODUCT((A125='1675 (2)'!$D$2:$D$422)*'1675 (2)'!$I$2:$I$422)</f>
        <v>5000</v>
      </c>
      <c r="D125">
        <f t="shared" si="5"/>
        <v>5400</v>
      </c>
      <c r="E125">
        <f t="shared" si="6"/>
        <v>5400.0001249999996</v>
      </c>
      <c r="F125">
        <f t="shared" si="7"/>
        <v>199</v>
      </c>
      <c r="I125" s="73">
        <v>124</v>
      </c>
      <c r="J125" s="73" t="str">
        <f t="shared" si="8"/>
        <v>Barco, Antonio del</v>
      </c>
      <c r="K125" s="73">
        <f t="shared" si="9"/>
        <v>21800</v>
      </c>
    </row>
    <row r="126" spans="1:11" ht="15" customHeight="1" x14ac:dyDescent="0.25">
      <c r="A126" t="s">
        <v>504</v>
      </c>
      <c r="B126" cm="1">
        <f t="array" ref="B126">SUMPRODUCT((A126='1675 (1)'!$D$2:$D$254)*'1675 (1)'!$I$2:$I$254)</f>
        <v>0</v>
      </c>
      <c r="C126" cm="1">
        <f t="array" ref="C126">SUMPRODUCT((A126='1675 (2)'!$D$2:$D$422)*'1675 (2)'!$I$2:$I$422)</f>
        <v>14500</v>
      </c>
      <c r="D126">
        <f t="shared" si="5"/>
        <v>14500</v>
      </c>
      <c r="E126">
        <f t="shared" si="6"/>
        <v>14500.000126000001</v>
      </c>
      <c r="F126">
        <f t="shared" si="7"/>
        <v>147</v>
      </c>
      <c r="I126" s="73">
        <v>125</v>
      </c>
      <c r="J126" s="73" t="str">
        <f t="shared" si="8"/>
        <v>Saavedra, Juan de</v>
      </c>
      <c r="K126" s="73">
        <f t="shared" si="9"/>
        <v>21000</v>
      </c>
    </row>
    <row r="127" spans="1:11" ht="15" customHeight="1" x14ac:dyDescent="0.25">
      <c r="A127" t="s">
        <v>428</v>
      </c>
      <c r="B127" cm="1">
        <f t="array" ref="B127">SUMPRODUCT((A127='1675 (1)'!$D$2:$D$254)*'1675 (1)'!$I$2:$I$254)</f>
        <v>0</v>
      </c>
      <c r="C127" cm="1">
        <f t="array" ref="C127">SUMPRODUCT((A127='1675 (2)'!$D$2:$D$422)*'1675 (2)'!$I$2:$I$422)</f>
        <v>12200</v>
      </c>
      <c r="D127">
        <f t="shared" si="5"/>
        <v>12200</v>
      </c>
      <c r="E127">
        <f t="shared" si="6"/>
        <v>12200.000126999999</v>
      </c>
      <c r="F127">
        <f t="shared" si="7"/>
        <v>160</v>
      </c>
      <c r="I127" s="73">
        <v>126</v>
      </c>
      <c r="J127" s="73" t="str">
        <f t="shared" si="8"/>
        <v>López de Altozano, Juan</v>
      </c>
      <c r="K127" s="73">
        <f t="shared" si="9"/>
        <v>21000</v>
      </c>
    </row>
    <row r="128" spans="1:11" ht="15" customHeight="1" x14ac:dyDescent="0.25">
      <c r="A128" t="s">
        <v>429</v>
      </c>
      <c r="B128" cm="1">
        <f t="array" ref="B128">SUMPRODUCT((A128='1675 (1)'!$D$2:$D$254)*'1675 (1)'!$I$2:$I$254)</f>
        <v>0</v>
      </c>
      <c r="C128" cm="1">
        <f t="array" ref="C128">SUMPRODUCT((A128='1675 (2)'!$D$2:$D$422)*'1675 (2)'!$I$2:$I$422)</f>
        <v>40400</v>
      </c>
      <c r="D128">
        <f t="shared" si="5"/>
        <v>40400</v>
      </c>
      <c r="E128">
        <f t="shared" si="6"/>
        <v>40400.000128</v>
      </c>
      <c r="F128">
        <f t="shared" si="7"/>
        <v>81</v>
      </c>
      <c r="I128" s="73">
        <v>127</v>
      </c>
      <c r="J128" s="73" t="str">
        <f t="shared" si="8"/>
        <v>Delgado Rico, Juan</v>
      </c>
      <c r="K128" s="73">
        <f t="shared" si="9"/>
        <v>21000</v>
      </c>
    </row>
    <row r="129" spans="1:11" ht="15" customHeight="1" x14ac:dyDescent="0.25">
      <c r="A129" t="s">
        <v>430</v>
      </c>
      <c r="B129" cm="1">
        <f t="array" ref="B129">SUMPRODUCT((A129='1675 (1)'!$D$2:$D$254)*'1675 (1)'!$I$2:$I$254)</f>
        <v>0</v>
      </c>
      <c r="C129" cm="1">
        <f t="array" ref="C129">SUMPRODUCT((A129='1675 (2)'!$D$2:$D$422)*'1675 (2)'!$I$2:$I$422)</f>
        <v>17500</v>
      </c>
      <c r="D129">
        <f t="shared" si="5"/>
        <v>17500</v>
      </c>
      <c r="E129">
        <f t="shared" si="6"/>
        <v>17500.000129</v>
      </c>
      <c r="F129">
        <f t="shared" si="7"/>
        <v>137</v>
      </c>
      <c r="I129" s="73">
        <v>128</v>
      </c>
      <c r="J129" s="73" t="str">
        <f t="shared" si="8"/>
        <v>Espínola, Baltazar de</v>
      </c>
      <c r="K129" s="73">
        <f t="shared" si="9"/>
        <v>21000</v>
      </c>
    </row>
    <row r="130" spans="1:11" ht="15" customHeight="1" x14ac:dyDescent="0.25">
      <c r="A130" t="s">
        <v>543</v>
      </c>
      <c r="B130" cm="1">
        <f t="array" ref="B130">SUMPRODUCT((A130='1675 (1)'!$D$2:$D$254)*'1675 (1)'!$I$2:$I$254)</f>
        <v>0</v>
      </c>
      <c r="C130" cm="1">
        <f t="array" ref="C130">SUMPRODUCT((A130='1675 (2)'!$D$2:$D$422)*'1675 (2)'!$I$2:$I$422)</f>
        <v>33000</v>
      </c>
      <c r="D130">
        <f t="shared" si="5"/>
        <v>33000</v>
      </c>
      <c r="E130">
        <f t="shared" si="6"/>
        <v>33000.00013</v>
      </c>
      <c r="F130">
        <f t="shared" si="7"/>
        <v>90</v>
      </c>
      <c r="I130" s="73">
        <v>129</v>
      </c>
      <c r="J130" s="73" t="str">
        <f t="shared" si="8"/>
        <v>Vásquez Lozano, Alonso</v>
      </c>
      <c r="K130" s="73">
        <f t="shared" si="9"/>
        <v>20800</v>
      </c>
    </row>
    <row r="131" spans="1:11" ht="15" customHeight="1" x14ac:dyDescent="0.25">
      <c r="A131" t="s">
        <v>181</v>
      </c>
      <c r="B131" cm="1">
        <f t="array" ref="B131">SUMPRODUCT((A131='1675 (1)'!$D$2:$D$254)*'1675 (1)'!$I$2:$I$254)</f>
        <v>1500</v>
      </c>
      <c r="C131" cm="1">
        <f t="array" ref="C131">SUMPRODUCT((A131='1675 (2)'!$D$2:$D$422)*'1675 (2)'!$I$2:$I$422)</f>
        <v>22100</v>
      </c>
      <c r="D131">
        <f t="shared" ref="D131:D194" si="10">B131+C131</f>
        <v>23600</v>
      </c>
      <c r="E131">
        <f t="shared" ref="E131:E194" si="11">D131+0.000001*ROW()</f>
        <v>23600.000131000001</v>
      </c>
      <c r="F131">
        <f t="shared" ref="F131:F194" si="12">_xlfn.RANK.EQ(E131,$E$2:$E$247)</f>
        <v>115</v>
      </c>
      <c r="I131" s="73">
        <v>130</v>
      </c>
      <c r="J131" s="73" t="str">
        <f t="shared" ref="J131:J194" si="13">INDEX($A$2:$A$247,MATCH(I131,$F$2:$F$247,0))</f>
        <v>Ibáñez, Lucas</v>
      </c>
      <c r="K131" s="73">
        <f t="shared" ref="K131:K194" si="14">INDEX($D$2:$D$247,MATCH(I131,$F$2:$F$247,0))</f>
        <v>20640</v>
      </c>
    </row>
    <row r="132" spans="1:11" ht="15" customHeight="1" x14ac:dyDescent="0.25">
      <c r="A132" t="s">
        <v>179</v>
      </c>
      <c r="B132" cm="1">
        <f t="array" ref="B132">SUMPRODUCT((A132='1675 (1)'!$D$2:$D$254)*'1675 (1)'!$I$2:$I$254)</f>
        <v>1800</v>
      </c>
      <c r="C132" cm="1">
        <f t="array" ref="C132">SUMPRODUCT((A132='1675 (2)'!$D$2:$D$422)*'1675 (2)'!$I$2:$I$422)</f>
        <v>61500</v>
      </c>
      <c r="D132">
        <f t="shared" si="10"/>
        <v>63300</v>
      </c>
      <c r="E132">
        <f t="shared" si="11"/>
        <v>63300.000132000001</v>
      </c>
      <c r="F132">
        <f t="shared" si="12"/>
        <v>51</v>
      </c>
      <c r="I132" s="73">
        <v>131</v>
      </c>
      <c r="J132" s="73" t="str">
        <f t="shared" si="13"/>
        <v>García Varela, Juan</v>
      </c>
      <c r="K132" s="73">
        <f t="shared" si="14"/>
        <v>20000</v>
      </c>
    </row>
    <row r="133" spans="1:11" ht="15" customHeight="1" x14ac:dyDescent="0.25">
      <c r="A133" t="s">
        <v>142</v>
      </c>
      <c r="B133" cm="1">
        <f t="array" ref="B133">SUMPRODUCT((A133='1675 (1)'!$D$2:$D$254)*'1675 (1)'!$I$2:$I$254)</f>
        <v>800</v>
      </c>
      <c r="C133" cm="1">
        <f t="array" ref="C133">SUMPRODUCT((A133='1675 (2)'!$D$2:$D$422)*'1675 (2)'!$I$2:$I$422)</f>
        <v>35000</v>
      </c>
      <c r="D133">
        <f t="shared" si="10"/>
        <v>35800</v>
      </c>
      <c r="E133">
        <f t="shared" si="11"/>
        <v>35800.000133000001</v>
      </c>
      <c r="F133">
        <f t="shared" si="12"/>
        <v>86</v>
      </c>
      <c r="I133" s="73">
        <v>132</v>
      </c>
      <c r="J133" s="73" t="str">
        <f t="shared" si="13"/>
        <v>Rodríguez Gárate, Joseph</v>
      </c>
      <c r="K133" s="73">
        <f t="shared" si="14"/>
        <v>20000</v>
      </c>
    </row>
    <row r="134" spans="1:11" ht="15" customHeight="1" x14ac:dyDescent="0.25">
      <c r="A134" t="s">
        <v>433</v>
      </c>
      <c r="B134" cm="1">
        <f t="array" ref="B134">SUMPRODUCT((A134='1675 (1)'!$D$2:$D$254)*'1675 (1)'!$I$2:$I$254)</f>
        <v>0</v>
      </c>
      <c r="C134" cm="1">
        <f t="array" ref="C134">SUMPRODUCT((A134='1675 (2)'!$D$2:$D$422)*'1675 (2)'!$I$2:$I$422)</f>
        <v>104500</v>
      </c>
      <c r="D134">
        <f t="shared" si="10"/>
        <v>104500</v>
      </c>
      <c r="E134">
        <f t="shared" si="11"/>
        <v>104500.000134</v>
      </c>
      <c r="F134">
        <f t="shared" si="12"/>
        <v>30</v>
      </c>
      <c r="I134" s="73">
        <v>133</v>
      </c>
      <c r="J134" s="73" t="str">
        <f t="shared" si="13"/>
        <v>Céspedes, Juan de</v>
      </c>
      <c r="K134" s="73">
        <f t="shared" si="14"/>
        <v>20000</v>
      </c>
    </row>
    <row r="135" spans="1:11" ht="15" customHeight="1" x14ac:dyDescent="0.25">
      <c r="A135" t="s">
        <v>505</v>
      </c>
      <c r="B135" cm="1">
        <f t="array" ref="B135">SUMPRODUCT((A135='1675 (1)'!$D$2:$D$254)*'1675 (1)'!$I$2:$I$254)</f>
        <v>0</v>
      </c>
      <c r="C135" cm="1">
        <f t="array" ref="C135">SUMPRODUCT((A135='1675 (2)'!$D$2:$D$422)*'1675 (2)'!$I$2:$I$422)</f>
        <v>32000</v>
      </c>
      <c r="D135">
        <f t="shared" si="10"/>
        <v>32000</v>
      </c>
      <c r="E135">
        <f t="shared" si="11"/>
        <v>32000.000134999998</v>
      </c>
      <c r="F135">
        <f t="shared" si="12"/>
        <v>93</v>
      </c>
      <c r="I135" s="73">
        <v>134</v>
      </c>
      <c r="J135" s="73" t="str">
        <f t="shared" si="13"/>
        <v>Ugarte, Juan de</v>
      </c>
      <c r="K135" s="73">
        <f t="shared" si="14"/>
        <v>19996</v>
      </c>
    </row>
    <row r="136" spans="1:11" ht="15" customHeight="1" x14ac:dyDescent="0.25">
      <c r="A136" t="s">
        <v>506</v>
      </c>
      <c r="B136" cm="1">
        <f t="array" ref="B136">SUMPRODUCT((A136='1675 (1)'!$D$2:$D$254)*'1675 (1)'!$I$2:$I$254)</f>
        <v>4150</v>
      </c>
      <c r="C136" cm="1">
        <f t="array" ref="C136">SUMPRODUCT((A136='1675 (2)'!$D$2:$D$422)*'1675 (2)'!$I$2:$I$422)</f>
        <v>124400</v>
      </c>
      <c r="D136">
        <f t="shared" si="10"/>
        <v>128550</v>
      </c>
      <c r="E136">
        <f t="shared" si="11"/>
        <v>128550.000136</v>
      </c>
      <c r="F136">
        <f t="shared" si="12"/>
        <v>18</v>
      </c>
      <c r="I136" s="73">
        <v>135</v>
      </c>
      <c r="J136" s="73" t="str">
        <f t="shared" si="13"/>
        <v>Bolívar, Gerónimo de</v>
      </c>
      <c r="K136" s="73">
        <f t="shared" si="14"/>
        <v>18500</v>
      </c>
    </row>
    <row r="137" spans="1:11" ht="15" customHeight="1" x14ac:dyDescent="0.25">
      <c r="A137" t="s">
        <v>445</v>
      </c>
      <c r="B137" cm="1">
        <f t="array" ref="B137">SUMPRODUCT((A137='1675 (1)'!$D$2:$D$254)*'1675 (1)'!$I$2:$I$254)</f>
        <v>0</v>
      </c>
      <c r="C137" cm="1">
        <f t="array" ref="C137">SUMPRODUCT((A137='1675 (2)'!$D$2:$D$422)*'1675 (2)'!$I$2:$I$422)</f>
        <v>15000</v>
      </c>
      <c r="D137">
        <f t="shared" si="10"/>
        <v>15000</v>
      </c>
      <c r="E137">
        <f t="shared" si="11"/>
        <v>15000.000137000001</v>
      </c>
      <c r="F137">
        <f t="shared" si="12"/>
        <v>143</v>
      </c>
      <c r="I137" s="73">
        <v>136</v>
      </c>
      <c r="J137" s="73" t="str">
        <f t="shared" si="13"/>
        <v>Hurtado, Francisco</v>
      </c>
      <c r="K137" s="73">
        <f t="shared" si="14"/>
        <v>18200</v>
      </c>
    </row>
    <row r="138" spans="1:11" ht="15" customHeight="1" x14ac:dyDescent="0.25">
      <c r="A138" t="s">
        <v>441</v>
      </c>
      <c r="B138" cm="1">
        <f t="array" ref="B138">SUMPRODUCT((A138='1675 (1)'!$D$2:$D$254)*'1675 (1)'!$I$2:$I$254)</f>
        <v>0</v>
      </c>
      <c r="C138" cm="1">
        <f t="array" ref="C138">SUMPRODUCT((A138='1675 (2)'!$D$2:$D$422)*'1675 (2)'!$I$2:$I$422)</f>
        <v>12500</v>
      </c>
      <c r="D138">
        <f t="shared" si="10"/>
        <v>12500</v>
      </c>
      <c r="E138">
        <f t="shared" si="11"/>
        <v>12500.000137999999</v>
      </c>
      <c r="F138">
        <f t="shared" si="12"/>
        <v>156</v>
      </c>
      <c r="I138" s="73">
        <v>137</v>
      </c>
      <c r="J138" s="73" t="str">
        <f t="shared" si="13"/>
        <v>Herrera, Sebastián de</v>
      </c>
      <c r="K138" s="73">
        <f t="shared" si="14"/>
        <v>17500</v>
      </c>
    </row>
    <row r="139" spans="1:11" ht="15" customHeight="1" x14ac:dyDescent="0.25">
      <c r="A139" t="s">
        <v>507</v>
      </c>
      <c r="B139" cm="1">
        <f t="array" ref="B139">SUMPRODUCT((A139='1675 (1)'!$D$2:$D$254)*'1675 (1)'!$I$2:$I$254)</f>
        <v>7500</v>
      </c>
      <c r="C139" cm="1">
        <f t="array" ref="C139">SUMPRODUCT((A139='1675 (2)'!$D$2:$D$422)*'1675 (2)'!$I$2:$I$422)</f>
        <v>28500</v>
      </c>
      <c r="D139">
        <f t="shared" si="10"/>
        <v>36000</v>
      </c>
      <c r="E139">
        <f t="shared" si="11"/>
        <v>36000.000139000003</v>
      </c>
      <c r="F139">
        <f t="shared" si="12"/>
        <v>84</v>
      </c>
      <c r="I139" s="73">
        <v>138</v>
      </c>
      <c r="J139" s="73" t="str">
        <f t="shared" si="13"/>
        <v>Manuel Eugenio</v>
      </c>
      <c r="K139" s="73">
        <f t="shared" si="14"/>
        <v>16900</v>
      </c>
    </row>
    <row r="140" spans="1:11" ht="15" customHeight="1" x14ac:dyDescent="0.25">
      <c r="A140" t="s">
        <v>442</v>
      </c>
      <c r="B140" cm="1">
        <f t="array" ref="B140">SUMPRODUCT((A140='1675 (1)'!$D$2:$D$254)*'1675 (1)'!$I$2:$I$254)</f>
        <v>640</v>
      </c>
      <c r="C140" cm="1">
        <f t="array" ref="C140">SUMPRODUCT((A140='1675 (2)'!$D$2:$D$422)*'1675 (2)'!$I$2:$I$422)</f>
        <v>20000</v>
      </c>
      <c r="D140">
        <f t="shared" si="10"/>
        <v>20640</v>
      </c>
      <c r="E140">
        <f t="shared" si="11"/>
        <v>20640.00014</v>
      </c>
      <c r="F140">
        <f t="shared" si="12"/>
        <v>130</v>
      </c>
      <c r="I140" s="73">
        <v>139</v>
      </c>
      <c r="J140" s="73" t="str">
        <f t="shared" si="13"/>
        <v>Lastra, Francisco de</v>
      </c>
      <c r="K140" s="73">
        <f t="shared" si="14"/>
        <v>16540</v>
      </c>
    </row>
    <row r="141" spans="1:11" ht="15" customHeight="1" x14ac:dyDescent="0.25">
      <c r="A141" t="s">
        <v>443</v>
      </c>
      <c r="B141" cm="1">
        <f t="array" ref="B141">SUMPRODUCT((A141='1675 (1)'!$D$2:$D$254)*'1675 (1)'!$I$2:$I$254)</f>
        <v>0</v>
      </c>
      <c r="C141" cm="1">
        <f t="array" ref="C141">SUMPRODUCT((A141='1675 (2)'!$D$2:$D$422)*'1675 (2)'!$I$2:$I$422)</f>
        <v>125000</v>
      </c>
      <c r="D141">
        <f t="shared" si="10"/>
        <v>125000</v>
      </c>
      <c r="E141">
        <f t="shared" si="11"/>
        <v>125000.000141</v>
      </c>
      <c r="F141">
        <f t="shared" si="12"/>
        <v>19</v>
      </c>
      <c r="I141" s="73">
        <v>140</v>
      </c>
      <c r="J141" s="73" t="str">
        <f t="shared" si="13"/>
        <v>Valdés, Andrés de</v>
      </c>
      <c r="K141" s="73">
        <f t="shared" si="14"/>
        <v>16000</v>
      </c>
    </row>
    <row r="142" spans="1:11" ht="15" customHeight="1" x14ac:dyDescent="0.25">
      <c r="A142" t="s">
        <v>508</v>
      </c>
      <c r="B142" cm="1">
        <f t="array" ref="B142">SUMPRODUCT((A142='1675 (1)'!$D$2:$D$254)*'1675 (1)'!$I$2:$I$254)</f>
        <v>0</v>
      </c>
      <c r="C142" cm="1">
        <f t="array" ref="C142">SUMPRODUCT((A142='1675 (2)'!$D$2:$D$422)*'1675 (2)'!$I$2:$I$422)</f>
        <v>32000</v>
      </c>
      <c r="D142">
        <f t="shared" si="10"/>
        <v>32000</v>
      </c>
      <c r="E142">
        <f t="shared" si="11"/>
        <v>32000.000142000001</v>
      </c>
      <c r="F142">
        <f t="shared" si="12"/>
        <v>92</v>
      </c>
      <c r="I142" s="73">
        <v>141</v>
      </c>
      <c r="J142" s="73" t="str">
        <f t="shared" si="13"/>
        <v>Troncoso, Juan</v>
      </c>
      <c r="K142" s="73">
        <f t="shared" si="14"/>
        <v>16000</v>
      </c>
    </row>
    <row r="143" spans="1:11" ht="15" customHeight="1" x14ac:dyDescent="0.25">
      <c r="A143" t="s">
        <v>469</v>
      </c>
      <c r="B143" cm="1">
        <f t="array" ref="B143">SUMPRODUCT((A143='1675 (1)'!$D$2:$D$254)*'1675 (1)'!$I$2:$I$254)</f>
        <v>0</v>
      </c>
      <c r="C143" cm="1">
        <f t="array" ref="C143">SUMPRODUCT((A143='1675 (2)'!$D$2:$D$422)*'1675 (2)'!$I$2:$I$422)</f>
        <v>29000</v>
      </c>
      <c r="D143">
        <f t="shared" si="10"/>
        <v>29000</v>
      </c>
      <c r="E143">
        <f t="shared" si="11"/>
        <v>29000.000143000001</v>
      </c>
      <c r="F143">
        <f t="shared" si="12"/>
        <v>102</v>
      </c>
      <c r="I143" s="73">
        <v>142</v>
      </c>
      <c r="J143" s="73" t="str">
        <f t="shared" si="13"/>
        <v>Sartes de Quezada, Juan de</v>
      </c>
      <c r="K143" s="73">
        <f t="shared" si="14"/>
        <v>15000</v>
      </c>
    </row>
    <row r="144" spans="1:11" ht="15" customHeight="1" x14ac:dyDescent="0.25">
      <c r="A144" t="s">
        <v>186</v>
      </c>
      <c r="B144" cm="1">
        <f t="array" ref="B144">SUMPRODUCT((A144='1675 (1)'!$D$2:$D$254)*'1675 (1)'!$I$2:$I$254)</f>
        <v>1000</v>
      </c>
      <c r="C144" cm="1">
        <f t="array" ref="C144">SUMPRODUCT((A144='1675 (2)'!$D$2:$D$422)*'1675 (2)'!$I$2:$I$422)</f>
        <v>53000</v>
      </c>
      <c r="D144">
        <f t="shared" si="10"/>
        <v>54000</v>
      </c>
      <c r="E144">
        <f t="shared" si="11"/>
        <v>54000.000143999998</v>
      </c>
      <c r="F144">
        <f t="shared" si="12"/>
        <v>60</v>
      </c>
      <c r="I144" s="73">
        <v>143</v>
      </c>
      <c r="J144" s="73" t="str">
        <f t="shared" si="13"/>
        <v>Alcedo, Cristóbal de</v>
      </c>
      <c r="K144" s="73">
        <f t="shared" si="14"/>
        <v>15000</v>
      </c>
    </row>
    <row r="145" spans="1:11" ht="15" customHeight="1" x14ac:dyDescent="0.25">
      <c r="A145" t="s">
        <v>191</v>
      </c>
      <c r="B145" cm="1">
        <f t="array" ref="B145">SUMPRODUCT((A145='1675 (1)'!$D$2:$D$254)*'1675 (1)'!$I$2:$I$254)</f>
        <v>75000</v>
      </c>
      <c r="C145" cm="1">
        <f t="array" ref="C145">SUMPRODUCT((A145='1675 (2)'!$D$2:$D$422)*'1675 (2)'!$I$2:$I$422)</f>
        <v>100000</v>
      </c>
      <c r="D145">
        <f t="shared" si="10"/>
        <v>175000</v>
      </c>
      <c r="E145">
        <f t="shared" si="11"/>
        <v>175000.000145</v>
      </c>
      <c r="F145">
        <f t="shared" si="12"/>
        <v>9</v>
      </c>
      <c r="I145" s="73">
        <v>144</v>
      </c>
      <c r="J145" s="73" t="str">
        <f t="shared" si="13"/>
        <v>Roque Romero, Diego</v>
      </c>
      <c r="K145" s="73">
        <f t="shared" si="14"/>
        <v>15000</v>
      </c>
    </row>
    <row r="146" spans="1:11" ht="15" customHeight="1" x14ac:dyDescent="0.25">
      <c r="A146" t="s">
        <v>189</v>
      </c>
      <c r="B146" cm="1">
        <f t="array" ref="B146">SUMPRODUCT((A146='1675 (1)'!$D$2:$D$254)*'1675 (1)'!$I$2:$I$254)</f>
        <v>1800</v>
      </c>
      <c r="C146" cm="1">
        <f t="array" ref="C146">SUMPRODUCT((A146='1675 (2)'!$D$2:$D$422)*'1675 (2)'!$I$2:$I$422)</f>
        <v>20000</v>
      </c>
      <c r="D146">
        <f t="shared" si="10"/>
        <v>21800</v>
      </c>
      <c r="E146">
        <f t="shared" si="11"/>
        <v>21800.000145999998</v>
      </c>
      <c r="F146">
        <f t="shared" si="12"/>
        <v>124</v>
      </c>
      <c r="I146" s="73">
        <v>145</v>
      </c>
      <c r="J146" s="73" t="str">
        <f t="shared" si="13"/>
        <v>Meza, Andrés Antonio</v>
      </c>
      <c r="K146" s="73">
        <f t="shared" si="14"/>
        <v>15000</v>
      </c>
    </row>
    <row r="147" spans="1:11" ht="15" customHeight="1" x14ac:dyDescent="0.25">
      <c r="A147" t="s">
        <v>444</v>
      </c>
      <c r="B147" cm="1">
        <f t="array" ref="B147">SUMPRODUCT((A147='1675 (1)'!$D$2:$D$254)*'1675 (1)'!$I$2:$I$254)</f>
        <v>0</v>
      </c>
      <c r="C147" cm="1">
        <f t="array" ref="C147">SUMPRODUCT((A147='1675 (2)'!$D$2:$D$422)*'1675 (2)'!$I$2:$I$422)</f>
        <v>45000</v>
      </c>
      <c r="D147">
        <f t="shared" si="10"/>
        <v>45000</v>
      </c>
      <c r="E147">
        <f t="shared" si="11"/>
        <v>45000.000146999999</v>
      </c>
      <c r="F147">
        <f t="shared" si="12"/>
        <v>72</v>
      </c>
      <c r="I147" s="73">
        <v>146</v>
      </c>
      <c r="J147" s="73" t="str">
        <f t="shared" si="13"/>
        <v>Italia y Aréstegui, Martín de</v>
      </c>
      <c r="K147" s="73">
        <f t="shared" si="14"/>
        <v>15000</v>
      </c>
    </row>
    <row r="148" spans="1:11" ht="15" customHeight="1" x14ac:dyDescent="0.25">
      <c r="A148" t="s">
        <v>447</v>
      </c>
      <c r="B148" cm="1">
        <f t="array" ref="B148">SUMPRODUCT((A148='1675 (1)'!$D$2:$D$254)*'1675 (1)'!$I$2:$I$254)</f>
        <v>0</v>
      </c>
      <c r="C148" cm="1">
        <f t="array" ref="C148">SUMPRODUCT((A148='1675 (2)'!$D$2:$D$422)*'1675 (2)'!$I$2:$I$422)</f>
        <v>20000</v>
      </c>
      <c r="D148">
        <f t="shared" si="10"/>
        <v>20000</v>
      </c>
      <c r="E148">
        <f t="shared" si="11"/>
        <v>20000.000147999999</v>
      </c>
      <c r="F148">
        <f t="shared" si="12"/>
        <v>131</v>
      </c>
      <c r="I148" s="73">
        <v>147</v>
      </c>
      <c r="J148" s="73" t="str">
        <f t="shared" si="13"/>
        <v>Sánchez Tagle, Francisco</v>
      </c>
      <c r="K148" s="73">
        <f t="shared" si="14"/>
        <v>14500</v>
      </c>
    </row>
    <row r="149" spans="1:11" ht="15" customHeight="1" x14ac:dyDescent="0.25">
      <c r="A149" t="s">
        <v>193</v>
      </c>
      <c r="B149" cm="1">
        <f t="array" ref="B149">SUMPRODUCT((A149='1675 (1)'!$D$2:$D$254)*'1675 (1)'!$I$2:$I$254)</f>
        <v>2500</v>
      </c>
      <c r="C149" cm="1">
        <f t="array" ref="C149">SUMPRODUCT((A149='1675 (2)'!$D$2:$D$422)*'1675 (2)'!$I$2:$I$422)</f>
        <v>38000</v>
      </c>
      <c r="D149">
        <f t="shared" si="10"/>
        <v>40500</v>
      </c>
      <c r="E149">
        <f t="shared" si="11"/>
        <v>40500.000149</v>
      </c>
      <c r="F149">
        <f t="shared" si="12"/>
        <v>80</v>
      </c>
      <c r="I149" s="73">
        <v>148</v>
      </c>
      <c r="J149" s="73" t="str">
        <f t="shared" si="13"/>
        <v>Torres, Cristóbal de</v>
      </c>
      <c r="K149" s="73">
        <f t="shared" si="14"/>
        <v>14500</v>
      </c>
    </row>
    <row r="150" spans="1:11" ht="15" customHeight="1" x14ac:dyDescent="0.25">
      <c r="A150" t="s">
        <v>509</v>
      </c>
      <c r="B150" cm="1">
        <f t="array" ref="B150">SUMPRODUCT((A150='1675 (1)'!$D$2:$D$254)*'1675 (1)'!$I$2:$I$254)</f>
        <v>0</v>
      </c>
      <c r="C150" cm="1">
        <f t="array" ref="C150">SUMPRODUCT((A150='1675 (2)'!$D$2:$D$422)*'1675 (2)'!$I$2:$I$422)</f>
        <v>80600</v>
      </c>
      <c r="D150">
        <f t="shared" si="10"/>
        <v>80600</v>
      </c>
      <c r="E150">
        <f t="shared" si="11"/>
        <v>80600.000150000007</v>
      </c>
      <c r="F150">
        <f t="shared" si="12"/>
        <v>41</v>
      </c>
      <c r="I150" s="73">
        <v>149</v>
      </c>
      <c r="J150" s="73" t="str">
        <f t="shared" si="13"/>
        <v>Rodríguez Álvarez, Domingo</v>
      </c>
      <c r="K150" s="73">
        <f t="shared" si="14"/>
        <v>14100</v>
      </c>
    </row>
    <row r="151" spans="1:11" ht="15" customHeight="1" x14ac:dyDescent="0.25">
      <c r="A151" t="s">
        <v>449</v>
      </c>
      <c r="B151" cm="1">
        <f t="array" ref="B151">SUMPRODUCT((A151='1675 (1)'!$D$2:$D$254)*'1675 (1)'!$I$2:$I$254)</f>
        <v>0</v>
      </c>
      <c r="C151" cm="1">
        <f t="array" ref="C151">SUMPRODUCT((A151='1675 (2)'!$D$2:$D$422)*'1675 (2)'!$I$2:$I$422)</f>
        <v>27000</v>
      </c>
      <c r="D151">
        <f t="shared" si="10"/>
        <v>27000</v>
      </c>
      <c r="E151">
        <f t="shared" si="11"/>
        <v>27000.000151</v>
      </c>
      <c r="F151">
        <f t="shared" si="12"/>
        <v>105</v>
      </c>
      <c r="I151" s="73">
        <v>150</v>
      </c>
      <c r="J151" s="73" t="str">
        <f t="shared" si="13"/>
        <v>Herrado, Fernando de</v>
      </c>
      <c r="K151" s="73">
        <f t="shared" si="14"/>
        <v>14000</v>
      </c>
    </row>
    <row r="152" spans="1:11" ht="15" customHeight="1" x14ac:dyDescent="0.25">
      <c r="A152" t="s">
        <v>510</v>
      </c>
      <c r="B152" cm="1">
        <f t="array" ref="B152">SUMPRODUCT((A152='1675 (1)'!$D$2:$D$254)*'1675 (1)'!$I$2:$I$254)</f>
        <v>700</v>
      </c>
      <c r="C152" cm="1">
        <f t="array" ref="C152">SUMPRODUCT((A152='1675 (2)'!$D$2:$D$422)*'1675 (2)'!$I$2:$I$422)</f>
        <v>5000</v>
      </c>
      <c r="D152">
        <f t="shared" si="10"/>
        <v>5700</v>
      </c>
      <c r="E152">
        <f t="shared" si="11"/>
        <v>5700.0001519999996</v>
      </c>
      <c r="F152">
        <f t="shared" si="12"/>
        <v>195</v>
      </c>
      <c r="I152" s="73">
        <v>151</v>
      </c>
      <c r="J152" s="73" t="str">
        <f t="shared" si="13"/>
        <v>Ruiz de Arriola, Pedro</v>
      </c>
      <c r="K152" s="73">
        <f t="shared" si="14"/>
        <v>13500</v>
      </c>
    </row>
    <row r="153" spans="1:11" ht="15" customHeight="1" x14ac:dyDescent="0.25">
      <c r="A153" t="s">
        <v>196</v>
      </c>
      <c r="B153" cm="1">
        <f t="array" ref="B153">SUMPRODUCT((A153='1675 (1)'!$D$2:$D$254)*'1675 (1)'!$I$2:$I$254)</f>
        <v>800</v>
      </c>
      <c r="C153" cm="1">
        <f t="array" ref="C153">SUMPRODUCT((A153='1675 (2)'!$D$2:$D$422)*'1675 (2)'!$I$2:$I$422)</f>
        <v>7500</v>
      </c>
      <c r="D153">
        <f t="shared" si="10"/>
        <v>8300</v>
      </c>
      <c r="E153">
        <f t="shared" si="11"/>
        <v>8300.0001530000009</v>
      </c>
      <c r="F153">
        <f t="shared" si="12"/>
        <v>180</v>
      </c>
      <c r="I153" s="73">
        <v>152</v>
      </c>
      <c r="J153" s="73" t="str">
        <f t="shared" si="13"/>
        <v>López de Aguirre, Juan</v>
      </c>
      <c r="K153" s="73">
        <f t="shared" si="14"/>
        <v>13420</v>
      </c>
    </row>
    <row r="154" spans="1:11" ht="15" customHeight="1" x14ac:dyDescent="0.25">
      <c r="A154" t="s">
        <v>511</v>
      </c>
      <c r="B154" cm="1">
        <f t="array" ref="B154">SUMPRODUCT((A154='1675 (1)'!$D$2:$D$254)*'1675 (1)'!$I$2:$I$254)</f>
        <v>0</v>
      </c>
      <c r="C154" cm="1">
        <f t="array" ref="C154">SUMPRODUCT((A154='1675 (2)'!$D$2:$D$422)*'1675 (2)'!$I$2:$I$422)</f>
        <v>8300</v>
      </c>
      <c r="D154">
        <f t="shared" si="10"/>
        <v>8300</v>
      </c>
      <c r="E154">
        <f t="shared" si="11"/>
        <v>8300.0001539999994</v>
      </c>
      <c r="F154">
        <f t="shared" si="12"/>
        <v>179</v>
      </c>
      <c r="I154" s="73">
        <v>153</v>
      </c>
      <c r="J154" s="73" t="str">
        <f t="shared" si="13"/>
        <v>Gómez de Herrera, Diego</v>
      </c>
      <c r="K154" s="73">
        <f t="shared" si="14"/>
        <v>13000</v>
      </c>
    </row>
    <row r="155" spans="1:11" ht="15" customHeight="1" x14ac:dyDescent="0.25">
      <c r="A155" t="s">
        <v>512</v>
      </c>
      <c r="B155" cm="1">
        <f t="array" ref="B155">SUMPRODUCT((A155='1675 (1)'!$D$2:$D$254)*'1675 (1)'!$I$2:$I$254)</f>
        <v>0</v>
      </c>
      <c r="C155" cm="1">
        <f t="array" ref="C155">SUMPRODUCT((A155='1675 (2)'!$D$2:$D$422)*'1675 (2)'!$I$2:$I$422)</f>
        <v>45000</v>
      </c>
      <c r="D155">
        <f t="shared" si="10"/>
        <v>45000</v>
      </c>
      <c r="E155">
        <f t="shared" si="11"/>
        <v>45000.000155000002</v>
      </c>
      <c r="F155">
        <f t="shared" si="12"/>
        <v>71</v>
      </c>
      <c r="I155" s="73">
        <v>154</v>
      </c>
      <c r="J155" s="73" t="str">
        <f t="shared" si="13"/>
        <v>Ávila, Juan Luis de</v>
      </c>
      <c r="K155" s="73">
        <f t="shared" si="14"/>
        <v>12800</v>
      </c>
    </row>
    <row r="156" spans="1:11" ht="15" customHeight="1" x14ac:dyDescent="0.25">
      <c r="A156" t="s">
        <v>450</v>
      </c>
      <c r="B156" cm="1">
        <f t="array" ref="B156">SUMPRODUCT((A156='1675 (1)'!$D$2:$D$254)*'1675 (1)'!$I$2:$I$254)</f>
        <v>0</v>
      </c>
      <c r="C156" cm="1">
        <f t="array" ref="C156">SUMPRODUCT((A156='1675 (2)'!$D$2:$D$422)*'1675 (2)'!$I$2:$I$422)</f>
        <v>52500</v>
      </c>
      <c r="D156">
        <f t="shared" si="10"/>
        <v>52500</v>
      </c>
      <c r="E156">
        <f t="shared" si="11"/>
        <v>52500.000156000002</v>
      </c>
      <c r="F156">
        <f t="shared" si="12"/>
        <v>61</v>
      </c>
      <c r="I156" s="73">
        <v>155</v>
      </c>
      <c r="J156" s="73" t="str">
        <f t="shared" si="13"/>
        <v>Tellez de la Fuente, Juan</v>
      </c>
      <c r="K156" s="73">
        <f t="shared" si="14"/>
        <v>12500</v>
      </c>
    </row>
    <row r="157" spans="1:11" ht="15" customHeight="1" x14ac:dyDescent="0.25">
      <c r="A157" t="s">
        <v>452</v>
      </c>
      <c r="B157" cm="1">
        <f t="array" ref="B157">SUMPRODUCT((A157='1675 (1)'!$D$2:$D$254)*'1675 (1)'!$I$2:$I$254)</f>
        <v>56500</v>
      </c>
      <c r="C157" cm="1">
        <f t="array" ref="C157">SUMPRODUCT((A157='1675 (2)'!$D$2:$D$422)*'1675 (2)'!$I$2:$I$422)</f>
        <v>52500</v>
      </c>
      <c r="D157">
        <f t="shared" si="10"/>
        <v>109000</v>
      </c>
      <c r="E157">
        <f t="shared" si="11"/>
        <v>109000.000157</v>
      </c>
      <c r="F157">
        <f t="shared" si="12"/>
        <v>27</v>
      </c>
      <c r="I157" s="73">
        <v>156</v>
      </c>
      <c r="J157" s="73" t="str">
        <f t="shared" si="13"/>
        <v>Sánchez Maldonado, Alonso</v>
      </c>
      <c r="K157" s="73">
        <f t="shared" si="14"/>
        <v>12500</v>
      </c>
    </row>
    <row r="158" spans="1:11" ht="15" customHeight="1" x14ac:dyDescent="0.25">
      <c r="A158" t="s">
        <v>204</v>
      </c>
      <c r="B158" cm="1">
        <f t="array" ref="B158">SUMPRODUCT((A158='1675 (1)'!$D$2:$D$254)*'1675 (1)'!$I$2:$I$254)</f>
        <v>15500</v>
      </c>
      <c r="C158" cm="1">
        <f t="array" ref="C158">SUMPRODUCT((A158='1675 (2)'!$D$2:$D$422)*'1675 (2)'!$I$2:$I$422)</f>
        <v>14500</v>
      </c>
      <c r="D158">
        <f t="shared" si="10"/>
        <v>30000</v>
      </c>
      <c r="E158">
        <f t="shared" si="11"/>
        <v>30000.000157999999</v>
      </c>
      <c r="F158">
        <f t="shared" si="12"/>
        <v>99</v>
      </c>
      <c r="I158" s="73">
        <v>157</v>
      </c>
      <c r="J158" s="73" t="str">
        <f t="shared" si="13"/>
        <v>Carrillo, Joseph</v>
      </c>
      <c r="K158" s="73">
        <f t="shared" si="14"/>
        <v>12500</v>
      </c>
    </row>
    <row r="159" spans="1:11" ht="15" customHeight="1" x14ac:dyDescent="0.25">
      <c r="A159" t="s">
        <v>211</v>
      </c>
      <c r="B159" cm="1">
        <f t="array" ref="B159">SUMPRODUCT((A159='1675 (1)'!$D$2:$D$254)*'1675 (1)'!$I$2:$I$254)</f>
        <v>3040</v>
      </c>
      <c r="C159" cm="1">
        <f t="array" ref="C159">SUMPRODUCT((A159='1675 (2)'!$D$2:$D$422)*'1675 (2)'!$I$2:$I$422)</f>
        <v>36600</v>
      </c>
      <c r="D159">
        <f t="shared" si="10"/>
        <v>39640</v>
      </c>
      <c r="E159">
        <f t="shared" si="11"/>
        <v>39640.000159000003</v>
      </c>
      <c r="F159">
        <f t="shared" si="12"/>
        <v>82</v>
      </c>
      <c r="I159" s="73">
        <v>158</v>
      </c>
      <c r="J159" s="73" t="str">
        <f t="shared" si="13"/>
        <v>Montijo, Nicolás</v>
      </c>
      <c r="K159" s="73">
        <f t="shared" si="14"/>
        <v>12500</v>
      </c>
    </row>
    <row r="160" spans="1:11" ht="15" customHeight="1" x14ac:dyDescent="0.25">
      <c r="A160" t="s">
        <v>514</v>
      </c>
      <c r="B160" cm="1">
        <f t="array" ref="B160">SUMPRODUCT((A160='1675 (1)'!$D$2:$D$254)*'1675 (1)'!$I$2:$I$254)</f>
        <v>1040</v>
      </c>
      <c r="C160" cm="1">
        <f t="array" ref="C160">SUMPRODUCT((A160='1675 (2)'!$D$2:$D$422)*'1675 (2)'!$I$2:$I$422)</f>
        <v>15500</v>
      </c>
      <c r="D160">
        <f t="shared" si="10"/>
        <v>16540</v>
      </c>
      <c r="E160">
        <f t="shared" si="11"/>
        <v>16540.00016</v>
      </c>
      <c r="F160">
        <f t="shared" si="12"/>
        <v>139</v>
      </c>
      <c r="I160" s="73">
        <v>159</v>
      </c>
      <c r="J160" s="73" t="str">
        <f t="shared" si="13"/>
        <v>Ruiz de Mendoza, Francisco</v>
      </c>
      <c r="K160" s="73">
        <f t="shared" si="14"/>
        <v>12500</v>
      </c>
    </row>
    <row r="161" spans="1:11" ht="15" customHeight="1" x14ac:dyDescent="0.25">
      <c r="A161" t="s">
        <v>453</v>
      </c>
      <c r="B161" cm="1">
        <f t="array" ref="B161">SUMPRODUCT((A161='1675 (1)'!$D$2:$D$254)*'1675 (1)'!$I$2:$I$254)</f>
        <v>5600</v>
      </c>
      <c r="C161" cm="1">
        <f t="array" ref="C161">SUMPRODUCT((A161='1675 (2)'!$D$2:$D$422)*'1675 (2)'!$I$2:$I$422)</f>
        <v>83000</v>
      </c>
      <c r="D161">
        <f t="shared" si="10"/>
        <v>88600</v>
      </c>
      <c r="E161">
        <f t="shared" si="11"/>
        <v>88600.000161000004</v>
      </c>
      <c r="F161">
        <f t="shared" si="12"/>
        <v>39</v>
      </c>
      <c r="I161" s="73">
        <v>160</v>
      </c>
      <c r="J161" s="73" t="str">
        <f t="shared" si="13"/>
        <v>Valdemoros, Juan de</v>
      </c>
      <c r="K161" s="73">
        <f t="shared" si="14"/>
        <v>12200</v>
      </c>
    </row>
    <row r="162" spans="1:11" ht="15" customHeight="1" x14ac:dyDescent="0.25">
      <c r="A162" t="s">
        <v>209</v>
      </c>
      <c r="B162" cm="1">
        <f t="array" ref="B162">SUMPRODUCT((A162='1675 (1)'!$D$2:$D$254)*'1675 (1)'!$I$2:$I$254)</f>
        <v>6200</v>
      </c>
      <c r="C162" cm="1">
        <f t="array" ref="C162">SUMPRODUCT((A162='1675 (2)'!$D$2:$D$422)*'1675 (2)'!$I$2:$I$422)</f>
        <v>57000</v>
      </c>
      <c r="D162">
        <f t="shared" si="10"/>
        <v>63200</v>
      </c>
      <c r="E162">
        <f t="shared" si="11"/>
        <v>63200.000161999997</v>
      </c>
      <c r="F162">
        <f t="shared" si="12"/>
        <v>52</v>
      </c>
      <c r="I162" s="73">
        <v>161</v>
      </c>
      <c r="J162" s="73" t="str">
        <f t="shared" si="13"/>
        <v>López, Juan</v>
      </c>
      <c r="K162" s="73">
        <f t="shared" si="14"/>
        <v>12000</v>
      </c>
    </row>
    <row r="163" spans="1:11" ht="15" customHeight="1" x14ac:dyDescent="0.25">
      <c r="A163" t="s">
        <v>515</v>
      </c>
      <c r="B163" cm="1">
        <f t="array" ref="B163">SUMPRODUCT((A163='1675 (1)'!$D$2:$D$254)*'1675 (1)'!$I$2:$I$254)</f>
        <v>0</v>
      </c>
      <c r="C163" cm="1">
        <f t="array" ref="C163">SUMPRODUCT((A163='1675 (2)'!$D$2:$D$422)*'1675 (2)'!$I$2:$I$422)</f>
        <v>10000</v>
      </c>
      <c r="D163">
        <f t="shared" si="10"/>
        <v>10000</v>
      </c>
      <c r="E163">
        <f t="shared" si="11"/>
        <v>10000.000163000001</v>
      </c>
      <c r="F163">
        <f t="shared" si="12"/>
        <v>171</v>
      </c>
      <c r="I163" s="73">
        <v>162</v>
      </c>
      <c r="J163" s="73" t="str">
        <f t="shared" si="13"/>
        <v>Álvarez, Gabriel</v>
      </c>
      <c r="K163" s="73">
        <f t="shared" si="14"/>
        <v>11600</v>
      </c>
    </row>
    <row r="164" spans="1:11" ht="15" customHeight="1" x14ac:dyDescent="0.25">
      <c r="A164" t="s">
        <v>207</v>
      </c>
      <c r="B164" cm="1">
        <f t="array" ref="B164">SUMPRODUCT((A164='1675 (1)'!$D$2:$D$254)*'1675 (1)'!$I$2:$I$254)</f>
        <v>450</v>
      </c>
      <c r="C164" cm="1">
        <f t="array" ref="C164">SUMPRODUCT((A164='1675 (2)'!$D$2:$D$422)*'1675 (2)'!$I$2:$I$422)</f>
        <v>307000</v>
      </c>
      <c r="D164">
        <f t="shared" si="10"/>
        <v>307450</v>
      </c>
      <c r="E164">
        <f t="shared" si="11"/>
        <v>307450.00016400003</v>
      </c>
      <c r="F164">
        <f t="shared" si="12"/>
        <v>3</v>
      </c>
      <c r="I164" s="73">
        <v>163</v>
      </c>
      <c r="J164" s="73" t="str">
        <f t="shared" si="13"/>
        <v>Royo, Joseph de</v>
      </c>
      <c r="K164" s="73">
        <f t="shared" si="14"/>
        <v>11400</v>
      </c>
    </row>
    <row r="165" spans="1:11" ht="15" customHeight="1" x14ac:dyDescent="0.25">
      <c r="A165" t="s">
        <v>457</v>
      </c>
      <c r="B165" cm="1">
        <f t="array" ref="B165">SUMPRODUCT((A165='1675 (1)'!$D$2:$D$254)*'1675 (1)'!$I$2:$I$254)</f>
        <v>0</v>
      </c>
      <c r="C165" cm="1">
        <f t="array" ref="C165">SUMPRODUCT((A165='1675 (2)'!$D$2:$D$422)*'1675 (2)'!$I$2:$I$422)</f>
        <v>90950</v>
      </c>
      <c r="D165">
        <f t="shared" si="10"/>
        <v>90950</v>
      </c>
      <c r="E165">
        <f t="shared" si="11"/>
        <v>90950.000165000005</v>
      </c>
      <c r="F165">
        <f t="shared" si="12"/>
        <v>37</v>
      </c>
      <c r="I165" s="73">
        <v>164</v>
      </c>
      <c r="J165" s="73" t="str">
        <f t="shared" si="13"/>
        <v>Fernández de Quintana, Domingo</v>
      </c>
      <c r="K165" s="73">
        <f t="shared" si="14"/>
        <v>11000</v>
      </c>
    </row>
    <row r="166" spans="1:11" ht="15" customHeight="1" x14ac:dyDescent="0.25">
      <c r="A166" t="s">
        <v>459</v>
      </c>
      <c r="B166" cm="1">
        <f t="array" ref="B166">SUMPRODUCT((A166='1675 (1)'!$D$2:$D$254)*'1675 (1)'!$I$2:$I$254)</f>
        <v>1600</v>
      </c>
      <c r="C166" cm="1">
        <f t="array" ref="C166">SUMPRODUCT((A166='1675 (2)'!$D$2:$D$422)*'1675 (2)'!$I$2:$I$422)</f>
        <v>10000</v>
      </c>
      <c r="D166">
        <f t="shared" si="10"/>
        <v>11600</v>
      </c>
      <c r="E166">
        <f t="shared" si="11"/>
        <v>11600.000166</v>
      </c>
      <c r="F166">
        <f t="shared" si="12"/>
        <v>162</v>
      </c>
      <c r="I166" s="73">
        <v>165</v>
      </c>
      <c r="J166" s="73" t="str">
        <f t="shared" si="13"/>
        <v>Gómez, Juan</v>
      </c>
      <c r="K166" s="73">
        <f t="shared" si="14"/>
        <v>11000</v>
      </c>
    </row>
    <row r="167" spans="1:11" ht="15" customHeight="1" x14ac:dyDescent="0.25">
      <c r="A167" t="s">
        <v>213</v>
      </c>
      <c r="B167" cm="1">
        <f t="array" ref="B167">SUMPRODUCT((A167='1675 (1)'!$D$2:$D$254)*'1675 (1)'!$I$2:$I$254)</f>
        <v>2000</v>
      </c>
      <c r="C167" cm="1">
        <f t="array" ref="C167">SUMPRODUCT((A167='1675 (2)'!$D$2:$D$422)*'1675 (2)'!$I$2:$I$422)</f>
        <v>8500</v>
      </c>
      <c r="D167">
        <f t="shared" si="10"/>
        <v>10500</v>
      </c>
      <c r="E167">
        <f t="shared" si="11"/>
        <v>10500.000167</v>
      </c>
      <c r="F167">
        <f t="shared" si="12"/>
        <v>166</v>
      </c>
      <c r="I167" s="73">
        <v>166</v>
      </c>
      <c r="J167" s="73" t="str">
        <f t="shared" si="13"/>
        <v>Pérez de la Torre, Diego</v>
      </c>
      <c r="K167" s="73">
        <f t="shared" si="14"/>
        <v>10500</v>
      </c>
    </row>
    <row r="168" spans="1:11" ht="15" customHeight="1" x14ac:dyDescent="0.25">
      <c r="A168" t="s">
        <v>516</v>
      </c>
      <c r="B168" cm="1">
        <f t="array" ref="B168">SUMPRODUCT((A168='1675 (1)'!$D$2:$D$254)*'1675 (1)'!$I$2:$I$254)</f>
        <v>1400</v>
      </c>
      <c r="C168" cm="1">
        <f t="array" ref="C168">SUMPRODUCT((A168='1675 (2)'!$D$2:$D$422)*'1675 (2)'!$I$2:$I$422)</f>
        <v>10000</v>
      </c>
      <c r="D168">
        <f t="shared" si="10"/>
        <v>11400</v>
      </c>
      <c r="E168">
        <f t="shared" si="11"/>
        <v>11400.000168</v>
      </c>
      <c r="F168">
        <f t="shared" si="12"/>
        <v>163</v>
      </c>
      <c r="I168" s="73">
        <v>167</v>
      </c>
      <c r="J168" s="73" t="str">
        <f t="shared" si="13"/>
        <v>Olarte, Joseph de</v>
      </c>
      <c r="K168" s="73">
        <f t="shared" si="14"/>
        <v>10440</v>
      </c>
    </row>
    <row r="169" spans="1:11" ht="15" customHeight="1" x14ac:dyDescent="0.25">
      <c r="A169" t="s">
        <v>28</v>
      </c>
      <c r="B169" cm="1">
        <f t="array" ref="B169">SUMPRODUCT((A169='1675 (1)'!$D$2:$D$254)*'1675 (1)'!$I$2:$I$254)</f>
        <v>3000</v>
      </c>
      <c r="C169" cm="1">
        <f t="array" ref="C169">SUMPRODUCT((A169='1675 (2)'!$D$2:$D$422)*'1675 (2)'!$I$2:$I$422)</f>
        <v>0</v>
      </c>
      <c r="D169">
        <f t="shared" si="10"/>
        <v>3000</v>
      </c>
      <c r="E169">
        <f t="shared" si="11"/>
        <v>3000.0001689999999</v>
      </c>
      <c r="F169">
        <f t="shared" si="12"/>
        <v>215</v>
      </c>
      <c r="I169" s="73">
        <v>168</v>
      </c>
      <c r="J169" s="73" t="str">
        <f t="shared" si="13"/>
        <v>Ortiz Peroso, Gonzalo</v>
      </c>
      <c r="K169" s="73">
        <f t="shared" si="14"/>
        <v>10400</v>
      </c>
    </row>
    <row r="170" spans="1:11" ht="15" customHeight="1" x14ac:dyDescent="0.25">
      <c r="A170" t="s">
        <v>32</v>
      </c>
      <c r="B170" cm="1">
        <f t="array" ref="B170">SUMPRODUCT((A170='1675 (1)'!$D$2:$D$254)*'1675 (1)'!$I$2:$I$254)</f>
        <v>6000</v>
      </c>
      <c r="C170" cm="1">
        <f t="array" ref="C170">SUMPRODUCT((A170='1675 (2)'!$D$2:$D$422)*'1675 (2)'!$I$2:$I$422)</f>
        <v>0</v>
      </c>
      <c r="D170">
        <f t="shared" si="10"/>
        <v>6000</v>
      </c>
      <c r="E170">
        <f t="shared" si="11"/>
        <v>6000.0001700000003</v>
      </c>
      <c r="F170">
        <f t="shared" si="12"/>
        <v>194</v>
      </c>
      <c r="I170" s="73">
        <v>169</v>
      </c>
      <c r="J170" s="73" t="str">
        <f t="shared" si="13"/>
        <v>Riva, Pedro de la</v>
      </c>
      <c r="K170" s="73">
        <f t="shared" si="14"/>
        <v>10300</v>
      </c>
    </row>
    <row r="171" spans="1:11" ht="15" customHeight="1" x14ac:dyDescent="0.25">
      <c r="A171" t="s">
        <v>31</v>
      </c>
      <c r="B171" cm="1">
        <f t="array" ref="B171">SUMPRODUCT((A171='1675 (1)'!$D$2:$D$254)*'1675 (1)'!$I$2:$I$254)</f>
        <v>12000</v>
      </c>
      <c r="C171" cm="1">
        <f t="array" ref="C171">SUMPRODUCT((A171='1675 (2)'!$D$2:$D$422)*'1675 (2)'!$I$2:$I$422)</f>
        <v>0</v>
      </c>
      <c r="D171">
        <f t="shared" si="10"/>
        <v>12000</v>
      </c>
      <c r="E171">
        <f t="shared" si="11"/>
        <v>12000.000171</v>
      </c>
      <c r="F171">
        <f t="shared" si="12"/>
        <v>161</v>
      </c>
      <c r="I171" s="73">
        <v>170</v>
      </c>
      <c r="J171" s="73" t="str">
        <f t="shared" si="13"/>
        <v>Baldovinos Quint, Diego de</v>
      </c>
      <c r="K171" s="73">
        <f t="shared" si="14"/>
        <v>10200</v>
      </c>
    </row>
    <row r="172" spans="1:11" ht="15" customHeight="1" x14ac:dyDescent="0.25">
      <c r="A172" t="s">
        <v>517</v>
      </c>
      <c r="B172" cm="1">
        <f t="array" ref="B172">SUMPRODUCT((A172='1675 (1)'!$D$2:$D$254)*'1675 (1)'!$I$2:$I$254)</f>
        <v>7500</v>
      </c>
      <c r="C172" cm="1">
        <f t="array" ref="C172">SUMPRODUCT((A172='1675 (2)'!$D$2:$D$422)*'1675 (2)'!$I$2:$I$422)</f>
        <v>0</v>
      </c>
      <c r="D172">
        <f t="shared" si="10"/>
        <v>7500</v>
      </c>
      <c r="E172">
        <f t="shared" si="11"/>
        <v>7500.000172</v>
      </c>
      <c r="F172">
        <f t="shared" si="12"/>
        <v>186</v>
      </c>
      <c r="I172" s="73">
        <v>171</v>
      </c>
      <c r="J172" s="73" t="str">
        <f t="shared" si="13"/>
        <v>Muñoz de la Calzada, Nicolás</v>
      </c>
      <c r="K172" s="73">
        <f t="shared" si="14"/>
        <v>10000</v>
      </c>
    </row>
    <row r="173" spans="1:11" ht="15" customHeight="1" x14ac:dyDescent="0.25">
      <c r="A173" t="s">
        <v>34</v>
      </c>
      <c r="B173" cm="1">
        <f t="array" ref="B173">SUMPRODUCT((A173='1675 (1)'!$D$2:$D$254)*'1675 (1)'!$I$2:$I$254)</f>
        <v>22500</v>
      </c>
      <c r="C173" cm="1">
        <f t="array" ref="C173">SUMPRODUCT((A173='1675 (2)'!$D$2:$D$422)*'1675 (2)'!$I$2:$I$422)</f>
        <v>0</v>
      </c>
      <c r="D173">
        <f t="shared" si="10"/>
        <v>22500</v>
      </c>
      <c r="E173">
        <f t="shared" si="11"/>
        <v>22500.000173</v>
      </c>
      <c r="F173">
        <f t="shared" si="12"/>
        <v>118</v>
      </c>
      <c r="I173" s="73">
        <v>172</v>
      </c>
      <c r="J173" s="73" t="str">
        <f t="shared" si="13"/>
        <v>Fermín, Juan</v>
      </c>
      <c r="K173" s="73">
        <f t="shared" si="14"/>
        <v>10000</v>
      </c>
    </row>
    <row r="174" spans="1:11" ht="15" customHeight="1" x14ac:dyDescent="0.25">
      <c r="A174" t="s">
        <v>36</v>
      </c>
      <c r="B174" cm="1">
        <f t="array" ref="B174">SUMPRODUCT((A174='1675 (1)'!$D$2:$D$254)*'1675 (1)'!$I$2:$I$254)</f>
        <v>11000</v>
      </c>
      <c r="C174" cm="1">
        <f t="array" ref="C174">SUMPRODUCT((A174='1675 (2)'!$D$2:$D$422)*'1675 (2)'!$I$2:$I$422)</f>
        <v>0</v>
      </c>
      <c r="D174">
        <f t="shared" si="10"/>
        <v>11000</v>
      </c>
      <c r="E174">
        <f t="shared" si="11"/>
        <v>11000.000174000001</v>
      </c>
      <c r="F174">
        <f t="shared" si="12"/>
        <v>165</v>
      </c>
      <c r="I174" s="73">
        <v>173</v>
      </c>
      <c r="J174" s="73" t="str">
        <f t="shared" si="13"/>
        <v>Sanz de Valdivieso, Domingo</v>
      </c>
      <c r="K174" s="73">
        <f t="shared" si="14"/>
        <v>9900</v>
      </c>
    </row>
    <row r="175" spans="1:11" ht="15" customHeight="1" x14ac:dyDescent="0.25">
      <c r="A175" t="s">
        <v>518</v>
      </c>
      <c r="B175" cm="1">
        <f t="array" ref="B175">SUMPRODUCT((A175='1675 (1)'!$D$2:$D$254)*'1675 (1)'!$I$2:$I$254)</f>
        <v>111200</v>
      </c>
      <c r="C175" cm="1">
        <f t="array" ref="C175">SUMPRODUCT((A175='1675 (2)'!$D$2:$D$422)*'1675 (2)'!$I$2:$I$422)</f>
        <v>0</v>
      </c>
      <c r="D175">
        <f t="shared" si="10"/>
        <v>111200</v>
      </c>
      <c r="E175">
        <f t="shared" si="11"/>
        <v>111200.00017499999</v>
      </c>
      <c r="F175">
        <f t="shared" si="12"/>
        <v>26</v>
      </c>
      <c r="I175" s="73">
        <v>174</v>
      </c>
      <c r="J175" s="73" t="str">
        <f t="shared" si="13"/>
        <v>Martínez de Velasco, Juan</v>
      </c>
      <c r="K175" s="73">
        <f t="shared" si="14"/>
        <v>9500</v>
      </c>
    </row>
    <row r="176" spans="1:11" ht="15" customHeight="1" x14ac:dyDescent="0.25">
      <c r="A176" t="s">
        <v>143</v>
      </c>
      <c r="B176" cm="1">
        <f t="array" ref="B176">SUMPRODUCT((A176='1675 (1)'!$D$2:$D$254)*'1675 (1)'!$I$2:$I$254)</f>
        <v>11000</v>
      </c>
      <c r="C176" cm="1">
        <f t="array" ref="C176">SUMPRODUCT((A176='1675 (2)'!$D$2:$D$422)*'1675 (2)'!$I$2:$I$422)</f>
        <v>0</v>
      </c>
      <c r="D176">
        <f t="shared" si="10"/>
        <v>11000</v>
      </c>
      <c r="E176">
        <f t="shared" si="11"/>
        <v>11000.000176</v>
      </c>
      <c r="F176">
        <f t="shared" si="12"/>
        <v>164</v>
      </c>
      <c r="I176" s="73">
        <v>175</v>
      </c>
      <c r="J176" s="73" t="str">
        <f t="shared" si="13"/>
        <v>Peña, Diego de la</v>
      </c>
      <c r="K176" s="73">
        <f t="shared" si="14"/>
        <v>8800</v>
      </c>
    </row>
    <row r="177" spans="1:11" ht="15" customHeight="1" x14ac:dyDescent="0.25">
      <c r="A177" t="s">
        <v>519</v>
      </c>
      <c r="B177" cm="1">
        <f t="array" ref="B177">SUMPRODUCT((A177='1675 (1)'!$D$2:$D$254)*'1675 (1)'!$I$2:$I$254)</f>
        <v>8800</v>
      </c>
      <c r="C177" cm="1">
        <f t="array" ref="C177">SUMPRODUCT((A177='1675 (2)'!$D$2:$D$422)*'1675 (2)'!$I$2:$I$422)</f>
        <v>0</v>
      </c>
      <c r="D177">
        <f t="shared" si="10"/>
        <v>8800</v>
      </c>
      <c r="E177">
        <f t="shared" si="11"/>
        <v>8800.0001769999999</v>
      </c>
      <c r="F177">
        <f t="shared" si="12"/>
        <v>175</v>
      </c>
      <c r="I177" s="73">
        <v>176</v>
      </c>
      <c r="J177" s="73" t="str">
        <f t="shared" si="13"/>
        <v>Romero, Juan Claudio</v>
      </c>
      <c r="K177" s="73">
        <f t="shared" si="14"/>
        <v>8700</v>
      </c>
    </row>
    <row r="178" spans="1:11" ht="15" customHeight="1" x14ac:dyDescent="0.25">
      <c r="A178" t="s">
        <v>520</v>
      </c>
      <c r="B178" cm="1">
        <f t="array" ref="B178">SUMPRODUCT((A178='1675 (1)'!$D$2:$D$254)*'1675 (1)'!$I$2:$I$254)</f>
        <v>5400</v>
      </c>
      <c r="C178" cm="1">
        <f t="array" ref="C178">SUMPRODUCT((A178='1675 (2)'!$D$2:$D$422)*'1675 (2)'!$I$2:$I$422)</f>
        <v>0</v>
      </c>
      <c r="D178">
        <f t="shared" si="10"/>
        <v>5400</v>
      </c>
      <c r="E178">
        <f t="shared" si="11"/>
        <v>5400.0001780000002</v>
      </c>
      <c r="F178">
        <f t="shared" si="12"/>
        <v>198</v>
      </c>
      <c r="I178" s="73">
        <v>177</v>
      </c>
      <c r="J178" s="73" t="str">
        <f t="shared" si="13"/>
        <v>Vera, Diego de</v>
      </c>
      <c r="K178" s="73">
        <f t="shared" si="14"/>
        <v>8650</v>
      </c>
    </row>
    <row r="179" spans="1:11" ht="15" customHeight="1" x14ac:dyDescent="0.25">
      <c r="A179" t="s">
        <v>52</v>
      </c>
      <c r="B179" cm="1">
        <f t="array" ref="B179">SUMPRODUCT((A179='1675 (1)'!$D$2:$D$254)*'1675 (1)'!$I$2:$I$254)</f>
        <v>1000</v>
      </c>
      <c r="C179" cm="1">
        <f t="array" ref="C179">SUMPRODUCT((A179='1675 (2)'!$D$2:$D$422)*'1675 (2)'!$I$2:$I$422)</f>
        <v>0</v>
      </c>
      <c r="D179">
        <f t="shared" si="10"/>
        <v>1000</v>
      </c>
      <c r="E179">
        <f t="shared" si="11"/>
        <v>1000.000179</v>
      </c>
      <c r="F179">
        <f t="shared" si="12"/>
        <v>235</v>
      </c>
      <c r="I179" s="73">
        <v>178</v>
      </c>
      <c r="J179" s="73" t="str">
        <f t="shared" si="13"/>
        <v>García de las Alas, Francisco</v>
      </c>
      <c r="K179" s="73">
        <f t="shared" si="14"/>
        <v>8640</v>
      </c>
    </row>
    <row r="180" spans="1:11" ht="15" customHeight="1" x14ac:dyDescent="0.25">
      <c r="A180" t="s">
        <v>521</v>
      </c>
      <c r="B180" cm="1">
        <f t="array" ref="B180">SUMPRODUCT((A180='1675 (1)'!$D$2:$D$254)*'1675 (1)'!$I$2:$I$254)</f>
        <v>1000</v>
      </c>
      <c r="C180" cm="1">
        <f t="array" ref="C180">SUMPRODUCT((A180='1675 (2)'!$D$2:$D$422)*'1675 (2)'!$I$2:$I$422)</f>
        <v>0</v>
      </c>
      <c r="D180">
        <f t="shared" si="10"/>
        <v>1000</v>
      </c>
      <c r="E180">
        <f t="shared" si="11"/>
        <v>1000.00018</v>
      </c>
      <c r="F180">
        <f t="shared" si="12"/>
        <v>234</v>
      </c>
      <c r="I180" s="73">
        <v>179</v>
      </c>
      <c r="J180" s="73" t="str">
        <f t="shared" si="13"/>
        <v>Puerto Marino, Domingo del</v>
      </c>
      <c r="K180" s="73">
        <f t="shared" si="14"/>
        <v>8300</v>
      </c>
    </row>
    <row r="181" spans="1:11" ht="15" customHeight="1" x14ac:dyDescent="0.25">
      <c r="A181" t="s">
        <v>194</v>
      </c>
      <c r="B181" cm="1">
        <f t="array" ref="B181">SUMPRODUCT((A181='1675 (1)'!$D$2:$D$254)*'1675 (1)'!$I$2:$I$254)</f>
        <v>3800</v>
      </c>
      <c r="C181" cm="1">
        <f t="array" ref="C181">SUMPRODUCT((A181='1675 (2)'!$D$2:$D$422)*'1675 (2)'!$I$2:$I$422)</f>
        <v>0</v>
      </c>
      <c r="D181">
        <f t="shared" si="10"/>
        <v>3800</v>
      </c>
      <c r="E181">
        <f t="shared" si="11"/>
        <v>3800.0001809999999</v>
      </c>
      <c r="F181">
        <f t="shared" si="12"/>
        <v>208</v>
      </c>
      <c r="I181" s="73">
        <v>180</v>
      </c>
      <c r="J181" s="73" t="str">
        <f t="shared" si="13"/>
        <v>Garrido, Miguel</v>
      </c>
      <c r="K181" s="73">
        <f t="shared" si="14"/>
        <v>8300</v>
      </c>
    </row>
    <row r="182" spans="1:11" ht="15" customHeight="1" x14ac:dyDescent="0.25">
      <c r="A182" t="s">
        <v>57</v>
      </c>
      <c r="B182" cm="1">
        <f t="array" ref="B182">SUMPRODUCT((A182='1675 (1)'!$D$2:$D$254)*'1675 (1)'!$I$2:$I$254)</f>
        <v>10440</v>
      </c>
      <c r="C182" cm="1">
        <f t="array" ref="C182">SUMPRODUCT((A182='1675 (2)'!$D$2:$D$422)*'1675 (2)'!$I$2:$I$422)</f>
        <v>0</v>
      </c>
      <c r="D182">
        <f t="shared" si="10"/>
        <v>10440</v>
      </c>
      <c r="E182">
        <f t="shared" si="11"/>
        <v>10440.000182</v>
      </c>
      <c r="F182">
        <f t="shared" si="12"/>
        <v>167</v>
      </c>
      <c r="I182" s="73">
        <v>181</v>
      </c>
      <c r="J182" s="73" t="str">
        <f t="shared" si="13"/>
        <v>Ochoa de Achurí, Martín</v>
      </c>
      <c r="K182" s="73">
        <f t="shared" si="14"/>
        <v>8000</v>
      </c>
    </row>
    <row r="183" spans="1:11" ht="15" customHeight="1" x14ac:dyDescent="0.25">
      <c r="A183" t="s">
        <v>522</v>
      </c>
      <c r="B183" cm="1">
        <f t="array" ref="B183">SUMPRODUCT((A183='1675 (1)'!$D$2:$D$254)*'1675 (1)'!$I$2:$I$254)</f>
        <v>6000</v>
      </c>
      <c r="C183" cm="1">
        <f t="array" ref="C183">SUMPRODUCT((A183='1675 (2)'!$D$2:$D$422)*'1675 (2)'!$I$2:$I$422)</f>
        <v>0</v>
      </c>
      <c r="D183">
        <f t="shared" si="10"/>
        <v>6000</v>
      </c>
      <c r="E183">
        <f t="shared" si="11"/>
        <v>6000.0001830000001</v>
      </c>
      <c r="F183">
        <f t="shared" si="12"/>
        <v>193</v>
      </c>
      <c r="I183" s="73">
        <v>182</v>
      </c>
      <c r="J183" s="73" t="str">
        <f t="shared" si="13"/>
        <v>Valle, Andrés del</v>
      </c>
      <c r="K183" s="73">
        <f t="shared" si="14"/>
        <v>8000</v>
      </c>
    </row>
    <row r="184" spans="1:11" ht="15" customHeight="1" x14ac:dyDescent="0.25">
      <c r="A184" t="s">
        <v>61</v>
      </c>
      <c r="B184" cm="1">
        <f t="array" ref="B184">SUMPRODUCT((A184='1675 (1)'!$D$2:$D$254)*'1675 (1)'!$I$2:$I$254)</f>
        <v>7500</v>
      </c>
      <c r="C184" cm="1">
        <f t="array" ref="C184">SUMPRODUCT((A184='1675 (2)'!$D$2:$D$422)*'1675 (2)'!$I$2:$I$422)</f>
        <v>0</v>
      </c>
      <c r="D184">
        <f t="shared" si="10"/>
        <v>7500</v>
      </c>
      <c r="E184">
        <f t="shared" si="11"/>
        <v>7500.0001840000004</v>
      </c>
      <c r="F184">
        <f t="shared" si="12"/>
        <v>185</v>
      </c>
      <c r="I184" s="73">
        <v>183</v>
      </c>
      <c r="J184" s="73" t="str">
        <f t="shared" si="13"/>
        <v>Valdés, Pedro de</v>
      </c>
      <c r="K184" s="73">
        <f t="shared" si="14"/>
        <v>8000</v>
      </c>
    </row>
    <row r="185" spans="1:11" ht="15" customHeight="1" x14ac:dyDescent="0.25">
      <c r="A185" t="s">
        <v>523</v>
      </c>
      <c r="B185" cm="1">
        <f t="array" ref="B185">SUMPRODUCT((A185='1675 (1)'!$D$2:$D$254)*'1675 (1)'!$I$2:$I$254)</f>
        <v>320</v>
      </c>
      <c r="C185" cm="1">
        <f t="array" ref="C185">SUMPRODUCT((A185='1675 (2)'!$D$2:$D$422)*'1675 (2)'!$I$2:$I$422)</f>
        <v>0</v>
      </c>
      <c r="D185">
        <f t="shared" si="10"/>
        <v>320</v>
      </c>
      <c r="E185">
        <f t="shared" si="11"/>
        <v>320.00018499999999</v>
      </c>
      <c r="F185">
        <f t="shared" si="12"/>
        <v>245</v>
      </c>
      <c r="I185" s="73">
        <v>184</v>
      </c>
      <c r="J185" s="73" t="str">
        <f t="shared" si="13"/>
        <v>Rubin, Manuel</v>
      </c>
      <c r="K185" s="73">
        <f t="shared" si="14"/>
        <v>7500</v>
      </c>
    </row>
    <row r="186" spans="1:11" ht="15" customHeight="1" x14ac:dyDescent="0.25">
      <c r="A186" t="s">
        <v>77</v>
      </c>
      <c r="B186" cm="1">
        <f t="array" ref="B186">SUMPRODUCT((A186='1675 (1)'!$D$2:$D$254)*'1675 (1)'!$I$2:$I$254)</f>
        <v>304</v>
      </c>
      <c r="C186" cm="1">
        <f t="array" ref="C186">SUMPRODUCT((A186='1675 (2)'!$D$2:$D$422)*'1675 (2)'!$I$2:$I$422)</f>
        <v>0</v>
      </c>
      <c r="D186">
        <f t="shared" si="10"/>
        <v>304</v>
      </c>
      <c r="E186">
        <f t="shared" si="11"/>
        <v>304.00018599999999</v>
      </c>
      <c r="F186">
        <f t="shared" si="12"/>
        <v>246</v>
      </c>
      <c r="I186" s="73">
        <v>185</v>
      </c>
      <c r="J186" s="73" t="str">
        <f t="shared" si="13"/>
        <v>Creta, Cristóbal de</v>
      </c>
      <c r="K186" s="73">
        <f t="shared" si="14"/>
        <v>7500</v>
      </c>
    </row>
    <row r="187" spans="1:11" ht="15" customHeight="1" x14ac:dyDescent="0.25">
      <c r="A187" t="s">
        <v>524</v>
      </c>
      <c r="B187" cm="1">
        <f t="array" ref="B187">SUMPRODUCT((A187='1675 (1)'!$D$2:$D$254)*'1675 (1)'!$I$2:$I$254)</f>
        <v>2600</v>
      </c>
      <c r="C187" cm="1">
        <f t="array" ref="C187">SUMPRODUCT((A187='1675 (2)'!$D$2:$D$422)*'1675 (2)'!$I$2:$I$422)</f>
        <v>0</v>
      </c>
      <c r="D187">
        <f t="shared" si="10"/>
        <v>2600</v>
      </c>
      <c r="E187">
        <f t="shared" si="11"/>
        <v>2600.0001870000001</v>
      </c>
      <c r="F187">
        <f t="shared" si="12"/>
        <v>219</v>
      </c>
      <c r="I187" s="73">
        <v>186</v>
      </c>
      <c r="J187" s="73" t="str">
        <f t="shared" si="13"/>
        <v>Bedia, Joseph de</v>
      </c>
      <c r="K187" s="73">
        <f t="shared" si="14"/>
        <v>7500</v>
      </c>
    </row>
    <row r="188" spans="1:11" ht="15" customHeight="1" x14ac:dyDescent="0.25">
      <c r="A188" t="s">
        <v>525</v>
      </c>
      <c r="B188" cm="1">
        <f t="array" ref="B188">SUMPRODUCT((A188='1675 (1)'!$D$2:$D$254)*'1675 (1)'!$I$2:$I$254)</f>
        <v>1000</v>
      </c>
      <c r="C188" cm="1">
        <f t="array" ref="C188">SUMPRODUCT((A188='1675 (2)'!$D$2:$D$422)*'1675 (2)'!$I$2:$I$422)</f>
        <v>0</v>
      </c>
      <c r="D188">
        <f t="shared" si="10"/>
        <v>1000</v>
      </c>
      <c r="E188">
        <f t="shared" si="11"/>
        <v>1000.000188</v>
      </c>
      <c r="F188">
        <f t="shared" si="12"/>
        <v>233</v>
      </c>
      <c r="I188" s="73">
        <v>187</v>
      </c>
      <c r="J188" s="73" t="str">
        <f t="shared" si="13"/>
        <v>Fernández Barceda, Joseph</v>
      </c>
      <c r="K188" s="73">
        <f t="shared" si="14"/>
        <v>7500</v>
      </c>
    </row>
    <row r="189" spans="1:11" ht="15" customHeight="1" x14ac:dyDescent="0.25">
      <c r="A189" t="s">
        <v>526</v>
      </c>
      <c r="B189" cm="1">
        <f t="array" ref="B189">SUMPRODUCT((A189='1675 (1)'!$D$2:$D$254)*'1675 (1)'!$I$2:$I$254)</f>
        <v>10200</v>
      </c>
      <c r="C189" cm="1">
        <f t="array" ref="C189">SUMPRODUCT((A189='1675 (2)'!$D$2:$D$422)*'1675 (2)'!$I$2:$I$422)</f>
        <v>0</v>
      </c>
      <c r="D189">
        <f t="shared" si="10"/>
        <v>10200</v>
      </c>
      <c r="E189">
        <f t="shared" si="11"/>
        <v>10200.000189</v>
      </c>
      <c r="F189">
        <f t="shared" si="12"/>
        <v>170</v>
      </c>
      <c r="I189" s="73">
        <v>188</v>
      </c>
      <c r="J189" s="73" t="str">
        <f t="shared" si="13"/>
        <v>Castro, Agustín de</v>
      </c>
      <c r="K189" s="73">
        <f t="shared" si="14"/>
        <v>7300</v>
      </c>
    </row>
    <row r="190" spans="1:11" ht="15" customHeight="1" x14ac:dyDescent="0.25">
      <c r="A190" t="s">
        <v>91</v>
      </c>
      <c r="B190" cm="1">
        <f t="array" ref="B190">SUMPRODUCT((A190='1675 (1)'!$D$2:$D$254)*'1675 (1)'!$I$2:$I$254)</f>
        <v>1000</v>
      </c>
      <c r="C190" cm="1">
        <f t="array" ref="C190">SUMPRODUCT((A190='1675 (2)'!$D$2:$D$422)*'1675 (2)'!$I$2:$I$422)</f>
        <v>0</v>
      </c>
      <c r="D190">
        <f t="shared" si="10"/>
        <v>1000</v>
      </c>
      <c r="E190">
        <f t="shared" si="11"/>
        <v>1000.00019</v>
      </c>
      <c r="F190">
        <f t="shared" si="12"/>
        <v>232</v>
      </c>
      <c r="I190" s="73">
        <v>189</v>
      </c>
      <c r="J190" s="73" t="str">
        <f t="shared" si="13"/>
        <v>Ortiz de Lartanda, José</v>
      </c>
      <c r="K190" s="73">
        <f t="shared" si="14"/>
        <v>7000</v>
      </c>
    </row>
    <row r="191" spans="1:11" ht="15" customHeight="1" x14ac:dyDescent="0.25">
      <c r="A191" t="s">
        <v>94</v>
      </c>
      <c r="B191" cm="1">
        <f t="array" ref="B191">SUMPRODUCT((A191='1675 (1)'!$D$2:$D$254)*'1675 (1)'!$I$2:$I$254)</f>
        <v>720</v>
      </c>
      <c r="C191" cm="1">
        <f t="array" ref="C191">SUMPRODUCT((A191='1675 (2)'!$D$2:$D$422)*'1675 (2)'!$I$2:$I$422)</f>
        <v>0</v>
      </c>
      <c r="D191">
        <f t="shared" si="10"/>
        <v>720</v>
      </c>
      <c r="E191">
        <f t="shared" si="11"/>
        <v>720.00019099999997</v>
      </c>
      <c r="F191">
        <f t="shared" si="12"/>
        <v>237</v>
      </c>
      <c r="I191" s="73">
        <v>190</v>
      </c>
      <c r="J191" s="73" t="str">
        <f t="shared" si="13"/>
        <v>Torres, Andrés de</v>
      </c>
      <c r="K191" s="73">
        <f t="shared" si="14"/>
        <v>7000</v>
      </c>
    </row>
    <row r="192" spans="1:11" ht="15" customHeight="1" x14ac:dyDescent="0.25">
      <c r="A192" t="s">
        <v>95</v>
      </c>
      <c r="B192" cm="1">
        <f t="array" ref="B192">SUMPRODUCT((A192='1675 (1)'!$D$2:$D$254)*'1675 (1)'!$I$2:$I$254)</f>
        <v>15000</v>
      </c>
      <c r="C192" cm="1">
        <f t="array" ref="C192">SUMPRODUCT((A192='1675 (2)'!$D$2:$D$422)*'1675 (2)'!$I$2:$I$422)</f>
        <v>0</v>
      </c>
      <c r="D192">
        <f t="shared" si="10"/>
        <v>15000</v>
      </c>
      <c r="E192">
        <f t="shared" si="11"/>
        <v>15000.000192</v>
      </c>
      <c r="F192">
        <f t="shared" si="12"/>
        <v>142</v>
      </c>
      <c r="I192" s="73">
        <v>191</v>
      </c>
      <c r="J192" s="73" t="str">
        <f t="shared" si="13"/>
        <v>Malaver, Francisco de</v>
      </c>
      <c r="K192" s="73">
        <f t="shared" si="14"/>
        <v>6500</v>
      </c>
    </row>
    <row r="193" spans="1:11" ht="15" customHeight="1" x14ac:dyDescent="0.25">
      <c r="A193" t="s">
        <v>97</v>
      </c>
      <c r="B193" cm="1">
        <f t="array" ref="B193">SUMPRODUCT((A193='1675 (1)'!$D$2:$D$254)*'1675 (1)'!$I$2:$I$254)</f>
        <v>78400</v>
      </c>
      <c r="C193" cm="1">
        <f t="array" ref="C193">SUMPRODUCT((A193='1675 (2)'!$D$2:$D$422)*'1675 (2)'!$I$2:$I$422)</f>
        <v>0</v>
      </c>
      <c r="D193">
        <f t="shared" si="10"/>
        <v>78400</v>
      </c>
      <c r="E193">
        <f t="shared" si="11"/>
        <v>78400.000193</v>
      </c>
      <c r="F193">
        <f t="shared" si="12"/>
        <v>43</v>
      </c>
      <c r="I193" s="73">
        <v>192</v>
      </c>
      <c r="J193" s="73" t="str">
        <f t="shared" si="13"/>
        <v>Ronda, Juan de la</v>
      </c>
      <c r="K193" s="73">
        <f t="shared" si="14"/>
        <v>6200</v>
      </c>
    </row>
    <row r="194" spans="1:11" ht="15" customHeight="1" x14ac:dyDescent="0.25">
      <c r="A194" t="s">
        <v>99</v>
      </c>
      <c r="B194" cm="1">
        <f t="array" ref="B194">SUMPRODUCT((A194='1675 (1)'!$D$2:$D$254)*'1675 (1)'!$I$2:$I$254)</f>
        <v>5640</v>
      </c>
      <c r="C194" cm="1">
        <f t="array" ref="C194">SUMPRODUCT((A194='1675 (2)'!$D$2:$D$422)*'1675 (2)'!$I$2:$I$422)</f>
        <v>0</v>
      </c>
      <c r="D194">
        <f t="shared" si="10"/>
        <v>5640</v>
      </c>
      <c r="E194">
        <f t="shared" si="11"/>
        <v>5640.0001940000002</v>
      </c>
      <c r="F194">
        <f t="shared" si="12"/>
        <v>196</v>
      </c>
      <c r="I194" s="73">
        <v>193</v>
      </c>
      <c r="J194" s="73" t="str">
        <f t="shared" si="13"/>
        <v>Elgorriaga, Juan</v>
      </c>
      <c r="K194" s="73">
        <f t="shared" si="14"/>
        <v>6000</v>
      </c>
    </row>
    <row r="195" spans="1:11" ht="15" customHeight="1" x14ac:dyDescent="0.25">
      <c r="A195" t="s">
        <v>493</v>
      </c>
      <c r="B195" cm="1">
        <f t="array" ref="B195">SUMPRODUCT((A195='1675 (1)'!$D$2:$D$254)*'1675 (1)'!$I$2:$I$254)</f>
        <v>4800</v>
      </c>
      <c r="C195" cm="1">
        <f t="array" ref="C195">SUMPRODUCT((A195='1675 (2)'!$D$2:$D$422)*'1675 (2)'!$I$2:$I$422)</f>
        <v>0</v>
      </c>
      <c r="D195">
        <f t="shared" ref="D195:D233" si="15">B195+C195</f>
        <v>4800</v>
      </c>
      <c r="E195">
        <f t="shared" ref="E195:E247" si="16">D195+0.000001*ROW()</f>
        <v>4800.0001949999996</v>
      </c>
      <c r="F195">
        <f t="shared" ref="F195:F247" si="17">_xlfn.RANK.EQ(E195,$E$2:$E$247)</f>
        <v>203</v>
      </c>
      <c r="I195" s="73">
        <v>194</v>
      </c>
      <c r="J195" s="73" t="str">
        <f t="shared" ref="J195:J247" si="18">INDEX($A$2:$A$247,MATCH(I195,$F$2:$F$247,0))</f>
        <v>Esquiza, Nicolás de</v>
      </c>
      <c r="K195" s="73">
        <f t="shared" ref="K195:K247" si="19">INDEX($D$2:$D$247,MATCH(I195,$F$2:$F$247,0))</f>
        <v>6000</v>
      </c>
    </row>
    <row r="196" spans="1:11" ht="15" customHeight="1" x14ac:dyDescent="0.25">
      <c r="A196" t="s">
        <v>108</v>
      </c>
      <c r="B196" cm="1">
        <f t="array" ref="B196">SUMPRODUCT((A196='1675 (1)'!$D$2:$D$254)*'1675 (1)'!$I$2:$I$254)</f>
        <v>7500</v>
      </c>
      <c r="C196" cm="1">
        <f t="array" ref="C196">SUMPRODUCT((A196='1675 (2)'!$D$2:$D$422)*'1675 (2)'!$I$2:$I$422)</f>
        <v>0</v>
      </c>
      <c r="D196">
        <f t="shared" si="15"/>
        <v>7500</v>
      </c>
      <c r="E196">
        <f t="shared" si="16"/>
        <v>7500.000196</v>
      </c>
      <c r="F196">
        <f t="shared" si="17"/>
        <v>184</v>
      </c>
      <c r="I196" s="73">
        <v>195</v>
      </c>
      <c r="J196" s="73" t="str">
        <f t="shared" si="18"/>
        <v>Gortairi, Martín de</v>
      </c>
      <c r="K196" s="73">
        <f t="shared" si="19"/>
        <v>5700</v>
      </c>
    </row>
    <row r="197" spans="1:11" ht="15" customHeight="1" x14ac:dyDescent="0.25">
      <c r="A197" t="s">
        <v>527</v>
      </c>
      <c r="B197" cm="1">
        <f t="array" ref="B197">SUMPRODUCT((A197='1675 (1)'!$D$2:$D$254)*'1675 (1)'!$I$2:$I$254)</f>
        <v>23500</v>
      </c>
      <c r="C197" cm="1">
        <f t="array" ref="C197">SUMPRODUCT((A197='1675 (2)'!$D$2:$D$422)*'1675 (2)'!$I$2:$I$422)</f>
        <v>0</v>
      </c>
      <c r="D197">
        <f t="shared" si="15"/>
        <v>23500</v>
      </c>
      <c r="E197">
        <f t="shared" si="16"/>
        <v>23500.000197000001</v>
      </c>
      <c r="F197">
        <f t="shared" si="17"/>
        <v>116</v>
      </c>
      <c r="I197" s="73">
        <v>196</v>
      </c>
      <c r="J197" s="73" t="str">
        <f t="shared" si="18"/>
        <v>Castillejo, Fernando</v>
      </c>
      <c r="K197" s="73">
        <f t="shared" si="19"/>
        <v>5640</v>
      </c>
    </row>
    <row r="198" spans="1:11" ht="15" customHeight="1" x14ac:dyDescent="0.25">
      <c r="A198" t="s">
        <v>109</v>
      </c>
      <c r="B198" cm="1">
        <f t="array" ref="B198">SUMPRODUCT((A198='1675 (1)'!$D$2:$D$254)*'1675 (1)'!$I$2:$I$254)</f>
        <v>320</v>
      </c>
      <c r="C198" cm="1">
        <f t="array" ref="C198">SUMPRODUCT((A198='1675 (2)'!$D$2:$D$422)*'1675 (2)'!$I$2:$I$422)</f>
        <v>0</v>
      </c>
      <c r="D198">
        <f t="shared" si="15"/>
        <v>320</v>
      </c>
      <c r="E198">
        <f t="shared" si="16"/>
        <v>320.00019800000001</v>
      </c>
      <c r="F198">
        <f t="shared" si="17"/>
        <v>244</v>
      </c>
      <c r="I198" s="73">
        <v>197</v>
      </c>
      <c r="J198" s="73" t="str">
        <f t="shared" si="18"/>
        <v>Otárola, Roque de</v>
      </c>
      <c r="K198" s="73">
        <f t="shared" si="19"/>
        <v>5600</v>
      </c>
    </row>
    <row r="199" spans="1:11" ht="15" customHeight="1" x14ac:dyDescent="0.25">
      <c r="A199" t="s">
        <v>111</v>
      </c>
      <c r="B199" cm="1">
        <f t="array" ref="B199">SUMPRODUCT((A199='1675 (1)'!$D$2:$D$254)*'1675 (1)'!$I$2:$I$254)</f>
        <v>2700</v>
      </c>
      <c r="C199" cm="1">
        <f t="array" ref="C199">SUMPRODUCT((A199='1675 (2)'!$D$2:$D$422)*'1675 (2)'!$I$2:$I$422)</f>
        <v>0</v>
      </c>
      <c r="D199">
        <f t="shared" si="15"/>
        <v>2700</v>
      </c>
      <c r="E199">
        <f t="shared" si="16"/>
        <v>2700.0001990000001</v>
      </c>
      <c r="F199">
        <f t="shared" si="17"/>
        <v>217</v>
      </c>
      <c r="I199" s="73">
        <v>198</v>
      </c>
      <c r="J199" s="73" t="str">
        <f t="shared" si="18"/>
        <v>Arauz, Francisco de</v>
      </c>
      <c r="K199" s="73">
        <f t="shared" si="19"/>
        <v>5400</v>
      </c>
    </row>
    <row r="200" spans="1:11" ht="15" customHeight="1" x14ac:dyDescent="0.25">
      <c r="A200" t="s">
        <v>112</v>
      </c>
      <c r="B200" cm="1">
        <f t="array" ref="B200">SUMPRODUCT((A200='1675 (1)'!$D$2:$D$254)*'1675 (1)'!$I$2:$I$254)</f>
        <v>400</v>
      </c>
      <c r="C200" cm="1">
        <f t="array" ref="C200">SUMPRODUCT((A200='1675 (2)'!$D$2:$D$422)*'1675 (2)'!$I$2:$I$422)</f>
        <v>0</v>
      </c>
      <c r="D200">
        <f t="shared" si="15"/>
        <v>400</v>
      </c>
      <c r="E200">
        <f t="shared" si="16"/>
        <v>400.00020000000001</v>
      </c>
      <c r="F200">
        <f t="shared" si="17"/>
        <v>242</v>
      </c>
      <c r="I200" s="73">
        <v>199</v>
      </c>
      <c r="J200" s="73" t="str">
        <f t="shared" si="18"/>
        <v>Ossio Ibáñez, Antonio de</v>
      </c>
      <c r="K200" s="73">
        <f t="shared" si="19"/>
        <v>5400</v>
      </c>
    </row>
    <row r="201" spans="1:11" ht="15" customHeight="1" x14ac:dyDescent="0.25">
      <c r="A201" t="s">
        <v>118</v>
      </c>
      <c r="B201" cm="1">
        <f t="array" ref="B201">SUMPRODUCT((A201='1675 (1)'!$D$2:$D$254)*'1675 (1)'!$I$2:$I$254)</f>
        <v>1320</v>
      </c>
      <c r="C201" cm="1">
        <f t="array" ref="C201">SUMPRODUCT((A201='1675 (2)'!$D$2:$D$422)*'1675 (2)'!$I$2:$I$422)</f>
        <v>0</v>
      </c>
      <c r="D201">
        <f t="shared" si="15"/>
        <v>1320</v>
      </c>
      <c r="E201">
        <f t="shared" si="16"/>
        <v>1320.0002010000001</v>
      </c>
      <c r="F201">
        <f t="shared" si="17"/>
        <v>230</v>
      </c>
      <c r="I201" s="73">
        <v>200</v>
      </c>
      <c r="J201" s="73" t="str">
        <f t="shared" si="18"/>
        <v>Iturrain, Martín de</v>
      </c>
      <c r="K201" s="73">
        <f t="shared" si="19"/>
        <v>5000</v>
      </c>
    </row>
    <row r="202" spans="1:11" ht="15" customHeight="1" x14ac:dyDescent="0.25">
      <c r="A202" t="s">
        <v>121</v>
      </c>
      <c r="B202" cm="1">
        <f t="array" ref="B202">SUMPRODUCT((A202='1675 (1)'!$D$2:$D$254)*'1675 (1)'!$I$2:$I$254)</f>
        <v>3000</v>
      </c>
      <c r="C202" cm="1">
        <f t="array" ref="C202">SUMPRODUCT((A202='1675 (2)'!$D$2:$D$422)*'1675 (2)'!$I$2:$I$422)</f>
        <v>0</v>
      </c>
      <c r="D202">
        <f t="shared" si="15"/>
        <v>3000</v>
      </c>
      <c r="E202">
        <f t="shared" si="16"/>
        <v>3000.0002020000002</v>
      </c>
      <c r="F202">
        <f t="shared" si="17"/>
        <v>214</v>
      </c>
      <c r="I202" s="73">
        <v>201</v>
      </c>
      <c r="J202" s="73" t="str">
        <f t="shared" si="18"/>
        <v>Martínez del Valle, Domingo</v>
      </c>
      <c r="K202" s="73">
        <f t="shared" si="19"/>
        <v>5000</v>
      </c>
    </row>
    <row r="203" spans="1:11" ht="15" customHeight="1" x14ac:dyDescent="0.25">
      <c r="A203" t="s">
        <v>122</v>
      </c>
      <c r="B203" cm="1">
        <f t="array" ref="B203">SUMPRODUCT((A203='1675 (1)'!$D$2:$D$254)*'1675 (1)'!$I$2:$I$254)</f>
        <v>19996</v>
      </c>
      <c r="C203" cm="1">
        <f t="array" ref="C203">SUMPRODUCT((A203='1675 (2)'!$D$2:$D$422)*'1675 (2)'!$I$2:$I$422)</f>
        <v>0</v>
      </c>
      <c r="D203">
        <f t="shared" si="15"/>
        <v>19996</v>
      </c>
      <c r="E203">
        <f t="shared" si="16"/>
        <v>19996.000203</v>
      </c>
      <c r="F203">
        <f t="shared" si="17"/>
        <v>134</v>
      </c>
      <c r="I203" s="73">
        <v>202</v>
      </c>
      <c r="J203" s="73" t="str">
        <f t="shared" si="18"/>
        <v>Velarde, Alonso</v>
      </c>
      <c r="K203" s="73">
        <f t="shared" si="19"/>
        <v>5000</v>
      </c>
    </row>
    <row r="204" spans="1:11" ht="15" customHeight="1" x14ac:dyDescent="0.25">
      <c r="A204" t="s">
        <v>123</v>
      </c>
      <c r="B204" cm="1">
        <f t="array" ref="B204">SUMPRODUCT((A204='1675 (1)'!$D$2:$D$254)*'1675 (1)'!$I$2:$I$254)</f>
        <v>9900</v>
      </c>
      <c r="C204" cm="1">
        <f t="array" ref="C204">SUMPRODUCT((A204='1675 (2)'!$D$2:$D$422)*'1675 (2)'!$I$2:$I$422)</f>
        <v>0</v>
      </c>
      <c r="D204">
        <f t="shared" si="15"/>
        <v>9900</v>
      </c>
      <c r="E204">
        <f t="shared" si="16"/>
        <v>9900.0002039999999</v>
      </c>
      <c r="F204">
        <f t="shared" si="17"/>
        <v>173</v>
      </c>
      <c r="I204" s="73">
        <v>203</v>
      </c>
      <c r="J204" s="73" t="str">
        <f t="shared" si="18"/>
        <v>Meza, Andrés de</v>
      </c>
      <c r="K204" s="73">
        <f t="shared" si="19"/>
        <v>4800</v>
      </c>
    </row>
    <row r="205" spans="1:11" ht="15" customHeight="1" x14ac:dyDescent="0.25">
      <c r="A205" t="s">
        <v>528</v>
      </c>
      <c r="B205" cm="1">
        <f t="array" ref="B205">SUMPRODUCT((A205='1675 (1)'!$D$2:$D$254)*'1675 (1)'!$I$2:$I$254)</f>
        <v>10300</v>
      </c>
      <c r="C205" cm="1">
        <f t="array" ref="C205">SUMPRODUCT((A205='1675 (2)'!$D$2:$D$422)*'1675 (2)'!$I$2:$I$422)</f>
        <v>0</v>
      </c>
      <c r="D205">
        <f t="shared" si="15"/>
        <v>10300</v>
      </c>
      <c r="E205">
        <f t="shared" si="16"/>
        <v>10300.000205</v>
      </c>
      <c r="F205">
        <f t="shared" si="17"/>
        <v>169</v>
      </c>
      <c r="I205" s="73">
        <v>204</v>
      </c>
      <c r="J205" s="73" t="str">
        <f t="shared" si="18"/>
        <v>Peñabal, Manuel de</v>
      </c>
      <c r="K205" s="73">
        <f t="shared" si="19"/>
        <v>4500</v>
      </c>
    </row>
    <row r="206" spans="1:11" ht="15" customHeight="1" x14ac:dyDescent="0.25">
      <c r="A206" t="s">
        <v>139</v>
      </c>
      <c r="B206" cm="1">
        <f t="array" ref="B206">SUMPRODUCT((A206='1675 (1)'!$D$2:$D$254)*'1675 (1)'!$I$2:$I$254)</f>
        <v>2000</v>
      </c>
      <c r="C206" cm="1">
        <f t="array" ref="C206">SUMPRODUCT((A206='1675 (2)'!$D$2:$D$422)*'1675 (2)'!$I$2:$I$422)</f>
        <v>0</v>
      </c>
      <c r="D206">
        <f t="shared" si="15"/>
        <v>2000</v>
      </c>
      <c r="E206">
        <f t="shared" si="16"/>
        <v>2000.0002059999999</v>
      </c>
      <c r="F206">
        <f t="shared" si="17"/>
        <v>225</v>
      </c>
      <c r="I206" s="73">
        <v>205</v>
      </c>
      <c r="J206" s="73" t="str">
        <f t="shared" si="18"/>
        <v>Salazar, Joseph de</v>
      </c>
      <c r="K206" s="73">
        <f t="shared" si="19"/>
        <v>4000</v>
      </c>
    </row>
    <row r="207" spans="1:11" ht="15" customHeight="1" x14ac:dyDescent="0.25">
      <c r="A207" t="s">
        <v>147</v>
      </c>
      <c r="B207" cm="1">
        <f t="array" ref="B207">SUMPRODUCT((A207='1675 (1)'!$D$2:$D$254)*'1675 (1)'!$I$2:$I$254)</f>
        <v>8700</v>
      </c>
      <c r="C207" cm="1">
        <f t="array" ref="C207">SUMPRODUCT((A207='1675 (2)'!$D$2:$D$422)*'1675 (2)'!$I$2:$I$422)</f>
        <v>0</v>
      </c>
      <c r="D207">
        <f t="shared" si="15"/>
        <v>8700</v>
      </c>
      <c r="E207">
        <f t="shared" si="16"/>
        <v>8700.0002069999991</v>
      </c>
      <c r="F207">
        <f t="shared" si="17"/>
        <v>176</v>
      </c>
      <c r="I207" s="73">
        <v>206</v>
      </c>
      <c r="J207" s="73" t="str">
        <f t="shared" si="18"/>
        <v>Pinedo, Pedro de</v>
      </c>
      <c r="K207" s="73">
        <f t="shared" si="19"/>
        <v>4000</v>
      </c>
    </row>
    <row r="208" spans="1:11" ht="15" customHeight="1" x14ac:dyDescent="0.25">
      <c r="A208" t="s">
        <v>144</v>
      </c>
      <c r="B208" cm="1">
        <f t="array" ref="B208">SUMPRODUCT((A208='1675 (1)'!$D$2:$D$254)*'1675 (1)'!$I$2:$I$254)</f>
        <v>3000</v>
      </c>
      <c r="C208" cm="1">
        <f t="array" ref="C208">SUMPRODUCT((A208='1675 (2)'!$D$2:$D$422)*'1675 (2)'!$I$2:$I$422)</f>
        <v>0</v>
      </c>
      <c r="D208">
        <f t="shared" si="15"/>
        <v>3000</v>
      </c>
      <c r="E208">
        <f t="shared" si="16"/>
        <v>3000.0002079999999</v>
      </c>
      <c r="F208">
        <f t="shared" si="17"/>
        <v>213</v>
      </c>
      <c r="I208" s="73">
        <v>207</v>
      </c>
      <c r="J208" s="73" t="str">
        <f t="shared" si="18"/>
        <v>Torres, Bernardo de</v>
      </c>
      <c r="K208" s="73">
        <f t="shared" si="19"/>
        <v>4000</v>
      </c>
    </row>
    <row r="209" spans="1:11" ht="15" customHeight="1" x14ac:dyDescent="0.25">
      <c r="A209" t="s">
        <v>145</v>
      </c>
      <c r="B209" cm="1">
        <f t="array" ref="B209">SUMPRODUCT((A209='1675 (1)'!$D$2:$D$254)*'1675 (1)'!$I$2:$I$254)</f>
        <v>2000</v>
      </c>
      <c r="C209" cm="1">
        <f t="array" ref="C209">SUMPRODUCT((A209='1675 (2)'!$D$2:$D$422)*'1675 (2)'!$I$2:$I$422)</f>
        <v>0</v>
      </c>
      <c r="D209">
        <f t="shared" si="15"/>
        <v>2000</v>
      </c>
      <c r="E209">
        <f t="shared" si="16"/>
        <v>2000.000209</v>
      </c>
      <c r="F209">
        <f t="shared" si="17"/>
        <v>224</v>
      </c>
      <c r="I209" s="73">
        <v>208</v>
      </c>
      <c r="J209" s="73" t="str">
        <f t="shared" si="18"/>
        <v>Martínez Roldán, Francisco</v>
      </c>
      <c r="K209" s="73">
        <f t="shared" si="19"/>
        <v>3800</v>
      </c>
    </row>
    <row r="210" spans="1:11" ht="15" customHeight="1" x14ac:dyDescent="0.25">
      <c r="A210" t="s">
        <v>146</v>
      </c>
      <c r="B210" cm="1">
        <f t="array" ref="B210">SUMPRODUCT((A210='1675 (1)'!$D$2:$D$254)*'1675 (1)'!$I$2:$I$254)</f>
        <v>42500</v>
      </c>
      <c r="C210" cm="1">
        <f t="array" ref="C210">SUMPRODUCT((A210='1675 (2)'!$D$2:$D$422)*'1675 (2)'!$I$2:$I$422)</f>
        <v>0</v>
      </c>
      <c r="D210">
        <f t="shared" si="15"/>
        <v>42500</v>
      </c>
      <c r="E210">
        <f t="shared" si="16"/>
        <v>42500.000209999998</v>
      </c>
      <c r="F210">
        <f t="shared" si="17"/>
        <v>77</v>
      </c>
      <c r="I210" s="73">
        <v>209</v>
      </c>
      <c r="J210" s="73" t="str">
        <f t="shared" si="18"/>
        <v>García Baquero, Francisco</v>
      </c>
      <c r="K210" s="73">
        <f t="shared" si="19"/>
        <v>3500</v>
      </c>
    </row>
    <row r="211" spans="1:11" ht="15" customHeight="1" x14ac:dyDescent="0.25">
      <c r="A211" t="s">
        <v>529</v>
      </c>
      <c r="B211" cm="1">
        <f t="array" ref="B211">SUMPRODUCT((A211='1675 (1)'!$D$2:$D$254)*'1675 (1)'!$I$2:$I$254)</f>
        <v>12500</v>
      </c>
      <c r="C211" cm="1">
        <f t="array" ref="C211">SUMPRODUCT((A211='1675 (2)'!$D$2:$D$422)*'1675 (2)'!$I$2:$I$422)</f>
        <v>0</v>
      </c>
      <c r="D211">
        <f t="shared" si="15"/>
        <v>12500</v>
      </c>
      <c r="E211">
        <f t="shared" si="16"/>
        <v>12500.000211</v>
      </c>
      <c r="F211">
        <f t="shared" si="17"/>
        <v>155</v>
      </c>
      <c r="I211" s="73">
        <v>210</v>
      </c>
      <c r="J211" s="73" t="str">
        <f t="shared" si="18"/>
        <v>Vásquez de Ávila, Íñigo</v>
      </c>
      <c r="K211" s="73">
        <f t="shared" si="19"/>
        <v>3500</v>
      </c>
    </row>
    <row r="212" spans="1:11" ht="15" customHeight="1" x14ac:dyDescent="0.25">
      <c r="A212" t="s">
        <v>159</v>
      </c>
      <c r="B212" cm="1">
        <f t="array" ref="B212">SUMPRODUCT((A212='1675 (1)'!$D$2:$D$254)*'1675 (1)'!$I$2:$I$254)</f>
        <v>12800</v>
      </c>
      <c r="C212" cm="1">
        <f t="array" ref="C212">SUMPRODUCT((A212='1675 (2)'!$D$2:$D$422)*'1675 (2)'!$I$2:$I$422)</f>
        <v>0</v>
      </c>
      <c r="D212">
        <f t="shared" si="15"/>
        <v>12800</v>
      </c>
      <c r="E212">
        <f t="shared" si="16"/>
        <v>12800.000212000001</v>
      </c>
      <c r="F212">
        <f t="shared" si="17"/>
        <v>154</v>
      </c>
      <c r="I212" s="73">
        <v>211</v>
      </c>
      <c r="J212" s="73" t="str">
        <f t="shared" si="18"/>
        <v>Fernández, Juan Francisco</v>
      </c>
      <c r="K212" s="73">
        <f t="shared" si="19"/>
        <v>3500</v>
      </c>
    </row>
    <row r="213" spans="1:11" ht="15" customHeight="1" x14ac:dyDescent="0.25">
      <c r="A213" t="s">
        <v>260</v>
      </c>
      <c r="B213" cm="1">
        <f t="array" ref="B213">SUMPRODUCT((A213='1675 (1)'!$D$2:$D$254)*'1675 (1)'!$I$2:$I$254)</f>
        <v>27000</v>
      </c>
      <c r="C213" cm="1">
        <f t="array" ref="C213">SUMPRODUCT((A213='1675 (2)'!$D$2:$D$422)*'1675 (2)'!$I$2:$I$422)</f>
        <v>0</v>
      </c>
      <c r="D213">
        <f t="shared" si="15"/>
        <v>27000</v>
      </c>
      <c r="E213">
        <f t="shared" si="16"/>
        <v>27000.000212999999</v>
      </c>
      <c r="F213">
        <f t="shared" si="17"/>
        <v>104</v>
      </c>
      <c r="I213" s="73">
        <v>212</v>
      </c>
      <c r="J213" s="73" t="str">
        <f t="shared" si="18"/>
        <v>Gómez de los Ríos, Jacinto</v>
      </c>
      <c r="K213" s="73">
        <f t="shared" si="19"/>
        <v>3400</v>
      </c>
    </row>
    <row r="214" spans="1:11" ht="15" customHeight="1" x14ac:dyDescent="0.25">
      <c r="A214" t="s">
        <v>155</v>
      </c>
      <c r="B214" cm="1">
        <f t="array" ref="B214">SUMPRODUCT((A214='1675 (1)'!$D$2:$D$254)*'1675 (1)'!$I$2:$I$254)</f>
        <v>1921</v>
      </c>
      <c r="C214" cm="1">
        <f t="array" ref="C214">SUMPRODUCT((A214='1675 (2)'!$D$2:$D$422)*'1675 (2)'!$I$2:$I$422)</f>
        <v>0</v>
      </c>
      <c r="D214">
        <f t="shared" si="15"/>
        <v>1921</v>
      </c>
      <c r="E214">
        <f t="shared" si="16"/>
        <v>1921.0002139999999</v>
      </c>
      <c r="F214">
        <f t="shared" si="17"/>
        <v>226</v>
      </c>
      <c r="I214" s="73">
        <v>213</v>
      </c>
      <c r="J214" s="73" t="str">
        <f t="shared" si="18"/>
        <v>Aldecua, Juan de</v>
      </c>
      <c r="K214" s="73">
        <f t="shared" si="19"/>
        <v>3000</v>
      </c>
    </row>
    <row r="215" spans="1:11" ht="15" customHeight="1" x14ac:dyDescent="0.25">
      <c r="A215" t="s">
        <v>530</v>
      </c>
      <c r="B215" cm="1">
        <f t="array" ref="B215">SUMPRODUCT((A215='1675 (1)'!$D$2:$D$254)*'1675 (1)'!$I$2:$I$254)</f>
        <v>1500</v>
      </c>
      <c r="C215" cm="1">
        <f t="array" ref="C215">SUMPRODUCT((A215='1675 (2)'!$D$2:$D$422)*'1675 (2)'!$I$2:$I$422)</f>
        <v>0</v>
      </c>
      <c r="D215">
        <f t="shared" si="15"/>
        <v>1500</v>
      </c>
      <c r="E215">
        <f t="shared" si="16"/>
        <v>1500.000215</v>
      </c>
      <c r="F215">
        <f t="shared" si="17"/>
        <v>228</v>
      </c>
      <c r="I215" s="73">
        <v>214</v>
      </c>
      <c r="J215" s="73" t="str">
        <f t="shared" si="18"/>
        <v>López de Solorzano, Juan</v>
      </c>
      <c r="K215" s="73">
        <f t="shared" si="19"/>
        <v>3000</v>
      </c>
    </row>
    <row r="216" spans="1:11" ht="15" customHeight="1" x14ac:dyDescent="0.25">
      <c r="A216" t="s">
        <v>156</v>
      </c>
      <c r="B216" cm="1">
        <f t="array" ref="B216">SUMPRODUCT((A216='1675 (1)'!$D$2:$D$254)*'1675 (1)'!$I$2:$I$254)</f>
        <v>24000</v>
      </c>
      <c r="C216" cm="1">
        <f t="array" ref="C216">SUMPRODUCT((A216='1675 (2)'!$D$2:$D$422)*'1675 (2)'!$I$2:$I$422)</f>
        <v>0</v>
      </c>
      <c r="D216">
        <f t="shared" si="15"/>
        <v>24000</v>
      </c>
      <c r="E216">
        <f t="shared" si="16"/>
        <v>24000.000216</v>
      </c>
      <c r="F216">
        <f t="shared" si="17"/>
        <v>114</v>
      </c>
      <c r="I216" s="73">
        <v>215</v>
      </c>
      <c r="J216" s="73" t="str">
        <f t="shared" si="18"/>
        <v>Rodriguez de Pelasco</v>
      </c>
      <c r="K216" s="73">
        <f t="shared" si="19"/>
        <v>3000</v>
      </c>
    </row>
    <row r="217" spans="1:11" ht="15" customHeight="1" x14ac:dyDescent="0.25">
      <c r="A217" t="s">
        <v>166</v>
      </c>
      <c r="B217" cm="1">
        <f t="array" ref="B217">SUMPRODUCT((A217='1675 (1)'!$D$2:$D$254)*'1675 (1)'!$I$2:$I$254)</f>
        <v>400</v>
      </c>
      <c r="C217" cm="1">
        <f t="array" ref="C217">SUMPRODUCT((A217='1675 (2)'!$D$2:$D$422)*'1675 (2)'!$I$2:$I$422)</f>
        <v>0</v>
      </c>
      <c r="D217">
        <f t="shared" si="15"/>
        <v>400</v>
      </c>
      <c r="E217">
        <f t="shared" si="16"/>
        <v>400.00021700000002</v>
      </c>
      <c r="F217">
        <f t="shared" si="17"/>
        <v>241</v>
      </c>
      <c r="I217" s="73">
        <v>216</v>
      </c>
      <c r="J217" s="73" t="str">
        <f t="shared" si="18"/>
        <v>Cosreya, Joseph de</v>
      </c>
      <c r="K217" s="73">
        <f t="shared" si="19"/>
        <v>3000</v>
      </c>
    </row>
    <row r="218" spans="1:11" ht="15" customHeight="1" x14ac:dyDescent="0.25">
      <c r="A218" t="s">
        <v>167</v>
      </c>
      <c r="B218" cm="1">
        <f t="array" ref="B218">SUMPRODUCT((A218='1675 (1)'!$D$2:$D$254)*'1675 (1)'!$I$2:$I$254)</f>
        <v>1392</v>
      </c>
      <c r="C218" cm="1">
        <f t="array" ref="C218">SUMPRODUCT((A218='1675 (2)'!$D$2:$D$422)*'1675 (2)'!$I$2:$I$422)</f>
        <v>0</v>
      </c>
      <c r="D218">
        <f t="shared" si="15"/>
        <v>1392</v>
      </c>
      <c r="E218">
        <f t="shared" si="16"/>
        <v>1392.0002179999999</v>
      </c>
      <c r="F218">
        <f t="shared" si="17"/>
        <v>229</v>
      </c>
      <c r="I218" s="73">
        <v>217</v>
      </c>
      <c r="J218" s="73" t="str">
        <f t="shared" si="18"/>
        <v>Alcaiz, Francisco Tercero de</v>
      </c>
      <c r="K218" s="73">
        <f t="shared" si="19"/>
        <v>2700</v>
      </c>
    </row>
    <row r="219" spans="1:11" ht="15" customHeight="1" x14ac:dyDescent="0.25">
      <c r="A219" t="s">
        <v>168</v>
      </c>
      <c r="B219" cm="1">
        <f t="array" ref="B219">SUMPRODUCT((A219='1675 (1)'!$D$2:$D$254)*'1675 (1)'!$I$2:$I$254)</f>
        <v>2000</v>
      </c>
      <c r="C219" cm="1">
        <f t="array" ref="C219">SUMPRODUCT((A219='1675 (2)'!$D$2:$D$422)*'1675 (2)'!$I$2:$I$422)</f>
        <v>0</v>
      </c>
      <c r="D219">
        <f t="shared" si="15"/>
        <v>2000</v>
      </c>
      <c r="E219">
        <f t="shared" si="16"/>
        <v>2000.000219</v>
      </c>
      <c r="F219">
        <f t="shared" si="17"/>
        <v>223</v>
      </c>
      <c r="I219" s="73">
        <v>218</v>
      </c>
      <c r="J219" s="73" t="str">
        <f t="shared" si="18"/>
        <v>Pérez del Castillo, Hipólito</v>
      </c>
      <c r="K219" s="73">
        <f t="shared" si="19"/>
        <v>2600</v>
      </c>
    </row>
    <row r="220" spans="1:11" ht="15" customHeight="1" x14ac:dyDescent="0.25">
      <c r="A220" t="s">
        <v>169</v>
      </c>
      <c r="B220" cm="1">
        <f t="array" ref="B220">SUMPRODUCT((A220='1675 (1)'!$D$2:$D$254)*'1675 (1)'!$I$2:$I$254)</f>
        <v>688</v>
      </c>
      <c r="C220" cm="1">
        <f t="array" ref="C220">SUMPRODUCT((A220='1675 (2)'!$D$2:$D$422)*'1675 (2)'!$I$2:$I$422)</f>
        <v>0</v>
      </c>
      <c r="D220">
        <f t="shared" si="15"/>
        <v>688</v>
      </c>
      <c r="E220">
        <f t="shared" si="16"/>
        <v>688.00022000000001</v>
      </c>
      <c r="F220">
        <f t="shared" si="17"/>
        <v>238</v>
      </c>
      <c r="I220" s="73">
        <v>219</v>
      </c>
      <c r="J220" s="73" t="str">
        <f t="shared" si="18"/>
        <v>Lártiga y de la Torre, Francisco de</v>
      </c>
      <c r="K220" s="73">
        <f t="shared" si="19"/>
        <v>2600</v>
      </c>
    </row>
    <row r="221" spans="1:11" ht="15" customHeight="1" x14ac:dyDescent="0.25">
      <c r="A221" t="s">
        <v>171</v>
      </c>
      <c r="B221" cm="1">
        <f t="array" ref="B221">SUMPRODUCT((A221='1675 (1)'!$D$2:$D$254)*'1675 (1)'!$I$2:$I$254)</f>
        <v>8650</v>
      </c>
      <c r="C221" cm="1">
        <f t="array" ref="C221">SUMPRODUCT((A221='1675 (2)'!$D$2:$D$422)*'1675 (2)'!$I$2:$I$422)</f>
        <v>0</v>
      </c>
      <c r="D221">
        <f t="shared" si="15"/>
        <v>8650</v>
      </c>
      <c r="E221">
        <f t="shared" si="16"/>
        <v>8650.0002210000002</v>
      </c>
      <c r="F221">
        <f t="shared" si="17"/>
        <v>177</v>
      </c>
      <c r="I221" s="73">
        <v>220</v>
      </c>
      <c r="J221" s="73" t="str">
        <f t="shared" si="18"/>
        <v>Rodriguez Cortés, Andrés</v>
      </c>
      <c r="K221" s="73">
        <f t="shared" si="19"/>
        <v>2500</v>
      </c>
    </row>
    <row r="222" spans="1:11" ht="15" customHeight="1" x14ac:dyDescent="0.25">
      <c r="A222" t="s">
        <v>180</v>
      </c>
      <c r="B222" cm="1">
        <f t="array" ref="B222">SUMPRODUCT((A222='1675 (1)'!$D$2:$D$254)*'1675 (1)'!$I$2:$I$254)</f>
        <v>2500</v>
      </c>
      <c r="C222" cm="1">
        <f t="array" ref="C222">SUMPRODUCT((A222='1675 (2)'!$D$2:$D$422)*'1675 (2)'!$I$2:$I$422)</f>
        <v>0</v>
      </c>
      <c r="D222">
        <f t="shared" si="15"/>
        <v>2500</v>
      </c>
      <c r="E222">
        <f t="shared" si="16"/>
        <v>2500.0002220000001</v>
      </c>
      <c r="F222">
        <f t="shared" si="17"/>
        <v>220</v>
      </c>
      <c r="I222" s="73">
        <v>221</v>
      </c>
      <c r="J222" s="73" t="str">
        <f t="shared" si="18"/>
        <v>Martínez de Valle, Domingo</v>
      </c>
      <c r="K222" s="73">
        <f t="shared" si="19"/>
        <v>2480</v>
      </c>
    </row>
    <row r="223" spans="1:11" ht="15" customHeight="1" x14ac:dyDescent="0.25">
      <c r="A223" t="s">
        <v>182</v>
      </c>
      <c r="B223" cm="1">
        <f t="array" ref="B223">SUMPRODUCT((A223='1675 (1)'!$D$2:$D$254)*'1675 (1)'!$I$2:$I$254)</f>
        <v>4000</v>
      </c>
      <c r="C223" cm="1">
        <f t="array" ref="C223">SUMPRODUCT((A223='1675 (2)'!$D$2:$D$422)*'1675 (2)'!$I$2:$I$422)</f>
        <v>0</v>
      </c>
      <c r="D223">
        <f t="shared" si="15"/>
        <v>4000</v>
      </c>
      <c r="E223">
        <f t="shared" si="16"/>
        <v>4000.000223</v>
      </c>
      <c r="F223">
        <f t="shared" si="17"/>
        <v>206</v>
      </c>
      <c r="I223" s="73">
        <v>222</v>
      </c>
      <c r="J223" s="73" t="str">
        <f t="shared" si="18"/>
        <v>Arbizu, Francisco de</v>
      </c>
      <c r="K223" s="73">
        <f t="shared" si="19"/>
        <v>2000</v>
      </c>
    </row>
    <row r="224" spans="1:11" ht="15" customHeight="1" x14ac:dyDescent="0.25">
      <c r="A224" t="s">
        <v>183</v>
      </c>
      <c r="B224" cm="1">
        <f t="array" ref="B224">SUMPRODUCT((A224='1675 (1)'!$D$2:$D$254)*'1675 (1)'!$I$2:$I$254)</f>
        <v>800</v>
      </c>
      <c r="C224" cm="1">
        <f t="array" ref="C224">SUMPRODUCT((A224='1675 (2)'!$D$2:$D$422)*'1675 (2)'!$I$2:$I$422)</f>
        <v>0</v>
      </c>
      <c r="D224">
        <f t="shared" si="15"/>
        <v>800</v>
      </c>
      <c r="E224">
        <f t="shared" si="16"/>
        <v>800.000224</v>
      </c>
      <c r="F224">
        <f t="shared" si="17"/>
        <v>236</v>
      </c>
      <c r="I224" s="73">
        <v>223</v>
      </c>
      <c r="J224" s="73" t="str">
        <f t="shared" si="18"/>
        <v>Ursaín, Gabriel de</v>
      </c>
      <c r="K224" s="73">
        <f t="shared" si="19"/>
        <v>2000</v>
      </c>
    </row>
    <row r="225" spans="1:11" ht="15" customHeight="1" x14ac:dyDescent="0.25">
      <c r="A225" t="s">
        <v>184</v>
      </c>
      <c r="B225" cm="1">
        <f t="array" ref="B225">SUMPRODUCT((A225='1675 (1)'!$D$2:$D$254)*'1675 (1)'!$I$2:$I$254)</f>
        <v>2600</v>
      </c>
      <c r="C225" cm="1">
        <f t="array" ref="C225">SUMPRODUCT((A225='1675 (2)'!$D$2:$D$422)*'1675 (2)'!$I$2:$I$422)</f>
        <v>0</v>
      </c>
      <c r="D225">
        <f t="shared" si="15"/>
        <v>2600</v>
      </c>
      <c r="E225">
        <f t="shared" si="16"/>
        <v>2600.0002249999998</v>
      </c>
      <c r="F225">
        <f t="shared" si="17"/>
        <v>218</v>
      </c>
      <c r="I225" s="73">
        <v>224</v>
      </c>
      <c r="J225" s="73" t="str">
        <f t="shared" si="18"/>
        <v>Concha, Luis de la</v>
      </c>
      <c r="K225" s="73">
        <f t="shared" si="19"/>
        <v>2000</v>
      </c>
    </row>
    <row r="226" spans="1:11" ht="15" customHeight="1" x14ac:dyDescent="0.25">
      <c r="A226" t="s">
        <v>185</v>
      </c>
      <c r="B226" cm="1">
        <f t="array" ref="B226">SUMPRODUCT((A226='1675 (1)'!$D$2:$D$254)*'1675 (1)'!$I$2:$I$254)</f>
        <v>63500</v>
      </c>
      <c r="C226" cm="1">
        <f t="array" ref="C226">SUMPRODUCT((A226='1675 (2)'!$D$2:$D$422)*'1675 (2)'!$I$2:$I$422)</f>
        <v>0</v>
      </c>
      <c r="D226">
        <f t="shared" si="15"/>
        <v>63500</v>
      </c>
      <c r="E226">
        <f t="shared" si="16"/>
        <v>63500.000225999996</v>
      </c>
      <c r="F226">
        <f t="shared" si="17"/>
        <v>49</v>
      </c>
      <c r="I226" s="73">
        <v>225</v>
      </c>
      <c r="J226" s="73" t="str">
        <f t="shared" si="18"/>
        <v>Aranzus Delgadillo, Antonio</v>
      </c>
      <c r="K226" s="73">
        <f t="shared" si="19"/>
        <v>2000</v>
      </c>
    </row>
    <row r="227" spans="1:11" ht="15" customHeight="1" x14ac:dyDescent="0.25">
      <c r="A227" t="s">
        <v>188</v>
      </c>
      <c r="B227" cm="1">
        <f t="array" ref="B227">SUMPRODUCT((A227='1675 (1)'!$D$2:$D$254)*'1675 (1)'!$I$2:$I$254)</f>
        <v>30500</v>
      </c>
      <c r="C227" cm="1">
        <f t="array" ref="C227">SUMPRODUCT((A227='1675 (2)'!$D$2:$D$422)*'1675 (2)'!$I$2:$I$422)</f>
        <v>0</v>
      </c>
      <c r="D227">
        <f t="shared" si="15"/>
        <v>30500</v>
      </c>
      <c r="E227">
        <f t="shared" si="16"/>
        <v>30500.000227</v>
      </c>
      <c r="F227">
        <f t="shared" si="17"/>
        <v>96</v>
      </c>
      <c r="I227" s="73">
        <v>226</v>
      </c>
      <c r="J227" s="73" t="str">
        <f t="shared" si="18"/>
        <v>Balsera, Pedro</v>
      </c>
      <c r="K227" s="73">
        <f t="shared" si="19"/>
        <v>1921</v>
      </c>
    </row>
    <row r="228" spans="1:11" ht="15" customHeight="1" x14ac:dyDescent="0.25">
      <c r="A228" t="s">
        <v>190</v>
      </c>
      <c r="B228" cm="1">
        <f t="array" ref="B228">SUMPRODUCT((A228='1675 (1)'!$D$2:$D$254)*'1675 (1)'!$I$2:$I$254)</f>
        <v>2480</v>
      </c>
      <c r="C228" cm="1">
        <f t="array" ref="C228">SUMPRODUCT((A228='1675 (2)'!$D$2:$D$422)*'1675 (2)'!$I$2:$I$422)</f>
        <v>0</v>
      </c>
      <c r="D228">
        <f t="shared" si="15"/>
        <v>2480</v>
      </c>
      <c r="E228">
        <f t="shared" si="16"/>
        <v>2480.0002279999999</v>
      </c>
      <c r="F228">
        <f t="shared" si="17"/>
        <v>221</v>
      </c>
      <c r="I228" s="73">
        <v>227</v>
      </c>
      <c r="J228" s="73" t="str">
        <f t="shared" si="18"/>
        <v>García, Bartolomé</v>
      </c>
      <c r="K228" s="73">
        <f t="shared" si="19"/>
        <v>1600</v>
      </c>
    </row>
    <row r="229" spans="1:11" ht="15" customHeight="1" x14ac:dyDescent="0.25">
      <c r="A229" t="s">
        <v>192</v>
      </c>
      <c r="B229" cm="1">
        <f t="array" ref="B229">SUMPRODUCT((A229='1675 (1)'!$D$2:$D$254)*'1675 (1)'!$I$2:$I$254)</f>
        <v>6200</v>
      </c>
      <c r="C229" cm="1">
        <f t="array" ref="C229">SUMPRODUCT((A229='1675 (2)'!$D$2:$D$422)*'1675 (2)'!$I$2:$I$422)</f>
        <v>0</v>
      </c>
      <c r="D229">
        <f t="shared" si="15"/>
        <v>6200</v>
      </c>
      <c r="E229">
        <f t="shared" si="16"/>
        <v>6200.0002290000002</v>
      </c>
      <c r="F229">
        <f t="shared" si="17"/>
        <v>192</v>
      </c>
      <c r="I229" s="73">
        <v>228</v>
      </c>
      <c r="J229" s="73" t="str">
        <f t="shared" si="18"/>
        <v>Revollar Zevallos, Joseph de</v>
      </c>
      <c r="K229" s="73">
        <f t="shared" si="19"/>
        <v>1500</v>
      </c>
    </row>
    <row r="230" spans="1:11" ht="15" customHeight="1" x14ac:dyDescent="0.25">
      <c r="A230" t="s">
        <v>531</v>
      </c>
      <c r="B230" cm="1">
        <f t="array" ref="B230">SUMPRODUCT((A230='1675 (1)'!$D$2:$D$254)*'1675 (1)'!$I$2:$I$254)</f>
        <v>5000</v>
      </c>
      <c r="C230" cm="1">
        <f t="array" ref="C230">SUMPRODUCT((A230='1675 (2)'!$D$2:$D$422)*'1675 (2)'!$I$2:$I$422)</f>
        <v>0</v>
      </c>
      <c r="D230">
        <f t="shared" si="15"/>
        <v>5000</v>
      </c>
      <c r="E230">
        <f t="shared" si="16"/>
        <v>5000.0002299999996</v>
      </c>
      <c r="F230">
        <f t="shared" si="17"/>
        <v>200</v>
      </c>
      <c r="I230" s="73">
        <v>229</v>
      </c>
      <c r="J230" s="73" t="str">
        <f t="shared" si="18"/>
        <v>Valverde, Esteban de</v>
      </c>
      <c r="K230" s="73">
        <f t="shared" si="19"/>
        <v>1392</v>
      </c>
    </row>
    <row r="231" spans="1:11" ht="15" customHeight="1" x14ac:dyDescent="0.25">
      <c r="A231" t="s">
        <v>195</v>
      </c>
      <c r="B231" cm="1">
        <f t="array" ref="B231">SUMPRODUCT((A231='1675 (1)'!$D$2:$D$254)*'1675 (1)'!$I$2:$I$254)</f>
        <v>320</v>
      </c>
      <c r="C231" cm="1">
        <f t="array" ref="C231">SUMPRODUCT((A231='1675 (2)'!$D$2:$D$422)*'1675 (2)'!$I$2:$I$422)</f>
        <v>0</v>
      </c>
      <c r="D231">
        <f t="shared" si="15"/>
        <v>320</v>
      </c>
      <c r="E231">
        <f t="shared" si="16"/>
        <v>320.00023099999999</v>
      </c>
      <c r="F231">
        <f t="shared" si="17"/>
        <v>243</v>
      </c>
      <c r="I231" s="73">
        <v>230</v>
      </c>
      <c r="J231" s="73" t="str">
        <f t="shared" si="18"/>
        <v>Fernán, Juan</v>
      </c>
      <c r="K231" s="73">
        <f t="shared" si="19"/>
        <v>1320</v>
      </c>
    </row>
    <row r="232" spans="1:11" ht="15" customHeight="1" x14ac:dyDescent="0.25">
      <c r="A232" t="s">
        <v>197</v>
      </c>
      <c r="B232" cm="1">
        <f t="array" ref="B232">SUMPRODUCT((A232='1675 (1)'!$D$2:$D$254)*'1675 (1)'!$I$2:$I$254)</f>
        <v>4000</v>
      </c>
      <c r="C232" cm="1">
        <f t="array" ref="C232">SUMPRODUCT((A232='1675 (2)'!$D$2:$D$422)*'1675 (2)'!$I$2:$I$422)</f>
        <v>0</v>
      </c>
      <c r="D232">
        <f t="shared" si="15"/>
        <v>4000</v>
      </c>
      <c r="E232">
        <f t="shared" si="16"/>
        <v>4000.0002319999999</v>
      </c>
      <c r="F232">
        <f t="shared" si="17"/>
        <v>205</v>
      </c>
      <c r="I232" s="73">
        <v>231</v>
      </c>
      <c r="J232" s="73" t="str">
        <f t="shared" si="18"/>
        <v>Pino, Juan del</v>
      </c>
      <c r="K232" s="73">
        <f t="shared" si="19"/>
        <v>1000</v>
      </c>
    </row>
    <row r="233" spans="1:11" ht="15" customHeight="1" x14ac:dyDescent="0.25">
      <c r="A233" t="s">
        <v>198</v>
      </c>
      <c r="B233" cm="1">
        <f t="array" ref="B233">SUMPRODUCT((A233='1675 (1)'!$D$2:$D$254)*'1675 (1)'!$I$2:$I$254)</f>
        <v>3500</v>
      </c>
      <c r="C233" cm="1">
        <f t="array" ref="C233">SUMPRODUCT((A233='1675 (2)'!$D$2:$D$422)*'1675 (2)'!$I$2:$I$422)</f>
        <v>0</v>
      </c>
      <c r="D233">
        <f t="shared" si="15"/>
        <v>3500</v>
      </c>
      <c r="E233">
        <f t="shared" si="16"/>
        <v>3500.0002330000002</v>
      </c>
      <c r="F233">
        <f t="shared" si="17"/>
        <v>209</v>
      </c>
      <c r="I233" s="73">
        <v>232</v>
      </c>
      <c r="J233" s="73" t="str">
        <f t="shared" si="18"/>
        <v>Rodríguez de Otero, Andrés</v>
      </c>
      <c r="K233" s="73">
        <f t="shared" si="19"/>
        <v>1000</v>
      </c>
    </row>
    <row r="234" spans="1:11" ht="15" customHeight="1" x14ac:dyDescent="0.25">
      <c r="A234" t="s">
        <v>199</v>
      </c>
      <c r="B234" cm="1">
        <f t="array" ref="B234">SUMPRODUCT((A234='1675 (1)'!$D$2:$D$254)*'1675 (1)'!$I$2:$I$254)</f>
        <v>7300</v>
      </c>
      <c r="C234" cm="1">
        <f t="array" ref="C234">SUMPRODUCT((A234='1675 (2)'!$D$2:$D$422)*'1675 (2)'!$I$2:$I$422)</f>
        <v>0</v>
      </c>
      <c r="D234">
        <f t="shared" ref="D234:D247" si="20">B234+C234</f>
        <v>7300</v>
      </c>
      <c r="E234">
        <f t="shared" si="16"/>
        <v>7300.0002340000001</v>
      </c>
      <c r="F234">
        <f t="shared" si="17"/>
        <v>188</v>
      </c>
      <c r="I234" s="73">
        <v>233</v>
      </c>
      <c r="J234" s="73" t="str">
        <f t="shared" si="18"/>
        <v>Martínez Carrillo, Joseph</v>
      </c>
      <c r="K234" s="73">
        <f t="shared" si="19"/>
        <v>1000</v>
      </c>
    </row>
    <row r="235" spans="1:11" ht="15" customHeight="1" x14ac:dyDescent="0.25">
      <c r="A235" t="s">
        <v>200</v>
      </c>
      <c r="B235" cm="1">
        <f t="array" ref="B235">SUMPRODUCT((A235='1675 (1)'!$D$2:$D$254)*'1675 (1)'!$I$2:$I$254)</f>
        <v>30000</v>
      </c>
      <c r="C235" cm="1">
        <f t="array" ref="C235">SUMPRODUCT((A235='1675 (2)'!$D$2:$D$422)*'1675 (2)'!$I$2:$I$422)</f>
        <v>0</v>
      </c>
      <c r="D235">
        <f t="shared" si="20"/>
        <v>30000</v>
      </c>
      <c r="E235">
        <f t="shared" si="16"/>
        <v>30000.000235</v>
      </c>
      <c r="F235">
        <f t="shared" si="17"/>
        <v>98</v>
      </c>
      <c r="I235" s="73">
        <v>234</v>
      </c>
      <c r="J235" s="73" t="str">
        <f t="shared" si="18"/>
        <v>Meza, Martín de</v>
      </c>
      <c r="K235" s="73">
        <f t="shared" si="19"/>
        <v>1000</v>
      </c>
    </row>
    <row r="236" spans="1:11" ht="15" customHeight="1" x14ac:dyDescent="0.25">
      <c r="A236" t="s">
        <v>202</v>
      </c>
      <c r="B236" cm="1">
        <f t="array" ref="B236">SUMPRODUCT((A236='1675 (1)'!$D$2:$D$254)*'1675 (1)'!$I$2:$I$254)</f>
        <v>1600</v>
      </c>
      <c r="C236" cm="1">
        <f t="array" ref="C236">SUMPRODUCT((A236='1675 (2)'!$D$2:$D$422)*'1675 (2)'!$I$2:$I$422)</f>
        <v>0</v>
      </c>
      <c r="D236">
        <f t="shared" si="20"/>
        <v>1600</v>
      </c>
      <c r="E236">
        <f t="shared" si="16"/>
        <v>1600.0002360000001</v>
      </c>
      <c r="F236">
        <f t="shared" si="17"/>
        <v>227</v>
      </c>
      <c r="I236" s="73">
        <v>235</v>
      </c>
      <c r="J236" s="73" t="str">
        <f t="shared" si="18"/>
        <v>Topete, Alonso</v>
      </c>
      <c r="K236" s="73">
        <f t="shared" si="19"/>
        <v>1000</v>
      </c>
    </row>
    <row r="237" spans="1:11" ht="15" customHeight="1" x14ac:dyDescent="0.25">
      <c r="A237" t="s">
        <v>532</v>
      </c>
      <c r="B237" cm="1">
        <f t="array" ref="B237">SUMPRODUCT((A237='1675 (1)'!$D$2:$D$254)*'1675 (1)'!$I$2:$I$254)</f>
        <v>49900</v>
      </c>
      <c r="C237" cm="1">
        <f t="array" ref="C237">SUMPRODUCT((A237='1675 (2)'!$D$2:$D$422)*'1675 (2)'!$I$2:$I$422)</f>
        <v>0</v>
      </c>
      <c r="D237">
        <f t="shared" si="20"/>
        <v>49900</v>
      </c>
      <c r="E237">
        <f t="shared" si="16"/>
        <v>49900.000237</v>
      </c>
      <c r="F237">
        <f t="shared" si="17"/>
        <v>63</v>
      </c>
      <c r="I237" s="73">
        <v>236</v>
      </c>
      <c r="J237" s="73" t="str">
        <f t="shared" si="18"/>
        <v>Muñoz, Nicolás</v>
      </c>
      <c r="K237" s="73">
        <f t="shared" si="19"/>
        <v>800</v>
      </c>
    </row>
    <row r="238" spans="1:11" ht="15" customHeight="1" x14ac:dyDescent="0.25">
      <c r="A238" t="s">
        <v>203</v>
      </c>
      <c r="B238" cm="1">
        <f t="array" ref="B238">SUMPRODUCT((A238='1675 (1)'!$D$2:$D$254)*'1675 (1)'!$I$2:$I$254)</f>
        <v>44660</v>
      </c>
      <c r="C238" cm="1">
        <f t="array" ref="C238">SUMPRODUCT((A238='1675 (2)'!$D$2:$D$422)*'1675 (2)'!$I$2:$I$422)</f>
        <v>0</v>
      </c>
      <c r="D238">
        <f t="shared" si="20"/>
        <v>44660</v>
      </c>
      <c r="E238">
        <f t="shared" si="16"/>
        <v>44660.000238000001</v>
      </c>
      <c r="F238">
        <f t="shared" si="17"/>
        <v>73</v>
      </c>
      <c r="I238" s="73">
        <v>237</v>
      </c>
      <c r="J238" s="73" t="str">
        <f t="shared" si="18"/>
        <v>Gadorazo, Juan de</v>
      </c>
      <c r="K238" s="73">
        <f t="shared" si="19"/>
        <v>720</v>
      </c>
    </row>
    <row r="239" spans="1:11" ht="15" customHeight="1" x14ac:dyDescent="0.25">
      <c r="A239" t="s">
        <v>206</v>
      </c>
      <c r="B239" cm="1">
        <f t="array" ref="B239">SUMPRODUCT((A239='1675 (1)'!$D$2:$D$254)*'1675 (1)'!$I$2:$I$254)</f>
        <v>400</v>
      </c>
      <c r="C239" cm="1">
        <f t="array" ref="C239">SUMPRODUCT((A239='1675 (2)'!$D$2:$D$422)*'1675 (2)'!$I$2:$I$422)</f>
        <v>0</v>
      </c>
      <c r="D239">
        <f t="shared" si="20"/>
        <v>400</v>
      </c>
      <c r="E239">
        <f t="shared" si="16"/>
        <v>400.00023900000002</v>
      </c>
      <c r="F239">
        <f t="shared" si="17"/>
        <v>240</v>
      </c>
      <c r="I239" s="73">
        <v>238</v>
      </c>
      <c r="J239" s="73" t="str">
        <f t="shared" si="18"/>
        <v>Gonzáles Cano, Juan</v>
      </c>
      <c r="K239" s="73">
        <f t="shared" si="19"/>
        <v>688</v>
      </c>
    </row>
    <row r="240" spans="1:11" ht="15" customHeight="1" x14ac:dyDescent="0.25">
      <c r="A240" t="s">
        <v>468</v>
      </c>
      <c r="B240" cm="1">
        <f t="array" ref="B240">SUMPRODUCT((A240='1675 (1)'!$D$2:$D$254)*'1675 (1)'!$I$2:$I$254)</f>
        <v>2000</v>
      </c>
      <c r="C240" cm="1">
        <f t="array" ref="C240">SUMPRODUCT((A240='1675 (2)'!$D$2:$D$422)*'1675 (2)'!$I$2:$I$422)</f>
        <v>0</v>
      </c>
      <c r="D240">
        <f t="shared" si="20"/>
        <v>2000</v>
      </c>
      <c r="E240">
        <f t="shared" si="16"/>
        <v>2000.0002400000001</v>
      </c>
      <c r="F240">
        <f t="shared" si="17"/>
        <v>222</v>
      </c>
      <c r="I240" s="73">
        <v>239</v>
      </c>
      <c r="J240" s="73" t="str">
        <f t="shared" si="18"/>
        <v>Obrero, Sebastián</v>
      </c>
      <c r="K240" s="73">
        <f t="shared" si="19"/>
        <v>440</v>
      </c>
    </row>
    <row r="241" spans="1:11" ht="15" customHeight="1" x14ac:dyDescent="0.25">
      <c r="A241" t="s">
        <v>208</v>
      </c>
      <c r="B241" cm="1">
        <f t="array" ref="B241">SUMPRODUCT((A241='1675 (1)'!$D$2:$D$254)*'1675 (1)'!$I$2:$I$254)</f>
        <v>1000</v>
      </c>
      <c r="C241" cm="1">
        <f t="array" ref="C241">SUMPRODUCT((A241='1675 (2)'!$D$2:$D$422)*'1675 (2)'!$I$2:$I$422)</f>
        <v>0</v>
      </c>
      <c r="D241">
        <f t="shared" si="20"/>
        <v>1000</v>
      </c>
      <c r="E241">
        <f t="shared" si="16"/>
        <v>1000.000241</v>
      </c>
      <c r="F241">
        <f t="shared" si="17"/>
        <v>231</v>
      </c>
      <c r="I241" s="73">
        <v>240</v>
      </c>
      <c r="J241" s="73" t="str">
        <f t="shared" si="18"/>
        <v>Pimienta, Antonio</v>
      </c>
      <c r="K241" s="73">
        <f t="shared" si="19"/>
        <v>400</v>
      </c>
    </row>
    <row r="242" spans="1:11" ht="15" customHeight="1" x14ac:dyDescent="0.25">
      <c r="A242" t="s">
        <v>210</v>
      </c>
      <c r="B242" cm="1">
        <f t="array" ref="B242">SUMPRODUCT((A242='1675 (1)'!$D$2:$D$254)*'1675 (1)'!$I$2:$I$254)</f>
        <v>440</v>
      </c>
      <c r="C242" cm="1">
        <f t="array" ref="C242">SUMPRODUCT((A242='1675 (2)'!$D$2:$D$422)*'1675 (2)'!$I$2:$I$422)</f>
        <v>0</v>
      </c>
      <c r="D242">
        <f t="shared" si="20"/>
        <v>440</v>
      </c>
      <c r="E242">
        <f t="shared" si="16"/>
        <v>440.00024200000001</v>
      </c>
      <c r="F242">
        <f t="shared" si="17"/>
        <v>239</v>
      </c>
      <c r="I242" s="73">
        <v>241</v>
      </c>
      <c r="J242" s="73" t="str">
        <f t="shared" si="18"/>
        <v>Olivar, Gerónimo de</v>
      </c>
      <c r="K242" s="73">
        <f t="shared" si="19"/>
        <v>400</v>
      </c>
    </row>
    <row r="243" spans="1:11" ht="15" customHeight="1" x14ac:dyDescent="0.25">
      <c r="A243" t="s">
        <v>212</v>
      </c>
      <c r="B243" cm="1">
        <f t="array" ref="B243">SUMPRODUCT((A243='1675 (1)'!$D$2:$D$254)*'1675 (1)'!$I$2:$I$254)</f>
        <v>14000</v>
      </c>
      <c r="C243" cm="1">
        <f t="array" ref="C243">SUMPRODUCT((A243='1675 (2)'!$D$2:$D$422)*'1675 (2)'!$I$2:$I$422)</f>
        <v>0</v>
      </c>
      <c r="D243">
        <f t="shared" si="20"/>
        <v>14000</v>
      </c>
      <c r="E243">
        <f t="shared" si="16"/>
        <v>14000.000243</v>
      </c>
      <c r="F243">
        <f t="shared" si="17"/>
        <v>150</v>
      </c>
      <c r="I243" s="73">
        <v>242</v>
      </c>
      <c r="J243" s="73" t="str">
        <f t="shared" si="18"/>
        <v>Ruiz Pacheco, Bartolomé</v>
      </c>
      <c r="K243" s="73">
        <f t="shared" si="19"/>
        <v>400</v>
      </c>
    </row>
    <row r="244" spans="1:11" ht="15" customHeight="1" x14ac:dyDescent="0.25">
      <c r="A244" t="s">
        <v>533</v>
      </c>
      <c r="B244" cm="1">
        <f t="array" ref="B244">SUMPRODUCT((A244='1675 (1)'!$D$2:$D$254)*'1675 (1)'!$I$2:$I$254)</f>
        <v>7000</v>
      </c>
      <c r="C244" cm="1">
        <f t="array" ref="C244">SUMPRODUCT((A244='1675 (2)'!$D$2:$D$422)*'1675 (2)'!$I$2:$I$422)</f>
        <v>0</v>
      </c>
      <c r="D244">
        <f t="shared" si="20"/>
        <v>7000</v>
      </c>
      <c r="E244">
        <f t="shared" si="16"/>
        <v>7000.0002439999998</v>
      </c>
      <c r="F244">
        <f t="shared" si="17"/>
        <v>189</v>
      </c>
      <c r="I244" s="73">
        <v>243</v>
      </c>
      <c r="J244" s="73" t="str">
        <f t="shared" si="18"/>
        <v>Dueñas, Joseph de</v>
      </c>
      <c r="K244" s="73">
        <f t="shared" si="19"/>
        <v>320</v>
      </c>
    </row>
    <row r="245" spans="1:11" ht="15" customHeight="1" x14ac:dyDescent="0.25">
      <c r="A245" t="s">
        <v>214</v>
      </c>
      <c r="B245" cm="1">
        <f t="array" ref="B245">SUMPRODUCT((A245='1675 (1)'!$D$2:$D$254)*'1675 (1)'!$I$2:$I$254)</f>
        <v>46000</v>
      </c>
      <c r="C245" cm="1">
        <f t="array" ref="C245">SUMPRODUCT((A245='1675 (2)'!$D$2:$D$422)*'1675 (2)'!$I$2:$I$422)</f>
        <v>0</v>
      </c>
      <c r="D245">
        <f t="shared" si="20"/>
        <v>46000</v>
      </c>
      <c r="E245">
        <f t="shared" si="16"/>
        <v>46000.000245000003</v>
      </c>
      <c r="F245">
        <f t="shared" si="17"/>
        <v>70</v>
      </c>
      <c r="I245" s="73">
        <v>244</v>
      </c>
      <c r="J245" s="73" t="str">
        <f t="shared" si="18"/>
        <v>Casanova, Joseph de</v>
      </c>
      <c r="K245" s="73">
        <f t="shared" si="19"/>
        <v>320</v>
      </c>
    </row>
    <row r="246" spans="1:11" ht="15" customHeight="1" x14ac:dyDescent="0.25">
      <c r="A246" t="s">
        <v>215</v>
      </c>
      <c r="B246" cm="1">
        <f t="array" ref="B246">SUMPRODUCT((A246='1675 (1)'!$D$2:$D$254)*'1675 (1)'!$I$2:$I$254)</f>
        <v>29060</v>
      </c>
      <c r="C246" cm="1">
        <f t="array" ref="C246">SUMPRODUCT((A246='1675 (2)'!$D$2:$D$422)*'1675 (2)'!$I$2:$I$422)</f>
        <v>0</v>
      </c>
      <c r="D246">
        <f t="shared" si="20"/>
        <v>29060</v>
      </c>
      <c r="E246">
        <f t="shared" si="16"/>
        <v>29060.000246</v>
      </c>
      <c r="F246">
        <f t="shared" si="17"/>
        <v>101</v>
      </c>
      <c r="I246" s="73">
        <v>245</v>
      </c>
      <c r="J246" s="73" t="str">
        <f t="shared" si="18"/>
        <v>Rueda, Domingo de</v>
      </c>
      <c r="K246" s="73">
        <f t="shared" si="19"/>
        <v>320</v>
      </c>
    </row>
    <row r="247" spans="1:11" ht="15" customHeight="1" x14ac:dyDescent="0.25">
      <c r="A247" t="s">
        <v>218</v>
      </c>
      <c r="B247" cm="1">
        <f t="array" ref="B247">SUMPRODUCT((A247='1675 (1)'!$D$2:$D$254)*'1675 (1)'!$I$2:$I$254)</f>
        <v>8000</v>
      </c>
      <c r="C247" cm="1">
        <f t="array" ref="C247">SUMPRODUCT((A247='1675 (2)'!$D$2:$D$422)*'1675 (2)'!$I$2:$I$422)</f>
        <v>0</v>
      </c>
      <c r="D247">
        <f t="shared" si="20"/>
        <v>8000</v>
      </c>
      <c r="E247">
        <f t="shared" si="16"/>
        <v>8000.0002469999999</v>
      </c>
      <c r="F247">
        <f t="shared" si="17"/>
        <v>181</v>
      </c>
      <c r="I247" s="73">
        <v>246</v>
      </c>
      <c r="J247" s="73" t="str">
        <f t="shared" si="18"/>
        <v>Hurtado de Salcedo, Juan</v>
      </c>
      <c r="K247" s="73">
        <f t="shared" si="19"/>
        <v>304</v>
      </c>
    </row>
    <row r="248" spans="1:11" x14ac:dyDescent="0.25">
      <c r="D248">
        <f>SUM(D2:D247)</f>
        <v>10488299</v>
      </c>
      <c r="I248" s="73"/>
      <c r="J248" s="73"/>
      <c r="K248" s="73"/>
    </row>
    <row r="598" spans="1:1" x14ac:dyDescent="0.25">
      <c r="A598" t="s">
        <v>445</v>
      </c>
    </row>
    <row r="599" spans="1:1" x14ac:dyDescent="0.25">
      <c r="A599" t="s">
        <v>445</v>
      </c>
    </row>
    <row r="600" spans="1:1" x14ac:dyDescent="0.25">
      <c r="A600" t="s">
        <v>441</v>
      </c>
    </row>
    <row r="601" spans="1:1" x14ac:dyDescent="0.25">
      <c r="A601" t="s">
        <v>507</v>
      </c>
    </row>
    <row r="602" spans="1:1" x14ac:dyDescent="0.25">
      <c r="A602" t="s">
        <v>507</v>
      </c>
    </row>
    <row r="603" spans="1:1" x14ac:dyDescent="0.25">
      <c r="A603" t="s">
        <v>442</v>
      </c>
    </row>
    <row r="604" spans="1:1" x14ac:dyDescent="0.25">
      <c r="A604" t="s">
        <v>442</v>
      </c>
    </row>
    <row r="605" spans="1:1" x14ac:dyDescent="0.25">
      <c r="A605" t="s">
        <v>442</v>
      </c>
    </row>
    <row r="606" spans="1:1" x14ac:dyDescent="0.25">
      <c r="A606" t="s">
        <v>443</v>
      </c>
    </row>
    <row r="607" spans="1:1" x14ac:dyDescent="0.25">
      <c r="A607" t="s">
        <v>443</v>
      </c>
    </row>
    <row r="608" spans="1:1" x14ac:dyDescent="0.25">
      <c r="A608" t="s">
        <v>508</v>
      </c>
    </row>
    <row r="609" spans="1:1" x14ac:dyDescent="0.25">
      <c r="A609" t="s">
        <v>508</v>
      </c>
    </row>
    <row r="610" spans="1:1" x14ac:dyDescent="0.25">
      <c r="A610" t="s">
        <v>469</v>
      </c>
    </row>
    <row r="611" spans="1:1" x14ac:dyDescent="0.25">
      <c r="A611" t="s">
        <v>469</v>
      </c>
    </row>
    <row r="612" spans="1:1" x14ac:dyDescent="0.25">
      <c r="A612" t="s">
        <v>469</v>
      </c>
    </row>
    <row r="613" spans="1:1" x14ac:dyDescent="0.25">
      <c r="A613" t="s">
        <v>502</v>
      </c>
    </row>
    <row r="614" spans="1:1" x14ac:dyDescent="0.25">
      <c r="A614" t="s">
        <v>502</v>
      </c>
    </row>
    <row r="615" spans="1:1" x14ac:dyDescent="0.25">
      <c r="A615" t="s">
        <v>186</v>
      </c>
    </row>
    <row r="616" spans="1:1" x14ac:dyDescent="0.25">
      <c r="A616" t="s">
        <v>186</v>
      </c>
    </row>
    <row r="617" spans="1:1" x14ac:dyDescent="0.25">
      <c r="A617" t="s">
        <v>186</v>
      </c>
    </row>
    <row r="618" spans="1:1" x14ac:dyDescent="0.25">
      <c r="A618" t="s">
        <v>191</v>
      </c>
    </row>
    <row r="619" spans="1:1" x14ac:dyDescent="0.25">
      <c r="A619" t="s">
        <v>191</v>
      </c>
    </row>
    <row r="620" spans="1:1" x14ac:dyDescent="0.25">
      <c r="A620" t="s">
        <v>191</v>
      </c>
    </row>
    <row r="621" spans="1:1" x14ac:dyDescent="0.25">
      <c r="A621" t="s">
        <v>189</v>
      </c>
    </row>
    <row r="622" spans="1:1" x14ac:dyDescent="0.25">
      <c r="A622" t="s">
        <v>444</v>
      </c>
    </row>
    <row r="623" spans="1:1" x14ac:dyDescent="0.25">
      <c r="A623" t="s">
        <v>444</v>
      </c>
    </row>
    <row r="624" spans="1:1" x14ac:dyDescent="0.25">
      <c r="A624" t="s">
        <v>447</v>
      </c>
    </row>
    <row r="625" spans="1:1" x14ac:dyDescent="0.25">
      <c r="A625" t="s">
        <v>447</v>
      </c>
    </row>
    <row r="626" spans="1:1" x14ac:dyDescent="0.25">
      <c r="A626" t="s">
        <v>447</v>
      </c>
    </row>
    <row r="627" spans="1:1" x14ac:dyDescent="0.25">
      <c r="A627" t="s">
        <v>193</v>
      </c>
    </row>
    <row r="628" spans="1:1" x14ac:dyDescent="0.25">
      <c r="A628" t="s">
        <v>193</v>
      </c>
    </row>
    <row r="629" spans="1:1" x14ac:dyDescent="0.25">
      <c r="A629" t="s">
        <v>193</v>
      </c>
    </row>
    <row r="630" spans="1:1" x14ac:dyDescent="0.25">
      <c r="A630" t="s">
        <v>193</v>
      </c>
    </row>
    <row r="631" spans="1:1" x14ac:dyDescent="0.25">
      <c r="A631" t="s">
        <v>509</v>
      </c>
    </row>
    <row r="632" spans="1:1" x14ac:dyDescent="0.25">
      <c r="A632" t="s">
        <v>509</v>
      </c>
    </row>
    <row r="633" spans="1:1" x14ac:dyDescent="0.25">
      <c r="A633" t="s">
        <v>509</v>
      </c>
    </row>
    <row r="634" spans="1:1" x14ac:dyDescent="0.25">
      <c r="A634" t="s">
        <v>449</v>
      </c>
    </row>
    <row r="635" spans="1:1" x14ac:dyDescent="0.25">
      <c r="A635" t="s">
        <v>449</v>
      </c>
    </row>
    <row r="636" spans="1:1" x14ac:dyDescent="0.25">
      <c r="A636" t="s">
        <v>449</v>
      </c>
    </row>
    <row r="637" spans="1:1" x14ac:dyDescent="0.25">
      <c r="A637" t="s">
        <v>449</v>
      </c>
    </row>
    <row r="638" spans="1:1" x14ac:dyDescent="0.25">
      <c r="A638" t="s">
        <v>510</v>
      </c>
    </row>
    <row r="639" spans="1:1" x14ac:dyDescent="0.25">
      <c r="A639" t="s">
        <v>196</v>
      </c>
    </row>
    <row r="640" spans="1:1" x14ac:dyDescent="0.25">
      <c r="A640" t="s">
        <v>511</v>
      </c>
    </row>
    <row r="641" spans="1:1" x14ac:dyDescent="0.25">
      <c r="A641" t="s">
        <v>511</v>
      </c>
    </row>
    <row r="642" spans="1:1" x14ac:dyDescent="0.25">
      <c r="A642" t="s">
        <v>512</v>
      </c>
    </row>
    <row r="643" spans="1:1" x14ac:dyDescent="0.25">
      <c r="A643" t="s">
        <v>512</v>
      </c>
    </row>
    <row r="644" spans="1:1" x14ac:dyDescent="0.25">
      <c r="A644" t="s">
        <v>450</v>
      </c>
    </row>
    <row r="645" spans="1:1" x14ac:dyDescent="0.25">
      <c r="A645" t="s">
        <v>450</v>
      </c>
    </row>
    <row r="646" spans="1:1" x14ac:dyDescent="0.25">
      <c r="A646" t="s">
        <v>452</v>
      </c>
    </row>
    <row r="647" spans="1:1" x14ac:dyDescent="0.25">
      <c r="A647" t="s">
        <v>452</v>
      </c>
    </row>
    <row r="648" spans="1:1" x14ac:dyDescent="0.25">
      <c r="A648" t="s">
        <v>204</v>
      </c>
    </row>
    <row r="649" spans="1:1" x14ac:dyDescent="0.25">
      <c r="A649" t="s">
        <v>204</v>
      </c>
    </row>
    <row r="650" spans="1:1" x14ac:dyDescent="0.25">
      <c r="A650" t="s">
        <v>211</v>
      </c>
    </row>
    <row r="651" spans="1:1" x14ac:dyDescent="0.25">
      <c r="A651" t="s">
        <v>211</v>
      </c>
    </row>
    <row r="652" spans="1:1" x14ac:dyDescent="0.25">
      <c r="A652" t="s">
        <v>211</v>
      </c>
    </row>
    <row r="653" spans="1:1" x14ac:dyDescent="0.25">
      <c r="A653" t="s">
        <v>211</v>
      </c>
    </row>
    <row r="654" spans="1:1" x14ac:dyDescent="0.25">
      <c r="A654" t="s">
        <v>514</v>
      </c>
    </row>
    <row r="655" spans="1:1" x14ac:dyDescent="0.25">
      <c r="A655" t="s">
        <v>514</v>
      </c>
    </row>
    <row r="656" spans="1:1" x14ac:dyDescent="0.25">
      <c r="A656" t="s">
        <v>453</v>
      </c>
    </row>
    <row r="657" spans="1:1" x14ac:dyDescent="0.25">
      <c r="A657" t="s">
        <v>453</v>
      </c>
    </row>
    <row r="658" spans="1:1" x14ac:dyDescent="0.25">
      <c r="A658" t="s">
        <v>209</v>
      </c>
    </row>
    <row r="659" spans="1:1" x14ac:dyDescent="0.25">
      <c r="A659" t="s">
        <v>209</v>
      </c>
    </row>
    <row r="660" spans="1:1" x14ac:dyDescent="0.25">
      <c r="A660" t="s">
        <v>209</v>
      </c>
    </row>
    <row r="661" spans="1:1" x14ac:dyDescent="0.25">
      <c r="A661" t="s">
        <v>293</v>
      </c>
    </row>
    <row r="662" spans="1:1" x14ac:dyDescent="0.25">
      <c r="A662" t="s">
        <v>293</v>
      </c>
    </row>
    <row r="663" spans="1:1" x14ac:dyDescent="0.25">
      <c r="A663" t="s">
        <v>293</v>
      </c>
    </row>
    <row r="664" spans="1:1" x14ac:dyDescent="0.25">
      <c r="A664" t="s">
        <v>515</v>
      </c>
    </row>
    <row r="665" spans="1:1" x14ac:dyDescent="0.25">
      <c r="A665" t="s">
        <v>207</v>
      </c>
    </row>
    <row r="666" spans="1:1" x14ac:dyDescent="0.25">
      <c r="A666" t="s">
        <v>207</v>
      </c>
    </row>
    <row r="667" spans="1:1" x14ac:dyDescent="0.25">
      <c r="A667" t="s">
        <v>457</v>
      </c>
    </row>
    <row r="668" spans="1:1" x14ac:dyDescent="0.25">
      <c r="A668" t="s">
        <v>457</v>
      </c>
    </row>
    <row r="669" spans="1:1" x14ac:dyDescent="0.25">
      <c r="A669" t="s">
        <v>457</v>
      </c>
    </row>
    <row r="670" spans="1:1" x14ac:dyDescent="0.25">
      <c r="A670" t="s">
        <v>457</v>
      </c>
    </row>
    <row r="671" spans="1:1" x14ac:dyDescent="0.25">
      <c r="A671" t="s">
        <v>457</v>
      </c>
    </row>
    <row r="672" spans="1:1" x14ac:dyDescent="0.25">
      <c r="A672" t="s">
        <v>459</v>
      </c>
    </row>
    <row r="673" spans="1:1" x14ac:dyDescent="0.25">
      <c r="A673" t="s">
        <v>213</v>
      </c>
    </row>
    <row r="674" spans="1:1" x14ac:dyDescent="0.25">
      <c r="A674" t="s">
        <v>213</v>
      </c>
    </row>
    <row r="675" spans="1:1" x14ac:dyDescent="0.25">
      <c r="A675" t="s">
        <v>516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1675 (1)</vt:lpstr>
      <vt:lpstr>1675 (2)</vt:lpstr>
      <vt:lpstr>Resumen</vt:lpstr>
      <vt:lpstr>Mayores exportadores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Enmanuel Montalvo</dc:creator>
  <cp:lastModifiedBy>Enmanuel Montalvo</cp:lastModifiedBy>
  <dcterms:created xsi:type="dcterms:W3CDTF">2015-06-05T18:17:20Z</dcterms:created>
  <dcterms:modified xsi:type="dcterms:W3CDTF">2022-05-24T21:52:12Z</dcterms:modified>
</cp:coreProperties>
</file>