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super\MatStat\"/>
    </mc:Choice>
  </mc:AlternateContent>
  <xr:revisionPtr revIDLastSave="0" documentId="13_ncr:1_{19180654-6B6C-4D9C-8445-A953BA922332}" xr6:coauthVersionLast="47" xr6:coauthVersionMax="47" xr10:uidLastSave="{00000000-0000-0000-0000-000000000000}"/>
  <bookViews>
    <workbookView xWindow="-108" yWindow="-108" windowWidth="23256" windowHeight="12576" activeTab="10" xr2:uid="{00000000-000D-0000-FFFF-FFFF00000000}"/>
  </bookViews>
  <sheets>
    <sheet name="0" sheetId="1" r:id="rId1"/>
    <sheet name="1" sheetId="2" r:id="rId2"/>
    <sheet name="2" sheetId="16" r:id="rId3"/>
    <sheet name="3" sheetId="3" r:id="rId4"/>
    <sheet name="4" sheetId="4" r:id="rId5"/>
    <sheet name="5" sheetId="5" r:id="rId6"/>
    <sheet name="6" sheetId="6" r:id="rId7"/>
    <sheet name="7" sheetId="7" r:id="rId8"/>
    <sheet name="8" sheetId="8" r:id="rId9"/>
    <sheet name="9" sheetId="9" r:id="rId10"/>
    <sheet name="10" sheetId="10" r:id="rId11"/>
    <sheet name="11" sheetId="11" r:id="rId12"/>
    <sheet name="12" sheetId="12" r:id="rId13"/>
    <sheet name="13" sheetId="13" r:id="rId14"/>
    <sheet name="14" sheetId="14" r:id="rId15"/>
    <sheet name="15" sheetId="15" r:id="rId16"/>
  </sheets>
  <definedNames>
    <definedName name="n">50</definedName>
    <definedName name="вес">'1'!$G$2:$G$201</definedName>
    <definedName name="курс_несорт">'9'!$C$8:$C$57</definedName>
    <definedName name="объём">'2'!$J$2</definedName>
    <definedName name="объём_выб">'2'!$J$3</definedName>
    <definedName name="прибыль_несорт">'9'!$B$8:$B$57</definedName>
    <definedName name="рост">'1'!$B$2:$B$201</definedName>
    <definedName name="шаг_вес">'2'!$E$20</definedName>
    <definedName name="шаг_рост">'2'!$E$2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17" i="9" l="1"/>
  <c r="B24" i="16" l="1"/>
  <c r="C24" i="16" s="1"/>
  <c r="E20" i="16"/>
  <c r="B6" i="16"/>
  <c r="C6" i="16" s="1"/>
  <c r="J2" i="16"/>
  <c r="E2" i="16"/>
  <c r="C24" i="15"/>
  <c r="F12" i="15" a="1"/>
  <c r="F12" i="15" s="1"/>
  <c r="F1" i="15" a="1"/>
  <c r="F1" i="15" s="1"/>
  <c r="B5" i="14"/>
  <c r="B10" i="13"/>
  <c r="B9" i="13"/>
  <c r="B20" i="12"/>
  <c r="B19" i="12"/>
  <c r="N4" i="12"/>
  <c r="N5" i="12"/>
  <c r="N6" i="12"/>
  <c r="N7" i="12"/>
  <c r="N8" i="12"/>
  <c r="N9" i="12"/>
  <c r="N10" i="12"/>
  <c r="N11" i="12"/>
  <c r="N12" i="12"/>
  <c r="N3" i="12"/>
  <c r="T21" i="9"/>
  <c r="T18" i="9"/>
  <c r="B7" i="16" l="1"/>
  <c r="C7" i="16" s="1"/>
  <c r="B8" i="16" s="1"/>
  <c r="C8" i="16" s="1"/>
  <c r="B9" i="16" s="1"/>
  <c r="C9" i="16" s="1"/>
  <c r="B10" i="16" s="1"/>
  <c r="C10" i="16" s="1"/>
  <c r="B11" i="16" s="1"/>
  <c r="C11" i="16" s="1"/>
  <c r="B12" i="16" s="1"/>
  <c r="C12" i="16" s="1"/>
  <c r="B13" i="16" s="1"/>
  <c r="C13" i="16" s="1"/>
  <c r="B14" i="16" s="1"/>
  <c r="C14" i="16" s="1"/>
  <c r="B15" i="16" s="1"/>
  <c r="C15" i="16" s="1"/>
  <c r="D24" i="16" a="1"/>
  <c r="B25" i="16"/>
  <c r="C25" i="16" s="1"/>
  <c r="B26" i="16" s="1"/>
  <c r="C26" i="16" s="1"/>
  <c r="B27" i="16" s="1"/>
  <c r="C27" i="16" s="1"/>
  <c r="B28" i="16" s="1"/>
  <c r="C28" i="16" s="1"/>
  <c r="B29" i="16" s="1"/>
  <c r="C29" i="16" s="1"/>
  <c r="B30" i="16" s="1"/>
  <c r="C30" i="16" s="1"/>
  <c r="B31" i="16" s="1"/>
  <c r="C31" i="16" s="1"/>
  <c r="B32" i="16" s="1"/>
  <c r="C32" i="16" s="1"/>
  <c r="B33" i="16" s="1"/>
  <c r="C33" i="16" s="1"/>
  <c r="C23" i="15"/>
  <c r="F11" i="15"/>
  <c r="E31" i="16" l="1"/>
  <c r="E26" i="16"/>
  <c r="D24" i="16"/>
  <c r="E28" i="16"/>
  <c r="E33" i="16"/>
  <c r="E25" i="16"/>
  <c r="E30" i="16"/>
  <c r="E32" i="16"/>
  <c r="E27" i="16"/>
  <c r="E29" i="16"/>
  <c r="D6" i="16" a="1"/>
  <c r="E14" i="16" l="1"/>
  <c r="E9" i="16"/>
  <c r="E11" i="16"/>
  <c r="E8" i="16"/>
  <c r="D6" i="16"/>
  <c r="E13" i="16"/>
  <c r="E15" i="16"/>
  <c r="E7" i="16"/>
  <c r="E10" i="16"/>
  <c r="E12" i="16"/>
  <c r="D34" i="16"/>
  <c r="E24" i="16"/>
  <c r="E34" i="16" s="1"/>
  <c r="E6" i="16" l="1"/>
  <c r="E16" i="16" s="1"/>
  <c r="D16" i="16"/>
  <c r="G17" i="9" l="1" a="1"/>
  <c r="G17" i="9" s="1"/>
  <c r="I15" i="9" a="1"/>
  <c r="I15" i="9" s="1"/>
  <c r="B18" i="9"/>
  <c r="B4" i="9"/>
  <c r="T24" i="9" l="1"/>
  <c r="T22" i="9"/>
  <c r="R28" i="9"/>
  <c r="P28" i="9"/>
  <c r="J28" i="9"/>
  <c r="T23" i="9"/>
  <c r="Q28" i="9"/>
  <c r="O28" i="9"/>
  <c r="T20" i="9"/>
  <c r="N28" i="9"/>
  <c r="T19" i="9"/>
  <c r="M28" i="9"/>
  <c r="T26" i="9"/>
  <c r="L28" i="9"/>
  <c r="T25" i="9"/>
  <c r="I28" i="9"/>
  <c r="K28" i="9"/>
  <c r="L21" i="7" l="1"/>
  <c r="B4" i="7"/>
  <c r="L19" i="7"/>
  <c r="R5" i="6"/>
  <c r="B4" i="6"/>
  <c r="D11" i="5"/>
  <c r="D12" i="5" s="1"/>
  <c r="D13" i="5" s="1"/>
  <c r="D10" i="5"/>
  <c r="D3" i="5"/>
  <c r="D4" i="5" s="1"/>
  <c r="D5" i="5" s="1"/>
  <c r="D2" i="5"/>
  <c r="R12" i="6"/>
  <c r="B20" i="4"/>
  <c r="B4" i="4"/>
  <c r="B4" i="3"/>
  <c r="C4" i="9"/>
  <c r="B5" i="9" s="1"/>
  <c r="C5" i="9" s="1"/>
  <c r="B6" i="9" s="1"/>
  <c r="C6" i="9" s="1"/>
  <c r="B7" i="9" s="1"/>
  <c r="C7" i="9" s="1"/>
  <c r="B8" i="9" s="1"/>
  <c r="C8" i="9" s="1"/>
  <c r="B9" i="9" s="1"/>
  <c r="C9" i="9" s="1"/>
  <c r="B10" i="9" s="1"/>
  <c r="C10" i="9" s="1"/>
  <c r="B11" i="9" s="1"/>
  <c r="C11" i="9" s="1"/>
  <c r="B12" i="9" s="1"/>
  <c r="C12" i="9" s="1"/>
  <c r="R27" i="6" l="1" a="1"/>
  <c r="R27" i="6" s="1"/>
  <c r="R31" i="6" s="1"/>
  <c r="R19" i="6"/>
  <c r="C4" i="7"/>
  <c r="B5" i="7" s="1"/>
  <c r="R20" i="6"/>
  <c r="B16" i="12" a="1"/>
  <c r="B16" i="12" s="1"/>
  <c r="B21" i="12" s="1"/>
  <c r="B24" i="12" s="1"/>
  <c r="B25" i="12" s="1"/>
  <c r="G15" i="15"/>
  <c r="G6" i="15"/>
  <c r="F13" i="15"/>
  <c r="F6" i="15"/>
  <c r="B9" i="11"/>
  <c r="B10" i="11"/>
  <c r="T27" i="9"/>
  <c r="S28" i="9"/>
  <c r="R28" i="6"/>
  <c r="C20" i="7"/>
  <c r="B21" i="7" s="1"/>
  <c r="C18" i="9"/>
  <c r="B19" i="9" s="1"/>
  <c r="C19" i="9" s="1"/>
  <c r="B20" i="9" s="1"/>
  <c r="C20" i="9" s="1"/>
  <c r="B21" i="9" s="1"/>
  <c r="C21" i="9" s="1"/>
  <c r="B22" i="9" s="1"/>
  <c r="C22" i="9" s="1"/>
  <c r="B23" i="9" s="1"/>
  <c r="C23" i="9" s="1"/>
  <c r="B24" i="9" s="1"/>
  <c r="C24" i="9" s="1"/>
  <c r="B25" i="9" s="1"/>
  <c r="C25" i="9" s="1"/>
  <c r="B26" i="9" s="1"/>
  <c r="C26" i="9" s="1"/>
  <c r="B27" i="9" s="1"/>
  <c r="C27" i="9" s="1"/>
  <c r="I1" i="9" s="1" a="1"/>
  <c r="B13" i="9"/>
  <c r="C13" i="9" s="1"/>
  <c r="G3" i="9" s="1" a="1"/>
  <c r="G3" i="9" s="1"/>
  <c r="F4" i="7"/>
  <c r="C4" i="6"/>
  <c r="B5" i="6" s="1"/>
  <c r="R29" i="6"/>
  <c r="R30" i="6" s="1"/>
  <c r="C20" i="4"/>
  <c r="F20" i="4" s="1"/>
  <c r="C4" i="4"/>
  <c r="C4" i="3"/>
  <c r="G4" i="3" s="1"/>
  <c r="D20" i="15" l="1"/>
  <c r="C19" i="15"/>
  <c r="D19" i="15"/>
  <c r="C20" i="15"/>
  <c r="G16" i="15"/>
  <c r="H16" i="15"/>
  <c r="I1" i="9"/>
  <c r="R12" i="9"/>
  <c r="R3" i="9"/>
  <c r="R11" i="9"/>
  <c r="R6" i="9"/>
  <c r="R10" i="9"/>
  <c r="R9" i="9"/>
  <c r="R8" i="9"/>
  <c r="R7" i="9"/>
  <c r="R5" i="9"/>
  <c r="R4" i="9"/>
  <c r="P10" i="9"/>
  <c r="K8" i="9"/>
  <c r="O5" i="9"/>
  <c r="K12" i="9"/>
  <c r="J11" i="9"/>
  <c r="M9" i="9"/>
  <c r="P7" i="9"/>
  <c r="K5" i="9"/>
  <c r="P12" i="9"/>
  <c r="N11" i="9"/>
  <c r="M12" i="9"/>
  <c r="Q12" i="9"/>
  <c r="O11" i="9"/>
  <c r="J9" i="9"/>
  <c r="N6" i="9"/>
  <c r="Q4" i="9"/>
  <c r="L10" i="9"/>
  <c r="O8" i="9"/>
  <c r="J6" i="9"/>
  <c r="M4" i="9"/>
  <c r="K3" i="9"/>
  <c r="O9" i="9"/>
  <c r="N8" i="9"/>
  <c r="N4" i="9"/>
  <c r="Q10" i="9"/>
  <c r="M7" i="9"/>
  <c r="P5" i="9"/>
  <c r="L12" i="9"/>
  <c r="K11" i="9"/>
  <c r="N9" i="9"/>
  <c r="Q7" i="9"/>
  <c r="L5" i="9"/>
  <c r="N3" i="9"/>
  <c r="J3" i="9"/>
  <c r="M3" i="9"/>
  <c r="Q5" i="9"/>
  <c r="P3" i="9"/>
  <c r="Q6" i="9"/>
  <c r="M5" i="9"/>
  <c r="O12" i="9"/>
  <c r="P11" i="9"/>
  <c r="L8" i="9"/>
  <c r="O6" i="9"/>
  <c r="J4" i="9"/>
  <c r="M10" i="9"/>
  <c r="P8" i="9"/>
  <c r="K6" i="9"/>
  <c r="O3" i="9"/>
  <c r="L11" i="9"/>
  <c r="K10" i="9"/>
  <c r="L6" i="9"/>
  <c r="O4" i="9"/>
  <c r="K9" i="9"/>
  <c r="N7" i="9"/>
  <c r="J7" i="9"/>
  <c r="K7" i="9"/>
  <c r="N5" i="9"/>
  <c r="J12" i="9"/>
  <c r="J10" i="9"/>
  <c r="M8" i="9"/>
  <c r="P6" i="9"/>
  <c r="K4" i="9"/>
  <c r="N10" i="9"/>
  <c r="Q8" i="9"/>
  <c r="Q3" i="9"/>
  <c r="L3" i="9"/>
  <c r="J8" i="9"/>
  <c r="M6" i="9"/>
  <c r="Q11" i="9"/>
  <c r="L9" i="9"/>
  <c r="O7" i="9"/>
  <c r="J5" i="9"/>
  <c r="N12" i="9"/>
  <c r="M11" i="9"/>
  <c r="P9" i="9"/>
  <c r="Q9" i="9"/>
  <c r="L7" i="9"/>
  <c r="P4" i="9"/>
  <c r="L4" i="9"/>
  <c r="O10" i="9"/>
  <c r="C5" i="7"/>
  <c r="F5" i="7" s="1"/>
  <c r="C21" i="7"/>
  <c r="F4" i="6"/>
  <c r="B21" i="4"/>
  <c r="C5" i="6"/>
  <c r="F5" i="6" s="1"/>
  <c r="B5" i="4"/>
  <c r="F4" i="4"/>
  <c r="B5" i="3"/>
  <c r="F4" i="3"/>
  <c r="P13" i="9" l="1"/>
  <c r="K13" i="9"/>
  <c r="M13" i="9"/>
  <c r="L13" i="9"/>
  <c r="J13" i="9"/>
  <c r="Q13" i="9"/>
  <c r="N13" i="9"/>
  <c r="O13" i="9"/>
  <c r="R13" i="9"/>
  <c r="I8" i="9"/>
  <c r="S8" i="9" s="1"/>
  <c r="I4" i="9"/>
  <c r="S4" i="9" s="1"/>
  <c r="I7" i="9"/>
  <c r="S7" i="9" s="1"/>
  <c r="I9" i="9"/>
  <c r="S9" i="9" s="1"/>
  <c r="I11" i="9"/>
  <c r="S11" i="9" s="1"/>
  <c r="I6" i="9"/>
  <c r="S6" i="9" s="1"/>
  <c r="I10" i="9"/>
  <c r="S10" i="9" s="1"/>
  <c r="I12" i="9"/>
  <c r="S12" i="9" s="1"/>
  <c r="I3" i="9"/>
  <c r="I5" i="9"/>
  <c r="S5" i="9" s="1"/>
  <c r="B6" i="7"/>
  <c r="B22" i="7"/>
  <c r="C21" i="4"/>
  <c r="F21" i="4" s="1"/>
  <c r="B6" i="6"/>
  <c r="C5" i="4"/>
  <c r="C5" i="3"/>
  <c r="G5" i="3" s="1"/>
  <c r="S3" i="9" l="1"/>
  <c r="I13" i="9"/>
  <c r="S13" i="9" s="1"/>
  <c r="C6" i="7"/>
  <c r="C22" i="7"/>
  <c r="B22" i="4"/>
  <c r="C6" i="6"/>
  <c r="F6" i="6" s="1"/>
  <c r="F5" i="3"/>
  <c r="B6" i="4"/>
  <c r="F5" i="4"/>
  <c r="B6" i="3"/>
  <c r="B7" i="7" l="1"/>
  <c r="F6" i="7"/>
  <c r="B23" i="7"/>
  <c r="C22" i="4"/>
  <c r="F22" i="4" s="1"/>
  <c r="B7" i="6"/>
  <c r="C6" i="4"/>
  <c r="F6" i="4" s="1"/>
  <c r="C6" i="3"/>
  <c r="G6" i="3" s="1"/>
  <c r="C7" i="7" l="1"/>
  <c r="C23" i="7"/>
  <c r="F6" i="3"/>
  <c r="B23" i="4"/>
  <c r="C7" i="6"/>
  <c r="F7" i="6" s="1"/>
  <c r="B7" i="4"/>
  <c r="B7" i="3"/>
  <c r="B8" i="7" l="1"/>
  <c r="F7" i="7"/>
  <c r="B24" i="7"/>
  <c r="C23" i="4"/>
  <c r="F23" i="4" s="1"/>
  <c r="B8" i="6"/>
  <c r="C7" i="4"/>
  <c r="C7" i="3"/>
  <c r="C8" i="7" l="1"/>
  <c r="C24" i="7"/>
  <c r="B24" i="4"/>
  <c r="C8" i="6"/>
  <c r="F7" i="3"/>
  <c r="G7" i="3"/>
  <c r="B8" i="4"/>
  <c r="F7" i="4"/>
  <c r="B8" i="3"/>
  <c r="B9" i="7" l="1"/>
  <c r="F8" i="7"/>
  <c r="M8" i="7"/>
  <c r="B25" i="7"/>
  <c r="C24" i="4"/>
  <c r="F24" i="4"/>
  <c r="B9" i="6"/>
  <c r="F8" i="6"/>
  <c r="C8" i="4"/>
  <c r="C8" i="3"/>
  <c r="C9" i="7" l="1"/>
  <c r="B10" i="7" s="1"/>
  <c r="C25" i="7"/>
  <c r="M24" i="4"/>
  <c r="B25" i="4"/>
  <c r="M8" i="6"/>
  <c r="C9" i="6"/>
  <c r="B10" i="6" s="1"/>
  <c r="F8" i="3"/>
  <c r="G8" i="3"/>
  <c r="B9" i="4"/>
  <c r="F8" i="4"/>
  <c r="B9" i="3"/>
  <c r="C10" i="7" l="1"/>
  <c r="B11" i="7" s="1"/>
  <c r="F9" i="7"/>
  <c r="B26" i="7"/>
  <c r="C26" i="7"/>
  <c r="M8" i="4"/>
  <c r="C25" i="4"/>
  <c r="F25" i="4" s="1"/>
  <c r="C10" i="6"/>
  <c r="B11" i="6" s="1"/>
  <c r="F9" i="6"/>
  <c r="C9" i="4"/>
  <c r="F9" i="4" s="1"/>
  <c r="C9" i="3"/>
  <c r="G9" i="3" s="1"/>
  <c r="F10" i="6" l="1"/>
  <c r="C11" i="7"/>
  <c r="B12" i="7" s="1"/>
  <c r="F10" i="7"/>
  <c r="B27" i="7"/>
  <c r="B26" i="4"/>
  <c r="F9" i="3"/>
  <c r="C11" i="6"/>
  <c r="B12" i="6" s="1"/>
  <c r="B10" i="4"/>
  <c r="B10" i="3"/>
  <c r="C12" i="7" l="1"/>
  <c r="F11" i="7"/>
  <c r="C26" i="4"/>
  <c r="B27" i="4" s="1"/>
  <c r="F26" i="4"/>
  <c r="C12" i="6"/>
  <c r="F11" i="6"/>
  <c r="C10" i="4"/>
  <c r="C10" i="3"/>
  <c r="G10" i="3" s="1"/>
  <c r="B13" i="7" l="1"/>
  <c r="D4" i="7" a="1"/>
  <c r="G11" i="7" s="1"/>
  <c r="F12" i="7"/>
  <c r="D20" i="7" a="1"/>
  <c r="F10" i="3"/>
  <c r="C27" i="4"/>
  <c r="B28" i="4" s="1"/>
  <c r="B13" i="6"/>
  <c r="D4" i="6" a="1"/>
  <c r="H11" i="6" s="1"/>
  <c r="F12" i="6"/>
  <c r="B11" i="4"/>
  <c r="F10" i="4"/>
  <c r="B11" i="3"/>
  <c r="G12" i="7" l="1"/>
  <c r="H12" i="7"/>
  <c r="C13" i="7"/>
  <c r="F13" i="7"/>
  <c r="E7" i="7"/>
  <c r="E11" i="7"/>
  <c r="E10" i="7"/>
  <c r="E5" i="7"/>
  <c r="E9" i="7"/>
  <c r="E8" i="7"/>
  <c r="E12" i="7"/>
  <c r="E6" i="7"/>
  <c r="D4" i="7"/>
  <c r="E13" i="7"/>
  <c r="H5" i="7"/>
  <c r="G5" i="7"/>
  <c r="G6" i="7"/>
  <c r="H6" i="7"/>
  <c r="H7" i="7"/>
  <c r="G7" i="7"/>
  <c r="H8" i="7"/>
  <c r="G8" i="7"/>
  <c r="G9" i="7"/>
  <c r="H9" i="7"/>
  <c r="G10" i="7"/>
  <c r="H10" i="7"/>
  <c r="H11" i="7"/>
  <c r="D20" i="7"/>
  <c r="C28" i="4"/>
  <c r="F28" i="4" s="1"/>
  <c r="F27" i="4"/>
  <c r="E6" i="6"/>
  <c r="E12" i="6"/>
  <c r="E11" i="6"/>
  <c r="E7" i="6"/>
  <c r="E8" i="6"/>
  <c r="E13" i="6"/>
  <c r="E9" i="6"/>
  <c r="E10" i="6"/>
  <c r="E5" i="6"/>
  <c r="D4" i="6"/>
  <c r="H5" i="6"/>
  <c r="G5" i="6"/>
  <c r="G6" i="6"/>
  <c r="H6" i="6"/>
  <c r="G7" i="6"/>
  <c r="H7" i="6"/>
  <c r="G8" i="6"/>
  <c r="H8" i="6"/>
  <c r="H9" i="6"/>
  <c r="H10" i="6"/>
  <c r="G10" i="6"/>
  <c r="G9" i="6"/>
  <c r="C13" i="6"/>
  <c r="F13" i="6" s="1"/>
  <c r="H12" i="6"/>
  <c r="G12" i="6"/>
  <c r="G11" i="6"/>
  <c r="C11" i="4"/>
  <c r="F11" i="4" s="1"/>
  <c r="C11" i="3"/>
  <c r="G11" i="3" s="1"/>
  <c r="F11" i="3"/>
  <c r="G13" i="7" l="1"/>
  <c r="H13" i="7"/>
  <c r="E4" i="7"/>
  <c r="E14" i="7" s="1"/>
  <c r="D14" i="7"/>
  <c r="G4" i="7"/>
  <c r="G14" i="7" s="1"/>
  <c r="M2" i="7" s="1"/>
  <c r="H4" i="7"/>
  <c r="H14" i="7" s="1"/>
  <c r="M3" i="7" s="1"/>
  <c r="M4" i="7" s="1"/>
  <c r="M5" i="7" s="1"/>
  <c r="D28" i="7"/>
  <c r="B29" i="4"/>
  <c r="D20" i="4" a="1"/>
  <c r="G28" i="4" s="1"/>
  <c r="G13" i="6"/>
  <c r="H13" i="6"/>
  <c r="E4" i="6"/>
  <c r="E14" i="6" s="1"/>
  <c r="D14" i="6"/>
  <c r="H4" i="6"/>
  <c r="H14" i="6" s="1"/>
  <c r="M3" i="6" s="1"/>
  <c r="M4" i="6" s="1"/>
  <c r="G4" i="6"/>
  <c r="G14" i="6" s="1"/>
  <c r="M2" i="6" s="1"/>
  <c r="B12" i="4"/>
  <c r="B12" i="3"/>
  <c r="R21" i="6" l="1"/>
  <c r="R22" i="6"/>
  <c r="R7" i="6"/>
  <c r="R6" i="6"/>
  <c r="F23" i="7"/>
  <c r="F20" i="7"/>
  <c r="G20" i="7" s="1"/>
  <c r="E21" i="7"/>
  <c r="F21" i="7"/>
  <c r="G21" i="7" s="1"/>
  <c r="H21" i="7" s="1"/>
  <c r="I21" i="7" s="1"/>
  <c r="E22" i="7"/>
  <c r="F22" i="7"/>
  <c r="E23" i="7"/>
  <c r="E24" i="7"/>
  <c r="F24" i="7"/>
  <c r="E25" i="7"/>
  <c r="F25" i="7"/>
  <c r="E26" i="7"/>
  <c r="F26" i="7"/>
  <c r="E27" i="7"/>
  <c r="G27" i="7" s="1"/>
  <c r="H27" i="7" s="1"/>
  <c r="I27" i="7" s="1"/>
  <c r="M5" i="6"/>
  <c r="R13" i="6" s="1"/>
  <c r="H27" i="4"/>
  <c r="E29" i="4"/>
  <c r="E21" i="4"/>
  <c r="E26" i="4"/>
  <c r="E23" i="4"/>
  <c r="E28" i="4"/>
  <c r="E25" i="4"/>
  <c r="E27" i="4"/>
  <c r="D20" i="4"/>
  <c r="E24" i="4"/>
  <c r="E22" i="4"/>
  <c r="H21" i="4"/>
  <c r="G21" i="4"/>
  <c r="G22" i="4"/>
  <c r="H22" i="4"/>
  <c r="H23" i="4"/>
  <c r="G23" i="4"/>
  <c r="H24" i="4"/>
  <c r="G24" i="4"/>
  <c r="H25" i="4"/>
  <c r="G25" i="4"/>
  <c r="G26" i="4"/>
  <c r="H26" i="4"/>
  <c r="C29" i="4"/>
  <c r="F29" i="4" s="1"/>
  <c r="G27" i="4"/>
  <c r="H28" i="4"/>
  <c r="C12" i="4"/>
  <c r="C12" i="3"/>
  <c r="G12" i="3" s="1"/>
  <c r="F12" i="3"/>
  <c r="G22" i="7" l="1"/>
  <c r="H22" i="7" s="1"/>
  <c r="I22" i="7" s="1"/>
  <c r="R14" i="6"/>
  <c r="G23" i="7"/>
  <c r="H23" i="7" s="1"/>
  <c r="I23" i="7" s="1"/>
  <c r="G26" i="7"/>
  <c r="H26" i="7" s="1"/>
  <c r="I26" i="7" s="1"/>
  <c r="G25" i="7"/>
  <c r="H25" i="7" s="1"/>
  <c r="I25" i="7" s="1"/>
  <c r="G24" i="7"/>
  <c r="H24" i="7" s="1"/>
  <c r="I24" i="7" s="1"/>
  <c r="H20" i="7"/>
  <c r="I20" i="7" s="1"/>
  <c r="G28" i="7"/>
  <c r="H29" i="4"/>
  <c r="G29" i="4"/>
  <c r="H20" i="4"/>
  <c r="G20" i="4"/>
  <c r="G30" i="4" s="1"/>
  <c r="M18" i="4" s="1"/>
  <c r="D30" i="4"/>
  <c r="E20" i="4"/>
  <c r="E30" i="4" s="1"/>
  <c r="B13" i="4"/>
  <c r="D4" i="4" a="1"/>
  <c r="F12" i="4"/>
  <c r="B13" i="3"/>
  <c r="D4" i="3" a="1"/>
  <c r="L20" i="7" l="1"/>
  <c r="H30" i="4"/>
  <c r="M19" i="4" s="1"/>
  <c r="M20" i="4" s="1"/>
  <c r="M21" i="4" s="1"/>
  <c r="G5" i="4"/>
  <c r="H5" i="4"/>
  <c r="G6" i="4"/>
  <c r="H6" i="4"/>
  <c r="H7" i="4"/>
  <c r="G7" i="4"/>
  <c r="H8" i="4"/>
  <c r="G8" i="4"/>
  <c r="H9" i="4"/>
  <c r="G9" i="4"/>
  <c r="H10" i="4"/>
  <c r="G10" i="4"/>
  <c r="H11" i="4"/>
  <c r="G11" i="4"/>
  <c r="H12" i="4"/>
  <c r="G12" i="4"/>
  <c r="E9" i="4"/>
  <c r="E12" i="4"/>
  <c r="E7" i="4"/>
  <c r="D4" i="4"/>
  <c r="E10" i="4"/>
  <c r="E13" i="4"/>
  <c r="E5" i="4"/>
  <c r="E6" i="4"/>
  <c r="E8" i="4"/>
  <c r="E11" i="4"/>
  <c r="C13" i="4"/>
  <c r="E11" i="3"/>
  <c r="E8" i="3"/>
  <c r="E12" i="3"/>
  <c r="E13" i="3"/>
  <c r="E6" i="3"/>
  <c r="E5" i="3"/>
  <c r="E9" i="3"/>
  <c r="E7" i="3"/>
  <c r="D4" i="3"/>
  <c r="E10" i="3"/>
  <c r="C13" i="3"/>
  <c r="G13" i="3" s="1"/>
  <c r="H4" i="4" l="1"/>
  <c r="G4" i="4"/>
  <c r="F13" i="3"/>
  <c r="D14" i="4"/>
  <c r="E4" i="4"/>
  <c r="E14" i="4" s="1"/>
  <c r="F13" i="4"/>
  <c r="D14" i="3"/>
  <c r="E4" i="3"/>
  <c r="E14" i="3" s="1"/>
  <c r="G13" i="4" l="1"/>
  <c r="G14" i="4" s="1"/>
  <c r="M2" i="4" s="1"/>
  <c r="H13" i="4"/>
  <c r="H14" i="4" s="1"/>
  <c r="M3" i="4" s="1"/>
  <c r="M4" i="4" s="1"/>
  <c r="M5" i="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<sst xmlns="http://schemas.openxmlformats.org/spreadsheetml/2006/main" count="273" uniqueCount="102">
  <si>
    <t>№</t>
  </si>
  <si>
    <t>Рост</t>
  </si>
  <si>
    <t>Вес</t>
  </si>
  <si>
    <t>i</t>
  </si>
  <si>
    <t>[a_i-1; a_i)</t>
  </si>
  <si>
    <t>a_i-1</t>
  </si>
  <si>
    <t>a_i</t>
  </si>
  <si>
    <t>v_i</t>
  </si>
  <si>
    <t>v_i/n</t>
  </si>
  <si>
    <t>Sum</t>
  </si>
  <si>
    <t>Шаг вариационного ряда k</t>
  </si>
  <si>
    <t>c_i</t>
  </si>
  <si>
    <t>F*(c_i)</t>
  </si>
  <si>
    <t>c_i*v_i</t>
  </si>
  <si>
    <t>c_i^2*v_i</t>
  </si>
  <si>
    <t>Выборочная дисперсия D_b</t>
  </si>
  <si>
    <t>Исправленная дисперсия S^2</t>
  </si>
  <si>
    <t>Исправленное выборочное средние квадратическое отклонение S</t>
  </si>
  <si>
    <t>Мода</t>
  </si>
  <si>
    <t>Объём выборки n</t>
  </si>
  <si>
    <t>Среднее выборочное x_</t>
  </si>
  <si>
    <t>gamma</t>
  </si>
  <si>
    <t>а)</t>
  </si>
  <si>
    <t>sigma^2</t>
  </si>
  <si>
    <t>t_gamma</t>
  </si>
  <si>
    <t>Левая граница</t>
  </si>
  <si>
    <t>Правая граница</t>
  </si>
  <si>
    <t>б)</t>
  </si>
  <si>
    <t>в)</t>
  </si>
  <si>
    <t>хи2^2</t>
  </si>
  <si>
    <t>хи1^2</t>
  </si>
  <si>
    <t>г)</t>
  </si>
  <si>
    <t>a</t>
  </si>
  <si>
    <t>sigma^2*</t>
  </si>
  <si>
    <t>Объём вариационного ряда</t>
  </si>
  <si>
    <t>inf</t>
  </si>
  <si>
    <t>_inf</t>
  </si>
  <si>
    <t>F_0((a_i - x_) / s)</t>
  </si>
  <si>
    <t>F_0((a_i-1 - x_) / s)</t>
  </si>
  <si>
    <t>p_i</t>
  </si>
  <si>
    <t>(n_i - n_i')^2/n_i</t>
  </si>
  <si>
    <t>n_i' = n * p_i</t>
  </si>
  <si>
    <t>s</t>
  </si>
  <si>
    <t>K</t>
  </si>
  <si>
    <t>alpha</t>
  </si>
  <si>
    <t>t_кр</t>
  </si>
  <si>
    <t>K = 1.13 &lt; 11.07 = t_кр</t>
  </si>
  <si>
    <t xml:space="preserve"> Следовательно, гипотеза о нормальном распределении роста принимается.</t>
  </si>
  <si>
    <t>X_рост</t>
  </si>
  <si>
    <t>Y_вес</t>
  </si>
  <si>
    <t>n_x</t>
  </si>
  <si>
    <t>n_y</t>
  </si>
  <si>
    <t>x_-</t>
  </si>
  <si>
    <t>y_-</t>
  </si>
  <si>
    <t>y^2_-</t>
  </si>
  <si>
    <t>x^2_-</t>
  </si>
  <si>
    <t>D</t>
  </si>
  <si>
    <t>D_b</t>
  </si>
  <si>
    <t>D_m</t>
  </si>
  <si>
    <t>D_0</t>
  </si>
  <si>
    <t>D_b+D_m</t>
  </si>
  <si>
    <t>D_0 = D_b + D_b =&gt; теорема о разложении дисперсии выполняется</t>
  </si>
  <si>
    <t>K = (n - k) / (n - 1) * D_m / D_b</t>
  </si>
  <si>
    <t>Т. к. K &gt; t_кр, то H_0 отклоняется, имеется корреляция между весом и ростом</t>
  </si>
  <si>
    <t>n</t>
  </si>
  <si>
    <t>k</t>
  </si>
  <si>
    <t>Вывод: так как основные частоты вдоль главной диагонали, то предполагаем прямую корреляцию.</t>
  </si>
  <si>
    <t>y_j * v_j</t>
  </si>
  <si>
    <t>xy_-</t>
  </si>
  <si>
    <t>sigma_x</t>
  </si>
  <si>
    <t>sigma_y</t>
  </si>
  <si>
    <t>r_b</t>
  </si>
  <si>
    <t>Вывод: имеется сильная прямая корреляция веса от роста.</t>
  </si>
  <si>
    <t>b</t>
  </si>
  <si>
    <t>eta</t>
  </si>
  <si>
    <t>eta &gt;= |r_b|</t>
  </si>
  <si>
    <t>s_b</t>
  </si>
  <si>
    <t>R^2</t>
  </si>
  <si>
    <t>F</t>
  </si>
  <si>
    <t>s_a</t>
  </si>
  <si>
    <t>S</t>
  </si>
  <si>
    <t>n - 2</t>
  </si>
  <si>
    <t>Cтандартная ошибка регресии</t>
  </si>
  <si>
    <t>Коэффициент детерминации</t>
  </si>
  <si>
    <t>Стандартная ошбика b</t>
  </si>
  <si>
    <t>Стандартная ошибка a</t>
  </si>
  <si>
    <t>Прогноз веса</t>
  </si>
  <si>
    <t>D(x^)</t>
  </si>
  <si>
    <t>D(e)</t>
  </si>
  <si>
    <t>Дисперсия рассчётных значений</t>
  </si>
  <si>
    <t>Дисперсия остатков</t>
  </si>
  <si>
    <t>Стандартна ошибка прогноза</t>
  </si>
  <si>
    <t>Рост дисперсия</t>
  </si>
  <si>
    <t xml:space="preserve">При уровне надёждности gamma = 0.95, t_gamma = </t>
  </si>
  <si>
    <t>Доверительный интервал</t>
  </si>
  <si>
    <t>(</t>
  </si>
  <si>
    <t>)</t>
  </si>
  <si>
    <t>Значение статистики для гипотезы h0: R^2 = 0</t>
  </si>
  <si>
    <t>Т. к. F = 10366.4 &gt; 3.888853 = t_кр, то основаня гипотеза отклоняется, уравнение регресии статистически значимо</t>
  </si>
  <si>
    <t>Уравнение линейной регрессии: y = 1.14631 * x - 128.837</t>
  </si>
  <si>
    <t>y = 1.133411 - 126.355</t>
  </si>
  <si>
    <t>Уровнение лин регрессии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</si>
</sst>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Arial Cyr"/>
      <charset val="204"/>
    </font>
    <font>
      <sz val="10"/>
      <name val="Arial Cyr"/>
      <charset val="204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Fill="1" applyBorder="1" applyAlignment="1">
      <alignment horizontal="center" vertical="center"/>
    </xf>
    <xf numFmtId="0" fontId="0" fillId="0" borderId="1" xfId="0" applyFill="1" applyBorder="1"/>
    <xf numFmtId="0" fontId="0" fillId="0" borderId="0" xfId="0" applyBorder="1"/>
    <xf numFmtId="0" fontId="0" fillId="0" borderId="1" xfId="0" applyBorder="1" applyAlignment="1">
      <alignment horizontal="center"/>
    </xf>
    <xf numFmtId="0" fontId="1" fillId="0" borderId="0" xfId="0" applyFont="1" applyFill="1" applyBorder="1" applyAlignment="1">
      <alignment vertical="center"/>
    </xf>
    <xf numFmtId="0" fontId="0" fillId="0" borderId="0" xfId="0" applyBorder="1" applyAlignment="1">
      <alignment horizontal="center"/>
    </xf>
    <xf numFmtId="0" fontId="0" fillId="0" borderId="0" xfId="0" applyFill="1" applyBorder="1"/>
    <xf numFmtId="0" fontId="0" fillId="0" borderId="0" xfId="0" applyAlignment="1"/>
    <xf numFmtId="0" fontId="0" fillId="0" borderId="1" xfId="0" applyBorder="1" applyAlignment="1"/>
    <xf numFmtId="0" fontId="0" fillId="0" borderId="0" xfId="0" applyAlignment="1">
      <alignment horizontal="right"/>
    </xf>
    <xf numFmtId="0" fontId="0" fillId="0" borderId="1" xfId="0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/>
    </xf>
    <xf numFmtId="0" fontId="0" fillId="0" borderId="5" xfId="0" applyBorder="1" applyAlignment="1">
      <alignment horizontal="right" vertical="top"/>
    </xf>
    <xf numFmtId="0" fontId="0" fillId="0" borderId="4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1" fillId="0" borderId="7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2" xfId="0" applyBorder="1" applyAlignment="1">
      <alignment horizontal="left" wrapText="1"/>
    </xf>
    <xf numFmtId="0" fontId="0" fillId="0" borderId="13" xfId="0" applyBorder="1" applyAlignment="1">
      <alignment horizontal="left" wrapText="1"/>
    </xf>
    <xf numFmtId="0" fontId="0" fillId="0" borderId="14" xfId="0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9" xfId="0" applyBorder="1" applyAlignment="1">
      <alignment horizontal="left" wrapText="1"/>
    </xf>
    <xf numFmtId="0" fontId="0" fillId="0" borderId="10" xfId="0" applyBorder="1" applyAlignment="1">
      <alignment horizontal="left" wrapText="1"/>
    </xf>
    <xf numFmtId="0" fontId="0" fillId="0" borderId="15" xfId="0" applyBorder="1" applyAlignment="1">
      <alignment horizontal="left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horizontal="center" wrapText="1"/>
    </xf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Рост гистограмма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solidFill>
                <a:schemeClr val="tx2"/>
              </a:solidFill>
            </a:ln>
            <a:effectLst/>
          </c:spPr>
          <c:invertIfNegative val="0"/>
          <c:cat>
            <c:numRef>
              <c:f>'3'!$F$4:$F$13</c:f>
              <c:numCache>
                <c:formatCode>General</c:formatCode>
                <c:ptCount val="10"/>
                <c:pt idx="0">
                  <c:v>158.44999999999999</c:v>
                </c:pt>
                <c:pt idx="1">
                  <c:v>161.35000000000002</c:v>
                </c:pt>
                <c:pt idx="2">
                  <c:v>164.25</c:v>
                </c:pt>
                <c:pt idx="3">
                  <c:v>167.15000000000003</c:v>
                </c:pt>
                <c:pt idx="4">
                  <c:v>170.05</c:v>
                </c:pt>
                <c:pt idx="5">
                  <c:v>172.95000000000005</c:v>
                </c:pt>
                <c:pt idx="6">
                  <c:v>175.85000000000002</c:v>
                </c:pt>
                <c:pt idx="7">
                  <c:v>178.75000000000006</c:v>
                </c:pt>
                <c:pt idx="8">
                  <c:v>181.65000000000003</c:v>
                </c:pt>
                <c:pt idx="9">
                  <c:v>184.55000000000007</c:v>
                </c:pt>
              </c:numCache>
            </c:numRef>
          </c:cat>
          <c:val>
            <c:numRef>
              <c:f>'3'!$D$4:$D$13</c:f>
              <c:numCache>
                <c:formatCode>General</c:formatCode>
                <c:ptCount val="10"/>
                <c:pt idx="0">
                  <c:v>5</c:v>
                </c:pt>
                <c:pt idx="1">
                  <c:v>15</c:v>
                </c:pt>
                <c:pt idx="2">
                  <c:v>39</c:v>
                </c:pt>
                <c:pt idx="3">
                  <c:v>34</c:v>
                </c:pt>
                <c:pt idx="4">
                  <c:v>48</c:v>
                </c:pt>
                <c:pt idx="5">
                  <c:v>28</c:v>
                </c:pt>
                <c:pt idx="6">
                  <c:v>17</c:v>
                </c:pt>
                <c:pt idx="7">
                  <c:v>10</c:v>
                </c:pt>
                <c:pt idx="8">
                  <c:v>1</c:v>
                </c:pt>
                <c:pt idx="9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A8B-42AB-8F6C-62EB1E6C41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2021089247"/>
        <c:axId val="2021089663"/>
      </c:barChart>
      <c:catAx>
        <c:axId val="20210892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21089663"/>
        <c:crosses val="autoZero"/>
        <c:auto val="1"/>
        <c:lblAlgn val="ctr"/>
        <c:lblOffset val="100"/>
        <c:noMultiLvlLbl val="0"/>
      </c:catAx>
      <c:valAx>
        <c:axId val="2021089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210892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Рост функция</a:t>
            </a:r>
            <a:r>
              <a:rPr lang="ru-RU" baseline="0"/>
              <a:t> распределения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'3'!$F$4:$F$13</c:f>
              <c:numCache>
                <c:formatCode>General</c:formatCode>
                <c:ptCount val="10"/>
                <c:pt idx="0">
                  <c:v>158.44999999999999</c:v>
                </c:pt>
                <c:pt idx="1">
                  <c:v>161.35000000000002</c:v>
                </c:pt>
                <c:pt idx="2">
                  <c:v>164.25</c:v>
                </c:pt>
                <c:pt idx="3">
                  <c:v>167.15000000000003</c:v>
                </c:pt>
                <c:pt idx="4">
                  <c:v>170.05</c:v>
                </c:pt>
                <c:pt idx="5">
                  <c:v>172.95000000000005</c:v>
                </c:pt>
                <c:pt idx="6">
                  <c:v>175.85000000000002</c:v>
                </c:pt>
                <c:pt idx="7">
                  <c:v>178.75000000000006</c:v>
                </c:pt>
                <c:pt idx="8">
                  <c:v>181.65000000000003</c:v>
                </c:pt>
                <c:pt idx="9">
                  <c:v>184.55000000000007</c:v>
                </c:pt>
              </c:numCache>
            </c:numRef>
          </c:cat>
          <c:val>
            <c:numRef>
              <c:f>'3'!$G$4:$G$13</c:f>
              <c:numCache>
                <c:formatCode>General</c:formatCode>
                <c:ptCount val="10"/>
                <c:pt idx="0">
                  <c:v>2.5000000000000001E-2</c:v>
                </c:pt>
                <c:pt idx="1">
                  <c:v>0.1</c:v>
                </c:pt>
                <c:pt idx="2">
                  <c:v>0.29499999999999998</c:v>
                </c:pt>
                <c:pt idx="3">
                  <c:v>0.46500000000000002</c:v>
                </c:pt>
                <c:pt idx="4">
                  <c:v>0.70499999999999996</c:v>
                </c:pt>
                <c:pt idx="5">
                  <c:v>0.84499999999999997</c:v>
                </c:pt>
                <c:pt idx="6">
                  <c:v>0.93</c:v>
                </c:pt>
                <c:pt idx="7">
                  <c:v>0.98</c:v>
                </c:pt>
                <c:pt idx="8">
                  <c:v>0.98499999999999999</c:v>
                </c:pt>
                <c:pt idx="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854-436D-88A9-7F178044DC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1660959"/>
        <c:axId val="221661375"/>
      </c:lineChart>
      <c:catAx>
        <c:axId val="221660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21661375"/>
        <c:crosses val="autoZero"/>
        <c:auto val="1"/>
        <c:lblAlgn val="ctr"/>
        <c:lblOffset val="100"/>
        <c:noMultiLvlLbl val="0"/>
      </c:catAx>
      <c:valAx>
        <c:axId val="221661375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2">
                  <a:alpha val="99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216609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Рост полигон  относительных частот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'3'!$F$4:$F$13</c:f>
              <c:numCache>
                <c:formatCode>General</c:formatCode>
                <c:ptCount val="10"/>
                <c:pt idx="0">
                  <c:v>158.44999999999999</c:v>
                </c:pt>
                <c:pt idx="1">
                  <c:v>161.35000000000002</c:v>
                </c:pt>
                <c:pt idx="2">
                  <c:v>164.25</c:v>
                </c:pt>
                <c:pt idx="3">
                  <c:v>167.15000000000003</c:v>
                </c:pt>
                <c:pt idx="4">
                  <c:v>170.05</c:v>
                </c:pt>
                <c:pt idx="5">
                  <c:v>172.95000000000005</c:v>
                </c:pt>
                <c:pt idx="6">
                  <c:v>175.85000000000002</c:v>
                </c:pt>
                <c:pt idx="7">
                  <c:v>178.75000000000006</c:v>
                </c:pt>
                <c:pt idx="8">
                  <c:v>181.65000000000003</c:v>
                </c:pt>
                <c:pt idx="9">
                  <c:v>184.55000000000007</c:v>
                </c:pt>
              </c:numCache>
            </c:numRef>
          </c:cat>
          <c:val>
            <c:numRef>
              <c:f>'3'!$E$4:$E$13</c:f>
              <c:numCache>
                <c:formatCode>General</c:formatCode>
                <c:ptCount val="10"/>
                <c:pt idx="0">
                  <c:v>2.5000000000000001E-2</c:v>
                </c:pt>
                <c:pt idx="1">
                  <c:v>7.4999999999999997E-2</c:v>
                </c:pt>
                <c:pt idx="2">
                  <c:v>0.19500000000000001</c:v>
                </c:pt>
                <c:pt idx="3">
                  <c:v>0.17</c:v>
                </c:pt>
                <c:pt idx="4">
                  <c:v>0.24</c:v>
                </c:pt>
                <c:pt idx="5">
                  <c:v>0.14000000000000001</c:v>
                </c:pt>
                <c:pt idx="6">
                  <c:v>8.5000000000000006E-2</c:v>
                </c:pt>
                <c:pt idx="7">
                  <c:v>0.05</c:v>
                </c:pt>
                <c:pt idx="8">
                  <c:v>5.0000000000000001E-3</c:v>
                </c:pt>
                <c:pt idx="9">
                  <c:v>1.4999999999999999E-2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ABB-42F5-A4C6-82DADC7055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9893263"/>
        <c:axId val="219895759"/>
      </c:lineChart>
      <c:catAx>
        <c:axId val="2198932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9895759"/>
        <c:crosses val="autoZero"/>
        <c:auto val="1"/>
        <c:lblAlgn val="ctr"/>
        <c:lblOffset val="100"/>
        <c:noMultiLvlLbl val="0"/>
      </c:catAx>
      <c:valAx>
        <c:axId val="219895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98932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Корреляционное облако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'0'!$B$2:$B$201</c:f>
              <c:numCache>
                <c:formatCode>General</c:formatCode>
                <c:ptCount val="200"/>
                <c:pt idx="0">
                  <c:v>160</c:v>
                </c:pt>
                <c:pt idx="1">
                  <c:v>178</c:v>
                </c:pt>
                <c:pt idx="2">
                  <c:v>170</c:v>
                </c:pt>
                <c:pt idx="3">
                  <c:v>168</c:v>
                </c:pt>
                <c:pt idx="4">
                  <c:v>173</c:v>
                </c:pt>
                <c:pt idx="5">
                  <c:v>176</c:v>
                </c:pt>
                <c:pt idx="6">
                  <c:v>170</c:v>
                </c:pt>
                <c:pt idx="7">
                  <c:v>163</c:v>
                </c:pt>
                <c:pt idx="8">
                  <c:v>165</c:v>
                </c:pt>
                <c:pt idx="9">
                  <c:v>165</c:v>
                </c:pt>
                <c:pt idx="10">
                  <c:v>170</c:v>
                </c:pt>
                <c:pt idx="11">
                  <c:v>166</c:v>
                </c:pt>
                <c:pt idx="12">
                  <c:v>165</c:v>
                </c:pt>
                <c:pt idx="13">
                  <c:v>181</c:v>
                </c:pt>
                <c:pt idx="14">
                  <c:v>172</c:v>
                </c:pt>
                <c:pt idx="15">
                  <c:v>165</c:v>
                </c:pt>
                <c:pt idx="16">
                  <c:v>172</c:v>
                </c:pt>
                <c:pt idx="17">
                  <c:v>178</c:v>
                </c:pt>
                <c:pt idx="18">
                  <c:v>169</c:v>
                </c:pt>
                <c:pt idx="19">
                  <c:v>165</c:v>
                </c:pt>
                <c:pt idx="20">
                  <c:v>174</c:v>
                </c:pt>
                <c:pt idx="21">
                  <c:v>159</c:v>
                </c:pt>
                <c:pt idx="22">
                  <c:v>171</c:v>
                </c:pt>
                <c:pt idx="23">
                  <c:v>169</c:v>
                </c:pt>
                <c:pt idx="24">
                  <c:v>176</c:v>
                </c:pt>
                <c:pt idx="25">
                  <c:v>170</c:v>
                </c:pt>
                <c:pt idx="26">
                  <c:v>170</c:v>
                </c:pt>
                <c:pt idx="27">
                  <c:v>165</c:v>
                </c:pt>
                <c:pt idx="28">
                  <c:v>162</c:v>
                </c:pt>
                <c:pt idx="29">
                  <c:v>175</c:v>
                </c:pt>
                <c:pt idx="30">
                  <c:v>157</c:v>
                </c:pt>
                <c:pt idx="31">
                  <c:v>161</c:v>
                </c:pt>
                <c:pt idx="32">
                  <c:v>172</c:v>
                </c:pt>
                <c:pt idx="33">
                  <c:v>159</c:v>
                </c:pt>
                <c:pt idx="34">
                  <c:v>162</c:v>
                </c:pt>
                <c:pt idx="35">
                  <c:v>167</c:v>
                </c:pt>
                <c:pt idx="36">
                  <c:v>159</c:v>
                </c:pt>
                <c:pt idx="37">
                  <c:v>160</c:v>
                </c:pt>
                <c:pt idx="38">
                  <c:v>175</c:v>
                </c:pt>
                <c:pt idx="39">
                  <c:v>163</c:v>
                </c:pt>
                <c:pt idx="40">
                  <c:v>169</c:v>
                </c:pt>
                <c:pt idx="41">
                  <c:v>180</c:v>
                </c:pt>
                <c:pt idx="42">
                  <c:v>165</c:v>
                </c:pt>
                <c:pt idx="43">
                  <c:v>168</c:v>
                </c:pt>
                <c:pt idx="44">
                  <c:v>169</c:v>
                </c:pt>
                <c:pt idx="45">
                  <c:v>170</c:v>
                </c:pt>
                <c:pt idx="46">
                  <c:v>163</c:v>
                </c:pt>
                <c:pt idx="47">
                  <c:v>178</c:v>
                </c:pt>
                <c:pt idx="48">
                  <c:v>162</c:v>
                </c:pt>
                <c:pt idx="49">
                  <c:v>178</c:v>
                </c:pt>
                <c:pt idx="50">
                  <c:v>165</c:v>
                </c:pt>
                <c:pt idx="51">
                  <c:v>162</c:v>
                </c:pt>
                <c:pt idx="52">
                  <c:v>171</c:v>
                </c:pt>
                <c:pt idx="53">
                  <c:v>172</c:v>
                </c:pt>
                <c:pt idx="54">
                  <c:v>171</c:v>
                </c:pt>
                <c:pt idx="55">
                  <c:v>166</c:v>
                </c:pt>
                <c:pt idx="56">
                  <c:v>164</c:v>
                </c:pt>
                <c:pt idx="57">
                  <c:v>164</c:v>
                </c:pt>
                <c:pt idx="58">
                  <c:v>169</c:v>
                </c:pt>
                <c:pt idx="59">
                  <c:v>169</c:v>
                </c:pt>
                <c:pt idx="60">
                  <c:v>163</c:v>
                </c:pt>
                <c:pt idx="61">
                  <c:v>173</c:v>
                </c:pt>
                <c:pt idx="62">
                  <c:v>176</c:v>
                </c:pt>
                <c:pt idx="63">
                  <c:v>168</c:v>
                </c:pt>
                <c:pt idx="64">
                  <c:v>169</c:v>
                </c:pt>
                <c:pt idx="65">
                  <c:v>168</c:v>
                </c:pt>
                <c:pt idx="66">
                  <c:v>166</c:v>
                </c:pt>
                <c:pt idx="67">
                  <c:v>178</c:v>
                </c:pt>
                <c:pt idx="68">
                  <c:v>165</c:v>
                </c:pt>
                <c:pt idx="69">
                  <c:v>164</c:v>
                </c:pt>
                <c:pt idx="70">
                  <c:v>161</c:v>
                </c:pt>
                <c:pt idx="71">
                  <c:v>170</c:v>
                </c:pt>
                <c:pt idx="72">
                  <c:v>164</c:v>
                </c:pt>
                <c:pt idx="73">
                  <c:v>171</c:v>
                </c:pt>
                <c:pt idx="74">
                  <c:v>171</c:v>
                </c:pt>
                <c:pt idx="75">
                  <c:v>163</c:v>
                </c:pt>
                <c:pt idx="76">
                  <c:v>167</c:v>
                </c:pt>
                <c:pt idx="77">
                  <c:v>165</c:v>
                </c:pt>
                <c:pt idx="78">
                  <c:v>175</c:v>
                </c:pt>
                <c:pt idx="79">
                  <c:v>171</c:v>
                </c:pt>
                <c:pt idx="80">
                  <c:v>174</c:v>
                </c:pt>
                <c:pt idx="81">
                  <c:v>164</c:v>
                </c:pt>
                <c:pt idx="82">
                  <c:v>166</c:v>
                </c:pt>
                <c:pt idx="83">
                  <c:v>161</c:v>
                </c:pt>
                <c:pt idx="84">
                  <c:v>169</c:v>
                </c:pt>
                <c:pt idx="85">
                  <c:v>163</c:v>
                </c:pt>
                <c:pt idx="86">
                  <c:v>168</c:v>
                </c:pt>
                <c:pt idx="87">
                  <c:v>166</c:v>
                </c:pt>
                <c:pt idx="88">
                  <c:v>172</c:v>
                </c:pt>
                <c:pt idx="89">
                  <c:v>165</c:v>
                </c:pt>
                <c:pt idx="90">
                  <c:v>166</c:v>
                </c:pt>
                <c:pt idx="91">
                  <c:v>171</c:v>
                </c:pt>
                <c:pt idx="92">
                  <c:v>161</c:v>
                </c:pt>
                <c:pt idx="93">
                  <c:v>163</c:v>
                </c:pt>
                <c:pt idx="94">
                  <c:v>165</c:v>
                </c:pt>
                <c:pt idx="95">
                  <c:v>172</c:v>
                </c:pt>
                <c:pt idx="96">
                  <c:v>167</c:v>
                </c:pt>
                <c:pt idx="97">
                  <c:v>168</c:v>
                </c:pt>
                <c:pt idx="98">
                  <c:v>157</c:v>
                </c:pt>
                <c:pt idx="99">
                  <c:v>169</c:v>
                </c:pt>
                <c:pt idx="100">
                  <c:v>164</c:v>
                </c:pt>
                <c:pt idx="101">
                  <c:v>176</c:v>
                </c:pt>
                <c:pt idx="102">
                  <c:v>163</c:v>
                </c:pt>
                <c:pt idx="103">
                  <c:v>164</c:v>
                </c:pt>
                <c:pt idx="104">
                  <c:v>170</c:v>
                </c:pt>
                <c:pt idx="105">
                  <c:v>177</c:v>
                </c:pt>
                <c:pt idx="106">
                  <c:v>180</c:v>
                </c:pt>
                <c:pt idx="107">
                  <c:v>175</c:v>
                </c:pt>
                <c:pt idx="108">
                  <c:v>168</c:v>
                </c:pt>
                <c:pt idx="109">
                  <c:v>175</c:v>
                </c:pt>
                <c:pt idx="110">
                  <c:v>171</c:v>
                </c:pt>
                <c:pt idx="111">
                  <c:v>170</c:v>
                </c:pt>
                <c:pt idx="112">
                  <c:v>168</c:v>
                </c:pt>
                <c:pt idx="113">
                  <c:v>160</c:v>
                </c:pt>
                <c:pt idx="114">
                  <c:v>171</c:v>
                </c:pt>
                <c:pt idx="115">
                  <c:v>180</c:v>
                </c:pt>
                <c:pt idx="116">
                  <c:v>165</c:v>
                </c:pt>
                <c:pt idx="117">
                  <c:v>176</c:v>
                </c:pt>
                <c:pt idx="118">
                  <c:v>167</c:v>
                </c:pt>
                <c:pt idx="119">
                  <c:v>163</c:v>
                </c:pt>
                <c:pt idx="120">
                  <c:v>170</c:v>
                </c:pt>
                <c:pt idx="121">
                  <c:v>174</c:v>
                </c:pt>
                <c:pt idx="122">
                  <c:v>167</c:v>
                </c:pt>
                <c:pt idx="123">
                  <c:v>172</c:v>
                </c:pt>
                <c:pt idx="124">
                  <c:v>173</c:v>
                </c:pt>
                <c:pt idx="125">
                  <c:v>164</c:v>
                </c:pt>
                <c:pt idx="126">
                  <c:v>170</c:v>
                </c:pt>
                <c:pt idx="127">
                  <c:v>168</c:v>
                </c:pt>
                <c:pt idx="128">
                  <c:v>176</c:v>
                </c:pt>
                <c:pt idx="129">
                  <c:v>168</c:v>
                </c:pt>
                <c:pt idx="130">
                  <c:v>179</c:v>
                </c:pt>
                <c:pt idx="131">
                  <c:v>168</c:v>
                </c:pt>
                <c:pt idx="132">
                  <c:v>176</c:v>
                </c:pt>
                <c:pt idx="133">
                  <c:v>184</c:v>
                </c:pt>
                <c:pt idx="134">
                  <c:v>165</c:v>
                </c:pt>
                <c:pt idx="135">
                  <c:v>176</c:v>
                </c:pt>
                <c:pt idx="136">
                  <c:v>163</c:v>
                </c:pt>
                <c:pt idx="137">
                  <c:v>167</c:v>
                </c:pt>
                <c:pt idx="138">
                  <c:v>160</c:v>
                </c:pt>
                <c:pt idx="139">
                  <c:v>186</c:v>
                </c:pt>
                <c:pt idx="140">
                  <c:v>172</c:v>
                </c:pt>
                <c:pt idx="141">
                  <c:v>166</c:v>
                </c:pt>
                <c:pt idx="142">
                  <c:v>170</c:v>
                </c:pt>
                <c:pt idx="143">
                  <c:v>173</c:v>
                </c:pt>
                <c:pt idx="144">
                  <c:v>166</c:v>
                </c:pt>
                <c:pt idx="145">
                  <c:v>171</c:v>
                </c:pt>
                <c:pt idx="146">
                  <c:v>169</c:v>
                </c:pt>
                <c:pt idx="147">
                  <c:v>162</c:v>
                </c:pt>
                <c:pt idx="148">
                  <c:v>185</c:v>
                </c:pt>
                <c:pt idx="149">
                  <c:v>178</c:v>
                </c:pt>
                <c:pt idx="150">
                  <c:v>165</c:v>
                </c:pt>
                <c:pt idx="151">
                  <c:v>163</c:v>
                </c:pt>
                <c:pt idx="152">
                  <c:v>171</c:v>
                </c:pt>
                <c:pt idx="153">
                  <c:v>172</c:v>
                </c:pt>
                <c:pt idx="154">
                  <c:v>175</c:v>
                </c:pt>
                <c:pt idx="155">
                  <c:v>172</c:v>
                </c:pt>
                <c:pt idx="156">
                  <c:v>162</c:v>
                </c:pt>
                <c:pt idx="157">
                  <c:v>163</c:v>
                </c:pt>
                <c:pt idx="158">
                  <c:v>173</c:v>
                </c:pt>
                <c:pt idx="159">
                  <c:v>174</c:v>
                </c:pt>
                <c:pt idx="160">
                  <c:v>164</c:v>
                </c:pt>
                <c:pt idx="161">
                  <c:v>176</c:v>
                </c:pt>
                <c:pt idx="162">
                  <c:v>171</c:v>
                </c:pt>
                <c:pt idx="163">
                  <c:v>173</c:v>
                </c:pt>
                <c:pt idx="164">
                  <c:v>169</c:v>
                </c:pt>
                <c:pt idx="165">
                  <c:v>166</c:v>
                </c:pt>
                <c:pt idx="166">
                  <c:v>173</c:v>
                </c:pt>
                <c:pt idx="167">
                  <c:v>172</c:v>
                </c:pt>
                <c:pt idx="168">
                  <c:v>173</c:v>
                </c:pt>
                <c:pt idx="169">
                  <c:v>161</c:v>
                </c:pt>
                <c:pt idx="170">
                  <c:v>169</c:v>
                </c:pt>
                <c:pt idx="171">
                  <c:v>172</c:v>
                </c:pt>
                <c:pt idx="172">
                  <c:v>168</c:v>
                </c:pt>
                <c:pt idx="173">
                  <c:v>171</c:v>
                </c:pt>
                <c:pt idx="174">
                  <c:v>173</c:v>
                </c:pt>
                <c:pt idx="175">
                  <c:v>170</c:v>
                </c:pt>
                <c:pt idx="176">
                  <c:v>163</c:v>
                </c:pt>
                <c:pt idx="177">
                  <c:v>167</c:v>
                </c:pt>
                <c:pt idx="178">
                  <c:v>171</c:v>
                </c:pt>
                <c:pt idx="179">
                  <c:v>169</c:v>
                </c:pt>
                <c:pt idx="180">
                  <c:v>170</c:v>
                </c:pt>
                <c:pt idx="181">
                  <c:v>166</c:v>
                </c:pt>
                <c:pt idx="182">
                  <c:v>172</c:v>
                </c:pt>
                <c:pt idx="183">
                  <c:v>171</c:v>
                </c:pt>
                <c:pt idx="184">
                  <c:v>166</c:v>
                </c:pt>
                <c:pt idx="185">
                  <c:v>177</c:v>
                </c:pt>
                <c:pt idx="186">
                  <c:v>171</c:v>
                </c:pt>
                <c:pt idx="187">
                  <c:v>164</c:v>
                </c:pt>
                <c:pt idx="188">
                  <c:v>169</c:v>
                </c:pt>
                <c:pt idx="189">
                  <c:v>167</c:v>
                </c:pt>
                <c:pt idx="190">
                  <c:v>168</c:v>
                </c:pt>
                <c:pt idx="191">
                  <c:v>169</c:v>
                </c:pt>
                <c:pt idx="192">
                  <c:v>165</c:v>
                </c:pt>
                <c:pt idx="193">
                  <c:v>174</c:v>
                </c:pt>
                <c:pt idx="194">
                  <c:v>171</c:v>
                </c:pt>
                <c:pt idx="195">
                  <c:v>168</c:v>
                </c:pt>
                <c:pt idx="196">
                  <c:v>171</c:v>
                </c:pt>
                <c:pt idx="197">
                  <c:v>171</c:v>
                </c:pt>
                <c:pt idx="198">
                  <c:v>172</c:v>
                </c:pt>
                <c:pt idx="199">
                  <c:v>167</c:v>
                </c:pt>
              </c:numCache>
            </c:numRef>
          </c:xVal>
          <c:yVal>
            <c:numRef>
              <c:f>'0'!$C$2:$C$201</c:f>
              <c:numCache>
                <c:formatCode>General</c:formatCode>
                <c:ptCount val="200"/>
                <c:pt idx="0">
                  <c:v>61</c:v>
                </c:pt>
                <c:pt idx="1">
                  <c:v>69</c:v>
                </c:pt>
                <c:pt idx="2">
                  <c:v>70</c:v>
                </c:pt>
                <c:pt idx="3">
                  <c:v>60</c:v>
                </c:pt>
                <c:pt idx="4">
                  <c:v>69</c:v>
                </c:pt>
                <c:pt idx="5">
                  <c:v>70</c:v>
                </c:pt>
                <c:pt idx="6">
                  <c:v>58</c:v>
                </c:pt>
                <c:pt idx="7">
                  <c:v>64</c:v>
                </c:pt>
                <c:pt idx="8">
                  <c:v>57</c:v>
                </c:pt>
                <c:pt idx="9">
                  <c:v>60</c:v>
                </c:pt>
                <c:pt idx="10">
                  <c:v>61</c:v>
                </c:pt>
                <c:pt idx="11">
                  <c:v>55</c:v>
                </c:pt>
                <c:pt idx="12">
                  <c:v>63</c:v>
                </c:pt>
                <c:pt idx="13">
                  <c:v>77</c:v>
                </c:pt>
                <c:pt idx="14">
                  <c:v>64</c:v>
                </c:pt>
                <c:pt idx="15">
                  <c:v>63</c:v>
                </c:pt>
                <c:pt idx="16">
                  <c:v>78</c:v>
                </c:pt>
                <c:pt idx="17">
                  <c:v>75</c:v>
                </c:pt>
                <c:pt idx="18">
                  <c:v>74</c:v>
                </c:pt>
                <c:pt idx="19">
                  <c:v>63</c:v>
                </c:pt>
                <c:pt idx="20">
                  <c:v>75</c:v>
                </c:pt>
                <c:pt idx="21">
                  <c:v>54</c:v>
                </c:pt>
                <c:pt idx="22">
                  <c:v>66</c:v>
                </c:pt>
                <c:pt idx="23">
                  <c:v>67</c:v>
                </c:pt>
                <c:pt idx="24">
                  <c:v>62</c:v>
                </c:pt>
                <c:pt idx="25">
                  <c:v>65</c:v>
                </c:pt>
                <c:pt idx="26">
                  <c:v>66</c:v>
                </c:pt>
                <c:pt idx="27">
                  <c:v>61</c:v>
                </c:pt>
                <c:pt idx="28">
                  <c:v>66</c:v>
                </c:pt>
                <c:pt idx="29">
                  <c:v>75</c:v>
                </c:pt>
                <c:pt idx="30">
                  <c:v>53</c:v>
                </c:pt>
                <c:pt idx="31">
                  <c:v>55</c:v>
                </c:pt>
                <c:pt idx="32">
                  <c:v>66</c:v>
                </c:pt>
                <c:pt idx="33">
                  <c:v>55</c:v>
                </c:pt>
                <c:pt idx="34">
                  <c:v>65</c:v>
                </c:pt>
                <c:pt idx="35">
                  <c:v>63</c:v>
                </c:pt>
                <c:pt idx="36">
                  <c:v>68</c:v>
                </c:pt>
                <c:pt idx="37">
                  <c:v>62</c:v>
                </c:pt>
                <c:pt idx="38">
                  <c:v>75</c:v>
                </c:pt>
                <c:pt idx="39">
                  <c:v>67</c:v>
                </c:pt>
                <c:pt idx="40">
                  <c:v>56</c:v>
                </c:pt>
                <c:pt idx="41">
                  <c:v>65</c:v>
                </c:pt>
                <c:pt idx="42">
                  <c:v>63</c:v>
                </c:pt>
                <c:pt idx="43">
                  <c:v>67</c:v>
                </c:pt>
                <c:pt idx="44">
                  <c:v>68</c:v>
                </c:pt>
                <c:pt idx="45">
                  <c:v>69</c:v>
                </c:pt>
                <c:pt idx="46">
                  <c:v>57</c:v>
                </c:pt>
                <c:pt idx="47">
                  <c:v>75</c:v>
                </c:pt>
                <c:pt idx="48">
                  <c:v>53</c:v>
                </c:pt>
                <c:pt idx="49">
                  <c:v>69</c:v>
                </c:pt>
                <c:pt idx="50">
                  <c:v>67</c:v>
                </c:pt>
                <c:pt idx="51">
                  <c:v>60</c:v>
                </c:pt>
                <c:pt idx="52">
                  <c:v>60</c:v>
                </c:pt>
                <c:pt idx="53">
                  <c:v>72</c:v>
                </c:pt>
                <c:pt idx="54">
                  <c:v>65</c:v>
                </c:pt>
                <c:pt idx="55">
                  <c:v>62</c:v>
                </c:pt>
                <c:pt idx="56">
                  <c:v>56</c:v>
                </c:pt>
                <c:pt idx="57">
                  <c:v>63</c:v>
                </c:pt>
                <c:pt idx="58">
                  <c:v>65</c:v>
                </c:pt>
                <c:pt idx="59">
                  <c:v>75</c:v>
                </c:pt>
                <c:pt idx="60">
                  <c:v>54</c:v>
                </c:pt>
                <c:pt idx="61">
                  <c:v>75</c:v>
                </c:pt>
                <c:pt idx="62">
                  <c:v>67</c:v>
                </c:pt>
                <c:pt idx="63">
                  <c:v>55</c:v>
                </c:pt>
                <c:pt idx="64">
                  <c:v>66</c:v>
                </c:pt>
                <c:pt idx="65">
                  <c:v>67</c:v>
                </c:pt>
                <c:pt idx="66">
                  <c:v>64</c:v>
                </c:pt>
                <c:pt idx="67">
                  <c:v>80</c:v>
                </c:pt>
                <c:pt idx="68">
                  <c:v>62</c:v>
                </c:pt>
                <c:pt idx="69">
                  <c:v>62</c:v>
                </c:pt>
                <c:pt idx="70">
                  <c:v>51</c:v>
                </c:pt>
                <c:pt idx="71">
                  <c:v>66</c:v>
                </c:pt>
                <c:pt idx="72">
                  <c:v>53</c:v>
                </c:pt>
                <c:pt idx="73">
                  <c:v>62</c:v>
                </c:pt>
                <c:pt idx="74">
                  <c:v>67</c:v>
                </c:pt>
                <c:pt idx="75">
                  <c:v>63</c:v>
                </c:pt>
                <c:pt idx="76">
                  <c:v>64</c:v>
                </c:pt>
                <c:pt idx="77">
                  <c:v>63</c:v>
                </c:pt>
                <c:pt idx="78">
                  <c:v>66</c:v>
                </c:pt>
                <c:pt idx="79">
                  <c:v>66</c:v>
                </c:pt>
                <c:pt idx="80">
                  <c:v>67</c:v>
                </c:pt>
                <c:pt idx="81">
                  <c:v>59</c:v>
                </c:pt>
                <c:pt idx="82">
                  <c:v>78</c:v>
                </c:pt>
                <c:pt idx="83">
                  <c:v>55</c:v>
                </c:pt>
                <c:pt idx="84">
                  <c:v>64</c:v>
                </c:pt>
                <c:pt idx="85">
                  <c:v>64</c:v>
                </c:pt>
                <c:pt idx="86">
                  <c:v>58</c:v>
                </c:pt>
                <c:pt idx="87">
                  <c:v>63</c:v>
                </c:pt>
                <c:pt idx="88">
                  <c:v>69</c:v>
                </c:pt>
                <c:pt idx="89">
                  <c:v>76</c:v>
                </c:pt>
                <c:pt idx="90">
                  <c:v>71</c:v>
                </c:pt>
                <c:pt idx="91">
                  <c:v>75</c:v>
                </c:pt>
                <c:pt idx="92">
                  <c:v>56</c:v>
                </c:pt>
                <c:pt idx="93">
                  <c:v>58</c:v>
                </c:pt>
                <c:pt idx="94">
                  <c:v>72</c:v>
                </c:pt>
                <c:pt idx="95">
                  <c:v>66</c:v>
                </c:pt>
                <c:pt idx="96">
                  <c:v>57</c:v>
                </c:pt>
                <c:pt idx="97">
                  <c:v>66</c:v>
                </c:pt>
                <c:pt idx="98">
                  <c:v>60</c:v>
                </c:pt>
                <c:pt idx="99">
                  <c:v>71</c:v>
                </c:pt>
                <c:pt idx="100">
                  <c:v>70</c:v>
                </c:pt>
                <c:pt idx="101">
                  <c:v>67</c:v>
                </c:pt>
                <c:pt idx="102">
                  <c:v>58</c:v>
                </c:pt>
                <c:pt idx="103">
                  <c:v>62</c:v>
                </c:pt>
                <c:pt idx="104">
                  <c:v>68</c:v>
                </c:pt>
                <c:pt idx="105">
                  <c:v>60</c:v>
                </c:pt>
                <c:pt idx="106">
                  <c:v>75</c:v>
                </c:pt>
                <c:pt idx="107">
                  <c:v>75</c:v>
                </c:pt>
                <c:pt idx="108">
                  <c:v>55</c:v>
                </c:pt>
                <c:pt idx="109">
                  <c:v>67</c:v>
                </c:pt>
                <c:pt idx="110">
                  <c:v>63</c:v>
                </c:pt>
                <c:pt idx="111">
                  <c:v>65</c:v>
                </c:pt>
                <c:pt idx="112">
                  <c:v>64</c:v>
                </c:pt>
                <c:pt idx="113">
                  <c:v>57</c:v>
                </c:pt>
                <c:pt idx="114">
                  <c:v>66</c:v>
                </c:pt>
                <c:pt idx="115">
                  <c:v>65</c:v>
                </c:pt>
                <c:pt idx="116">
                  <c:v>57</c:v>
                </c:pt>
                <c:pt idx="117">
                  <c:v>77</c:v>
                </c:pt>
                <c:pt idx="118">
                  <c:v>68</c:v>
                </c:pt>
                <c:pt idx="119">
                  <c:v>54</c:v>
                </c:pt>
                <c:pt idx="120">
                  <c:v>75</c:v>
                </c:pt>
                <c:pt idx="121">
                  <c:v>67</c:v>
                </c:pt>
                <c:pt idx="122">
                  <c:v>65</c:v>
                </c:pt>
                <c:pt idx="123">
                  <c:v>73</c:v>
                </c:pt>
                <c:pt idx="124">
                  <c:v>69</c:v>
                </c:pt>
                <c:pt idx="125">
                  <c:v>65</c:v>
                </c:pt>
                <c:pt idx="126">
                  <c:v>58</c:v>
                </c:pt>
                <c:pt idx="127">
                  <c:v>58</c:v>
                </c:pt>
                <c:pt idx="128">
                  <c:v>67</c:v>
                </c:pt>
                <c:pt idx="129">
                  <c:v>60</c:v>
                </c:pt>
                <c:pt idx="130">
                  <c:v>71</c:v>
                </c:pt>
                <c:pt idx="131">
                  <c:v>67</c:v>
                </c:pt>
                <c:pt idx="132">
                  <c:v>65</c:v>
                </c:pt>
                <c:pt idx="133">
                  <c:v>68</c:v>
                </c:pt>
                <c:pt idx="134">
                  <c:v>60</c:v>
                </c:pt>
                <c:pt idx="135">
                  <c:v>72</c:v>
                </c:pt>
                <c:pt idx="136">
                  <c:v>65</c:v>
                </c:pt>
                <c:pt idx="137">
                  <c:v>60</c:v>
                </c:pt>
                <c:pt idx="138">
                  <c:v>57</c:v>
                </c:pt>
                <c:pt idx="139">
                  <c:v>72</c:v>
                </c:pt>
                <c:pt idx="140">
                  <c:v>67</c:v>
                </c:pt>
                <c:pt idx="141">
                  <c:v>62</c:v>
                </c:pt>
                <c:pt idx="142">
                  <c:v>61</c:v>
                </c:pt>
                <c:pt idx="143">
                  <c:v>72</c:v>
                </c:pt>
                <c:pt idx="144">
                  <c:v>67</c:v>
                </c:pt>
                <c:pt idx="145">
                  <c:v>59</c:v>
                </c:pt>
                <c:pt idx="146">
                  <c:v>67</c:v>
                </c:pt>
                <c:pt idx="147">
                  <c:v>66</c:v>
                </c:pt>
                <c:pt idx="148">
                  <c:v>82</c:v>
                </c:pt>
                <c:pt idx="149">
                  <c:v>71</c:v>
                </c:pt>
                <c:pt idx="150">
                  <c:v>60</c:v>
                </c:pt>
                <c:pt idx="151">
                  <c:v>63</c:v>
                </c:pt>
                <c:pt idx="152">
                  <c:v>57</c:v>
                </c:pt>
                <c:pt idx="153">
                  <c:v>67</c:v>
                </c:pt>
                <c:pt idx="154">
                  <c:v>67</c:v>
                </c:pt>
                <c:pt idx="155">
                  <c:v>70</c:v>
                </c:pt>
                <c:pt idx="156">
                  <c:v>54</c:v>
                </c:pt>
                <c:pt idx="157">
                  <c:v>60</c:v>
                </c:pt>
                <c:pt idx="158">
                  <c:v>66</c:v>
                </c:pt>
                <c:pt idx="159">
                  <c:v>79</c:v>
                </c:pt>
                <c:pt idx="160">
                  <c:v>61</c:v>
                </c:pt>
                <c:pt idx="161">
                  <c:v>71</c:v>
                </c:pt>
                <c:pt idx="162">
                  <c:v>66</c:v>
                </c:pt>
                <c:pt idx="163">
                  <c:v>69</c:v>
                </c:pt>
                <c:pt idx="164">
                  <c:v>68</c:v>
                </c:pt>
                <c:pt idx="165">
                  <c:v>61</c:v>
                </c:pt>
                <c:pt idx="166">
                  <c:v>69</c:v>
                </c:pt>
                <c:pt idx="167">
                  <c:v>74</c:v>
                </c:pt>
                <c:pt idx="168">
                  <c:v>69</c:v>
                </c:pt>
                <c:pt idx="169">
                  <c:v>55</c:v>
                </c:pt>
                <c:pt idx="170">
                  <c:v>61</c:v>
                </c:pt>
                <c:pt idx="171">
                  <c:v>63</c:v>
                </c:pt>
                <c:pt idx="172">
                  <c:v>70</c:v>
                </c:pt>
                <c:pt idx="173">
                  <c:v>66</c:v>
                </c:pt>
                <c:pt idx="174">
                  <c:v>65</c:v>
                </c:pt>
                <c:pt idx="175">
                  <c:v>61</c:v>
                </c:pt>
                <c:pt idx="176">
                  <c:v>65</c:v>
                </c:pt>
                <c:pt idx="177">
                  <c:v>55</c:v>
                </c:pt>
                <c:pt idx="178">
                  <c:v>70</c:v>
                </c:pt>
                <c:pt idx="179">
                  <c:v>70</c:v>
                </c:pt>
                <c:pt idx="180">
                  <c:v>63</c:v>
                </c:pt>
                <c:pt idx="181">
                  <c:v>63</c:v>
                </c:pt>
                <c:pt idx="182">
                  <c:v>65</c:v>
                </c:pt>
                <c:pt idx="183">
                  <c:v>64</c:v>
                </c:pt>
                <c:pt idx="184">
                  <c:v>78</c:v>
                </c:pt>
                <c:pt idx="185">
                  <c:v>72</c:v>
                </c:pt>
                <c:pt idx="186">
                  <c:v>66</c:v>
                </c:pt>
                <c:pt idx="187">
                  <c:v>62</c:v>
                </c:pt>
                <c:pt idx="188">
                  <c:v>66</c:v>
                </c:pt>
                <c:pt idx="189">
                  <c:v>67</c:v>
                </c:pt>
                <c:pt idx="190">
                  <c:v>67</c:v>
                </c:pt>
                <c:pt idx="191">
                  <c:v>66</c:v>
                </c:pt>
                <c:pt idx="192">
                  <c:v>63</c:v>
                </c:pt>
                <c:pt idx="193">
                  <c:v>74</c:v>
                </c:pt>
                <c:pt idx="194">
                  <c:v>69</c:v>
                </c:pt>
                <c:pt idx="195">
                  <c:v>70</c:v>
                </c:pt>
                <c:pt idx="196">
                  <c:v>65</c:v>
                </c:pt>
                <c:pt idx="197">
                  <c:v>69</c:v>
                </c:pt>
                <c:pt idx="198">
                  <c:v>69</c:v>
                </c:pt>
                <c:pt idx="199">
                  <c:v>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B9F-4109-85CD-C37CA12240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2282112"/>
        <c:axId val="342280032"/>
      </c:scatterChart>
      <c:valAx>
        <c:axId val="342282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Рост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42280032"/>
        <c:crosses val="autoZero"/>
        <c:crossBetween val="midCat"/>
      </c:valAx>
      <c:valAx>
        <c:axId val="342280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Вес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422821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Зависимость</a:t>
            </a:r>
            <a:r>
              <a:rPr lang="ru-RU" baseline="0"/>
              <a:t> веса от роста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'13'!$B$5:$K$5</c:f>
              <c:numCache>
                <c:formatCode>General</c:formatCode>
                <c:ptCount val="10"/>
                <c:pt idx="0">
                  <c:v>159.53750000000002</c:v>
                </c:pt>
                <c:pt idx="1">
                  <c:v>162.31666666666666</c:v>
                </c:pt>
                <c:pt idx="2">
                  <c:v>164.25</c:v>
                </c:pt>
                <c:pt idx="3">
                  <c:v>165.91969696969699</c:v>
                </c:pt>
                <c:pt idx="4">
                  <c:v>168.98902439024394</c:v>
                </c:pt>
                <c:pt idx="5">
                  <c:v>171.27105263157895</c:v>
                </c:pt>
                <c:pt idx="6">
                  <c:v>174.01842105263162</c:v>
                </c:pt>
                <c:pt idx="7">
                  <c:v>176.81666666666669</c:v>
                </c:pt>
                <c:pt idx="8">
                  <c:v>179.23333333333338</c:v>
                </c:pt>
                <c:pt idx="9">
                  <c:v>184.55000000000007</c:v>
                </c:pt>
              </c:numCache>
            </c:numRef>
          </c:xVal>
          <c:yVal>
            <c:numRef>
              <c:f>'13'!$B$6:$K$6</c:f>
              <c:numCache>
                <c:formatCode>General</c:formatCode>
                <c:ptCount val="10"/>
                <c:pt idx="0">
                  <c:v>52.550000000000004</c:v>
                </c:pt>
                <c:pt idx="1">
                  <c:v>55.03</c:v>
                </c:pt>
                <c:pt idx="2">
                  <c:v>59.385897435897441</c:v>
                </c:pt>
                <c:pt idx="3">
                  <c:v>63.21764705882353</c:v>
                </c:pt>
                <c:pt idx="4">
                  <c:v>66.370833333333337</c:v>
                </c:pt>
                <c:pt idx="5">
                  <c:v>69.378571428571419</c:v>
                </c:pt>
                <c:pt idx="6">
                  <c:v>72.973529411764687</c:v>
                </c:pt>
                <c:pt idx="7">
                  <c:v>75.799999999999983</c:v>
                </c:pt>
                <c:pt idx="8">
                  <c:v>77.34999999999998</c:v>
                </c:pt>
                <c:pt idx="9">
                  <c:v>80.44999999999996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009-4862-ADA2-AF456042CEBB}"/>
            </c:ext>
          </c:extLst>
        </c:ser>
        <c:ser>
          <c:idx val="1"/>
          <c:order val="1"/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'13'!$A$9:$A$10</c:f>
              <c:numCache>
                <c:formatCode>General</c:formatCode>
                <c:ptCount val="2"/>
                <c:pt idx="0">
                  <c:v>150</c:v>
                </c:pt>
                <c:pt idx="1">
                  <c:v>200</c:v>
                </c:pt>
              </c:numCache>
            </c:numRef>
          </c:xVal>
          <c:yVal>
            <c:numRef>
              <c:f>'13'!$B$9:$B$10</c:f>
              <c:numCache>
                <c:formatCode>General</c:formatCode>
                <c:ptCount val="2"/>
                <c:pt idx="0">
                  <c:v>43.11000003655073</c:v>
                </c:pt>
                <c:pt idx="1">
                  <c:v>100.42550824230466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009-4862-ADA2-AF456042CE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73728335"/>
        <c:axId val="1273729999"/>
      </c:scatterChart>
      <c:valAx>
        <c:axId val="1273728335"/>
        <c:scaling>
          <c:orientation val="minMax"/>
          <c:max val="200"/>
          <c:min val="1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73729999"/>
        <c:crosses val="autoZero"/>
        <c:crossBetween val="midCat"/>
      </c:valAx>
      <c:valAx>
        <c:axId val="1273729999"/>
        <c:scaling>
          <c:orientation val="minMax"/>
          <c:max val="100"/>
          <c:min val="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737283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</xdr:row>
      <xdr:rowOff>0</xdr:rowOff>
    </xdr:from>
    <xdr:to>
      <xdr:col>17</xdr:col>
      <xdr:colOff>0</xdr:colOff>
      <xdr:row>17</xdr:row>
      <xdr:rowOff>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B1E5FB57-75C6-AB2B-6196-E03DCA27E7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18</xdr:row>
      <xdr:rowOff>0</xdr:rowOff>
    </xdr:from>
    <xdr:to>
      <xdr:col>17</xdr:col>
      <xdr:colOff>0</xdr:colOff>
      <xdr:row>34</xdr:row>
      <xdr:rowOff>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F312C734-F113-88B5-E791-E0BBBF3150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18</xdr:row>
      <xdr:rowOff>0</xdr:rowOff>
    </xdr:from>
    <xdr:to>
      <xdr:col>8</xdr:col>
      <xdr:colOff>0</xdr:colOff>
      <xdr:row>34</xdr:row>
      <xdr:rowOff>0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A1D12C63-4D53-9F2E-A81F-256419B151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9</xdr:col>
      <xdr:colOff>0</xdr:colOff>
      <xdr:row>17</xdr:row>
      <xdr:rowOff>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1876ECDD-F79C-C06E-4C11-7DF812411D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8</xdr:row>
      <xdr:rowOff>0</xdr:rowOff>
    </xdr:from>
    <xdr:to>
      <xdr:col>12</xdr:col>
      <xdr:colOff>0</xdr:colOff>
      <xdr:row>25</xdr:row>
      <xdr:rowOff>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6A6F8D0B-80D0-6DAD-F5B6-DF8BD56DDC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1"/>
  <sheetViews>
    <sheetView workbookViewId="0">
      <selection activeCell="F17" sqref="F17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3"/>
      <c r="E1" s="3"/>
      <c r="F1" s="3"/>
      <c r="G1" s="3"/>
      <c r="H1" s="3"/>
      <c r="I1" s="3"/>
      <c r="J1" s="3"/>
      <c r="K1" s="3"/>
      <c r="L1" s="3"/>
    </row>
    <row r="2" spans="1:12" x14ac:dyDescent="0.3">
      <c r="A2" s="2">
        <v>1</v>
      </c>
      <c r="B2" s="2">
        <v>160</v>
      </c>
      <c r="C2" s="2">
        <v>61</v>
      </c>
    </row>
    <row r="3" spans="1:12" x14ac:dyDescent="0.3">
      <c r="A3" s="2">
        <v>2</v>
      </c>
      <c r="B3" s="2">
        <v>178</v>
      </c>
      <c r="C3" s="2">
        <v>69</v>
      </c>
    </row>
    <row r="4" spans="1:12" x14ac:dyDescent="0.3">
      <c r="A4" s="2">
        <v>3</v>
      </c>
      <c r="B4" s="2">
        <v>170</v>
      </c>
      <c r="C4" s="2">
        <v>70</v>
      </c>
    </row>
    <row r="5" spans="1:12" x14ac:dyDescent="0.3">
      <c r="A5" s="2">
        <v>4</v>
      </c>
      <c r="B5" s="2">
        <v>168</v>
      </c>
      <c r="C5" s="2">
        <v>60</v>
      </c>
    </row>
    <row r="6" spans="1:12" x14ac:dyDescent="0.3">
      <c r="A6" s="2">
        <v>5</v>
      </c>
      <c r="B6" s="2">
        <v>173</v>
      </c>
      <c r="C6" s="2">
        <v>69</v>
      </c>
    </row>
    <row r="7" spans="1:12" x14ac:dyDescent="0.3">
      <c r="A7" s="2">
        <v>6</v>
      </c>
      <c r="B7" s="2">
        <v>176</v>
      </c>
      <c r="C7" s="2">
        <v>70</v>
      </c>
    </row>
    <row r="8" spans="1:12" x14ac:dyDescent="0.3">
      <c r="A8" s="2">
        <v>7</v>
      </c>
      <c r="B8" s="2">
        <v>170</v>
      </c>
      <c r="C8" s="2">
        <v>58</v>
      </c>
    </row>
    <row r="9" spans="1:12" x14ac:dyDescent="0.3">
      <c r="A9" s="2">
        <v>8</v>
      </c>
      <c r="B9" s="2">
        <v>163</v>
      </c>
      <c r="C9" s="2">
        <v>64</v>
      </c>
    </row>
    <row r="10" spans="1:12" x14ac:dyDescent="0.3">
      <c r="A10" s="2">
        <v>9</v>
      </c>
      <c r="B10" s="2">
        <v>165</v>
      </c>
      <c r="C10" s="2">
        <v>57</v>
      </c>
    </row>
    <row r="11" spans="1:12" x14ac:dyDescent="0.3">
      <c r="A11" s="2">
        <v>10</v>
      </c>
      <c r="B11" s="2">
        <v>165</v>
      </c>
      <c r="C11" s="2">
        <v>60</v>
      </c>
    </row>
    <row r="12" spans="1:12" x14ac:dyDescent="0.3">
      <c r="A12" s="2">
        <v>11</v>
      </c>
      <c r="B12" s="2">
        <v>170</v>
      </c>
      <c r="C12" s="2">
        <v>61</v>
      </c>
    </row>
    <row r="13" spans="1:12" x14ac:dyDescent="0.3">
      <c r="A13" s="2">
        <v>12</v>
      </c>
      <c r="B13" s="2">
        <v>166</v>
      </c>
      <c r="C13" s="2">
        <v>55</v>
      </c>
    </row>
    <row r="14" spans="1:12" x14ac:dyDescent="0.3">
      <c r="A14" s="2">
        <v>13</v>
      </c>
      <c r="B14" s="2">
        <v>165</v>
      </c>
      <c r="C14" s="2">
        <v>63</v>
      </c>
    </row>
    <row r="15" spans="1:12" x14ac:dyDescent="0.3">
      <c r="A15" s="2">
        <v>14</v>
      </c>
      <c r="B15" s="2">
        <v>181</v>
      </c>
      <c r="C15" s="2">
        <v>77</v>
      </c>
    </row>
    <row r="16" spans="1:12" x14ac:dyDescent="0.3">
      <c r="A16" s="2">
        <v>15</v>
      </c>
      <c r="B16" s="2">
        <v>172</v>
      </c>
      <c r="C16" s="2">
        <v>64</v>
      </c>
    </row>
    <row r="17" spans="1:3" x14ac:dyDescent="0.3">
      <c r="A17" s="2">
        <v>16</v>
      </c>
      <c r="B17" s="2">
        <v>165</v>
      </c>
      <c r="C17" s="2">
        <v>63</v>
      </c>
    </row>
    <row r="18" spans="1:3" x14ac:dyDescent="0.3">
      <c r="A18" s="2">
        <v>17</v>
      </c>
      <c r="B18" s="2">
        <v>172</v>
      </c>
      <c r="C18" s="2">
        <v>78</v>
      </c>
    </row>
    <row r="19" spans="1:3" x14ac:dyDescent="0.3">
      <c r="A19" s="2">
        <v>18</v>
      </c>
      <c r="B19" s="2">
        <v>178</v>
      </c>
      <c r="C19" s="2">
        <v>75</v>
      </c>
    </row>
    <row r="20" spans="1:3" x14ac:dyDescent="0.3">
      <c r="A20" s="2">
        <v>19</v>
      </c>
      <c r="B20" s="2">
        <v>169</v>
      </c>
      <c r="C20" s="2">
        <v>74</v>
      </c>
    </row>
    <row r="21" spans="1:3" x14ac:dyDescent="0.3">
      <c r="A21" s="2">
        <v>20</v>
      </c>
      <c r="B21" s="2">
        <v>165</v>
      </c>
      <c r="C21" s="2">
        <v>63</v>
      </c>
    </row>
    <row r="22" spans="1:3" x14ac:dyDescent="0.3">
      <c r="A22" s="2">
        <v>21</v>
      </c>
      <c r="B22" s="2">
        <v>174</v>
      </c>
      <c r="C22" s="2">
        <v>75</v>
      </c>
    </row>
    <row r="23" spans="1:3" x14ac:dyDescent="0.3">
      <c r="A23" s="2">
        <v>22</v>
      </c>
      <c r="B23" s="2">
        <v>159</v>
      </c>
      <c r="C23" s="2">
        <v>54</v>
      </c>
    </row>
    <row r="24" spans="1:3" x14ac:dyDescent="0.3">
      <c r="A24" s="2">
        <v>23</v>
      </c>
      <c r="B24" s="2">
        <v>171</v>
      </c>
      <c r="C24" s="2">
        <v>66</v>
      </c>
    </row>
    <row r="25" spans="1:3" x14ac:dyDescent="0.3">
      <c r="A25" s="2">
        <v>24</v>
      </c>
      <c r="B25" s="2">
        <v>169</v>
      </c>
      <c r="C25" s="2">
        <v>67</v>
      </c>
    </row>
    <row r="26" spans="1:3" x14ac:dyDescent="0.3">
      <c r="A26" s="2">
        <v>25</v>
      </c>
      <c r="B26" s="2">
        <v>176</v>
      </c>
      <c r="C26" s="2">
        <v>62</v>
      </c>
    </row>
    <row r="27" spans="1:3" x14ac:dyDescent="0.3">
      <c r="A27" s="2">
        <v>26</v>
      </c>
      <c r="B27" s="2">
        <v>170</v>
      </c>
      <c r="C27" s="2">
        <v>65</v>
      </c>
    </row>
    <row r="28" spans="1:3" x14ac:dyDescent="0.3">
      <c r="A28" s="2">
        <v>27</v>
      </c>
      <c r="B28" s="2">
        <v>170</v>
      </c>
      <c r="C28" s="2">
        <v>66</v>
      </c>
    </row>
    <row r="29" spans="1:3" x14ac:dyDescent="0.3">
      <c r="A29" s="2">
        <v>28</v>
      </c>
      <c r="B29" s="2">
        <v>165</v>
      </c>
      <c r="C29" s="2">
        <v>61</v>
      </c>
    </row>
    <row r="30" spans="1:3" x14ac:dyDescent="0.3">
      <c r="A30" s="2">
        <v>29</v>
      </c>
      <c r="B30" s="2">
        <v>162</v>
      </c>
      <c r="C30" s="2">
        <v>66</v>
      </c>
    </row>
    <row r="31" spans="1:3" x14ac:dyDescent="0.3">
      <c r="A31" s="2">
        <v>30</v>
      </c>
      <c r="B31" s="2">
        <v>175</v>
      </c>
      <c r="C31" s="2">
        <v>75</v>
      </c>
    </row>
    <row r="32" spans="1:3" x14ac:dyDescent="0.3">
      <c r="A32" s="2">
        <v>31</v>
      </c>
      <c r="B32" s="2">
        <v>157</v>
      </c>
      <c r="C32" s="2">
        <v>53</v>
      </c>
    </row>
    <row r="33" spans="1:3" x14ac:dyDescent="0.3">
      <c r="A33" s="2">
        <v>32</v>
      </c>
      <c r="B33" s="2">
        <v>161</v>
      </c>
      <c r="C33" s="2">
        <v>55</v>
      </c>
    </row>
    <row r="34" spans="1:3" x14ac:dyDescent="0.3">
      <c r="A34" s="2">
        <v>33</v>
      </c>
      <c r="B34" s="2">
        <v>172</v>
      </c>
      <c r="C34" s="2">
        <v>66</v>
      </c>
    </row>
    <row r="35" spans="1:3" x14ac:dyDescent="0.3">
      <c r="A35" s="2">
        <v>34</v>
      </c>
      <c r="B35" s="2">
        <v>159</v>
      </c>
      <c r="C35" s="2">
        <v>55</v>
      </c>
    </row>
    <row r="36" spans="1:3" x14ac:dyDescent="0.3">
      <c r="A36" s="2">
        <v>35</v>
      </c>
      <c r="B36" s="2">
        <v>162</v>
      </c>
      <c r="C36" s="2">
        <v>65</v>
      </c>
    </row>
    <row r="37" spans="1:3" x14ac:dyDescent="0.3">
      <c r="A37" s="2">
        <v>36</v>
      </c>
      <c r="B37" s="2">
        <v>167</v>
      </c>
      <c r="C37" s="2">
        <v>63</v>
      </c>
    </row>
    <row r="38" spans="1:3" x14ac:dyDescent="0.3">
      <c r="A38" s="2">
        <v>37</v>
      </c>
      <c r="B38" s="2">
        <v>159</v>
      </c>
      <c r="C38" s="2">
        <v>68</v>
      </c>
    </row>
    <row r="39" spans="1:3" x14ac:dyDescent="0.3">
      <c r="A39" s="2">
        <v>38</v>
      </c>
      <c r="B39" s="2">
        <v>160</v>
      </c>
      <c r="C39" s="2">
        <v>62</v>
      </c>
    </row>
    <row r="40" spans="1:3" x14ac:dyDescent="0.3">
      <c r="A40" s="2">
        <v>39</v>
      </c>
      <c r="B40" s="2">
        <v>175</v>
      </c>
      <c r="C40" s="2">
        <v>75</v>
      </c>
    </row>
    <row r="41" spans="1:3" x14ac:dyDescent="0.3">
      <c r="A41" s="2">
        <v>40</v>
      </c>
      <c r="B41" s="2">
        <v>163</v>
      </c>
      <c r="C41" s="2">
        <v>67</v>
      </c>
    </row>
    <row r="42" spans="1:3" x14ac:dyDescent="0.3">
      <c r="A42" s="2">
        <v>41</v>
      </c>
      <c r="B42" s="2">
        <v>169</v>
      </c>
      <c r="C42" s="2">
        <v>56</v>
      </c>
    </row>
    <row r="43" spans="1:3" x14ac:dyDescent="0.3">
      <c r="A43" s="2">
        <v>42</v>
      </c>
      <c r="B43" s="2">
        <v>180</v>
      </c>
      <c r="C43" s="2">
        <v>65</v>
      </c>
    </row>
    <row r="44" spans="1:3" x14ac:dyDescent="0.3">
      <c r="A44" s="2">
        <v>43</v>
      </c>
      <c r="B44" s="2">
        <v>165</v>
      </c>
      <c r="C44" s="2">
        <v>63</v>
      </c>
    </row>
    <row r="45" spans="1:3" x14ac:dyDescent="0.3">
      <c r="A45" s="2">
        <v>44</v>
      </c>
      <c r="B45" s="2">
        <v>168</v>
      </c>
      <c r="C45" s="2">
        <v>67</v>
      </c>
    </row>
    <row r="46" spans="1:3" x14ac:dyDescent="0.3">
      <c r="A46" s="2">
        <v>45</v>
      </c>
      <c r="B46" s="2">
        <v>169</v>
      </c>
      <c r="C46" s="2">
        <v>68</v>
      </c>
    </row>
    <row r="47" spans="1:3" x14ac:dyDescent="0.3">
      <c r="A47" s="2">
        <v>46</v>
      </c>
      <c r="B47" s="2">
        <v>170</v>
      </c>
      <c r="C47" s="2">
        <v>69</v>
      </c>
    </row>
    <row r="48" spans="1:3" x14ac:dyDescent="0.3">
      <c r="A48" s="2">
        <v>47</v>
      </c>
      <c r="B48" s="2">
        <v>163</v>
      </c>
      <c r="C48" s="2">
        <v>57</v>
      </c>
    </row>
    <row r="49" spans="1:3" x14ac:dyDescent="0.3">
      <c r="A49" s="2">
        <v>48</v>
      </c>
      <c r="B49" s="2">
        <v>178</v>
      </c>
      <c r="C49" s="2">
        <v>75</v>
      </c>
    </row>
    <row r="50" spans="1:3" x14ac:dyDescent="0.3">
      <c r="A50" s="2">
        <v>49</v>
      </c>
      <c r="B50" s="2">
        <v>162</v>
      </c>
      <c r="C50" s="2">
        <v>53</v>
      </c>
    </row>
    <row r="51" spans="1:3" x14ac:dyDescent="0.3">
      <c r="A51" s="2">
        <v>50</v>
      </c>
      <c r="B51" s="2">
        <v>178</v>
      </c>
      <c r="C51" s="2">
        <v>69</v>
      </c>
    </row>
    <row r="52" spans="1:3" x14ac:dyDescent="0.3">
      <c r="A52" s="2">
        <v>51</v>
      </c>
      <c r="B52" s="2">
        <v>165</v>
      </c>
      <c r="C52" s="2">
        <v>67</v>
      </c>
    </row>
    <row r="53" spans="1:3" x14ac:dyDescent="0.3">
      <c r="A53" s="2">
        <v>52</v>
      </c>
      <c r="B53" s="2">
        <v>162</v>
      </c>
      <c r="C53" s="2">
        <v>60</v>
      </c>
    </row>
    <row r="54" spans="1:3" x14ac:dyDescent="0.3">
      <c r="A54" s="2">
        <v>53</v>
      </c>
      <c r="B54" s="2">
        <v>171</v>
      </c>
      <c r="C54" s="2">
        <v>60</v>
      </c>
    </row>
    <row r="55" spans="1:3" x14ac:dyDescent="0.3">
      <c r="A55" s="2">
        <v>54</v>
      </c>
      <c r="B55" s="2">
        <v>172</v>
      </c>
      <c r="C55" s="2">
        <v>72</v>
      </c>
    </row>
    <row r="56" spans="1:3" x14ac:dyDescent="0.3">
      <c r="A56" s="2">
        <v>55</v>
      </c>
      <c r="B56" s="2">
        <v>171</v>
      </c>
      <c r="C56" s="2">
        <v>65</v>
      </c>
    </row>
    <row r="57" spans="1:3" x14ac:dyDescent="0.3">
      <c r="A57" s="2">
        <v>56</v>
      </c>
      <c r="B57" s="2">
        <v>166</v>
      </c>
      <c r="C57" s="2">
        <v>62</v>
      </c>
    </row>
    <row r="58" spans="1:3" x14ac:dyDescent="0.3">
      <c r="A58" s="2">
        <v>57</v>
      </c>
      <c r="B58" s="2">
        <v>164</v>
      </c>
      <c r="C58" s="2">
        <v>56</v>
      </c>
    </row>
    <row r="59" spans="1:3" x14ac:dyDescent="0.3">
      <c r="A59" s="2">
        <v>58</v>
      </c>
      <c r="B59" s="2">
        <v>164</v>
      </c>
      <c r="C59" s="2">
        <v>63</v>
      </c>
    </row>
    <row r="60" spans="1:3" x14ac:dyDescent="0.3">
      <c r="A60" s="2">
        <v>59</v>
      </c>
      <c r="B60" s="2">
        <v>169</v>
      </c>
      <c r="C60" s="2">
        <v>65</v>
      </c>
    </row>
    <row r="61" spans="1:3" x14ac:dyDescent="0.3">
      <c r="A61" s="2">
        <v>60</v>
      </c>
      <c r="B61" s="2">
        <v>169</v>
      </c>
      <c r="C61" s="2">
        <v>75</v>
      </c>
    </row>
    <row r="62" spans="1:3" x14ac:dyDescent="0.3">
      <c r="A62" s="2">
        <v>61</v>
      </c>
      <c r="B62" s="2">
        <v>163</v>
      </c>
      <c r="C62" s="2">
        <v>54</v>
      </c>
    </row>
    <row r="63" spans="1:3" x14ac:dyDescent="0.3">
      <c r="A63" s="2">
        <v>62</v>
      </c>
      <c r="B63" s="2">
        <v>173</v>
      </c>
      <c r="C63" s="2">
        <v>75</v>
      </c>
    </row>
    <row r="64" spans="1:3" x14ac:dyDescent="0.3">
      <c r="A64" s="2">
        <v>63</v>
      </c>
      <c r="B64" s="2">
        <v>176</v>
      </c>
      <c r="C64" s="2">
        <v>67</v>
      </c>
    </row>
    <row r="65" spans="1:3" x14ac:dyDescent="0.3">
      <c r="A65" s="2">
        <v>64</v>
      </c>
      <c r="B65" s="2">
        <v>168</v>
      </c>
      <c r="C65" s="2">
        <v>55</v>
      </c>
    </row>
    <row r="66" spans="1:3" x14ac:dyDescent="0.3">
      <c r="A66" s="2">
        <v>65</v>
      </c>
      <c r="B66" s="2">
        <v>169</v>
      </c>
      <c r="C66" s="2">
        <v>66</v>
      </c>
    </row>
    <row r="67" spans="1:3" x14ac:dyDescent="0.3">
      <c r="A67" s="2">
        <v>66</v>
      </c>
      <c r="B67" s="2">
        <v>168</v>
      </c>
      <c r="C67" s="2">
        <v>67</v>
      </c>
    </row>
    <row r="68" spans="1:3" x14ac:dyDescent="0.3">
      <c r="A68" s="2">
        <v>67</v>
      </c>
      <c r="B68" s="2">
        <v>166</v>
      </c>
      <c r="C68" s="2">
        <v>64</v>
      </c>
    </row>
    <row r="69" spans="1:3" x14ac:dyDescent="0.3">
      <c r="A69" s="2">
        <v>68</v>
      </c>
      <c r="B69" s="2">
        <v>178</v>
      </c>
      <c r="C69" s="2">
        <v>80</v>
      </c>
    </row>
    <row r="70" spans="1:3" x14ac:dyDescent="0.3">
      <c r="A70" s="2">
        <v>69</v>
      </c>
      <c r="B70" s="2">
        <v>165</v>
      </c>
      <c r="C70" s="2">
        <v>62</v>
      </c>
    </row>
    <row r="71" spans="1:3" x14ac:dyDescent="0.3">
      <c r="A71" s="2">
        <v>70</v>
      </c>
      <c r="B71" s="2">
        <v>164</v>
      </c>
      <c r="C71" s="2">
        <v>62</v>
      </c>
    </row>
    <row r="72" spans="1:3" x14ac:dyDescent="0.3">
      <c r="A72" s="2">
        <v>71</v>
      </c>
      <c r="B72" s="2">
        <v>161</v>
      </c>
      <c r="C72" s="2">
        <v>51</v>
      </c>
    </row>
    <row r="73" spans="1:3" x14ac:dyDescent="0.3">
      <c r="A73" s="2">
        <v>72</v>
      </c>
      <c r="B73" s="2">
        <v>170</v>
      </c>
      <c r="C73" s="2">
        <v>66</v>
      </c>
    </row>
    <row r="74" spans="1:3" x14ac:dyDescent="0.3">
      <c r="A74" s="2">
        <v>73</v>
      </c>
      <c r="B74" s="2">
        <v>164</v>
      </c>
      <c r="C74" s="2">
        <v>53</v>
      </c>
    </row>
    <row r="75" spans="1:3" x14ac:dyDescent="0.3">
      <c r="A75" s="2">
        <v>74</v>
      </c>
      <c r="B75" s="2">
        <v>171</v>
      </c>
      <c r="C75" s="2">
        <v>62</v>
      </c>
    </row>
    <row r="76" spans="1:3" x14ac:dyDescent="0.3">
      <c r="A76" s="2">
        <v>75</v>
      </c>
      <c r="B76" s="2">
        <v>171</v>
      </c>
      <c r="C76" s="2">
        <v>67</v>
      </c>
    </row>
    <row r="77" spans="1:3" x14ac:dyDescent="0.3">
      <c r="A77" s="2">
        <v>76</v>
      </c>
      <c r="B77" s="2">
        <v>163</v>
      </c>
      <c r="C77" s="2">
        <v>63</v>
      </c>
    </row>
    <row r="78" spans="1:3" x14ac:dyDescent="0.3">
      <c r="A78" s="2">
        <v>77</v>
      </c>
      <c r="B78" s="2">
        <v>167</v>
      </c>
      <c r="C78" s="2">
        <v>64</v>
      </c>
    </row>
    <row r="79" spans="1:3" x14ac:dyDescent="0.3">
      <c r="A79" s="2">
        <v>78</v>
      </c>
      <c r="B79" s="2">
        <v>165</v>
      </c>
      <c r="C79" s="2">
        <v>63</v>
      </c>
    </row>
    <row r="80" spans="1:3" x14ac:dyDescent="0.3">
      <c r="A80" s="2">
        <v>79</v>
      </c>
      <c r="B80" s="2">
        <v>175</v>
      </c>
      <c r="C80" s="2">
        <v>66</v>
      </c>
    </row>
    <row r="81" spans="1:3" x14ac:dyDescent="0.3">
      <c r="A81" s="2">
        <v>80</v>
      </c>
      <c r="B81" s="2">
        <v>171</v>
      </c>
      <c r="C81" s="2">
        <v>66</v>
      </c>
    </row>
    <row r="82" spans="1:3" x14ac:dyDescent="0.3">
      <c r="A82" s="2">
        <v>81</v>
      </c>
      <c r="B82" s="2">
        <v>174</v>
      </c>
      <c r="C82" s="2">
        <v>67</v>
      </c>
    </row>
    <row r="83" spans="1:3" x14ac:dyDescent="0.3">
      <c r="A83" s="2">
        <v>82</v>
      </c>
      <c r="B83" s="2">
        <v>164</v>
      </c>
      <c r="C83" s="2">
        <v>59</v>
      </c>
    </row>
    <row r="84" spans="1:3" x14ac:dyDescent="0.3">
      <c r="A84" s="2">
        <v>83</v>
      </c>
      <c r="B84" s="2">
        <v>166</v>
      </c>
      <c r="C84" s="2">
        <v>78</v>
      </c>
    </row>
    <row r="85" spans="1:3" x14ac:dyDescent="0.3">
      <c r="A85" s="2">
        <v>84</v>
      </c>
      <c r="B85" s="2">
        <v>161</v>
      </c>
      <c r="C85" s="2">
        <v>55</v>
      </c>
    </row>
    <row r="86" spans="1:3" x14ac:dyDescent="0.3">
      <c r="A86" s="2">
        <v>85</v>
      </c>
      <c r="B86" s="2">
        <v>169</v>
      </c>
      <c r="C86" s="2">
        <v>64</v>
      </c>
    </row>
    <row r="87" spans="1:3" x14ac:dyDescent="0.3">
      <c r="A87" s="2">
        <v>86</v>
      </c>
      <c r="B87" s="2">
        <v>163</v>
      </c>
      <c r="C87" s="2">
        <v>64</v>
      </c>
    </row>
    <row r="88" spans="1:3" x14ac:dyDescent="0.3">
      <c r="A88" s="2">
        <v>87</v>
      </c>
      <c r="B88" s="2">
        <v>168</v>
      </c>
      <c r="C88" s="2">
        <v>58</v>
      </c>
    </row>
    <row r="89" spans="1:3" x14ac:dyDescent="0.3">
      <c r="A89" s="2">
        <v>88</v>
      </c>
      <c r="B89" s="2">
        <v>166</v>
      </c>
      <c r="C89" s="2">
        <v>63</v>
      </c>
    </row>
    <row r="90" spans="1:3" x14ac:dyDescent="0.3">
      <c r="A90" s="2">
        <v>89</v>
      </c>
      <c r="B90" s="2">
        <v>172</v>
      </c>
      <c r="C90" s="2">
        <v>69</v>
      </c>
    </row>
    <row r="91" spans="1:3" x14ac:dyDescent="0.3">
      <c r="A91" s="2">
        <v>90</v>
      </c>
      <c r="B91" s="2">
        <v>165</v>
      </c>
      <c r="C91" s="2">
        <v>76</v>
      </c>
    </row>
    <row r="92" spans="1:3" x14ac:dyDescent="0.3">
      <c r="A92" s="2">
        <v>91</v>
      </c>
      <c r="B92" s="2">
        <v>166</v>
      </c>
      <c r="C92" s="2">
        <v>71</v>
      </c>
    </row>
    <row r="93" spans="1:3" x14ac:dyDescent="0.3">
      <c r="A93" s="2">
        <v>92</v>
      </c>
      <c r="B93" s="2">
        <v>171</v>
      </c>
      <c r="C93" s="2">
        <v>75</v>
      </c>
    </row>
    <row r="94" spans="1:3" x14ac:dyDescent="0.3">
      <c r="A94" s="2">
        <v>93</v>
      </c>
      <c r="B94" s="2">
        <v>161</v>
      </c>
      <c r="C94" s="2">
        <v>56</v>
      </c>
    </row>
    <row r="95" spans="1:3" x14ac:dyDescent="0.3">
      <c r="A95" s="2">
        <v>94</v>
      </c>
      <c r="B95" s="2">
        <v>163</v>
      </c>
      <c r="C95" s="2">
        <v>58</v>
      </c>
    </row>
    <row r="96" spans="1:3" x14ac:dyDescent="0.3">
      <c r="A96" s="2">
        <v>95</v>
      </c>
      <c r="B96" s="2">
        <v>165</v>
      </c>
      <c r="C96" s="2">
        <v>72</v>
      </c>
    </row>
    <row r="97" spans="1:3" x14ac:dyDescent="0.3">
      <c r="A97" s="2">
        <v>96</v>
      </c>
      <c r="B97" s="2">
        <v>172</v>
      </c>
      <c r="C97" s="2">
        <v>66</v>
      </c>
    </row>
    <row r="98" spans="1:3" x14ac:dyDescent="0.3">
      <c r="A98" s="2">
        <v>97</v>
      </c>
      <c r="B98" s="2">
        <v>167</v>
      </c>
      <c r="C98" s="2">
        <v>57</v>
      </c>
    </row>
    <row r="99" spans="1:3" x14ac:dyDescent="0.3">
      <c r="A99" s="2">
        <v>98</v>
      </c>
      <c r="B99" s="2">
        <v>168</v>
      </c>
      <c r="C99" s="2">
        <v>66</v>
      </c>
    </row>
    <row r="100" spans="1:3" x14ac:dyDescent="0.3">
      <c r="A100" s="2">
        <v>99</v>
      </c>
      <c r="B100" s="2">
        <v>157</v>
      </c>
      <c r="C100" s="2">
        <v>60</v>
      </c>
    </row>
    <row r="101" spans="1:3" x14ac:dyDescent="0.3">
      <c r="A101" s="2">
        <v>100</v>
      </c>
      <c r="B101" s="2">
        <v>169</v>
      </c>
      <c r="C101" s="2">
        <v>71</v>
      </c>
    </row>
    <row r="102" spans="1:3" x14ac:dyDescent="0.3">
      <c r="A102" s="2">
        <v>101</v>
      </c>
      <c r="B102" s="2">
        <v>164</v>
      </c>
      <c r="C102" s="2">
        <v>70</v>
      </c>
    </row>
    <row r="103" spans="1:3" x14ac:dyDescent="0.3">
      <c r="A103" s="2">
        <v>102</v>
      </c>
      <c r="B103" s="2">
        <v>176</v>
      </c>
      <c r="C103" s="2">
        <v>67</v>
      </c>
    </row>
    <row r="104" spans="1:3" x14ac:dyDescent="0.3">
      <c r="A104" s="2">
        <v>103</v>
      </c>
      <c r="B104" s="2">
        <v>163</v>
      </c>
      <c r="C104" s="2">
        <v>58</v>
      </c>
    </row>
    <row r="105" spans="1:3" x14ac:dyDescent="0.3">
      <c r="A105" s="2">
        <v>104</v>
      </c>
      <c r="B105" s="2">
        <v>164</v>
      </c>
      <c r="C105" s="2">
        <v>62</v>
      </c>
    </row>
    <row r="106" spans="1:3" x14ac:dyDescent="0.3">
      <c r="A106" s="2">
        <v>105</v>
      </c>
      <c r="B106" s="2">
        <v>170</v>
      </c>
      <c r="C106" s="2">
        <v>68</v>
      </c>
    </row>
    <row r="107" spans="1:3" x14ac:dyDescent="0.3">
      <c r="A107" s="2">
        <v>106</v>
      </c>
      <c r="B107" s="2">
        <v>177</v>
      </c>
      <c r="C107" s="2">
        <v>60</v>
      </c>
    </row>
    <row r="108" spans="1:3" x14ac:dyDescent="0.3">
      <c r="A108" s="2">
        <v>107</v>
      </c>
      <c r="B108" s="2">
        <v>180</v>
      </c>
      <c r="C108" s="2">
        <v>75</v>
      </c>
    </row>
    <row r="109" spans="1:3" x14ac:dyDescent="0.3">
      <c r="A109" s="2">
        <v>108</v>
      </c>
      <c r="B109" s="2">
        <v>175</v>
      </c>
      <c r="C109" s="2">
        <v>75</v>
      </c>
    </row>
    <row r="110" spans="1:3" x14ac:dyDescent="0.3">
      <c r="A110" s="2">
        <v>109</v>
      </c>
      <c r="B110" s="2">
        <v>168</v>
      </c>
      <c r="C110" s="2">
        <v>55</v>
      </c>
    </row>
    <row r="111" spans="1:3" x14ac:dyDescent="0.3">
      <c r="A111" s="2">
        <v>110</v>
      </c>
      <c r="B111" s="2">
        <v>175</v>
      </c>
      <c r="C111" s="2">
        <v>67</v>
      </c>
    </row>
    <row r="112" spans="1:3" x14ac:dyDescent="0.3">
      <c r="A112" s="2">
        <v>111</v>
      </c>
      <c r="B112" s="2">
        <v>171</v>
      </c>
      <c r="C112" s="2">
        <v>63</v>
      </c>
    </row>
    <row r="113" spans="1:3" x14ac:dyDescent="0.3">
      <c r="A113" s="2">
        <v>112</v>
      </c>
      <c r="B113" s="2">
        <v>170</v>
      </c>
      <c r="C113" s="2">
        <v>65</v>
      </c>
    </row>
    <row r="114" spans="1:3" x14ac:dyDescent="0.3">
      <c r="A114" s="2">
        <v>113</v>
      </c>
      <c r="B114" s="2">
        <v>168</v>
      </c>
      <c r="C114" s="2">
        <v>64</v>
      </c>
    </row>
    <row r="115" spans="1:3" x14ac:dyDescent="0.3">
      <c r="A115" s="2">
        <v>114</v>
      </c>
      <c r="B115" s="2">
        <v>160</v>
      </c>
      <c r="C115" s="2">
        <v>57</v>
      </c>
    </row>
    <row r="116" spans="1:3" x14ac:dyDescent="0.3">
      <c r="A116" s="2">
        <v>115</v>
      </c>
      <c r="B116" s="2">
        <v>171</v>
      </c>
      <c r="C116" s="2">
        <v>66</v>
      </c>
    </row>
    <row r="117" spans="1:3" x14ac:dyDescent="0.3">
      <c r="A117" s="2">
        <v>116</v>
      </c>
      <c r="B117" s="2">
        <v>180</v>
      </c>
      <c r="C117" s="2">
        <v>65</v>
      </c>
    </row>
    <row r="118" spans="1:3" x14ac:dyDescent="0.3">
      <c r="A118" s="2">
        <v>117</v>
      </c>
      <c r="B118" s="2">
        <v>165</v>
      </c>
      <c r="C118" s="2">
        <v>57</v>
      </c>
    </row>
    <row r="119" spans="1:3" x14ac:dyDescent="0.3">
      <c r="A119" s="2">
        <v>118</v>
      </c>
      <c r="B119" s="2">
        <v>176</v>
      </c>
      <c r="C119" s="2">
        <v>77</v>
      </c>
    </row>
    <row r="120" spans="1:3" x14ac:dyDescent="0.3">
      <c r="A120" s="2">
        <v>119</v>
      </c>
      <c r="B120" s="2">
        <v>167</v>
      </c>
      <c r="C120" s="2">
        <v>68</v>
      </c>
    </row>
    <row r="121" spans="1:3" x14ac:dyDescent="0.3">
      <c r="A121" s="2">
        <v>120</v>
      </c>
      <c r="B121" s="2">
        <v>163</v>
      </c>
      <c r="C121" s="2">
        <v>54</v>
      </c>
    </row>
    <row r="122" spans="1:3" x14ac:dyDescent="0.3">
      <c r="A122" s="2">
        <v>121</v>
      </c>
      <c r="B122" s="2">
        <v>170</v>
      </c>
      <c r="C122" s="2">
        <v>75</v>
      </c>
    </row>
    <row r="123" spans="1:3" x14ac:dyDescent="0.3">
      <c r="A123" s="2">
        <v>122</v>
      </c>
      <c r="B123" s="2">
        <v>174</v>
      </c>
      <c r="C123" s="2">
        <v>67</v>
      </c>
    </row>
    <row r="124" spans="1:3" x14ac:dyDescent="0.3">
      <c r="A124" s="2">
        <v>123</v>
      </c>
      <c r="B124" s="2">
        <v>167</v>
      </c>
      <c r="C124" s="2">
        <v>65</v>
      </c>
    </row>
    <row r="125" spans="1:3" x14ac:dyDescent="0.3">
      <c r="A125" s="2">
        <v>124</v>
      </c>
      <c r="B125" s="2">
        <v>172</v>
      </c>
      <c r="C125" s="2">
        <v>73</v>
      </c>
    </row>
    <row r="126" spans="1:3" x14ac:dyDescent="0.3">
      <c r="A126" s="2">
        <v>125</v>
      </c>
      <c r="B126" s="2">
        <v>173</v>
      </c>
      <c r="C126" s="2">
        <v>69</v>
      </c>
    </row>
    <row r="127" spans="1:3" x14ac:dyDescent="0.3">
      <c r="A127" s="2">
        <v>126</v>
      </c>
      <c r="B127" s="2">
        <v>164</v>
      </c>
      <c r="C127" s="2">
        <v>65</v>
      </c>
    </row>
    <row r="128" spans="1:3" x14ac:dyDescent="0.3">
      <c r="A128" s="2">
        <v>127</v>
      </c>
      <c r="B128" s="2">
        <v>170</v>
      </c>
      <c r="C128" s="2">
        <v>58</v>
      </c>
    </row>
    <row r="129" spans="1:3" x14ac:dyDescent="0.3">
      <c r="A129" s="2">
        <v>128</v>
      </c>
      <c r="B129" s="2">
        <v>168</v>
      </c>
      <c r="C129" s="2">
        <v>58</v>
      </c>
    </row>
    <row r="130" spans="1:3" x14ac:dyDescent="0.3">
      <c r="A130" s="2">
        <v>129</v>
      </c>
      <c r="B130" s="2">
        <v>176</v>
      </c>
      <c r="C130" s="2">
        <v>67</v>
      </c>
    </row>
    <row r="131" spans="1:3" x14ac:dyDescent="0.3">
      <c r="A131" s="2">
        <v>130</v>
      </c>
      <c r="B131" s="2">
        <v>168</v>
      </c>
      <c r="C131" s="2">
        <v>60</v>
      </c>
    </row>
    <row r="132" spans="1:3" x14ac:dyDescent="0.3">
      <c r="A132" s="2">
        <v>131</v>
      </c>
      <c r="B132" s="2">
        <v>179</v>
      </c>
      <c r="C132" s="2">
        <v>71</v>
      </c>
    </row>
    <row r="133" spans="1:3" x14ac:dyDescent="0.3">
      <c r="A133" s="2">
        <v>132</v>
      </c>
      <c r="B133" s="2">
        <v>168</v>
      </c>
      <c r="C133" s="2">
        <v>67</v>
      </c>
    </row>
    <row r="134" spans="1:3" x14ac:dyDescent="0.3">
      <c r="A134" s="2">
        <v>133</v>
      </c>
      <c r="B134" s="2">
        <v>176</v>
      </c>
      <c r="C134" s="2">
        <v>65</v>
      </c>
    </row>
    <row r="135" spans="1:3" x14ac:dyDescent="0.3">
      <c r="A135" s="2">
        <v>134</v>
      </c>
      <c r="B135" s="2">
        <v>184</v>
      </c>
      <c r="C135" s="2">
        <v>68</v>
      </c>
    </row>
    <row r="136" spans="1:3" x14ac:dyDescent="0.3">
      <c r="A136" s="2">
        <v>135</v>
      </c>
      <c r="B136" s="2">
        <v>165</v>
      </c>
      <c r="C136" s="2">
        <v>60</v>
      </c>
    </row>
    <row r="137" spans="1:3" x14ac:dyDescent="0.3">
      <c r="A137" s="2">
        <v>136</v>
      </c>
      <c r="B137" s="2">
        <v>176</v>
      </c>
      <c r="C137" s="2">
        <v>72</v>
      </c>
    </row>
    <row r="138" spans="1:3" x14ac:dyDescent="0.3">
      <c r="A138" s="2">
        <v>137</v>
      </c>
      <c r="B138" s="2">
        <v>163</v>
      </c>
      <c r="C138" s="2">
        <v>65</v>
      </c>
    </row>
    <row r="139" spans="1:3" x14ac:dyDescent="0.3">
      <c r="A139" s="2">
        <v>138</v>
      </c>
      <c r="B139" s="2">
        <v>167</v>
      </c>
      <c r="C139" s="2">
        <v>60</v>
      </c>
    </row>
    <row r="140" spans="1:3" x14ac:dyDescent="0.3">
      <c r="A140" s="2">
        <v>139</v>
      </c>
      <c r="B140" s="2">
        <v>160</v>
      </c>
      <c r="C140" s="2">
        <v>57</v>
      </c>
    </row>
    <row r="141" spans="1:3" x14ac:dyDescent="0.3">
      <c r="A141" s="2">
        <v>140</v>
      </c>
      <c r="B141" s="2">
        <v>186</v>
      </c>
      <c r="C141" s="2">
        <v>72</v>
      </c>
    </row>
    <row r="142" spans="1:3" x14ac:dyDescent="0.3">
      <c r="A142" s="2">
        <v>141</v>
      </c>
      <c r="B142" s="2">
        <v>172</v>
      </c>
      <c r="C142" s="2">
        <v>67</v>
      </c>
    </row>
    <row r="143" spans="1:3" x14ac:dyDescent="0.3">
      <c r="A143" s="2">
        <v>142</v>
      </c>
      <c r="B143" s="2">
        <v>166</v>
      </c>
      <c r="C143" s="2">
        <v>62</v>
      </c>
    </row>
    <row r="144" spans="1:3" x14ac:dyDescent="0.3">
      <c r="A144" s="2">
        <v>143</v>
      </c>
      <c r="B144" s="2">
        <v>170</v>
      </c>
      <c r="C144" s="2">
        <v>61</v>
      </c>
    </row>
    <row r="145" spans="1:3" x14ac:dyDescent="0.3">
      <c r="A145" s="2">
        <v>144</v>
      </c>
      <c r="B145" s="2">
        <v>173</v>
      </c>
      <c r="C145" s="2">
        <v>72</v>
      </c>
    </row>
    <row r="146" spans="1:3" x14ac:dyDescent="0.3">
      <c r="A146" s="2">
        <v>145</v>
      </c>
      <c r="B146" s="2">
        <v>166</v>
      </c>
      <c r="C146" s="2">
        <v>67</v>
      </c>
    </row>
    <row r="147" spans="1:3" x14ac:dyDescent="0.3">
      <c r="A147" s="2">
        <v>146</v>
      </c>
      <c r="B147" s="2">
        <v>171</v>
      </c>
      <c r="C147" s="2">
        <v>59</v>
      </c>
    </row>
    <row r="148" spans="1:3" x14ac:dyDescent="0.3">
      <c r="A148" s="2">
        <v>147</v>
      </c>
      <c r="B148" s="2">
        <v>169</v>
      </c>
      <c r="C148" s="2">
        <v>67</v>
      </c>
    </row>
    <row r="149" spans="1:3" x14ac:dyDescent="0.3">
      <c r="A149" s="2">
        <v>148</v>
      </c>
      <c r="B149" s="2">
        <v>162</v>
      </c>
      <c r="C149" s="2">
        <v>66</v>
      </c>
    </row>
    <row r="150" spans="1:3" x14ac:dyDescent="0.3">
      <c r="A150" s="2">
        <v>149</v>
      </c>
      <c r="B150" s="2">
        <v>185</v>
      </c>
      <c r="C150" s="2">
        <v>82</v>
      </c>
    </row>
    <row r="151" spans="1:3" x14ac:dyDescent="0.3">
      <c r="A151" s="2">
        <v>150</v>
      </c>
      <c r="B151" s="2">
        <v>178</v>
      </c>
      <c r="C151" s="2">
        <v>71</v>
      </c>
    </row>
    <row r="152" spans="1:3" x14ac:dyDescent="0.3">
      <c r="A152" s="2">
        <v>151</v>
      </c>
      <c r="B152" s="2">
        <v>165</v>
      </c>
      <c r="C152" s="2">
        <v>60</v>
      </c>
    </row>
    <row r="153" spans="1:3" x14ac:dyDescent="0.3">
      <c r="A153" s="2">
        <v>152</v>
      </c>
      <c r="B153" s="2">
        <v>163</v>
      </c>
      <c r="C153" s="2">
        <v>63</v>
      </c>
    </row>
    <row r="154" spans="1:3" x14ac:dyDescent="0.3">
      <c r="A154" s="2">
        <v>153</v>
      </c>
      <c r="B154" s="2">
        <v>171</v>
      </c>
      <c r="C154" s="2">
        <v>57</v>
      </c>
    </row>
    <row r="155" spans="1:3" x14ac:dyDescent="0.3">
      <c r="A155" s="2">
        <v>154</v>
      </c>
      <c r="B155" s="2">
        <v>172</v>
      </c>
      <c r="C155" s="2">
        <v>67</v>
      </c>
    </row>
    <row r="156" spans="1:3" x14ac:dyDescent="0.3">
      <c r="A156" s="2">
        <v>155</v>
      </c>
      <c r="B156" s="2">
        <v>175</v>
      </c>
      <c r="C156" s="2">
        <v>67</v>
      </c>
    </row>
    <row r="157" spans="1:3" x14ac:dyDescent="0.3">
      <c r="A157" s="2">
        <v>156</v>
      </c>
      <c r="B157" s="2">
        <v>172</v>
      </c>
      <c r="C157" s="2">
        <v>70</v>
      </c>
    </row>
    <row r="158" spans="1:3" x14ac:dyDescent="0.3">
      <c r="A158" s="2">
        <v>157</v>
      </c>
      <c r="B158" s="2">
        <v>162</v>
      </c>
      <c r="C158" s="2">
        <v>54</v>
      </c>
    </row>
    <row r="159" spans="1:3" x14ac:dyDescent="0.3">
      <c r="A159" s="2">
        <v>158</v>
      </c>
      <c r="B159" s="2">
        <v>163</v>
      </c>
      <c r="C159" s="2">
        <v>60</v>
      </c>
    </row>
    <row r="160" spans="1:3" x14ac:dyDescent="0.3">
      <c r="A160" s="2">
        <v>159</v>
      </c>
      <c r="B160" s="2">
        <v>173</v>
      </c>
      <c r="C160" s="2">
        <v>66</v>
      </c>
    </row>
    <row r="161" spans="1:3" x14ac:dyDescent="0.3">
      <c r="A161" s="2">
        <v>160</v>
      </c>
      <c r="B161" s="2">
        <v>174</v>
      </c>
      <c r="C161" s="2">
        <v>79</v>
      </c>
    </row>
    <row r="162" spans="1:3" x14ac:dyDescent="0.3">
      <c r="A162" s="2">
        <v>161</v>
      </c>
      <c r="B162" s="2">
        <v>164</v>
      </c>
      <c r="C162" s="2">
        <v>61</v>
      </c>
    </row>
    <row r="163" spans="1:3" x14ac:dyDescent="0.3">
      <c r="A163" s="2">
        <v>162</v>
      </c>
      <c r="B163" s="2">
        <v>176</v>
      </c>
      <c r="C163" s="2">
        <v>71</v>
      </c>
    </row>
    <row r="164" spans="1:3" x14ac:dyDescent="0.3">
      <c r="A164" s="2">
        <v>163</v>
      </c>
      <c r="B164" s="2">
        <v>171</v>
      </c>
      <c r="C164" s="2">
        <v>66</v>
      </c>
    </row>
    <row r="165" spans="1:3" x14ac:dyDescent="0.3">
      <c r="A165" s="2">
        <v>164</v>
      </c>
      <c r="B165" s="2">
        <v>173</v>
      </c>
      <c r="C165" s="2">
        <v>69</v>
      </c>
    </row>
    <row r="166" spans="1:3" x14ac:dyDescent="0.3">
      <c r="A166" s="2">
        <v>165</v>
      </c>
      <c r="B166" s="2">
        <v>169</v>
      </c>
      <c r="C166" s="2">
        <v>68</v>
      </c>
    </row>
    <row r="167" spans="1:3" x14ac:dyDescent="0.3">
      <c r="A167" s="2">
        <v>166</v>
      </c>
      <c r="B167" s="2">
        <v>166</v>
      </c>
      <c r="C167" s="2">
        <v>61</v>
      </c>
    </row>
    <row r="168" spans="1:3" x14ac:dyDescent="0.3">
      <c r="A168" s="2">
        <v>167</v>
      </c>
      <c r="B168" s="2">
        <v>173</v>
      </c>
      <c r="C168" s="2">
        <v>69</v>
      </c>
    </row>
    <row r="169" spans="1:3" x14ac:dyDescent="0.3">
      <c r="A169" s="2">
        <v>168</v>
      </c>
      <c r="B169" s="2">
        <v>172</v>
      </c>
      <c r="C169" s="2">
        <v>74</v>
      </c>
    </row>
    <row r="170" spans="1:3" x14ac:dyDescent="0.3">
      <c r="A170" s="2">
        <v>169</v>
      </c>
      <c r="B170" s="2">
        <v>173</v>
      </c>
      <c r="C170" s="2">
        <v>69</v>
      </c>
    </row>
    <row r="171" spans="1:3" x14ac:dyDescent="0.3">
      <c r="A171" s="2">
        <v>170</v>
      </c>
      <c r="B171" s="2">
        <v>161</v>
      </c>
      <c r="C171" s="2">
        <v>55</v>
      </c>
    </row>
    <row r="172" spans="1:3" x14ac:dyDescent="0.3">
      <c r="A172" s="2">
        <v>171</v>
      </c>
      <c r="B172" s="2">
        <v>169</v>
      </c>
      <c r="C172" s="2">
        <v>61</v>
      </c>
    </row>
    <row r="173" spans="1:3" x14ac:dyDescent="0.3">
      <c r="A173" s="2">
        <v>172</v>
      </c>
      <c r="B173" s="2">
        <v>172</v>
      </c>
      <c r="C173" s="2">
        <v>63</v>
      </c>
    </row>
    <row r="174" spans="1:3" x14ac:dyDescent="0.3">
      <c r="A174" s="2">
        <v>173</v>
      </c>
      <c r="B174" s="2">
        <v>168</v>
      </c>
      <c r="C174" s="2">
        <v>70</v>
      </c>
    </row>
    <row r="175" spans="1:3" x14ac:dyDescent="0.3">
      <c r="A175" s="2">
        <v>174</v>
      </c>
      <c r="B175" s="2">
        <v>171</v>
      </c>
      <c r="C175" s="2">
        <v>66</v>
      </c>
    </row>
    <row r="176" spans="1:3" x14ac:dyDescent="0.3">
      <c r="A176" s="2">
        <v>175</v>
      </c>
      <c r="B176" s="2">
        <v>173</v>
      </c>
      <c r="C176" s="2">
        <v>65</v>
      </c>
    </row>
    <row r="177" spans="1:3" x14ac:dyDescent="0.3">
      <c r="A177" s="2">
        <v>176</v>
      </c>
      <c r="B177" s="2">
        <v>170</v>
      </c>
      <c r="C177" s="2">
        <v>61</v>
      </c>
    </row>
    <row r="178" spans="1:3" x14ac:dyDescent="0.3">
      <c r="A178" s="2">
        <v>177</v>
      </c>
      <c r="B178" s="2">
        <v>163</v>
      </c>
      <c r="C178" s="2">
        <v>65</v>
      </c>
    </row>
    <row r="179" spans="1:3" x14ac:dyDescent="0.3">
      <c r="A179" s="2">
        <v>178</v>
      </c>
      <c r="B179" s="2">
        <v>167</v>
      </c>
      <c r="C179" s="2">
        <v>55</v>
      </c>
    </row>
    <row r="180" spans="1:3" x14ac:dyDescent="0.3">
      <c r="A180" s="2">
        <v>179</v>
      </c>
      <c r="B180" s="2">
        <v>171</v>
      </c>
      <c r="C180" s="2">
        <v>70</v>
      </c>
    </row>
    <row r="181" spans="1:3" x14ac:dyDescent="0.3">
      <c r="A181" s="2">
        <v>180</v>
      </c>
      <c r="B181" s="2">
        <v>169</v>
      </c>
      <c r="C181" s="2">
        <v>70</v>
      </c>
    </row>
    <row r="182" spans="1:3" x14ac:dyDescent="0.3">
      <c r="A182" s="2">
        <v>181</v>
      </c>
      <c r="B182" s="2">
        <v>170</v>
      </c>
      <c r="C182" s="2">
        <v>63</v>
      </c>
    </row>
    <row r="183" spans="1:3" x14ac:dyDescent="0.3">
      <c r="A183" s="2">
        <v>182</v>
      </c>
      <c r="B183" s="2">
        <v>166</v>
      </c>
      <c r="C183" s="2">
        <v>63</v>
      </c>
    </row>
    <row r="184" spans="1:3" x14ac:dyDescent="0.3">
      <c r="A184" s="2">
        <v>183</v>
      </c>
      <c r="B184" s="2">
        <v>172</v>
      </c>
      <c r="C184" s="2">
        <v>65</v>
      </c>
    </row>
    <row r="185" spans="1:3" x14ac:dyDescent="0.3">
      <c r="A185" s="2">
        <v>184</v>
      </c>
      <c r="B185" s="2">
        <v>171</v>
      </c>
      <c r="C185" s="2">
        <v>64</v>
      </c>
    </row>
    <row r="186" spans="1:3" x14ac:dyDescent="0.3">
      <c r="A186" s="2">
        <v>185</v>
      </c>
      <c r="B186" s="2">
        <v>166</v>
      </c>
      <c r="C186" s="2">
        <v>78</v>
      </c>
    </row>
    <row r="187" spans="1:3" x14ac:dyDescent="0.3">
      <c r="A187" s="2">
        <v>186</v>
      </c>
      <c r="B187" s="2">
        <v>177</v>
      </c>
      <c r="C187" s="2">
        <v>72</v>
      </c>
    </row>
    <row r="188" spans="1:3" x14ac:dyDescent="0.3">
      <c r="A188" s="2">
        <v>187</v>
      </c>
      <c r="B188" s="2">
        <v>171</v>
      </c>
      <c r="C188" s="2">
        <v>66</v>
      </c>
    </row>
    <row r="189" spans="1:3" x14ac:dyDescent="0.3">
      <c r="A189" s="2">
        <v>188</v>
      </c>
      <c r="B189" s="2">
        <v>164</v>
      </c>
      <c r="C189" s="2">
        <v>62</v>
      </c>
    </row>
    <row r="190" spans="1:3" x14ac:dyDescent="0.3">
      <c r="A190" s="2">
        <v>189</v>
      </c>
      <c r="B190" s="2">
        <v>169</v>
      </c>
      <c r="C190" s="2">
        <v>66</v>
      </c>
    </row>
    <row r="191" spans="1:3" x14ac:dyDescent="0.3">
      <c r="A191" s="2">
        <v>190</v>
      </c>
      <c r="B191" s="2">
        <v>167</v>
      </c>
      <c r="C191" s="2">
        <v>67</v>
      </c>
    </row>
    <row r="192" spans="1:3" x14ac:dyDescent="0.3">
      <c r="A192" s="2">
        <v>191</v>
      </c>
      <c r="B192" s="2">
        <v>168</v>
      </c>
      <c r="C192" s="2">
        <v>67</v>
      </c>
    </row>
    <row r="193" spans="1:3" x14ac:dyDescent="0.3">
      <c r="A193" s="2">
        <v>192</v>
      </c>
      <c r="B193" s="2">
        <v>169</v>
      </c>
      <c r="C193" s="2">
        <v>66</v>
      </c>
    </row>
    <row r="194" spans="1:3" x14ac:dyDescent="0.3">
      <c r="A194" s="2">
        <v>193</v>
      </c>
      <c r="B194" s="2">
        <v>165</v>
      </c>
      <c r="C194" s="2">
        <v>63</v>
      </c>
    </row>
    <row r="195" spans="1:3" x14ac:dyDescent="0.3">
      <c r="A195" s="2">
        <v>194</v>
      </c>
      <c r="B195" s="2">
        <v>174</v>
      </c>
      <c r="C195" s="2">
        <v>74</v>
      </c>
    </row>
    <row r="196" spans="1:3" x14ac:dyDescent="0.3">
      <c r="A196" s="2">
        <v>195</v>
      </c>
      <c r="B196" s="2">
        <v>171</v>
      </c>
      <c r="C196" s="2">
        <v>69</v>
      </c>
    </row>
    <row r="197" spans="1:3" x14ac:dyDescent="0.3">
      <c r="A197" s="2">
        <v>196</v>
      </c>
      <c r="B197" s="2">
        <v>168</v>
      </c>
      <c r="C197" s="2">
        <v>70</v>
      </c>
    </row>
    <row r="198" spans="1:3" x14ac:dyDescent="0.3">
      <c r="A198" s="2">
        <v>197</v>
      </c>
      <c r="B198" s="2">
        <v>171</v>
      </c>
      <c r="C198" s="2">
        <v>65</v>
      </c>
    </row>
    <row r="199" spans="1:3" x14ac:dyDescent="0.3">
      <c r="A199" s="2">
        <v>198</v>
      </c>
      <c r="B199" s="2">
        <v>171</v>
      </c>
      <c r="C199" s="2">
        <v>69</v>
      </c>
    </row>
    <row r="200" spans="1:3" x14ac:dyDescent="0.3">
      <c r="A200" s="2">
        <v>199</v>
      </c>
      <c r="B200" s="2">
        <v>172</v>
      </c>
      <c r="C200" s="2">
        <v>69</v>
      </c>
    </row>
    <row r="201" spans="1:3" x14ac:dyDescent="0.3">
      <c r="A201" s="2">
        <v>200</v>
      </c>
      <c r="B201" s="2">
        <v>167</v>
      </c>
      <c r="C201" s="2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7F54D-B17F-4193-A4FA-7903ECA360F5}">
  <dimension ref="A1:G201"/>
  <sheetViews>
    <sheetView workbookViewId="0">
      <selection activeCell="K8" sqref="K8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E1" s="1" t="s">
        <v>0</v>
      </c>
      <c r="F1" s="1" t="s">
        <v>1</v>
      </c>
      <c r="G1" s="1" t="s">
        <v>2</v>
      </c>
    </row>
    <row r="2" spans="1:7" x14ac:dyDescent="0.3">
      <c r="A2" s="2">
        <v>31</v>
      </c>
      <c r="B2" s="2">
        <v>157</v>
      </c>
      <c r="C2" s="2">
        <v>53</v>
      </c>
      <c r="E2" s="2">
        <v>71</v>
      </c>
      <c r="F2" s="2">
        <v>161</v>
      </c>
      <c r="G2" s="2">
        <v>51</v>
      </c>
    </row>
    <row r="3" spans="1:7" ht="14.4" customHeight="1" x14ac:dyDescent="0.3">
      <c r="A3" s="2">
        <v>99</v>
      </c>
      <c r="B3" s="2">
        <v>157</v>
      </c>
      <c r="C3" s="2">
        <v>60</v>
      </c>
      <c r="E3" s="2">
        <v>31</v>
      </c>
      <c r="F3" s="2">
        <v>157</v>
      </c>
      <c r="G3" s="2">
        <v>53</v>
      </c>
    </row>
    <row r="4" spans="1:7" x14ac:dyDescent="0.3">
      <c r="A4" s="2">
        <v>22</v>
      </c>
      <c r="B4" s="2">
        <v>159</v>
      </c>
      <c r="C4" s="2">
        <v>54</v>
      </c>
      <c r="E4" s="2">
        <v>49</v>
      </c>
      <c r="F4" s="2">
        <v>162</v>
      </c>
      <c r="G4" s="2">
        <v>53</v>
      </c>
    </row>
    <row r="5" spans="1:7" x14ac:dyDescent="0.3">
      <c r="A5" s="2">
        <v>34</v>
      </c>
      <c r="B5" s="2">
        <v>159</v>
      </c>
      <c r="C5" s="2">
        <v>55</v>
      </c>
      <c r="E5" s="2">
        <v>73</v>
      </c>
      <c r="F5" s="2">
        <v>164</v>
      </c>
      <c r="G5" s="2">
        <v>53</v>
      </c>
    </row>
    <row r="6" spans="1:7" x14ac:dyDescent="0.3">
      <c r="A6" s="2">
        <v>37</v>
      </c>
      <c r="B6" s="2">
        <v>159</v>
      </c>
      <c r="C6" s="2">
        <v>68</v>
      </c>
      <c r="E6" s="2">
        <v>22</v>
      </c>
      <c r="F6" s="2">
        <v>159</v>
      </c>
      <c r="G6" s="2">
        <v>54</v>
      </c>
    </row>
    <row r="7" spans="1:7" x14ac:dyDescent="0.3">
      <c r="A7" s="2">
        <v>1</v>
      </c>
      <c r="B7" s="2">
        <v>160</v>
      </c>
      <c r="C7" s="2">
        <v>61</v>
      </c>
      <c r="E7" s="2">
        <v>157</v>
      </c>
      <c r="F7" s="2">
        <v>162</v>
      </c>
      <c r="G7" s="2">
        <v>54</v>
      </c>
    </row>
    <row r="8" spans="1:7" x14ac:dyDescent="0.3">
      <c r="A8" s="2">
        <v>38</v>
      </c>
      <c r="B8" s="2">
        <v>160</v>
      </c>
      <c r="C8" s="2">
        <v>62</v>
      </c>
      <c r="E8" s="2">
        <v>61</v>
      </c>
      <c r="F8" s="2">
        <v>163</v>
      </c>
      <c r="G8" s="2">
        <v>54</v>
      </c>
    </row>
    <row r="9" spans="1:7" x14ac:dyDescent="0.3">
      <c r="A9" s="2">
        <v>114</v>
      </c>
      <c r="B9" s="2">
        <v>160</v>
      </c>
      <c r="C9" s="2">
        <v>57</v>
      </c>
      <c r="E9" s="2">
        <v>120</v>
      </c>
      <c r="F9" s="2">
        <v>163</v>
      </c>
      <c r="G9" s="2">
        <v>54</v>
      </c>
    </row>
    <row r="10" spans="1:7" x14ac:dyDescent="0.3">
      <c r="A10" s="2">
        <v>139</v>
      </c>
      <c r="B10" s="2">
        <v>160</v>
      </c>
      <c r="C10" s="2">
        <v>57</v>
      </c>
      <c r="E10" s="2">
        <v>34</v>
      </c>
      <c r="F10" s="2">
        <v>159</v>
      </c>
      <c r="G10" s="2">
        <v>55</v>
      </c>
    </row>
    <row r="11" spans="1:7" x14ac:dyDescent="0.3">
      <c r="A11" s="2">
        <v>32</v>
      </c>
      <c r="B11" s="2">
        <v>161</v>
      </c>
      <c r="C11" s="2">
        <v>55</v>
      </c>
      <c r="E11" s="2">
        <v>32</v>
      </c>
      <c r="F11" s="2">
        <v>161</v>
      </c>
      <c r="G11" s="2">
        <v>55</v>
      </c>
    </row>
    <row r="12" spans="1:7" x14ac:dyDescent="0.3">
      <c r="A12" s="2">
        <v>71</v>
      </c>
      <c r="B12" s="2">
        <v>161</v>
      </c>
      <c r="C12" s="2">
        <v>51</v>
      </c>
      <c r="E12" s="2">
        <v>84</v>
      </c>
      <c r="F12" s="2">
        <v>161</v>
      </c>
      <c r="G12" s="2">
        <v>55</v>
      </c>
    </row>
    <row r="13" spans="1:7" x14ac:dyDescent="0.3">
      <c r="A13" s="2">
        <v>84</v>
      </c>
      <c r="B13" s="2">
        <v>161</v>
      </c>
      <c r="C13" s="2">
        <v>55</v>
      </c>
      <c r="E13" s="2">
        <v>170</v>
      </c>
      <c r="F13" s="2">
        <v>161</v>
      </c>
      <c r="G13" s="2">
        <v>55</v>
      </c>
    </row>
    <row r="14" spans="1:7" x14ac:dyDescent="0.3">
      <c r="A14" s="2">
        <v>93</v>
      </c>
      <c r="B14" s="2">
        <v>161</v>
      </c>
      <c r="C14" s="2">
        <v>56</v>
      </c>
      <c r="E14" s="2">
        <v>12</v>
      </c>
      <c r="F14" s="2">
        <v>166</v>
      </c>
      <c r="G14" s="2">
        <v>55</v>
      </c>
    </row>
    <row r="15" spans="1:7" x14ac:dyDescent="0.3">
      <c r="A15" s="2">
        <v>170</v>
      </c>
      <c r="B15" s="2">
        <v>161</v>
      </c>
      <c r="C15" s="2">
        <v>55</v>
      </c>
      <c r="E15" s="2">
        <v>178</v>
      </c>
      <c r="F15" s="2">
        <v>167</v>
      </c>
      <c r="G15" s="2">
        <v>55</v>
      </c>
    </row>
    <row r="16" spans="1:7" x14ac:dyDescent="0.3">
      <c r="A16" s="2">
        <v>29</v>
      </c>
      <c r="B16" s="2">
        <v>162</v>
      </c>
      <c r="C16" s="2">
        <v>66</v>
      </c>
      <c r="E16" s="2">
        <v>64</v>
      </c>
      <c r="F16" s="2">
        <v>168</v>
      </c>
      <c r="G16" s="2">
        <v>55</v>
      </c>
    </row>
    <row r="17" spans="1:7" x14ac:dyDescent="0.3">
      <c r="A17" s="2">
        <v>35</v>
      </c>
      <c r="B17" s="2">
        <v>162</v>
      </c>
      <c r="C17" s="2">
        <v>65</v>
      </c>
      <c r="E17" s="2">
        <v>109</v>
      </c>
      <c r="F17" s="2">
        <v>168</v>
      </c>
      <c r="G17" s="2">
        <v>55</v>
      </c>
    </row>
    <row r="18" spans="1:7" x14ac:dyDescent="0.3">
      <c r="A18" s="2">
        <v>49</v>
      </c>
      <c r="B18" s="2">
        <v>162</v>
      </c>
      <c r="C18" s="2">
        <v>53</v>
      </c>
      <c r="E18" s="2">
        <v>93</v>
      </c>
      <c r="F18" s="2">
        <v>161</v>
      </c>
      <c r="G18" s="2">
        <v>56</v>
      </c>
    </row>
    <row r="19" spans="1:7" x14ac:dyDescent="0.3">
      <c r="A19" s="2">
        <v>52</v>
      </c>
      <c r="B19" s="2">
        <v>162</v>
      </c>
      <c r="C19" s="2">
        <v>60</v>
      </c>
      <c r="E19" s="2">
        <v>57</v>
      </c>
      <c r="F19" s="2">
        <v>164</v>
      </c>
      <c r="G19" s="2">
        <v>56</v>
      </c>
    </row>
    <row r="20" spans="1:7" x14ac:dyDescent="0.3">
      <c r="A20" s="2">
        <v>148</v>
      </c>
      <c r="B20" s="2">
        <v>162</v>
      </c>
      <c r="C20" s="2">
        <v>66</v>
      </c>
      <c r="E20" s="2">
        <v>41</v>
      </c>
      <c r="F20" s="2">
        <v>169</v>
      </c>
      <c r="G20" s="2">
        <v>56</v>
      </c>
    </row>
    <row r="21" spans="1:7" x14ac:dyDescent="0.3">
      <c r="A21" s="2">
        <v>157</v>
      </c>
      <c r="B21" s="2">
        <v>162</v>
      </c>
      <c r="C21" s="2">
        <v>54</v>
      </c>
      <c r="E21" s="2">
        <v>114</v>
      </c>
      <c r="F21" s="2">
        <v>160</v>
      </c>
      <c r="G21" s="2">
        <v>57</v>
      </c>
    </row>
    <row r="22" spans="1:7" x14ac:dyDescent="0.3">
      <c r="A22" s="2">
        <v>8</v>
      </c>
      <c r="B22" s="2">
        <v>163</v>
      </c>
      <c r="C22" s="2">
        <v>64</v>
      </c>
      <c r="E22" s="2">
        <v>139</v>
      </c>
      <c r="F22" s="2">
        <v>160</v>
      </c>
      <c r="G22" s="2">
        <v>57</v>
      </c>
    </row>
    <row r="23" spans="1:7" x14ac:dyDescent="0.3">
      <c r="A23" s="2">
        <v>40</v>
      </c>
      <c r="B23" s="2">
        <v>163</v>
      </c>
      <c r="C23" s="2">
        <v>67</v>
      </c>
      <c r="E23" s="2">
        <v>47</v>
      </c>
      <c r="F23" s="2">
        <v>163</v>
      </c>
      <c r="G23" s="2">
        <v>57</v>
      </c>
    </row>
    <row r="24" spans="1:7" x14ac:dyDescent="0.3">
      <c r="A24" s="2">
        <v>47</v>
      </c>
      <c r="B24" s="2">
        <v>163</v>
      </c>
      <c r="C24" s="2">
        <v>57</v>
      </c>
      <c r="E24" s="2">
        <v>9</v>
      </c>
      <c r="F24" s="2">
        <v>165</v>
      </c>
      <c r="G24" s="2">
        <v>57</v>
      </c>
    </row>
    <row r="25" spans="1:7" x14ac:dyDescent="0.3">
      <c r="A25" s="2">
        <v>61</v>
      </c>
      <c r="B25" s="2">
        <v>163</v>
      </c>
      <c r="C25" s="2">
        <v>54</v>
      </c>
      <c r="E25" s="2">
        <v>117</v>
      </c>
      <c r="F25" s="2">
        <v>165</v>
      </c>
      <c r="G25" s="2">
        <v>57</v>
      </c>
    </row>
    <row r="26" spans="1:7" x14ac:dyDescent="0.3">
      <c r="A26" s="2">
        <v>76</v>
      </c>
      <c r="B26" s="2">
        <v>163</v>
      </c>
      <c r="C26" s="2">
        <v>63</v>
      </c>
      <c r="E26" s="2">
        <v>97</v>
      </c>
      <c r="F26" s="2">
        <v>167</v>
      </c>
      <c r="G26" s="2">
        <v>57</v>
      </c>
    </row>
    <row r="27" spans="1:7" x14ac:dyDescent="0.3">
      <c r="A27" s="2">
        <v>86</v>
      </c>
      <c r="B27" s="2">
        <v>163</v>
      </c>
      <c r="C27" s="2">
        <v>64</v>
      </c>
      <c r="E27" s="2">
        <v>153</v>
      </c>
      <c r="F27" s="2">
        <v>171</v>
      </c>
      <c r="G27" s="2">
        <v>57</v>
      </c>
    </row>
    <row r="28" spans="1:7" x14ac:dyDescent="0.3">
      <c r="A28" s="2">
        <v>94</v>
      </c>
      <c r="B28" s="2">
        <v>163</v>
      </c>
      <c r="C28" s="2">
        <v>58</v>
      </c>
      <c r="E28" s="2">
        <v>94</v>
      </c>
      <c r="F28" s="2">
        <v>163</v>
      </c>
      <c r="G28" s="2">
        <v>58</v>
      </c>
    </row>
    <row r="29" spans="1:7" x14ac:dyDescent="0.3">
      <c r="A29" s="2">
        <v>103</v>
      </c>
      <c r="B29" s="2">
        <v>163</v>
      </c>
      <c r="C29" s="2">
        <v>58</v>
      </c>
      <c r="E29" s="2">
        <v>103</v>
      </c>
      <c r="F29" s="2">
        <v>163</v>
      </c>
      <c r="G29" s="2">
        <v>58</v>
      </c>
    </row>
    <row r="30" spans="1:7" x14ac:dyDescent="0.3">
      <c r="A30" s="2">
        <v>120</v>
      </c>
      <c r="B30" s="2">
        <v>163</v>
      </c>
      <c r="C30" s="2">
        <v>54</v>
      </c>
      <c r="E30" s="2">
        <v>87</v>
      </c>
      <c r="F30" s="2">
        <v>168</v>
      </c>
      <c r="G30" s="2">
        <v>58</v>
      </c>
    </row>
    <row r="31" spans="1:7" x14ac:dyDescent="0.3">
      <c r="A31" s="2">
        <v>137</v>
      </c>
      <c r="B31" s="2">
        <v>163</v>
      </c>
      <c r="C31" s="2">
        <v>65</v>
      </c>
      <c r="E31" s="2">
        <v>128</v>
      </c>
      <c r="F31" s="2">
        <v>168</v>
      </c>
      <c r="G31" s="2">
        <v>58</v>
      </c>
    </row>
    <row r="32" spans="1:7" x14ac:dyDescent="0.3">
      <c r="A32" s="2">
        <v>152</v>
      </c>
      <c r="B32" s="2">
        <v>163</v>
      </c>
      <c r="C32" s="2">
        <v>63</v>
      </c>
      <c r="E32" s="2">
        <v>7</v>
      </c>
      <c r="F32" s="2">
        <v>170</v>
      </c>
      <c r="G32" s="2">
        <v>58</v>
      </c>
    </row>
    <row r="33" spans="1:7" x14ac:dyDescent="0.3">
      <c r="A33" s="2">
        <v>158</v>
      </c>
      <c r="B33" s="2">
        <v>163</v>
      </c>
      <c r="C33" s="2">
        <v>60</v>
      </c>
      <c r="E33" s="2">
        <v>127</v>
      </c>
      <c r="F33" s="2">
        <v>170</v>
      </c>
      <c r="G33" s="2">
        <v>58</v>
      </c>
    </row>
    <row r="34" spans="1:7" x14ac:dyDescent="0.3">
      <c r="A34" s="2">
        <v>177</v>
      </c>
      <c r="B34" s="2">
        <v>163</v>
      </c>
      <c r="C34" s="2">
        <v>65</v>
      </c>
      <c r="E34" s="2">
        <v>82</v>
      </c>
      <c r="F34" s="2">
        <v>164</v>
      </c>
      <c r="G34" s="2">
        <v>59</v>
      </c>
    </row>
    <row r="35" spans="1:7" x14ac:dyDescent="0.3">
      <c r="A35" s="2">
        <v>57</v>
      </c>
      <c r="B35" s="2">
        <v>164</v>
      </c>
      <c r="C35" s="2">
        <v>56</v>
      </c>
      <c r="E35" s="2">
        <v>146</v>
      </c>
      <c r="F35" s="2">
        <v>171</v>
      </c>
      <c r="G35" s="2">
        <v>59</v>
      </c>
    </row>
    <row r="36" spans="1:7" x14ac:dyDescent="0.3">
      <c r="A36" s="2">
        <v>58</v>
      </c>
      <c r="B36" s="2">
        <v>164</v>
      </c>
      <c r="C36" s="2">
        <v>63</v>
      </c>
      <c r="E36" s="2">
        <v>99</v>
      </c>
      <c r="F36" s="2">
        <v>157</v>
      </c>
      <c r="G36" s="2">
        <v>60</v>
      </c>
    </row>
    <row r="37" spans="1:7" x14ac:dyDescent="0.3">
      <c r="A37" s="2">
        <v>70</v>
      </c>
      <c r="B37" s="2">
        <v>164</v>
      </c>
      <c r="C37" s="2">
        <v>62</v>
      </c>
      <c r="E37" s="2">
        <v>52</v>
      </c>
      <c r="F37" s="2">
        <v>162</v>
      </c>
      <c r="G37" s="2">
        <v>60</v>
      </c>
    </row>
    <row r="38" spans="1:7" x14ac:dyDescent="0.3">
      <c r="A38" s="2">
        <v>73</v>
      </c>
      <c r="B38" s="2">
        <v>164</v>
      </c>
      <c r="C38" s="2">
        <v>53</v>
      </c>
      <c r="E38" s="2">
        <v>158</v>
      </c>
      <c r="F38" s="2">
        <v>163</v>
      </c>
      <c r="G38" s="2">
        <v>60</v>
      </c>
    </row>
    <row r="39" spans="1:7" x14ac:dyDescent="0.3">
      <c r="A39" s="2">
        <v>82</v>
      </c>
      <c r="B39" s="2">
        <v>164</v>
      </c>
      <c r="C39" s="2">
        <v>59</v>
      </c>
      <c r="E39" s="2">
        <v>10</v>
      </c>
      <c r="F39" s="2">
        <v>165</v>
      </c>
      <c r="G39" s="2">
        <v>60</v>
      </c>
    </row>
    <row r="40" spans="1:7" x14ac:dyDescent="0.3">
      <c r="A40" s="2">
        <v>101</v>
      </c>
      <c r="B40" s="2">
        <v>164</v>
      </c>
      <c r="C40" s="2">
        <v>70</v>
      </c>
      <c r="E40" s="2">
        <v>135</v>
      </c>
      <c r="F40" s="2">
        <v>165</v>
      </c>
      <c r="G40" s="2">
        <v>60</v>
      </c>
    </row>
    <row r="41" spans="1:7" x14ac:dyDescent="0.3">
      <c r="A41" s="2">
        <v>104</v>
      </c>
      <c r="B41" s="2">
        <v>164</v>
      </c>
      <c r="C41" s="2">
        <v>62</v>
      </c>
      <c r="E41" s="2">
        <v>151</v>
      </c>
      <c r="F41" s="2">
        <v>165</v>
      </c>
      <c r="G41" s="2">
        <v>60</v>
      </c>
    </row>
    <row r="42" spans="1:7" x14ac:dyDescent="0.3">
      <c r="A42" s="2">
        <v>126</v>
      </c>
      <c r="B42" s="2">
        <v>164</v>
      </c>
      <c r="C42" s="2">
        <v>65</v>
      </c>
      <c r="E42" s="2">
        <v>138</v>
      </c>
      <c r="F42" s="2">
        <v>167</v>
      </c>
      <c r="G42" s="2">
        <v>60</v>
      </c>
    </row>
    <row r="43" spans="1:7" x14ac:dyDescent="0.3">
      <c r="A43" s="2">
        <v>161</v>
      </c>
      <c r="B43" s="2">
        <v>164</v>
      </c>
      <c r="C43" s="2">
        <v>61</v>
      </c>
      <c r="E43" s="2">
        <v>4</v>
      </c>
      <c r="F43" s="2">
        <v>168</v>
      </c>
      <c r="G43" s="2">
        <v>60</v>
      </c>
    </row>
    <row r="44" spans="1:7" x14ac:dyDescent="0.3">
      <c r="A44" s="2">
        <v>188</v>
      </c>
      <c r="B44" s="2">
        <v>164</v>
      </c>
      <c r="C44" s="2">
        <v>62</v>
      </c>
      <c r="E44" s="2">
        <v>130</v>
      </c>
      <c r="F44" s="2">
        <v>168</v>
      </c>
      <c r="G44" s="2">
        <v>60</v>
      </c>
    </row>
    <row r="45" spans="1:7" x14ac:dyDescent="0.3">
      <c r="A45" s="2">
        <v>9</v>
      </c>
      <c r="B45" s="2">
        <v>165</v>
      </c>
      <c r="C45" s="2">
        <v>57</v>
      </c>
      <c r="E45" s="2">
        <v>53</v>
      </c>
      <c r="F45" s="2">
        <v>171</v>
      </c>
      <c r="G45" s="2">
        <v>60</v>
      </c>
    </row>
    <row r="46" spans="1:7" x14ac:dyDescent="0.3">
      <c r="A46" s="2">
        <v>10</v>
      </c>
      <c r="B46" s="2">
        <v>165</v>
      </c>
      <c r="C46" s="2">
        <v>60</v>
      </c>
      <c r="E46" s="2">
        <v>106</v>
      </c>
      <c r="F46" s="2">
        <v>177</v>
      </c>
      <c r="G46" s="2">
        <v>60</v>
      </c>
    </row>
    <row r="47" spans="1:7" x14ac:dyDescent="0.3">
      <c r="A47" s="2">
        <v>13</v>
      </c>
      <c r="B47" s="2">
        <v>165</v>
      </c>
      <c r="C47" s="2">
        <v>63</v>
      </c>
      <c r="E47" s="2">
        <v>1</v>
      </c>
      <c r="F47" s="2">
        <v>160</v>
      </c>
      <c r="G47" s="2">
        <v>61</v>
      </c>
    </row>
    <row r="48" spans="1:7" x14ac:dyDescent="0.3">
      <c r="A48" s="2">
        <v>16</v>
      </c>
      <c r="B48" s="2">
        <v>165</v>
      </c>
      <c r="C48" s="2">
        <v>63</v>
      </c>
      <c r="E48" s="2">
        <v>161</v>
      </c>
      <c r="F48" s="2">
        <v>164</v>
      </c>
      <c r="G48" s="2">
        <v>61</v>
      </c>
    </row>
    <row r="49" spans="1:7" x14ac:dyDescent="0.3">
      <c r="A49" s="2">
        <v>20</v>
      </c>
      <c r="B49" s="2">
        <v>165</v>
      </c>
      <c r="C49" s="2">
        <v>63</v>
      </c>
      <c r="E49" s="2">
        <v>28</v>
      </c>
      <c r="F49" s="2">
        <v>165</v>
      </c>
      <c r="G49" s="2">
        <v>61</v>
      </c>
    </row>
    <row r="50" spans="1:7" x14ac:dyDescent="0.3">
      <c r="A50" s="2">
        <v>28</v>
      </c>
      <c r="B50" s="2">
        <v>165</v>
      </c>
      <c r="C50" s="2">
        <v>61</v>
      </c>
      <c r="E50" s="2">
        <v>166</v>
      </c>
      <c r="F50" s="2">
        <v>166</v>
      </c>
      <c r="G50" s="2">
        <v>61</v>
      </c>
    </row>
    <row r="51" spans="1:7" x14ac:dyDescent="0.3">
      <c r="A51" s="2">
        <v>43</v>
      </c>
      <c r="B51" s="2">
        <v>165</v>
      </c>
      <c r="C51" s="2">
        <v>63</v>
      </c>
      <c r="E51" s="2">
        <v>171</v>
      </c>
      <c r="F51" s="2">
        <v>169</v>
      </c>
      <c r="G51" s="2">
        <v>61</v>
      </c>
    </row>
    <row r="52" spans="1:7" x14ac:dyDescent="0.3">
      <c r="A52" s="2">
        <v>51</v>
      </c>
      <c r="B52" s="2">
        <v>165</v>
      </c>
      <c r="C52" s="2">
        <v>67</v>
      </c>
      <c r="E52" s="2">
        <v>11</v>
      </c>
      <c r="F52" s="2">
        <v>170</v>
      </c>
      <c r="G52" s="2">
        <v>61</v>
      </c>
    </row>
    <row r="53" spans="1:7" x14ac:dyDescent="0.3">
      <c r="A53" s="2">
        <v>69</v>
      </c>
      <c r="B53" s="2">
        <v>165</v>
      </c>
      <c r="C53" s="2">
        <v>62</v>
      </c>
      <c r="E53" s="2">
        <v>143</v>
      </c>
      <c r="F53" s="2">
        <v>170</v>
      </c>
      <c r="G53" s="2">
        <v>61</v>
      </c>
    </row>
    <row r="54" spans="1:7" x14ac:dyDescent="0.3">
      <c r="A54" s="2">
        <v>78</v>
      </c>
      <c r="B54" s="2">
        <v>165</v>
      </c>
      <c r="C54" s="2">
        <v>63</v>
      </c>
      <c r="E54" s="2">
        <v>176</v>
      </c>
      <c r="F54" s="2">
        <v>170</v>
      </c>
      <c r="G54" s="2">
        <v>61</v>
      </c>
    </row>
    <row r="55" spans="1:7" x14ac:dyDescent="0.3">
      <c r="A55" s="2">
        <v>90</v>
      </c>
      <c r="B55" s="2">
        <v>165</v>
      </c>
      <c r="C55" s="2">
        <v>76</v>
      </c>
      <c r="E55" s="2">
        <v>38</v>
      </c>
      <c r="F55" s="2">
        <v>160</v>
      </c>
      <c r="G55" s="2">
        <v>62</v>
      </c>
    </row>
    <row r="56" spans="1:7" x14ac:dyDescent="0.3">
      <c r="A56" s="2">
        <v>95</v>
      </c>
      <c r="B56" s="2">
        <v>165</v>
      </c>
      <c r="C56" s="2">
        <v>72</v>
      </c>
      <c r="E56" s="2">
        <v>70</v>
      </c>
      <c r="F56" s="2">
        <v>164</v>
      </c>
      <c r="G56" s="2">
        <v>62</v>
      </c>
    </row>
    <row r="57" spans="1:7" x14ac:dyDescent="0.3">
      <c r="A57" s="2">
        <v>117</v>
      </c>
      <c r="B57" s="2">
        <v>165</v>
      </c>
      <c r="C57" s="2">
        <v>57</v>
      </c>
      <c r="E57" s="2">
        <v>104</v>
      </c>
      <c r="F57" s="2">
        <v>164</v>
      </c>
      <c r="G57" s="2">
        <v>62</v>
      </c>
    </row>
    <row r="58" spans="1:7" x14ac:dyDescent="0.3">
      <c r="A58" s="2">
        <v>135</v>
      </c>
      <c r="B58" s="2">
        <v>165</v>
      </c>
      <c r="C58" s="2">
        <v>60</v>
      </c>
      <c r="E58" s="2">
        <v>188</v>
      </c>
      <c r="F58" s="2">
        <v>164</v>
      </c>
      <c r="G58" s="2">
        <v>62</v>
      </c>
    </row>
    <row r="59" spans="1:7" x14ac:dyDescent="0.3">
      <c r="A59" s="2">
        <v>151</v>
      </c>
      <c r="B59" s="2">
        <v>165</v>
      </c>
      <c r="C59" s="2">
        <v>60</v>
      </c>
      <c r="E59" s="2">
        <v>69</v>
      </c>
      <c r="F59" s="2">
        <v>165</v>
      </c>
      <c r="G59" s="2">
        <v>62</v>
      </c>
    </row>
    <row r="60" spans="1:7" x14ac:dyDescent="0.3">
      <c r="A60" s="2">
        <v>193</v>
      </c>
      <c r="B60" s="2">
        <v>165</v>
      </c>
      <c r="C60" s="2">
        <v>63</v>
      </c>
      <c r="E60" s="2">
        <v>56</v>
      </c>
      <c r="F60" s="2">
        <v>166</v>
      </c>
      <c r="G60" s="2">
        <v>62</v>
      </c>
    </row>
    <row r="61" spans="1:7" x14ac:dyDescent="0.3">
      <c r="A61" s="2">
        <v>12</v>
      </c>
      <c r="B61" s="2">
        <v>166</v>
      </c>
      <c r="C61" s="2">
        <v>55</v>
      </c>
      <c r="E61" s="2">
        <v>142</v>
      </c>
      <c r="F61" s="2">
        <v>166</v>
      </c>
      <c r="G61" s="2">
        <v>62</v>
      </c>
    </row>
    <row r="62" spans="1:7" x14ac:dyDescent="0.3">
      <c r="A62" s="2">
        <v>56</v>
      </c>
      <c r="B62" s="2">
        <v>166</v>
      </c>
      <c r="C62" s="2">
        <v>62</v>
      </c>
      <c r="E62" s="2">
        <v>74</v>
      </c>
      <c r="F62" s="2">
        <v>171</v>
      </c>
      <c r="G62" s="2">
        <v>62</v>
      </c>
    </row>
    <row r="63" spans="1:7" x14ac:dyDescent="0.3">
      <c r="A63" s="2">
        <v>67</v>
      </c>
      <c r="B63" s="2">
        <v>166</v>
      </c>
      <c r="C63" s="2">
        <v>64</v>
      </c>
      <c r="E63" s="2">
        <v>25</v>
      </c>
      <c r="F63" s="2">
        <v>176</v>
      </c>
      <c r="G63" s="2">
        <v>62</v>
      </c>
    </row>
    <row r="64" spans="1:7" x14ac:dyDescent="0.3">
      <c r="A64" s="2">
        <v>83</v>
      </c>
      <c r="B64" s="2">
        <v>166</v>
      </c>
      <c r="C64" s="2">
        <v>78</v>
      </c>
      <c r="E64" s="2">
        <v>76</v>
      </c>
      <c r="F64" s="2">
        <v>163</v>
      </c>
      <c r="G64" s="2">
        <v>63</v>
      </c>
    </row>
    <row r="65" spans="1:7" x14ac:dyDescent="0.3">
      <c r="A65" s="2">
        <v>88</v>
      </c>
      <c r="B65" s="2">
        <v>166</v>
      </c>
      <c r="C65" s="2">
        <v>63</v>
      </c>
      <c r="E65" s="2">
        <v>152</v>
      </c>
      <c r="F65" s="2">
        <v>163</v>
      </c>
      <c r="G65" s="2">
        <v>63</v>
      </c>
    </row>
    <row r="66" spans="1:7" x14ac:dyDescent="0.3">
      <c r="A66" s="2">
        <v>91</v>
      </c>
      <c r="B66" s="2">
        <v>166</v>
      </c>
      <c r="C66" s="2">
        <v>71</v>
      </c>
      <c r="E66" s="2">
        <v>58</v>
      </c>
      <c r="F66" s="2">
        <v>164</v>
      </c>
      <c r="G66" s="2">
        <v>63</v>
      </c>
    </row>
    <row r="67" spans="1:7" x14ac:dyDescent="0.3">
      <c r="A67" s="2">
        <v>142</v>
      </c>
      <c r="B67" s="2">
        <v>166</v>
      </c>
      <c r="C67" s="2">
        <v>62</v>
      </c>
      <c r="E67" s="2">
        <v>13</v>
      </c>
      <c r="F67" s="2">
        <v>165</v>
      </c>
      <c r="G67" s="2">
        <v>63</v>
      </c>
    </row>
    <row r="68" spans="1:7" x14ac:dyDescent="0.3">
      <c r="A68" s="2">
        <v>145</v>
      </c>
      <c r="B68" s="2">
        <v>166</v>
      </c>
      <c r="C68" s="2">
        <v>67</v>
      </c>
      <c r="E68" s="2">
        <v>16</v>
      </c>
      <c r="F68" s="2">
        <v>165</v>
      </c>
      <c r="G68" s="2">
        <v>63</v>
      </c>
    </row>
    <row r="69" spans="1:7" x14ac:dyDescent="0.3">
      <c r="A69" s="2">
        <v>166</v>
      </c>
      <c r="B69" s="2">
        <v>166</v>
      </c>
      <c r="C69" s="2">
        <v>61</v>
      </c>
      <c r="E69" s="2">
        <v>20</v>
      </c>
      <c r="F69" s="2">
        <v>165</v>
      </c>
      <c r="G69" s="2">
        <v>63</v>
      </c>
    </row>
    <row r="70" spans="1:7" x14ac:dyDescent="0.3">
      <c r="A70" s="2">
        <v>182</v>
      </c>
      <c r="B70" s="2">
        <v>166</v>
      </c>
      <c r="C70" s="2">
        <v>63</v>
      </c>
      <c r="E70" s="2">
        <v>43</v>
      </c>
      <c r="F70" s="2">
        <v>165</v>
      </c>
      <c r="G70" s="2">
        <v>63</v>
      </c>
    </row>
    <row r="71" spans="1:7" x14ac:dyDescent="0.3">
      <c r="A71" s="2">
        <v>185</v>
      </c>
      <c r="B71" s="2">
        <v>166</v>
      </c>
      <c r="C71" s="2">
        <v>78</v>
      </c>
      <c r="E71" s="2">
        <v>78</v>
      </c>
      <c r="F71" s="2">
        <v>165</v>
      </c>
      <c r="G71" s="2">
        <v>63</v>
      </c>
    </row>
    <row r="72" spans="1:7" x14ac:dyDescent="0.3">
      <c r="A72" s="2">
        <v>36</v>
      </c>
      <c r="B72" s="2">
        <v>167</v>
      </c>
      <c r="C72" s="2">
        <v>63</v>
      </c>
      <c r="E72" s="2">
        <v>193</v>
      </c>
      <c r="F72" s="2">
        <v>165</v>
      </c>
      <c r="G72" s="2">
        <v>63</v>
      </c>
    </row>
    <row r="73" spans="1:7" x14ac:dyDescent="0.3">
      <c r="A73" s="2">
        <v>77</v>
      </c>
      <c r="B73" s="2">
        <v>167</v>
      </c>
      <c r="C73" s="2">
        <v>64</v>
      </c>
      <c r="E73" s="2">
        <v>88</v>
      </c>
      <c r="F73" s="2">
        <v>166</v>
      </c>
      <c r="G73" s="2">
        <v>63</v>
      </c>
    </row>
    <row r="74" spans="1:7" x14ac:dyDescent="0.3">
      <c r="A74" s="2">
        <v>97</v>
      </c>
      <c r="B74" s="2">
        <v>167</v>
      </c>
      <c r="C74" s="2">
        <v>57</v>
      </c>
      <c r="E74" s="2">
        <v>182</v>
      </c>
      <c r="F74" s="2">
        <v>166</v>
      </c>
      <c r="G74" s="2">
        <v>63</v>
      </c>
    </row>
    <row r="75" spans="1:7" x14ac:dyDescent="0.3">
      <c r="A75" s="2">
        <v>119</v>
      </c>
      <c r="B75" s="2">
        <v>167</v>
      </c>
      <c r="C75" s="2">
        <v>68</v>
      </c>
      <c r="E75" s="2">
        <v>36</v>
      </c>
      <c r="F75" s="2">
        <v>167</v>
      </c>
      <c r="G75" s="2">
        <v>63</v>
      </c>
    </row>
    <row r="76" spans="1:7" x14ac:dyDescent="0.3">
      <c r="A76" s="2">
        <v>123</v>
      </c>
      <c r="B76" s="2">
        <v>167</v>
      </c>
      <c r="C76" s="2">
        <v>65</v>
      </c>
      <c r="E76" s="2">
        <v>200</v>
      </c>
      <c r="F76" s="2">
        <v>167</v>
      </c>
      <c r="G76" s="2">
        <v>63</v>
      </c>
    </row>
    <row r="77" spans="1:7" x14ac:dyDescent="0.3">
      <c r="A77" s="2">
        <v>138</v>
      </c>
      <c r="B77" s="2">
        <v>167</v>
      </c>
      <c r="C77" s="2">
        <v>60</v>
      </c>
      <c r="E77" s="2">
        <v>181</v>
      </c>
      <c r="F77" s="2">
        <v>170</v>
      </c>
      <c r="G77" s="2">
        <v>63</v>
      </c>
    </row>
    <row r="78" spans="1:7" x14ac:dyDescent="0.3">
      <c r="A78" s="2">
        <v>178</v>
      </c>
      <c r="B78" s="2">
        <v>167</v>
      </c>
      <c r="C78" s="2">
        <v>55</v>
      </c>
      <c r="E78" s="2">
        <v>111</v>
      </c>
      <c r="F78" s="2">
        <v>171</v>
      </c>
      <c r="G78" s="2">
        <v>63</v>
      </c>
    </row>
    <row r="79" spans="1:7" x14ac:dyDescent="0.3">
      <c r="A79" s="2">
        <v>190</v>
      </c>
      <c r="B79" s="2">
        <v>167</v>
      </c>
      <c r="C79" s="2">
        <v>67</v>
      </c>
      <c r="E79" s="2">
        <v>172</v>
      </c>
      <c r="F79" s="2">
        <v>172</v>
      </c>
      <c r="G79" s="2">
        <v>63</v>
      </c>
    </row>
    <row r="80" spans="1:7" x14ac:dyDescent="0.3">
      <c r="A80" s="2">
        <v>200</v>
      </c>
      <c r="B80" s="2">
        <v>167</v>
      </c>
      <c r="C80" s="2">
        <v>63</v>
      </c>
      <c r="E80" s="2">
        <v>8</v>
      </c>
      <c r="F80" s="2">
        <v>163</v>
      </c>
      <c r="G80" s="2">
        <v>64</v>
      </c>
    </row>
    <row r="81" spans="1:7" x14ac:dyDescent="0.3">
      <c r="A81" s="2">
        <v>4</v>
      </c>
      <c r="B81" s="2">
        <v>168</v>
      </c>
      <c r="C81" s="2">
        <v>60</v>
      </c>
      <c r="E81" s="2">
        <v>86</v>
      </c>
      <c r="F81" s="2">
        <v>163</v>
      </c>
      <c r="G81" s="2">
        <v>64</v>
      </c>
    </row>
    <row r="82" spans="1:7" x14ac:dyDescent="0.3">
      <c r="A82" s="2">
        <v>44</v>
      </c>
      <c r="B82" s="2">
        <v>168</v>
      </c>
      <c r="C82" s="2">
        <v>67</v>
      </c>
      <c r="E82" s="2">
        <v>67</v>
      </c>
      <c r="F82" s="2">
        <v>166</v>
      </c>
      <c r="G82" s="2">
        <v>64</v>
      </c>
    </row>
    <row r="83" spans="1:7" x14ac:dyDescent="0.3">
      <c r="A83" s="2">
        <v>64</v>
      </c>
      <c r="B83" s="2">
        <v>168</v>
      </c>
      <c r="C83" s="2">
        <v>55</v>
      </c>
      <c r="E83" s="2">
        <v>77</v>
      </c>
      <c r="F83" s="2">
        <v>167</v>
      </c>
      <c r="G83" s="2">
        <v>64</v>
      </c>
    </row>
    <row r="84" spans="1:7" x14ac:dyDescent="0.3">
      <c r="A84" s="2">
        <v>66</v>
      </c>
      <c r="B84" s="2">
        <v>168</v>
      </c>
      <c r="C84" s="2">
        <v>67</v>
      </c>
      <c r="E84" s="2">
        <v>113</v>
      </c>
      <c r="F84" s="2">
        <v>168</v>
      </c>
      <c r="G84" s="2">
        <v>64</v>
      </c>
    </row>
    <row r="85" spans="1:7" x14ac:dyDescent="0.3">
      <c r="A85" s="2">
        <v>87</v>
      </c>
      <c r="B85" s="2">
        <v>168</v>
      </c>
      <c r="C85" s="2">
        <v>58</v>
      </c>
      <c r="E85" s="2">
        <v>85</v>
      </c>
      <c r="F85" s="2">
        <v>169</v>
      </c>
      <c r="G85" s="2">
        <v>64</v>
      </c>
    </row>
    <row r="86" spans="1:7" x14ac:dyDescent="0.3">
      <c r="A86" s="2">
        <v>98</v>
      </c>
      <c r="B86" s="2">
        <v>168</v>
      </c>
      <c r="C86" s="2">
        <v>66</v>
      </c>
      <c r="E86" s="2">
        <v>184</v>
      </c>
      <c r="F86" s="2">
        <v>171</v>
      </c>
      <c r="G86" s="2">
        <v>64</v>
      </c>
    </row>
    <row r="87" spans="1:7" x14ac:dyDescent="0.3">
      <c r="A87" s="2">
        <v>109</v>
      </c>
      <c r="B87" s="2">
        <v>168</v>
      </c>
      <c r="C87" s="2">
        <v>55</v>
      </c>
      <c r="E87" s="2">
        <v>15</v>
      </c>
      <c r="F87" s="2">
        <v>172</v>
      </c>
      <c r="G87" s="2">
        <v>64</v>
      </c>
    </row>
    <row r="88" spans="1:7" x14ac:dyDescent="0.3">
      <c r="A88" s="2">
        <v>113</v>
      </c>
      <c r="B88" s="2">
        <v>168</v>
      </c>
      <c r="C88" s="2">
        <v>64</v>
      </c>
      <c r="E88" s="2">
        <v>35</v>
      </c>
      <c r="F88" s="2">
        <v>162</v>
      </c>
      <c r="G88" s="2">
        <v>65</v>
      </c>
    </row>
    <row r="89" spans="1:7" x14ac:dyDescent="0.3">
      <c r="A89" s="2">
        <v>128</v>
      </c>
      <c r="B89" s="2">
        <v>168</v>
      </c>
      <c r="C89" s="2">
        <v>58</v>
      </c>
      <c r="E89" s="2">
        <v>137</v>
      </c>
      <c r="F89" s="2">
        <v>163</v>
      </c>
      <c r="G89" s="2">
        <v>65</v>
      </c>
    </row>
    <row r="90" spans="1:7" x14ac:dyDescent="0.3">
      <c r="A90" s="2">
        <v>130</v>
      </c>
      <c r="B90" s="2">
        <v>168</v>
      </c>
      <c r="C90" s="2">
        <v>60</v>
      </c>
      <c r="E90" s="2">
        <v>177</v>
      </c>
      <c r="F90" s="2">
        <v>163</v>
      </c>
      <c r="G90" s="2">
        <v>65</v>
      </c>
    </row>
    <row r="91" spans="1:7" x14ac:dyDescent="0.3">
      <c r="A91" s="2">
        <v>132</v>
      </c>
      <c r="B91" s="2">
        <v>168</v>
      </c>
      <c r="C91" s="2">
        <v>67</v>
      </c>
      <c r="E91" s="2">
        <v>126</v>
      </c>
      <c r="F91" s="2">
        <v>164</v>
      </c>
      <c r="G91" s="2">
        <v>65</v>
      </c>
    </row>
    <row r="92" spans="1:7" x14ac:dyDescent="0.3">
      <c r="A92" s="2">
        <v>173</v>
      </c>
      <c r="B92" s="2">
        <v>168</v>
      </c>
      <c r="C92" s="2">
        <v>70</v>
      </c>
      <c r="E92" s="2">
        <v>123</v>
      </c>
      <c r="F92" s="2">
        <v>167</v>
      </c>
      <c r="G92" s="2">
        <v>65</v>
      </c>
    </row>
    <row r="93" spans="1:7" x14ac:dyDescent="0.3">
      <c r="A93" s="2">
        <v>191</v>
      </c>
      <c r="B93" s="2">
        <v>168</v>
      </c>
      <c r="C93" s="2">
        <v>67</v>
      </c>
      <c r="E93" s="2">
        <v>59</v>
      </c>
      <c r="F93" s="2">
        <v>169</v>
      </c>
      <c r="G93" s="2">
        <v>65</v>
      </c>
    </row>
    <row r="94" spans="1:7" x14ac:dyDescent="0.3">
      <c r="A94" s="2">
        <v>196</v>
      </c>
      <c r="B94" s="2">
        <v>168</v>
      </c>
      <c r="C94" s="2">
        <v>70</v>
      </c>
      <c r="E94" s="2">
        <v>26</v>
      </c>
      <c r="F94" s="2">
        <v>170</v>
      </c>
      <c r="G94" s="2">
        <v>65</v>
      </c>
    </row>
    <row r="95" spans="1:7" x14ac:dyDescent="0.3">
      <c r="A95" s="2">
        <v>19</v>
      </c>
      <c r="B95" s="2">
        <v>169</v>
      </c>
      <c r="C95" s="2">
        <v>74</v>
      </c>
      <c r="E95" s="2">
        <v>112</v>
      </c>
      <c r="F95" s="2">
        <v>170</v>
      </c>
      <c r="G95" s="2">
        <v>65</v>
      </c>
    </row>
    <row r="96" spans="1:7" x14ac:dyDescent="0.3">
      <c r="A96" s="2">
        <v>24</v>
      </c>
      <c r="B96" s="2">
        <v>169</v>
      </c>
      <c r="C96" s="2">
        <v>67</v>
      </c>
      <c r="E96" s="2">
        <v>55</v>
      </c>
      <c r="F96" s="2">
        <v>171</v>
      </c>
      <c r="G96" s="2">
        <v>65</v>
      </c>
    </row>
    <row r="97" spans="1:7" x14ac:dyDescent="0.3">
      <c r="A97" s="2">
        <v>41</v>
      </c>
      <c r="B97" s="2">
        <v>169</v>
      </c>
      <c r="C97" s="2">
        <v>56</v>
      </c>
      <c r="E97" s="2">
        <v>197</v>
      </c>
      <c r="F97" s="2">
        <v>171</v>
      </c>
      <c r="G97" s="2">
        <v>65</v>
      </c>
    </row>
    <row r="98" spans="1:7" x14ac:dyDescent="0.3">
      <c r="A98" s="2">
        <v>45</v>
      </c>
      <c r="B98" s="2">
        <v>169</v>
      </c>
      <c r="C98" s="2">
        <v>68</v>
      </c>
      <c r="E98" s="2">
        <v>183</v>
      </c>
      <c r="F98" s="2">
        <v>172</v>
      </c>
      <c r="G98" s="2">
        <v>65</v>
      </c>
    </row>
    <row r="99" spans="1:7" x14ac:dyDescent="0.3">
      <c r="A99" s="2">
        <v>59</v>
      </c>
      <c r="B99" s="2">
        <v>169</v>
      </c>
      <c r="C99" s="2">
        <v>65</v>
      </c>
      <c r="E99" s="2">
        <v>175</v>
      </c>
      <c r="F99" s="2">
        <v>173</v>
      </c>
      <c r="G99" s="2">
        <v>65</v>
      </c>
    </row>
    <row r="100" spans="1:7" x14ac:dyDescent="0.3">
      <c r="A100" s="2">
        <v>60</v>
      </c>
      <c r="B100" s="2">
        <v>169</v>
      </c>
      <c r="C100" s="2">
        <v>75</v>
      </c>
      <c r="E100" s="2">
        <v>133</v>
      </c>
      <c r="F100" s="2">
        <v>176</v>
      </c>
      <c r="G100" s="2">
        <v>65</v>
      </c>
    </row>
    <row r="101" spans="1:7" x14ac:dyDescent="0.3">
      <c r="A101" s="2">
        <v>65</v>
      </c>
      <c r="B101" s="2">
        <v>169</v>
      </c>
      <c r="C101" s="2">
        <v>66</v>
      </c>
      <c r="E101" s="2">
        <v>42</v>
      </c>
      <c r="F101" s="2">
        <v>180</v>
      </c>
      <c r="G101" s="2">
        <v>65</v>
      </c>
    </row>
    <row r="102" spans="1:7" x14ac:dyDescent="0.3">
      <c r="A102" s="2">
        <v>85</v>
      </c>
      <c r="B102" s="2">
        <v>169</v>
      </c>
      <c r="C102" s="2">
        <v>64</v>
      </c>
      <c r="E102" s="2">
        <v>116</v>
      </c>
      <c r="F102" s="2">
        <v>180</v>
      </c>
      <c r="G102" s="2">
        <v>65</v>
      </c>
    </row>
    <row r="103" spans="1:7" x14ac:dyDescent="0.3">
      <c r="A103" s="2">
        <v>100</v>
      </c>
      <c r="B103" s="2">
        <v>169</v>
      </c>
      <c r="C103" s="2">
        <v>71</v>
      </c>
      <c r="E103" s="2">
        <v>29</v>
      </c>
      <c r="F103" s="2">
        <v>162</v>
      </c>
      <c r="G103" s="2">
        <v>66</v>
      </c>
    </row>
    <row r="104" spans="1:7" x14ac:dyDescent="0.3">
      <c r="A104" s="2">
        <v>147</v>
      </c>
      <c r="B104" s="2">
        <v>169</v>
      </c>
      <c r="C104" s="2">
        <v>67</v>
      </c>
      <c r="E104" s="2">
        <v>148</v>
      </c>
      <c r="F104" s="2">
        <v>162</v>
      </c>
      <c r="G104" s="2">
        <v>66</v>
      </c>
    </row>
    <row r="105" spans="1:7" x14ac:dyDescent="0.3">
      <c r="A105" s="2">
        <v>165</v>
      </c>
      <c r="B105" s="2">
        <v>169</v>
      </c>
      <c r="C105" s="2">
        <v>68</v>
      </c>
      <c r="E105" s="2">
        <v>98</v>
      </c>
      <c r="F105" s="2">
        <v>168</v>
      </c>
      <c r="G105" s="2">
        <v>66</v>
      </c>
    </row>
    <row r="106" spans="1:7" x14ac:dyDescent="0.3">
      <c r="A106" s="2">
        <v>171</v>
      </c>
      <c r="B106" s="2">
        <v>169</v>
      </c>
      <c r="C106" s="2">
        <v>61</v>
      </c>
      <c r="E106" s="2">
        <v>65</v>
      </c>
      <c r="F106" s="2">
        <v>169</v>
      </c>
      <c r="G106" s="2">
        <v>66</v>
      </c>
    </row>
    <row r="107" spans="1:7" x14ac:dyDescent="0.3">
      <c r="A107" s="2">
        <v>180</v>
      </c>
      <c r="B107" s="2">
        <v>169</v>
      </c>
      <c r="C107" s="2">
        <v>70</v>
      </c>
      <c r="E107" s="2">
        <v>189</v>
      </c>
      <c r="F107" s="2">
        <v>169</v>
      </c>
      <c r="G107" s="2">
        <v>66</v>
      </c>
    </row>
    <row r="108" spans="1:7" x14ac:dyDescent="0.3">
      <c r="A108" s="2">
        <v>189</v>
      </c>
      <c r="B108" s="2">
        <v>169</v>
      </c>
      <c r="C108" s="2">
        <v>66</v>
      </c>
      <c r="E108" s="2">
        <v>192</v>
      </c>
      <c r="F108" s="2">
        <v>169</v>
      </c>
      <c r="G108" s="2">
        <v>66</v>
      </c>
    </row>
    <row r="109" spans="1:7" x14ac:dyDescent="0.3">
      <c r="A109" s="2">
        <v>192</v>
      </c>
      <c r="B109" s="2">
        <v>169</v>
      </c>
      <c r="C109" s="2">
        <v>66</v>
      </c>
      <c r="E109" s="2">
        <v>27</v>
      </c>
      <c r="F109" s="2">
        <v>170</v>
      </c>
      <c r="G109" s="2">
        <v>66</v>
      </c>
    </row>
    <row r="110" spans="1:7" x14ac:dyDescent="0.3">
      <c r="A110" s="2">
        <v>3</v>
      </c>
      <c r="B110" s="2">
        <v>170</v>
      </c>
      <c r="C110" s="2">
        <v>70</v>
      </c>
      <c r="E110" s="2">
        <v>72</v>
      </c>
      <c r="F110" s="2">
        <v>170</v>
      </c>
      <c r="G110" s="2">
        <v>66</v>
      </c>
    </row>
    <row r="111" spans="1:7" x14ac:dyDescent="0.3">
      <c r="A111" s="2">
        <v>7</v>
      </c>
      <c r="B111" s="2">
        <v>170</v>
      </c>
      <c r="C111" s="2">
        <v>58</v>
      </c>
      <c r="E111" s="2">
        <v>23</v>
      </c>
      <c r="F111" s="2">
        <v>171</v>
      </c>
      <c r="G111" s="2">
        <v>66</v>
      </c>
    </row>
    <row r="112" spans="1:7" x14ac:dyDescent="0.3">
      <c r="A112" s="2">
        <v>11</v>
      </c>
      <c r="B112" s="2">
        <v>170</v>
      </c>
      <c r="C112" s="2">
        <v>61</v>
      </c>
      <c r="E112" s="2">
        <v>80</v>
      </c>
      <c r="F112" s="2">
        <v>171</v>
      </c>
      <c r="G112" s="2">
        <v>66</v>
      </c>
    </row>
    <row r="113" spans="1:7" x14ac:dyDescent="0.3">
      <c r="A113" s="2">
        <v>26</v>
      </c>
      <c r="B113" s="2">
        <v>170</v>
      </c>
      <c r="C113" s="2">
        <v>65</v>
      </c>
      <c r="E113" s="2">
        <v>115</v>
      </c>
      <c r="F113" s="2">
        <v>171</v>
      </c>
      <c r="G113" s="2">
        <v>66</v>
      </c>
    </row>
    <row r="114" spans="1:7" x14ac:dyDescent="0.3">
      <c r="A114" s="2">
        <v>27</v>
      </c>
      <c r="B114" s="2">
        <v>170</v>
      </c>
      <c r="C114" s="2">
        <v>66</v>
      </c>
      <c r="E114" s="2">
        <v>163</v>
      </c>
      <c r="F114" s="2">
        <v>171</v>
      </c>
      <c r="G114" s="2">
        <v>66</v>
      </c>
    </row>
    <row r="115" spans="1:7" x14ac:dyDescent="0.3">
      <c r="A115" s="2">
        <v>46</v>
      </c>
      <c r="B115" s="2">
        <v>170</v>
      </c>
      <c r="C115" s="2">
        <v>69</v>
      </c>
      <c r="E115" s="2">
        <v>174</v>
      </c>
      <c r="F115" s="2">
        <v>171</v>
      </c>
      <c r="G115" s="2">
        <v>66</v>
      </c>
    </row>
    <row r="116" spans="1:7" x14ac:dyDescent="0.3">
      <c r="A116" s="2">
        <v>72</v>
      </c>
      <c r="B116" s="2">
        <v>170</v>
      </c>
      <c r="C116" s="2">
        <v>66</v>
      </c>
      <c r="E116" s="2">
        <v>187</v>
      </c>
      <c r="F116" s="2">
        <v>171</v>
      </c>
      <c r="G116" s="2">
        <v>66</v>
      </c>
    </row>
    <row r="117" spans="1:7" x14ac:dyDescent="0.3">
      <c r="A117" s="2">
        <v>105</v>
      </c>
      <c r="B117" s="2">
        <v>170</v>
      </c>
      <c r="C117" s="2">
        <v>68</v>
      </c>
      <c r="E117" s="2">
        <v>33</v>
      </c>
      <c r="F117" s="2">
        <v>172</v>
      </c>
      <c r="G117" s="2">
        <v>66</v>
      </c>
    </row>
    <row r="118" spans="1:7" x14ac:dyDescent="0.3">
      <c r="A118" s="2">
        <v>112</v>
      </c>
      <c r="B118" s="2">
        <v>170</v>
      </c>
      <c r="C118" s="2">
        <v>65</v>
      </c>
      <c r="E118" s="2">
        <v>96</v>
      </c>
      <c r="F118" s="2">
        <v>172</v>
      </c>
      <c r="G118" s="2">
        <v>66</v>
      </c>
    </row>
    <row r="119" spans="1:7" x14ac:dyDescent="0.3">
      <c r="A119" s="2">
        <v>121</v>
      </c>
      <c r="B119" s="2">
        <v>170</v>
      </c>
      <c r="C119" s="2">
        <v>75</v>
      </c>
      <c r="E119" s="2">
        <v>159</v>
      </c>
      <c r="F119" s="2">
        <v>173</v>
      </c>
      <c r="G119" s="2">
        <v>66</v>
      </c>
    </row>
    <row r="120" spans="1:7" x14ac:dyDescent="0.3">
      <c r="A120" s="2">
        <v>127</v>
      </c>
      <c r="B120" s="2">
        <v>170</v>
      </c>
      <c r="C120" s="2">
        <v>58</v>
      </c>
      <c r="E120" s="2">
        <v>79</v>
      </c>
      <c r="F120" s="2">
        <v>175</v>
      </c>
      <c r="G120" s="2">
        <v>66</v>
      </c>
    </row>
    <row r="121" spans="1:7" x14ac:dyDescent="0.3">
      <c r="A121" s="2">
        <v>143</v>
      </c>
      <c r="B121" s="2">
        <v>170</v>
      </c>
      <c r="C121" s="2">
        <v>61</v>
      </c>
      <c r="E121" s="2">
        <v>40</v>
      </c>
      <c r="F121" s="2">
        <v>163</v>
      </c>
      <c r="G121" s="2">
        <v>67</v>
      </c>
    </row>
    <row r="122" spans="1:7" x14ac:dyDescent="0.3">
      <c r="A122" s="2">
        <v>176</v>
      </c>
      <c r="B122" s="2">
        <v>170</v>
      </c>
      <c r="C122" s="2">
        <v>61</v>
      </c>
      <c r="E122" s="2">
        <v>51</v>
      </c>
      <c r="F122" s="2">
        <v>165</v>
      </c>
      <c r="G122" s="2">
        <v>67</v>
      </c>
    </row>
    <row r="123" spans="1:7" x14ac:dyDescent="0.3">
      <c r="A123" s="2">
        <v>181</v>
      </c>
      <c r="B123" s="2">
        <v>170</v>
      </c>
      <c r="C123" s="2">
        <v>63</v>
      </c>
      <c r="E123" s="2">
        <v>145</v>
      </c>
      <c r="F123" s="2">
        <v>166</v>
      </c>
      <c r="G123" s="2">
        <v>67</v>
      </c>
    </row>
    <row r="124" spans="1:7" x14ac:dyDescent="0.3">
      <c r="A124" s="2">
        <v>23</v>
      </c>
      <c r="B124" s="2">
        <v>171</v>
      </c>
      <c r="C124" s="2">
        <v>66</v>
      </c>
      <c r="E124" s="2">
        <v>190</v>
      </c>
      <c r="F124" s="2">
        <v>167</v>
      </c>
      <c r="G124" s="2">
        <v>67</v>
      </c>
    </row>
    <row r="125" spans="1:7" x14ac:dyDescent="0.3">
      <c r="A125" s="2">
        <v>53</v>
      </c>
      <c r="B125" s="2">
        <v>171</v>
      </c>
      <c r="C125" s="2">
        <v>60</v>
      </c>
      <c r="E125" s="2">
        <v>44</v>
      </c>
      <c r="F125" s="2">
        <v>168</v>
      </c>
      <c r="G125" s="2">
        <v>67</v>
      </c>
    </row>
    <row r="126" spans="1:7" x14ac:dyDescent="0.3">
      <c r="A126" s="2">
        <v>55</v>
      </c>
      <c r="B126" s="2">
        <v>171</v>
      </c>
      <c r="C126" s="2">
        <v>65</v>
      </c>
      <c r="E126" s="2">
        <v>66</v>
      </c>
      <c r="F126" s="2">
        <v>168</v>
      </c>
      <c r="G126" s="2">
        <v>67</v>
      </c>
    </row>
    <row r="127" spans="1:7" x14ac:dyDescent="0.3">
      <c r="A127" s="2">
        <v>74</v>
      </c>
      <c r="B127" s="2">
        <v>171</v>
      </c>
      <c r="C127" s="2">
        <v>62</v>
      </c>
      <c r="E127" s="2">
        <v>132</v>
      </c>
      <c r="F127" s="2">
        <v>168</v>
      </c>
      <c r="G127" s="2">
        <v>67</v>
      </c>
    </row>
    <row r="128" spans="1:7" x14ac:dyDescent="0.3">
      <c r="A128" s="2">
        <v>75</v>
      </c>
      <c r="B128" s="2">
        <v>171</v>
      </c>
      <c r="C128" s="2">
        <v>67</v>
      </c>
      <c r="E128" s="2">
        <v>191</v>
      </c>
      <c r="F128" s="2">
        <v>168</v>
      </c>
      <c r="G128" s="2">
        <v>67</v>
      </c>
    </row>
    <row r="129" spans="1:7" x14ac:dyDescent="0.3">
      <c r="A129" s="2">
        <v>80</v>
      </c>
      <c r="B129" s="2">
        <v>171</v>
      </c>
      <c r="C129" s="2">
        <v>66</v>
      </c>
      <c r="E129" s="2">
        <v>24</v>
      </c>
      <c r="F129" s="2">
        <v>169</v>
      </c>
      <c r="G129" s="2">
        <v>67</v>
      </c>
    </row>
    <row r="130" spans="1:7" x14ac:dyDescent="0.3">
      <c r="A130" s="2">
        <v>92</v>
      </c>
      <c r="B130" s="2">
        <v>171</v>
      </c>
      <c r="C130" s="2">
        <v>75</v>
      </c>
      <c r="E130" s="2">
        <v>147</v>
      </c>
      <c r="F130" s="2">
        <v>169</v>
      </c>
      <c r="G130" s="2">
        <v>67</v>
      </c>
    </row>
    <row r="131" spans="1:7" x14ac:dyDescent="0.3">
      <c r="A131" s="2">
        <v>111</v>
      </c>
      <c r="B131" s="2">
        <v>171</v>
      </c>
      <c r="C131" s="2">
        <v>63</v>
      </c>
      <c r="E131" s="2">
        <v>75</v>
      </c>
      <c r="F131" s="2">
        <v>171</v>
      </c>
      <c r="G131" s="2">
        <v>67</v>
      </c>
    </row>
    <row r="132" spans="1:7" x14ac:dyDescent="0.3">
      <c r="A132" s="2">
        <v>115</v>
      </c>
      <c r="B132" s="2">
        <v>171</v>
      </c>
      <c r="C132" s="2">
        <v>66</v>
      </c>
      <c r="E132" s="2">
        <v>141</v>
      </c>
      <c r="F132" s="2">
        <v>172</v>
      </c>
      <c r="G132" s="2">
        <v>67</v>
      </c>
    </row>
    <row r="133" spans="1:7" x14ac:dyDescent="0.3">
      <c r="A133" s="2">
        <v>146</v>
      </c>
      <c r="B133" s="2">
        <v>171</v>
      </c>
      <c r="C133" s="2">
        <v>59</v>
      </c>
      <c r="E133" s="2">
        <v>154</v>
      </c>
      <c r="F133" s="2">
        <v>172</v>
      </c>
      <c r="G133" s="2">
        <v>67</v>
      </c>
    </row>
    <row r="134" spans="1:7" x14ac:dyDescent="0.3">
      <c r="A134" s="2">
        <v>153</v>
      </c>
      <c r="B134" s="2">
        <v>171</v>
      </c>
      <c r="C134" s="2">
        <v>57</v>
      </c>
      <c r="E134" s="2">
        <v>81</v>
      </c>
      <c r="F134" s="2">
        <v>174</v>
      </c>
      <c r="G134" s="2">
        <v>67</v>
      </c>
    </row>
    <row r="135" spans="1:7" x14ac:dyDescent="0.3">
      <c r="A135" s="2">
        <v>163</v>
      </c>
      <c r="B135" s="2">
        <v>171</v>
      </c>
      <c r="C135" s="2">
        <v>66</v>
      </c>
      <c r="E135" s="2">
        <v>122</v>
      </c>
      <c r="F135" s="2">
        <v>174</v>
      </c>
      <c r="G135" s="2">
        <v>67</v>
      </c>
    </row>
    <row r="136" spans="1:7" x14ac:dyDescent="0.3">
      <c r="A136" s="2">
        <v>174</v>
      </c>
      <c r="B136" s="2">
        <v>171</v>
      </c>
      <c r="C136" s="2">
        <v>66</v>
      </c>
      <c r="E136" s="2">
        <v>110</v>
      </c>
      <c r="F136" s="2">
        <v>175</v>
      </c>
      <c r="G136" s="2">
        <v>67</v>
      </c>
    </row>
    <row r="137" spans="1:7" x14ac:dyDescent="0.3">
      <c r="A137" s="2">
        <v>179</v>
      </c>
      <c r="B137" s="2">
        <v>171</v>
      </c>
      <c r="C137" s="2">
        <v>70</v>
      </c>
      <c r="E137" s="2">
        <v>155</v>
      </c>
      <c r="F137" s="2">
        <v>175</v>
      </c>
      <c r="G137" s="2">
        <v>67</v>
      </c>
    </row>
    <row r="138" spans="1:7" x14ac:dyDescent="0.3">
      <c r="A138" s="2">
        <v>184</v>
      </c>
      <c r="B138" s="2">
        <v>171</v>
      </c>
      <c r="C138" s="2">
        <v>64</v>
      </c>
      <c r="E138" s="2">
        <v>63</v>
      </c>
      <c r="F138" s="2">
        <v>176</v>
      </c>
      <c r="G138" s="2">
        <v>67</v>
      </c>
    </row>
    <row r="139" spans="1:7" x14ac:dyDescent="0.3">
      <c r="A139" s="2">
        <v>187</v>
      </c>
      <c r="B139" s="2">
        <v>171</v>
      </c>
      <c r="C139" s="2">
        <v>66</v>
      </c>
      <c r="E139" s="2">
        <v>102</v>
      </c>
      <c r="F139" s="2">
        <v>176</v>
      </c>
      <c r="G139" s="2">
        <v>67</v>
      </c>
    </row>
    <row r="140" spans="1:7" x14ac:dyDescent="0.3">
      <c r="A140" s="2">
        <v>195</v>
      </c>
      <c r="B140" s="2">
        <v>171</v>
      </c>
      <c r="C140" s="2">
        <v>69</v>
      </c>
      <c r="E140" s="2">
        <v>129</v>
      </c>
      <c r="F140" s="2">
        <v>176</v>
      </c>
      <c r="G140" s="2">
        <v>67</v>
      </c>
    </row>
    <row r="141" spans="1:7" x14ac:dyDescent="0.3">
      <c r="A141" s="2">
        <v>197</v>
      </c>
      <c r="B141" s="2">
        <v>171</v>
      </c>
      <c r="C141" s="2">
        <v>65</v>
      </c>
      <c r="E141" s="2">
        <v>37</v>
      </c>
      <c r="F141" s="2">
        <v>159</v>
      </c>
      <c r="G141" s="2">
        <v>68</v>
      </c>
    </row>
    <row r="142" spans="1:7" x14ac:dyDescent="0.3">
      <c r="A142" s="2">
        <v>198</v>
      </c>
      <c r="B142" s="2">
        <v>171</v>
      </c>
      <c r="C142" s="2">
        <v>69</v>
      </c>
      <c r="E142" s="2">
        <v>119</v>
      </c>
      <c r="F142" s="2">
        <v>167</v>
      </c>
      <c r="G142" s="2">
        <v>68</v>
      </c>
    </row>
    <row r="143" spans="1:7" x14ac:dyDescent="0.3">
      <c r="A143" s="2">
        <v>15</v>
      </c>
      <c r="B143" s="2">
        <v>172</v>
      </c>
      <c r="C143" s="2">
        <v>64</v>
      </c>
      <c r="E143" s="2">
        <v>45</v>
      </c>
      <c r="F143" s="2">
        <v>169</v>
      </c>
      <c r="G143" s="2">
        <v>68</v>
      </c>
    </row>
    <row r="144" spans="1:7" x14ac:dyDescent="0.3">
      <c r="A144" s="2">
        <v>17</v>
      </c>
      <c r="B144" s="2">
        <v>172</v>
      </c>
      <c r="C144" s="2">
        <v>78</v>
      </c>
      <c r="E144" s="2">
        <v>165</v>
      </c>
      <c r="F144" s="2">
        <v>169</v>
      </c>
      <c r="G144" s="2">
        <v>68</v>
      </c>
    </row>
    <row r="145" spans="1:7" x14ac:dyDescent="0.3">
      <c r="A145" s="2">
        <v>33</v>
      </c>
      <c r="B145" s="2">
        <v>172</v>
      </c>
      <c r="C145" s="2">
        <v>66</v>
      </c>
      <c r="E145" s="2">
        <v>105</v>
      </c>
      <c r="F145" s="2">
        <v>170</v>
      </c>
      <c r="G145" s="2">
        <v>68</v>
      </c>
    </row>
    <row r="146" spans="1:7" x14ac:dyDescent="0.3">
      <c r="A146" s="2">
        <v>54</v>
      </c>
      <c r="B146" s="2">
        <v>172</v>
      </c>
      <c r="C146" s="2">
        <v>72</v>
      </c>
      <c r="E146" s="2">
        <v>134</v>
      </c>
      <c r="F146" s="2">
        <v>184</v>
      </c>
      <c r="G146" s="2">
        <v>68</v>
      </c>
    </row>
    <row r="147" spans="1:7" x14ac:dyDescent="0.3">
      <c r="A147" s="2">
        <v>89</v>
      </c>
      <c r="B147" s="2">
        <v>172</v>
      </c>
      <c r="C147" s="2">
        <v>69</v>
      </c>
      <c r="E147" s="2">
        <v>46</v>
      </c>
      <c r="F147" s="2">
        <v>170</v>
      </c>
      <c r="G147" s="2">
        <v>69</v>
      </c>
    </row>
    <row r="148" spans="1:7" x14ac:dyDescent="0.3">
      <c r="A148" s="2">
        <v>96</v>
      </c>
      <c r="B148" s="2">
        <v>172</v>
      </c>
      <c r="C148" s="2">
        <v>66</v>
      </c>
      <c r="E148" s="2">
        <v>195</v>
      </c>
      <c r="F148" s="2">
        <v>171</v>
      </c>
      <c r="G148" s="2">
        <v>69</v>
      </c>
    </row>
    <row r="149" spans="1:7" x14ac:dyDescent="0.3">
      <c r="A149" s="2">
        <v>124</v>
      </c>
      <c r="B149" s="2">
        <v>172</v>
      </c>
      <c r="C149" s="2">
        <v>73</v>
      </c>
      <c r="E149" s="2">
        <v>198</v>
      </c>
      <c r="F149" s="2">
        <v>171</v>
      </c>
      <c r="G149" s="2">
        <v>69</v>
      </c>
    </row>
    <row r="150" spans="1:7" x14ac:dyDescent="0.3">
      <c r="A150" s="2">
        <v>141</v>
      </c>
      <c r="B150" s="2">
        <v>172</v>
      </c>
      <c r="C150" s="2">
        <v>67</v>
      </c>
      <c r="E150" s="2">
        <v>89</v>
      </c>
      <c r="F150" s="2">
        <v>172</v>
      </c>
      <c r="G150" s="2">
        <v>69</v>
      </c>
    </row>
    <row r="151" spans="1:7" x14ac:dyDescent="0.3">
      <c r="A151" s="2">
        <v>154</v>
      </c>
      <c r="B151" s="2">
        <v>172</v>
      </c>
      <c r="C151" s="2">
        <v>67</v>
      </c>
      <c r="E151" s="2">
        <v>199</v>
      </c>
      <c r="F151" s="2">
        <v>172</v>
      </c>
      <c r="G151" s="2">
        <v>69</v>
      </c>
    </row>
    <row r="152" spans="1:7" x14ac:dyDescent="0.3">
      <c r="A152" s="2">
        <v>156</v>
      </c>
      <c r="B152" s="2">
        <v>172</v>
      </c>
      <c r="C152" s="2">
        <v>70</v>
      </c>
      <c r="E152" s="2">
        <v>5</v>
      </c>
      <c r="F152" s="2">
        <v>173</v>
      </c>
      <c r="G152" s="2">
        <v>69</v>
      </c>
    </row>
    <row r="153" spans="1:7" x14ac:dyDescent="0.3">
      <c r="A153" s="2">
        <v>168</v>
      </c>
      <c r="B153" s="2">
        <v>172</v>
      </c>
      <c r="C153" s="2">
        <v>74</v>
      </c>
      <c r="E153" s="2">
        <v>125</v>
      </c>
      <c r="F153" s="2">
        <v>173</v>
      </c>
      <c r="G153" s="2">
        <v>69</v>
      </c>
    </row>
    <row r="154" spans="1:7" x14ac:dyDescent="0.3">
      <c r="A154" s="2">
        <v>172</v>
      </c>
      <c r="B154" s="2">
        <v>172</v>
      </c>
      <c r="C154" s="2">
        <v>63</v>
      </c>
      <c r="E154" s="2">
        <v>164</v>
      </c>
      <c r="F154" s="2">
        <v>173</v>
      </c>
      <c r="G154" s="2">
        <v>69</v>
      </c>
    </row>
    <row r="155" spans="1:7" x14ac:dyDescent="0.3">
      <c r="A155" s="2">
        <v>183</v>
      </c>
      <c r="B155" s="2">
        <v>172</v>
      </c>
      <c r="C155" s="2">
        <v>65</v>
      </c>
      <c r="E155" s="2">
        <v>167</v>
      </c>
      <c r="F155" s="2">
        <v>173</v>
      </c>
      <c r="G155" s="2">
        <v>69</v>
      </c>
    </row>
    <row r="156" spans="1:7" x14ac:dyDescent="0.3">
      <c r="A156" s="2">
        <v>199</v>
      </c>
      <c r="B156" s="2">
        <v>172</v>
      </c>
      <c r="C156" s="2">
        <v>69</v>
      </c>
      <c r="E156" s="2">
        <v>169</v>
      </c>
      <c r="F156" s="2">
        <v>173</v>
      </c>
      <c r="G156" s="2">
        <v>69</v>
      </c>
    </row>
    <row r="157" spans="1:7" x14ac:dyDescent="0.3">
      <c r="A157" s="2">
        <v>5</v>
      </c>
      <c r="B157" s="2">
        <v>173</v>
      </c>
      <c r="C157" s="2">
        <v>69</v>
      </c>
      <c r="E157" s="2">
        <v>2</v>
      </c>
      <c r="F157" s="2">
        <v>178</v>
      </c>
      <c r="G157" s="2">
        <v>69</v>
      </c>
    </row>
    <row r="158" spans="1:7" x14ac:dyDescent="0.3">
      <c r="A158" s="2">
        <v>62</v>
      </c>
      <c r="B158" s="2">
        <v>173</v>
      </c>
      <c r="C158" s="2">
        <v>75</v>
      </c>
      <c r="E158" s="2">
        <v>50</v>
      </c>
      <c r="F158" s="2">
        <v>178</v>
      </c>
      <c r="G158" s="2">
        <v>69</v>
      </c>
    </row>
    <row r="159" spans="1:7" x14ac:dyDescent="0.3">
      <c r="A159" s="2">
        <v>125</v>
      </c>
      <c r="B159" s="2">
        <v>173</v>
      </c>
      <c r="C159" s="2">
        <v>69</v>
      </c>
      <c r="E159" s="2">
        <v>101</v>
      </c>
      <c r="F159" s="2">
        <v>164</v>
      </c>
      <c r="G159" s="2">
        <v>70</v>
      </c>
    </row>
    <row r="160" spans="1:7" x14ac:dyDescent="0.3">
      <c r="A160" s="2">
        <v>144</v>
      </c>
      <c r="B160" s="2">
        <v>173</v>
      </c>
      <c r="C160" s="2">
        <v>72</v>
      </c>
      <c r="E160" s="2">
        <v>173</v>
      </c>
      <c r="F160" s="2">
        <v>168</v>
      </c>
      <c r="G160" s="2">
        <v>70</v>
      </c>
    </row>
    <row r="161" spans="1:7" x14ac:dyDescent="0.3">
      <c r="A161" s="2">
        <v>159</v>
      </c>
      <c r="B161" s="2">
        <v>173</v>
      </c>
      <c r="C161" s="2">
        <v>66</v>
      </c>
      <c r="E161" s="2">
        <v>196</v>
      </c>
      <c r="F161" s="2">
        <v>168</v>
      </c>
      <c r="G161" s="2">
        <v>70</v>
      </c>
    </row>
    <row r="162" spans="1:7" x14ac:dyDescent="0.3">
      <c r="A162" s="2">
        <v>164</v>
      </c>
      <c r="B162" s="2">
        <v>173</v>
      </c>
      <c r="C162" s="2">
        <v>69</v>
      </c>
      <c r="E162" s="2">
        <v>180</v>
      </c>
      <c r="F162" s="2">
        <v>169</v>
      </c>
      <c r="G162" s="2">
        <v>70</v>
      </c>
    </row>
    <row r="163" spans="1:7" x14ac:dyDescent="0.3">
      <c r="A163" s="2">
        <v>167</v>
      </c>
      <c r="B163" s="2">
        <v>173</v>
      </c>
      <c r="C163" s="2">
        <v>69</v>
      </c>
      <c r="E163" s="2">
        <v>3</v>
      </c>
      <c r="F163" s="2">
        <v>170</v>
      </c>
      <c r="G163" s="2">
        <v>70</v>
      </c>
    </row>
    <row r="164" spans="1:7" x14ac:dyDescent="0.3">
      <c r="A164" s="2">
        <v>169</v>
      </c>
      <c r="B164" s="2">
        <v>173</v>
      </c>
      <c r="C164" s="2">
        <v>69</v>
      </c>
      <c r="E164" s="2">
        <v>179</v>
      </c>
      <c r="F164" s="2">
        <v>171</v>
      </c>
      <c r="G164" s="2">
        <v>70</v>
      </c>
    </row>
    <row r="165" spans="1:7" x14ac:dyDescent="0.3">
      <c r="A165" s="2">
        <v>175</v>
      </c>
      <c r="B165" s="2">
        <v>173</v>
      </c>
      <c r="C165" s="2">
        <v>65</v>
      </c>
      <c r="E165" s="2">
        <v>156</v>
      </c>
      <c r="F165" s="2">
        <v>172</v>
      </c>
      <c r="G165" s="2">
        <v>70</v>
      </c>
    </row>
    <row r="166" spans="1:7" x14ac:dyDescent="0.3">
      <c r="A166" s="2">
        <v>21</v>
      </c>
      <c r="B166" s="2">
        <v>174</v>
      </c>
      <c r="C166" s="2">
        <v>75</v>
      </c>
      <c r="E166" s="2">
        <v>6</v>
      </c>
      <c r="F166" s="2">
        <v>176</v>
      </c>
      <c r="G166" s="2">
        <v>70</v>
      </c>
    </row>
    <row r="167" spans="1:7" x14ac:dyDescent="0.3">
      <c r="A167" s="2">
        <v>81</v>
      </c>
      <c r="B167" s="2">
        <v>174</v>
      </c>
      <c r="C167" s="2">
        <v>67</v>
      </c>
      <c r="E167" s="2">
        <v>91</v>
      </c>
      <c r="F167" s="2">
        <v>166</v>
      </c>
      <c r="G167" s="2">
        <v>71</v>
      </c>
    </row>
    <row r="168" spans="1:7" x14ac:dyDescent="0.3">
      <c r="A168" s="2">
        <v>122</v>
      </c>
      <c r="B168" s="2">
        <v>174</v>
      </c>
      <c r="C168" s="2">
        <v>67</v>
      </c>
      <c r="E168" s="2">
        <v>100</v>
      </c>
      <c r="F168" s="2">
        <v>169</v>
      </c>
      <c r="G168" s="2">
        <v>71</v>
      </c>
    </row>
    <row r="169" spans="1:7" x14ac:dyDescent="0.3">
      <c r="A169" s="2">
        <v>160</v>
      </c>
      <c r="B169" s="2">
        <v>174</v>
      </c>
      <c r="C169" s="2">
        <v>79</v>
      </c>
      <c r="E169" s="2">
        <v>162</v>
      </c>
      <c r="F169" s="2">
        <v>176</v>
      </c>
      <c r="G169" s="2">
        <v>71</v>
      </c>
    </row>
    <row r="170" spans="1:7" x14ac:dyDescent="0.3">
      <c r="A170" s="2">
        <v>194</v>
      </c>
      <c r="B170" s="2">
        <v>174</v>
      </c>
      <c r="C170" s="2">
        <v>74</v>
      </c>
      <c r="E170" s="2">
        <v>150</v>
      </c>
      <c r="F170" s="2">
        <v>178</v>
      </c>
      <c r="G170" s="2">
        <v>71</v>
      </c>
    </row>
    <row r="171" spans="1:7" x14ac:dyDescent="0.3">
      <c r="A171" s="2">
        <v>30</v>
      </c>
      <c r="B171" s="2">
        <v>175</v>
      </c>
      <c r="C171" s="2">
        <v>75</v>
      </c>
      <c r="E171" s="2">
        <v>131</v>
      </c>
      <c r="F171" s="2">
        <v>179</v>
      </c>
      <c r="G171" s="2">
        <v>71</v>
      </c>
    </row>
    <row r="172" spans="1:7" x14ac:dyDescent="0.3">
      <c r="A172" s="2">
        <v>39</v>
      </c>
      <c r="B172" s="2">
        <v>175</v>
      </c>
      <c r="C172" s="2">
        <v>75</v>
      </c>
      <c r="E172" s="2">
        <v>95</v>
      </c>
      <c r="F172" s="2">
        <v>165</v>
      </c>
      <c r="G172" s="2">
        <v>72</v>
      </c>
    </row>
    <row r="173" spans="1:7" x14ac:dyDescent="0.3">
      <c r="A173" s="2">
        <v>79</v>
      </c>
      <c r="B173" s="2">
        <v>175</v>
      </c>
      <c r="C173" s="2">
        <v>66</v>
      </c>
      <c r="E173" s="2">
        <v>54</v>
      </c>
      <c r="F173" s="2">
        <v>172</v>
      </c>
      <c r="G173" s="2">
        <v>72</v>
      </c>
    </row>
    <row r="174" spans="1:7" x14ac:dyDescent="0.3">
      <c r="A174" s="2">
        <v>108</v>
      </c>
      <c r="B174" s="2">
        <v>175</v>
      </c>
      <c r="C174" s="2">
        <v>75</v>
      </c>
      <c r="E174" s="2">
        <v>144</v>
      </c>
      <c r="F174" s="2">
        <v>173</v>
      </c>
      <c r="G174" s="2">
        <v>72</v>
      </c>
    </row>
    <row r="175" spans="1:7" x14ac:dyDescent="0.3">
      <c r="A175" s="2">
        <v>110</v>
      </c>
      <c r="B175" s="2">
        <v>175</v>
      </c>
      <c r="C175" s="2">
        <v>67</v>
      </c>
      <c r="E175" s="2">
        <v>136</v>
      </c>
      <c r="F175" s="2">
        <v>176</v>
      </c>
      <c r="G175" s="2">
        <v>72</v>
      </c>
    </row>
    <row r="176" spans="1:7" x14ac:dyDescent="0.3">
      <c r="A176" s="2">
        <v>155</v>
      </c>
      <c r="B176" s="2">
        <v>175</v>
      </c>
      <c r="C176" s="2">
        <v>67</v>
      </c>
      <c r="E176" s="2">
        <v>186</v>
      </c>
      <c r="F176" s="2">
        <v>177</v>
      </c>
      <c r="G176" s="2">
        <v>72</v>
      </c>
    </row>
    <row r="177" spans="1:7" x14ac:dyDescent="0.3">
      <c r="A177" s="2">
        <v>6</v>
      </c>
      <c r="B177" s="2">
        <v>176</v>
      </c>
      <c r="C177" s="2">
        <v>70</v>
      </c>
      <c r="E177" s="2">
        <v>140</v>
      </c>
      <c r="F177" s="2">
        <v>186</v>
      </c>
      <c r="G177" s="2">
        <v>72</v>
      </c>
    </row>
    <row r="178" spans="1:7" x14ac:dyDescent="0.3">
      <c r="A178" s="2">
        <v>25</v>
      </c>
      <c r="B178" s="2">
        <v>176</v>
      </c>
      <c r="C178" s="2">
        <v>62</v>
      </c>
      <c r="E178" s="2">
        <v>124</v>
      </c>
      <c r="F178" s="2">
        <v>172</v>
      </c>
      <c r="G178" s="2">
        <v>73</v>
      </c>
    </row>
    <row r="179" spans="1:7" x14ac:dyDescent="0.3">
      <c r="A179" s="2">
        <v>63</v>
      </c>
      <c r="B179" s="2">
        <v>176</v>
      </c>
      <c r="C179" s="2">
        <v>67</v>
      </c>
      <c r="E179" s="2">
        <v>19</v>
      </c>
      <c r="F179" s="2">
        <v>169</v>
      </c>
      <c r="G179" s="2">
        <v>74</v>
      </c>
    </row>
    <row r="180" spans="1:7" x14ac:dyDescent="0.3">
      <c r="A180" s="2">
        <v>102</v>
      </c>
      <c r="B180" s="2">
        <v>176</v>
      </c>
      <c r="C180" s="2">
        <v>67</v>
      </c>
      <c r="E180" s="2">
        <v>168</v>
      </c>
      <c r="F180" s="2">
        <v>172</v>
      </c>
      <c r="G180" s="2">
        <v>74</v>
      </c>
    </row>
    <row r="181" spans="1:7" x14ac:dyDescent="0.3">
      <c r="A181" s="2">
        <v>118</v>
      </c>
      <c r="B181" s="2">
        <v>176</v>
      </c>
      <c r="C181" s="2">
        <v>77</v>
      </c>
      <c r="E181" s="2">
        <v>194</v>
      </c>
      <c r="F181" s="2">
        <v>174</v>
      </c>
      <c r="G181" s="2">
        <v>74</v>
      </c>
    </row>
    <row r="182" spans="1:7" x14ac:dyDescent="0.3">
      <c r="A182" s="2">
        <v>129</v>
      </c>
      <c r="B182" s="2">
        <v>176</v>
      </c>
      <c r="C182" s="2">
        <v>67</v>
      </c>
      <c r="E182" s="2">
        <v>60</v>
      </c>
      <c r="F182" s="2">
        <v>169</v>
      </c>
      <c r="G182" s="2">
        <v>75</v>
      </c>
    </row>
    <row r="183" spans="1:7" x14ac:dyDescent="0.3">
      <c r="A183" s="2">
        <v>133</v>
      </c>
      <c r="B183" s="2">
        <v>176</v>
      </c>
      <c r="C183" s="2">
        <v>65</v>
      </c>
      <c r="E183" s="2">
        <v>121</v>
      </c>
      <c r="F183" s="2">
        <v>170</v>
      </c>
      <c r="G183" s="2">
        <v>75</v>
      </c>
    </row>
    <row r="184" spans="1:7" x14ac:dyDescent="0.3">
      <c r="A184" s="2">
        <v>136</v>
      </c>
      <c r="B184" s="2">
        <v>176</v>
      </c>
      <c r="C184" s="2">
        <v>72</v>
      </c>
      <c r="E184" s="2">
        <v>92</v>
      </c>
      <c r="F184" s="2">
        <v>171</v>
      </c>
      <c r="G184" s="2">
        <v>75</v>
      </c>
    </row>
    <row r="185" spans="1:7" x14ac:dyDescent="0.3">
      <c r="A185" s="2">
        <v>162</v>
      </c>
      <c r="B185" s="2">
        <v>176</v>
      </c>
      <c r="C185" s="2">
        <v>71</v>
      </c>
      <c r="E185" s="2">
        <v>62</v>
      </c>
      <c r="F185" s="2">
        <v>173</v>
      </c>
      <c r="G185" s="2">
        <v>75</v>
      </c>
    </row>
    <row r="186" spans="1:7" x14ac:dyDescent="0.3">
      <c r="A186" s="2">
        <v>106</v>
      </c>
      <c r="B186" s="2">
        <v>177</v>
      </c>
      <c r="C186" s="2">
        <v>60</v>
      </c>
      <c r="E186" s="2">
        <v>21</v>
      </c>
      <c r="F186" s="2">
        <v>174</v>
      </c>
      <c r="G186" s="2">
        <v>75</v>
      </c>
    </row>
    <row r="187" spans="1:7" x14ac:dyDescent="0.3">
      <c r="A187" s="2">
        <v>186</v>
      </c>
      <c r="B187" s="2">
        <v>177</v>
      </c>
      <c r="C187" s="2">
        <v>72</v>
      </c>
      <c r="E187" s="2">
        <v>30</v>
      </c>
      <c r="F187" s="2">
        <v>175</v>
      </c>
      <c r="G187" s="2">
        <v>75</v>
      </c>
    </row>
    <row r="188" spans="1:7" x14ac:dyDescent="0.3">
      <c r="A188" s="2">
        <v>2</v>
      </c>
      <c r="B188" s="2">
        <v>178</v>
      </c>
      <c r="C188" s="2">
        <v>69</v>
      </c>
      <c r="E188" s="2">
        <v>39</v>
      </c>
      <c r="F188" s="2">
        <v>175</v>
      </c>
      <c r="G188" s="2">
        <v>75</v>
      </c>
    </row>
    <row r="189" spans="1:7" x14ac:dyDescent="0.3">
      <c r="A189" s="2">
        <v>18</v>
      </c>
      <c r="B189" s="2">
        <v>178</v>
      </c>
      <c r="C189" s="2">
        <v>75</v>
      </c>
      <c r="E189" s="2">
        <v>108</v>
      </c>
      <c r="F189" s="2">
        <v>175</v>
      </c>
      <c r="G189" s="2">
        <v>75</v>
      </c>
    </row>
    <row r="190" spans="1:7" x14ac:dyDescent="0.3">
      <c r="A190" s="2">
        <v>48</v>
      </c>
      <c r="B190" s="2">
        <v>178</v>
      </c>
      <c r="C190" s="2">
        <v>75</v>
      </c>
      <c r="E190" s="2">
        <v>18</v>
      </c>
      <c r="F190" s="2">
        <v>178</v>
      </c>
      <c r="G190" s="2">
        <v>75</v>
      </c>
    </row>
    <row r="191" spans="1:7" x14ac:dyDescent="0.3">
      <c r="A191" s="2">
        <v>50</v>
      </c>
      <c r="B191" s="2">
        <v>178</v>
      </c>
      <c r="C191" s="2">
        <v>69</v>
      </c>
      <c r="E191" s="2">
        <v>48</v>
      </c>
      <c r="F191" s="2">
        <v>178</v>
      </c>
      <c r="G191" s="2">
        <v>75</v>
      </c>
    </row>
    <row r="192" spans="1:7" x14ac:dyDescent="0.3">
      <c r="A192" s="2">
        <v>68</v>
      </c>
      <c r="B192" s="2">
        <v>178</v>
      </c>
      <c r="C192" s="2">
        <v>80</v>
      </c>
      <c r="E192" s="2">
        <v>107</v>
      </c>
      <c r="F192" s="2">
        <v>180</v>
      </c>
      <c r="G192" s="2">
        <v>75</v>
      </c>
    </row>
    <row r="193" spans="1:7" x14ac:dyDescent="0.3">
      <c r="A193" s="2">
        <v>150</v>
      </c>
      <c r="B193" s="2">
        <v>178</v>
      </c>
      <c r="C193" s="2">
        <v>71</v>
      </c>
      <c r="E193" s="2">
        <v>90</v>
      </c>
      <c r="F193" s="2">
        <v>165</v>
      </c>
      <c r="G193" s="2">
        <v>76</v>
      </c>
    </row>
    <row r="194" spans="1:7" x14ac:dyDescent="0.3">
      <c r="A194" s="2">
        <v>131</v>
      </c>
      <c r="B194" s="2">
        <v>179</v>
      </c>
      <c r="C194" s="2">
        <v>71</v>
      </c>
      <c r="E194" s="2">
        <v>118</v>
      </c>
      <c r="F194" s="2">
        <v>176</v>
      </c>
      <c r="G194" s="2">
        <v>77</v>
      </c>
    </row>
    <row r="195" spans="1:7" x14ac:dyDescent="0.3">
      <c r="A195" s="2">
        <v>42</v>
      </c>
      <c r="B195" s="2">
        <v>180</v>
      </c>
      <c r="C195" s="2">
        <v>65</v>
      </c>
      <c r="E195" s="2">
        <v>14</v>
      </c>
      <c r="F195" s="2">
        <v>181</v>
      </c>
      <c r="G195" s="2">
        <v>77</v>
      </c>
    </row>
    <row r="196" spans="1:7" x14ac:dyDescent="0.3">
      <c r="A196" s="2">
        <v>107</v>
      </c>
      <c r="B196" s="2">
        <v>180</v>
      </c>
      <c r="C196" s="2">
        <v>75</v>
      </c>
      <c r="E196" s="2">
        <v>83</v>
      </c>
      <c r="F196" s="2">
        <v>166</v>
      </c>
      <c r="G196" s="2">
        <v>78</v>
      </c>
    </row>
    <row r="197" spans="1:7" x14ac:dyDescent="0.3">
      <c r="A197" s="2">
        <v>116</v>
      </c>
      <c r="B197" s="2">
        <v>180</v>
      </c>
      <c r="C197" s="2">
        <v>65</v>
      </c>
      <c r="E197" s="2">
        <v>185</v>
      </c>
      <c r="F197" s="2">
        <v>166</v>
      </c>
      <c r="G197" s="2">
        <v>78</v>
      </c>
    </row>
    <row r="198" spans="1:7" x14ac:dyDescent="0.3">
      <c r="A198" s="2">
        <v>14</v>
      </c>
      <c r="B198" s="2">
        <v>181</v>
      </c>
      <c r="C198" s="2">
        <v>77</v>
      </c>
      <c r="E198" s="2">
        <v>17</v>
      </c>
      <c r="F198" s="2">
        <v>172</v>
      </c>
      <c r="G198" s="2">
        <v>78</v>
      </c>
    </row>
    <row r="199" spans="1:7" x14ac:dyDescent="0.3">
      <c r="A199" s="2">
        <v>134</v>
      </c>
      <c r="B199" s="2">
        <v>184</v>
      </c>
      <c r="C199" s="2">
        <v>68</v>
      </c>
      <c r="E199" s="2">
        <v>160</v>
      </c>
      <c r="F199" s="2">
        <v>174</v>
      </c>
      <c r="G199" s="2">
        <v>79</v>
      </c>
    </row>
    <row r="200" spans="1:7" x14ac:dyDescent="0.3">
      <c r="A200" s="2">
        <v>149</v>
      </c>
      <c r="B200" s="2">
        <v>185</v>
      </c>
      <c r="C200" s="2">
        <v>82</v>
      </c>
      <c r="E200" s="2">
        <v>68</v>
      </c>
      <c r="F200" s="2">
        <v>178</v>
      </c>
      <c r="G200" s="2">
        <v>80</v>
      </c>
    </row>
    <row r="201" spans="1:7" x14ac:dyDescent="0.3">
      <c r="A201" s="2">
        <v>140</v>
      </c>
      <c r="B201" s="2">
        <v>186</v>
      </c>
      <c r="C201" s="2">
        <v>72</v>
      </c>
      <c r="E201" s="2">
        <v>149</v>
      </c>
      <c r="F201" s="2">
        <v>185</v>
      </c>
      <c r="G201" s="2">
        <v>82</v>
      </c>
    </row>
  </sheetData>
  <sortState xmlns:xlrd2="http://schemas.microsoft.com/office/spreadsheetml/2017/richdata2" ref="E2:G201">
    <sortCondition ref="G1:G201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DD1F4-4AF1-4E8B-B791-25A84FF378CC}">
  <dimension ref="A1:J34"/>
  <sheetViews>
    <sheetView workbookViewId="0">
      <selection activeCell="J2" sqref="J2"/>
    </sheetView>
  </sheetViews>
  <sheetFormatPr defaultRowHeight="14.4" x14ac:dyDescent="0.3"/>
  <sheetData>
    <row r="1" spans="1:10" x14ac:dyDescent="0.3">
      <c r="A1" s="20" t="s">
        <v>1</v>
      </c>
      <c r="B1" s="20"/>
      <c r="C1" s="20"/>
      <c r="D1" s="20"/>
      <c r="E1" s="20"/>
    </row>
    <row r="2" spans="1:10" x14ac:dyDescent="0.3">
      <c r="A2" s="5" t="s">
        <v>10</v>
      </c>
      <c r="C2" s="5"/>
      <c r="E2" s="6">
        <f>ROUNDUP((MAX(рост) - MIN(рост)) / 10, 2)</f>
        <v>2.9</v>
      </c>
      <c r="G2" t="s">
        <v>19</v>
      </c>
      <c r="J2">
        <f>COUNT(рост)</f>
        <v>200</v>
      </c>
    </row>
    <row r="3" spans="1:10" x14ac:dyDescent="0.3">
      <c r="G3" s="21" t="s">
        <v>34</v>
      </c>
      <c r="H3" s="21"/>
      <c r="I3" s="21"/>
      <c r="J3">
        <v>10</v>
      </c>
    </row>
    <row r="4" spans="1:10" x14ac:dyDescent="0.3">
      <c r="A4" s="19" t="s">
        <v>3</v>
      </c>
      <c r="B4" s="19" t="s">
        <v>4</v>
      </c>
      <c r="C4" s="19"/>
      <c r="D4" s="19" t="s">
        <v>7</v>
      </c>
      <c r="E4" s="19" t="s">
        <v>8</v>
      </c>
      <c r="G4" s="16"/>
      <c r="H4" s="16"/>
      <c r="I4" s="16"/>
    </row>
    <row r="5" spans="1:10" x14ac:dyDescent="0.3">
      <c r="A5" s="19"/>
      <c r="B5" s="7" t="s">
        <v>5</v>
      </c>
      <c r="C5" s="7" t="s">
        <v>6</v>
      </c>
      <c r="D5" s="19"/>
      <c r="E5" s="19"/>
    </row>
    <row r="6" spans="1:10" x14ac:dyDescent="0.3">
      <c r="A6" s="9">
        <v>1</v>
      </c>
      <c r="B6" s="8">
        <f>MIN(рост)</f>
        <v>157</v>
      </c>
      <c r="C6" s="8">
        <f t="shared" ref="C6:C15" si="0">B6 + шаг_рост</f>
        <v>159.9</v>
      </c>
      <c r="D6" s="8" cm="1">
        <f t="array" ref="D6:D15">FREQUENCY(рост,C6:C14)</f>
        <v>5</v>
      </c>
      <c r="E6" s="8">
        <f t="shared" ref="E6:E15" si="1">D6 / COUNT(рост)</f>
        <v>2.5000000000000001E-2</v>
      </c>
    </row>
    <row r="7" spans="1:10" x14ac:dyDescent="0.3">
      <c r="A7" s="9">
        <v>2</v>
      </c>
      <c r="B7" s="8">
        <f t="shared" ref="B7:B15" si="2">C6</f>
        <v>159.9</v>
      </c>
      <c r="C7" s="8">
        <f t="shared" si="0"/>
        <v>162.80000000000001</v>
      </c>
      <c r="D7" s="8">
        <v>15</v>
      </c>
      <c r="E7" s="8">
        <f t="shared" si="1"/>
        <v>7.4999999999999997E-2</v>
      </c>
    </row>
    <row r="8" spans="1:10" x14ac:dyDescent="0.3">
      <c r="A8" s="9">
        <v>3</v>
      </c>
      <c r="B8" s="8">
        <f t="shared" si="2"/>
        <v>162.80000000000001</v>
      </c>
      <c r="C8" s="8">
        <f t="shared" si="0"/>
        <v>165.70000000000002</v>
      </c>
      <c r="D8" s="8">
        <v>39</v>
      </c>
      <c r="E8" s="8">
        <f t="shared" si="1"/>
        <v>0.19500000000000001</v>
      </c>
    </row>
    <row r="9" spans="1:10" x14ac:dyDescent="0.3">
      <c r="A9" s="9">
        <v>4</v>
      </c>
      <c r="B9" s="8">
        <f t="shared" si="2"/>
        <v>165.70000000000002</v>
      </c>
      <c r="C9" s="8">
        <f t="shared" si="0"/>
        <v>168.60000000000002</v>
      </c>
      <c r="D9" s="8">
        <v>34</v>
      </c>
      <c r="E9" s="8">
        <f t="shared" si="1"/>
        <v>0.17</v>
      </c>
    </row>
    <row r="10" spans="1:10" x14ac:dyDescent="0.3">
      <c r="A10" s="9">
        <v>5</v>
      </c>
      <c r="B10" s="8">
        <f t="shared" si="2"/>
        <v>168.60000000000002</v>
      </c>
      <c r="C10" s="8">
        <f t="shared" si="0"/>
        <v>171.50000000000003</v>
      </c>
      <c r="D10" s="8">
        <v>48</v>
      </c>
      <c r="E10" s="8">
        <f t="shared" si="1"/>
        <v>0.24</v>
      </c>
    </row>
    <row r="11" spans="1:10" x14ac:dyDescent="0.3">
      <c r="A11" s="9">
        <v>6</v>
      </c>
      <c r="B11" s="8">
        <f t="shared" si="2"/>
        <v>171.50000000000003</v>
      </c>
      <c r="C11" s="8">
        <f t="shared" si="0"/>
        <v>174.40000000000003</v>
      </c>
      <c r="D11" s="8">
        <v>28</v>
      </c>
      <c r="E11" s="8">
        <f t="shared" si="1"/>
        <v>0.14000000000000001</v>
      </c>
    </row>
    <row r="12" spans="1:10" x14ac:dyDescent="0.3">
      <c r="A12" s="9">
        <v>7</v>
      </c>
      <c r="B12" s="8">
        <f t="shared" si="2"/>
        <v>174.40000000000003</v>
      </c>
      <c r="C12" s="8">
        <f t="shared" si="0"/>
        <v>177.30000000000004</v>
      </c>
      <c r="D12" s="8">
        <v>17</v>
      </c>
      <c r="E12" s="8">
        <f t="shared" si="1"/>
        <v>8.5000000000000006E-2</v>
      </c>
    </row>
    <row r="13" spans="1:10" x14ac:dyDescent="0.3">
      <c r="A13" s="9">
        <v>8</v>
      </c>
      <c r="B13" s="8">
        <f t="shared" si="2"/>
        <v>177.30000000000004</v>
      </c>
      <c r="C13" s="8">
        <f t="shared" si="0"/>
        <v>180.20000000000005</v>
      </c>
      <c r="D13" s="8">
        <v>10</v>
      </c>
      <c r="E13" s="8">
        <f t="shared" si="1"/>
        <v>0.05</v>
      </c>
    </row>
    <row r="14" spans="1:10" x14ac:dyDescent="0.3">
      <c r="A14" s="9">
        <v>9</v>
      </c>
      <c r="B14" s="8">
        <f t="shared" si="2"/>
        <v>180.20000000000005</v>
      </c>
      <c r="C14" s="8">
        <f t="shared" si="0"/>
        <v>183.10000000000005</v>
      </c>
      <c r="D14" s="8">
        <v>1</v>
      </c>
      <c r="E14" s="8">
        <f t="shared" si="1"/>
        <v>5.0000000000000001E-3</v>
      </c>
    </row>
    <row r="15" spans="1:10" x14ac:dyDescent="0.3">
      <c r="A15" s="9">
        <v>10</v>
      </c>
      <c r="B15" s="8">
        <f t="shared" si="2"/>
        <v>183.10000000000005</v>
      </c>
      <c r="C15" s="8">
        <f t="shared" si="0"/>
        <v>186.00000000000006</v>
      </c>
      <c r="D15" s="8">
        <v>3</v>
      </c>
      <c r="E15" s="8">
        <f t="shared" si="1"/>
        <v>1.4999999999999999E-2</v>
      </c>
    </row>
    <row r="16" spans="1:10" x14ac:dyDescent="0.3">
      <c r="A16" s="8" t="s">
        <v>9</v>
      </c>
      <c r="B16" s="8"/>
      <c r="C16" s="8"/>
      <c r="D16" s="8">
        <f>SUM(_xlfn.ANCHORARRAY(D6))</f>
        <v>200</v>
      </c>
      <c r="E16" s="10">
        <f>SUM(E6:E15)</f>
        <v>1</v>
      </c>
    </row>
    <row r="19" spans="1:5" x14ac:dyDescent="0.3">
      <c r="A19" s="20" t="s">
        <v>2</v>
      </c>
      <c r="B19" s="20"/>
      <c r="C19" s="20"/>
      <c r="D19" s="20"/>
      <c r="E19" s="20"/>
    </row>
    <row r="20" spans="1:5" x14ac:dyDescent="0.3">
      <c r="A20" s="5" t="s">
        <v>10</v>
      </c>
      <c r="C20" s="5"/>
      <c r="E20" s="6">
        <f>ROUNDUP((MAX(вес) - MIN(вес)) / 10, 2)</f>
        <v>3.1</v>
      </c>
    </row>
    <row r="22" spans="1:5" x14ac:dyDescent="0.3">
      <c r="A22" s="19" t="s">
        <v>3</v>
      </c>
      <c r="B22" s="19" t="s">
        <v>4</v>
      </c>
      <c r="C22" s="19"/>
      <c r="D22" s="19" t="s">
        <v>7</v>
      </c>
      <c r="E22" s="19" t="s">
        <v>8</v>
      </c>
    </row>
    <row r="23" spans="1:5" x14ac:dyDescent="0.3">
      <c r="A23" s="19"/>
      <c r="B23" s="7" t="s">
        <v>5</v>
      </c>
      <c r="C23" s="7" t="s">
        <v>6</v>
      </c>
      <c r="D23" s="19"/>
      <c r="E23" s="19"/>
    </row>
    <row r="24" spans="1:5" x14ac:dyDescent="0.3">
      <c r="A24" s="9">
        <v>1</v>
      </c>
      <c r="B24" s="8">
        <f>MIN(вес)</f>
        <v>51</v>
      </c>
      <c r="C24" s="8">
        <f t="shared" ref="C24:C33" si="3">B24 + шаг_вес</f>
        <v>54.1</v>
      </c>
      <c r="D24" s="8" cm="1">
        <f t="array" ref="D24:D33">FREQUENCY(вес,C24:C32)</f>
        <v>8</v>
      </c>
      <c r="E24" s="8">
        <f t="shared" ref="E24:E33" si="4">D24 / COUNT(вес)</f>
        <v>0.04</v>
      </c>
    </row>
    <row r="25" spans="1:5" x14ac:dyDescent="0.3">
      <c r="A25" s="9">
        <v>2</v>
      </c>
      <c r="B25" s="8">
        <f t="shared" ref="B25:B33" si="5">C24</f>
        <v>54.1</v>
      </c>
      <c r="C25" s="8">
        <f t="shared" si="3"/>
        <v>57.2</v>
      </c>
      <c r="D25" s="8">
        <v>18</v>
      </c>
      <c r="E25" s="8">
        <f t="shared" si="4"/>
        <v>0.09</v>
      </c>
    </row>
    <row r="26" spans="1:5" x14ac:dyDescent="0.3">
      <c r="A26" s="9">
        <v>3</v>
      </c>
      <c r="B26" s="8">
        <f t="shared" si="5"/>
        <v>57.2</v>
      </c>
      <c r="C26" s="8">
        <f t="shared" si="3"/>
        <v>60.300000000000004</v>
      </c>
      <c r="D26" s="8">
        <v>19</v>
      </c>
      <c r="E26" s="8">
        <f t="shared" si="4"/>
        <v>9.5000000000000001E-2</v>
      </c>
    </row>
    <row r="27" spans="1:5" x14ac:dyDescent="0.3">
      <c r="A27" s="9">
        <v>4</v>
      </c>
      <c r="B27" s="8">
        <f t="shared" si="5"/>
        <v>60.300000000000004</v>
      </c>
      <c r="C27" s="8">
        <f t="shared" si="3"/>
        <v>63.400000000000006</v>
      </c>
      <c r="D27" s="8">
        <v>33</v>
      </c>
      <c r="E27" s="8">
        <f t="shared" si="4"/>
        <v>0.16500000000000001</v>
      </c>
    </row>
    <row r="28" spans="1:5" x14ac:dyDescent="0.3">
      <c r="A28" s="9">
        <v>5</v>
      </c>
      <c r="B28" s="8">
        <f t="shared" si="5"/>
        <v>63.400000000000006</v>
      </c>
      <c r="C28" s="8">
        <f t="shared" si="3"/>
        <v>66.5</v>
      </c>
      <c r="D28" s="8">
        <v>41</v>
      </c>
      <c r="E28" s="8">
        <f t="shared" si="4"/>
        <v>0.20499999999999999</v>
      </c>
    </row>
    <row r="29" spans="1:5" x14ac:dyDescent="0.3">
      <c r="A29" s="9">
        <v>6</v>
      </c>
      <c r="B29" s="8">
        <f t="shared" si="5"/>
        <v>66.5</v>
      </c>
      <c r="C29" s="8">
        <f t="shared" si="3"/>
        <v>69.599999999999994</v>
      </c>
      <c r="D29" s="8">
        <v>38</v>
      </c>
      <c r="E29" s="8">
        <f t="shared" si="4"/>
        <v>0.19</v>
      </c>
    </row>
    <row r="30" spans="1:5" x14ac:dyDescent="0.3">
      <c r="A30" s="9">
        <v>7</v>
      </c>
      <c r="B30" s="8">
        <f t="shared" si="5"/>
        <v>69.599999999999994</v>
      </c>
      <c r="C30" s="8">
        <f t="shared" si="3"/>
        <v>72.699999999999989</v>
      </c>
      <c r="D30" s="8">
        <v>19</v>
      </c>
      <c r="E30" s="8">
        <f t="shared" si="4"/>
        <v>9.5000000000000001E-2</v>
      </c>
    </row>
    <row r="31" spans="1:5" x14ac:dyDescent="0.3">
      <c r="A31" s="9">
        <v>8</v>
      </c>
      <c r="B31" s="8">
        <f t="shared" si="5"/>
        <v>72.699999999999989</v>
      </c>
      <c r="C31" s="8">
        <f t="shared" si="3"/>
        <v>75.799999999999983</v>
      </c>
      <c r="D31" s="8">
        <v>15</v>
      </c>
      <c r="E31" s="8">
        <f t="shared" si="4"/>
        <v>7.4999999999999997E-2</v>
      </c>
    </row>
    <row r="32" spans="1:5" x14ac:dyDescent="0.3">
      <c r="A32" s="9">
        <v>9</v>
      </c>
      <c r="B32" s="8">
        <f t="shared" si="5"/>
        <v>75.799999999999983</v>
      </c>
      <c r="C32" s="8">
        <f t="shared" si="3"/>
        <v>78.899999999999977</v>
      </c>
      <c r="D32" s="8">
        <v>6</v>
      </c>
      <c r="E32" s="8">
        <f t="shared" si="4"/>
        <v>0.03</v>
      </c>
    </row>
    <row r="33" spans="1:5" x14ac:dyDescent="0.3">
      <c r="A33" s="9">
        <v>10</v>
      </c>
      <c r="B33" s="8">
        <f t="shared" si="5"/>
        <v>78.899999999999977</v>
      </c>
      <c r="C33" s="8">
        <f t="shared" si="3"/>
        <v>81.999999999999972</v>
      </c>
      <c r="D33" s="8">
        <v>3</v>
      </c>
      <c r="E33" s="8">
        <f t="shared" si="4"/>
        <v>1.4999999999999999E-2</v>
      </c>
    </row>
    <row r="34" spans="1:5" x14ac:dyDescent="0.3">
      <c r="A34" s="8" t="s">
        <v>9</v>
      </c>
      <c r="B34" s="8"/>
      <c r="C34" s="8"/>
      <c r="D34" s="8">
        <f>SUM(_xlfn.ANCHORARRAY(D24))</f>
        <v>200</v>
      </c>
      <c r="E34" s="10">
        <f>SUM(E24:E33)</f>
        <v>0.99999999999999989</v>
      </c>
    </row>
  </sheetData>
  <mergeCells count="11">
    <mergeCell ref="E4:E5"/>
    <mergeCell ref="A1:E1"/>
    <mergeCell ref="G3:I3"/>
    <mergeCell ref="A19:E19"/>
    <mergeCell ref="A22:A23"/>
    <mergeCell ref="B22:C22"/>
    <mergeCell ref="D22:D23"/>
    <mergeCell ref="E22:E23"/>
    <mergeCell ref="B4:C4"/>
    <mergeCell ref="A4:A5"/>
    <mergeCell ref="D4:D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38CE5-AE86-4E75-9BEE-CF89074F6B51}">
  <dimension ref="A1:G54"/>
  <sheetViews>
    <sheetView zoomScaleNormal="100" workbookViewId="0">
      <selection activeCell="D13" sqref="D13"/>
    </sheetView>
  </sheetViews>
  <sheetFormatPr defaultRowHeight="14.4" x14ac:dyDescent="0.3"/>
  <sheetData>
    <row r="1" spans="1:7" x14ac:dyDescent="0.3">
      <c r="A1" s="22" t="s">
        <v>1</v>
      </c>
      <c r="B1" s="22"/>
      <c r="C1" s="22"/>
      <c r="D1" s="22"/>
      <c r="E1" s="22"/>
      <c r="F1" s="22"/>
      <c r="G1" s="22"/>
    </row>
    <row r="2" spans="1:7" x14ac:dyDescent="0.3">
      <c r="A2" s="19" t="s">
        <v>3</v>
      </c>
      <c r="B2" s="19" t="s">
        <v>4</v>
      </c>
      <c r="C2" s="19"/>
      <c r="D2" s="19" t="s">
        <v>7</v>
      </c>
      <c r="E2" s="19" t="s">
        <v>8</v>
      </c>
      <c r="F2" s="19" t="s">
        <v>11</v>
      </c>
      <c r="G2" s="19" t="s">
        <v>12</v>
      </c>
    </row>
    <row r="3" spans="1:7" x14ac:dyDescent="0.3">
      <c r="A3" s="19"/>
      <c r="B3" s="7" t="s">
        <v>5</v>
      </c>
      <c r="C3" s="7" t="s">
        <v>6</v>
      </c>
      <c r="D3" s="19"/>
      <c r="E3" s="19"/>
      <c r="F3" s="19"/>
      <c r="G3" s="19"/>
    </row>
    <row r="4" spans="1:7" x14ac:dyDescent="0.3">
      <c r="A4" s="9">
        <v>1</v>
      </c>
      <c r="B4" s="8">
        <f>MIN(рост)</f>
        <v>157</v>
      </c>
      <c r="C4" s="8">
        <f t="shared" ref="C4:C13" si="0">B4 + шаг_рост</f>
        <v>159.9</v>
      </c>
      <c r="D4" s="8" cm="1">
        <f t="array" ref="D4:D13">FREQUENCY(рост,C4:C12)</f>
        <v>5</v>
      </c>
      <c r="E4" s="8">
        <f t="shared" ref="E4:E13" si="1">D4 / COUNT(рост)</f>
        <v>2.5000000000000001E-2</v>
      </c>
      <c r="F4" s="12">
        <f>(B4 + C4) / 2</f>
        <v>158.44999999999999</v>
      </c>
      <c r="G4" s="8">
        <f t="shared" ref="G4:G12" si="2">COUNTIF(рост, "&lt;" &amp; C4) / COUNT(рост)</f>
        <v>2.5000000000000001E-2</v>
      </c>
    </row>
    <row r="5" spans="1:7" x14ac:dyDescent="0.3">
      <c r="A5" s="9">
        <v>2</v>
      </c>
      <c r="B5" s="8">
        <f>C4</f>
        <v>159.9</v>
      </c>
      <c r="C5" s="8">
        <f t="shared" si="0"/>
        <v>162.80000000000001</v>
      </c>
      <c r="D5" s="8">
        <v>15</v>
      </c>
      <c r="E5" s="8">
        <f t="shared" si="1"/>
        <v>7.4999999999999997E-2</v>
      </c>
      <c r="F5" s="12">
        <f t="shared" ref="F5:F13" si="3">(B5 + C5) / 2</f>
        <v>161.35000000000002</v>
      </c>
      <c r="G5" s="8">
        <f t="shared" si="2"/>
        <v>0.1</v>
      </c>
    </row>
    <row r="6" spans="1:7" x14ac:dyDescent="0.3">
      <c r="A6" s="9">
        <v>3</v>
      </c>
      <c r="B6" s="8">
        <f t="shared" ref="B6:B13" si="4">C5</f>
        <v>162.80000000000001</v>
      </c>
      <c r="C6" s="8">
        <f t="shared" si="0"/>
        <v>165.70000000000002</v>
      </c>
      <c r="D6" s="8">
        <v>39</v>
      </c>
      <c r="E6" s="8">
        <f t="shared" si="1"/>
        <v>0.19500000000000001</v>
      </c>
      <c r="F6" s="12">
        <f t="shared" si="3"/>
        <v>164.25</v>
      </c>
      <c r="G6" s="8">
        <f t="shared" si="2"/>
        <v>0.29499999999999998</v>
      </c>
    </row>
    <row r="7" spans="1:7" x14ac:dyDescent="0.3">
      <c r="A7" s="9">
        <v>4</v>
      </c>
      <c r="B7" s="8">
        <f t="shared" si="4"/>
        <v>165.70000000000002</v>
      </c>
      <c r="C7" s="8">
        <f t="shared" si="0"/>
        <v>168.60000000000002</v>
      </c>
      <c r="D7" s="8">
        <v>34</v>
      </c>
      <c r="E7" s="8">
        <f t="shared" si="1"/>
        <v>0.17</v>
      </c>
      <c r="F7" s="12">
        <f t="shared" si="3"/>
        <v>167.15000000000003</v>
      </c>
      <c r="G7" s="8">
        <f t="shared" si="2"/>
        <v>0.46500000000000002</v>
      </c>
    </row>
    <row r="8" spans="1:7" x14ac:dyDescent="0.3">
      <c r="A8" s="9">
        <v>5</v>
      </c>
      <c r="B8" s="8">
        <f t="shared" si="4"/>
        <v>168.60000000000002</v>
      </c>
      <c r="C8" s="8">
        <f t="shared" si="0"/>
        <v>171.50000000000003</v>
      </c>
      <c r="D8" s="8">
        <v>48</v>
      </c>
      <c r="E8" s="8">
        <f t="shared" si="1"/>
        <v>0.24</v>
      </c>
      <c r="F8" s="12">
        <f t="shared" si="3"/>
        <v>170.05</v>
      </c>
      <c r="G8" s="8">
        <f t="shared" si="2"/>
        <v>0.70499999999999996</v>
      </c>
    </row>
    <row r="9" spans="1:7" x14ac:dyDescent="0.3">
      <c r="A9" s="9">
        <v>6</v>
      </c>
      <c r="B9" s="8">
        <f t="shared" si="4"/>
        <v>171.50000000000003</v>
      </c>
      <c r="C9" s="8">
        <f t="shared" si="0"/>
        <v>174.40000000000003</v>
      </c>
      <c r="D9" s="8">
        <v>28</v>
      </c>
      <c r="E9" s="8">
        <f t="shared" si="1"/>
        <v>0.14000000000000001</v>
      </c>
      <c r="F9" s="12">
        <f t="shared" si="3"/>
        <v>172.95000000000005</v>
      </c>
      <c r="G9" s="8">
        <f t="shared" si="2"/>
        <v>0.84499999999999997</v>
      </c>
    </row>
    <row r="10" spans="1:7" x14ac:dyDescent="0.3">
      <c r="A10" s="9">
        <v>7</v>
      </c>
      <c r="B10" s="8">
        <f t="shared" si="4"/>
        <v>174.40000000000003</v>
      </c>
      <c r="C10" s="8">
        <f t="shared" si="0"/>
        <v>177.30000000000004</v>
      </c>
      <c r="D10" s="8">
        <v>17</v>
      </c>
      <c r="E10" s="8">
        <f t="shared" si="1"/>
        <v>8.5000000000000006E-2</v>
      </c>
      <c r="F10" s="12">
        <f t="shared" si="3"/>
        <v>175.85000000000002</v>
      </c>
      <c r="G10" s="8">
        <f t="shared" si="2"/>
        <v>0.93</v>
      </c>
    </row>
    <row r="11" spans="1:7" x14ac:dyDescent="0.3">
      <c r="A11" s="9">
        <v>8</v>
      </c>
      <c r="B11" s="8">
        <f t="shared" si="4"/>
        <v>177.30000000000004</v>
      </c>
      <c r="C11" s="8">
        <f t="shared" si="0"/>
        <v>180.20000000000005</v>
      </c>
      <c r="D11" s="8">
        <v>10</v>
      </c>
      <c r="E11" s="8">
        <f t="shared" si="1"/>
        <v>0.05</v>
      </c>
      <c r="F11" s="12">
        <f t="shared" si="3"/>
        <v>178.75000000000006</v>
      </c>
      <c r="G11" s="8">
        <f t="shared" si="2"/>
        <v>0.98</v>
      </c>
    </row>
    <row r="12" spans="1:7" x14ac:dyDescent="0.3">
      <c r="A12" s="9">
        <v>9</v>
      </c>
      <c r="B12" s="8">
        <f t="shared" si="4"/>
        <v>180.20000000000005</v>
      </c>
      <c r="C12" s="8">
        <f t="shared" si="0"/>
        <v>183.10000000000005</v>
      </c>
      <c r="D12" s="8">
        <v>1</v>
      </c>
      <c r="E12" s="8">
        <f t="shared" si="1"/>
        <v>5.0000000000000001E-3</v>
      </c>
      <c r="F12" s="12">
        <f t="shared" si="3"/>
        <v>181.65000000000003</v>
      </c>
      <c r="G12" s="8">
        <f t="shared" si="2"/>
        <v>0.98499999999999999</v>
      </c>
    </row>
    <row r="13" spans="1:7" x14ac:dyDescent="0.3">
      <c r="A13" s="9">
        <v>10</v>
      </c>
      <c r="B13" s="8">
        <f t="shared" si="4"/>
        <v>183.10000000000005</v>
      </c>
      <c r="C13" s="8">
        <f t="shared" si="0"/>
        <v>186.00000000000006</v>
      </c>
      <c r="D13" s="8">
        <v>3</v>
      </c>
      <c r="E13" s="8">
        <f t="shared" si="1"/>
        <v>1.4999999999999999E-2</v>
      </c>
      <c r="F13" s="12">
        <f t="shared" si="3"/>
        <v>184.55000000000007</v>
      </c>
      <c r="G13" s="8">
        <f>COUNTIF(рост, "&lt;=" &amp; C13) / COUNT(рост)</f>
        <v>1</v>
      </c>
    </row>
    <row r="14" spans="1:7" x14ac:dyDescent="0.3">
      <c r="A14" s="8" t="s">
        <v>9</v>
      </c>
      <c r="B14" s="8"/>
      <c r="C14" s="8"/>
      <c r="D14" s="8">
        <f>SUM(_xlfn.ANCHORARRAY(D4))</f>
        <v>200</v>
      </c>
      <c r="E14" s="10">
        <f>SUM(E4:E13)</f>
        <v>1</v>
      </c>
      <c r="F14" s="8"/>
      <c r="G14" s="8"/>
    </row>
    <row r="38" spans="1:7" x14ac:dyDescent="0.3">
      <c r="A38" s="16"/>
      <c r="B38" s="16"/>
      <c r="C38" s="16"/>
      <c r="D38" s="16"/>
      <c r="E38" s="16"/>
      <c r="F38" s="16"/>
      <c r="G38" s="16"/>
    </row>
    <row r="39" spans="1:7" x14ac:dyDescent="0.3">
      <c r="A39" s="16"/>
      <c r="B39" s="16"/>
      <c r="C39" s="16"/>
      <c r="D39" s="16"/>
      <c r="E39" s="16"/>
      <c r="F39" s="16"/>
      <c r="G39" s="16"/>
    </row>
    <row r="40" spans="1:7" x14ac:dyDescent="0.3">
      <c r="A40" s="16"/>
      <c r="B40" s="16"/>
      <c r="C40" s="16"/>
      <c r="D40" s="16"/>
      <c r="E40" s="16"/>
      <c r="F40" s="16"/>
      <c r="G40" s="16"/>
    </row>
    <row r="41" spans="1:7" x14ac:dyDescent="0.3">
      <c r="A41" s="16"/>
      <c r="B41" s="16"/>
      <c r="C41" s="16"/>
      <c r="D41" s="16"/>
      <c r="E41" s="16"/>
      <c r="F41" s="16"/>
      <c r="G41" s="16"/>
    </row>
    <row r="42" spans="1:7" x14ac:dyDescent="0.3">
      <c r="A42" s="16"/>
      <c r="B42" s="16"/>
      <c r="C42" s="16"/>
      <c r="D42" s="16"/>
      <c r="E42" s="16"/>
      <c r="F42" s="16"/>
      <c r="G42" s="16"/>
    </row>
    <row r="43" spans="1:7" x14ac:dyDescent="0.3">
      <c r="A43" s="16"/>
      <c r="B43" s="16"/>
      <c r="C43" s="16"/>
      <c r="D43" s="16"/>
      <c r="E43" s="16"/>
      <c r="F43" s="16"/>
      <c r="G43" s="16"/>
    </row>
    <row r="44" spans="1:7" x14ac:dyDescent="0.3">
      <c r="A44" s="16"/>
      <c r="B44" s="16"/>
      <c r="C44" s="16"/>
      <c r="D44" s="16"/>
      <c r="E44" s="16"/>
      <c r="F44" s="16"/>
      <c r="G44" s="16"/>
    </row>
    <row r="45" spans="1:7" x14ac:dyDescent="0.3">
      <c r="A45" s="16"/>
      <c r="B45" s="16"/>
      <c r="C45" s="16"/>
      <c r="D45" s="16"/>
      <c r="E45" s="16"/>
      <c r="F45" s="16"/>
      <c r="G45" s="16"/>
    </row>
    <row r="46" spans="1:7" x14ac:dyDescent="0.3">
      <c r="A46" s="16"/>
      <c r="B46" s="16"/>
      <c r="C46" s="16"/>
      <c r="D46" s="16"/>
      <c r="E46" s="16"/>
      <c r="F46" s="16"/>
      <c r="G46" s="16"/>
    </row>
    <row r="47" spans="1:7" x14ac:dyDescent="0.3">
      <c r="A47" s="16"/>
      <c r="B47" s="16"/>
      <c r="C47" s="16"/>
      <c r="D47" s="16"/>
      <c r="E47" s="16"/>
      <c r="F47" s="16"/>
      <c r="G47" s="16"/>
    </row>
    <row r="48" spans="1:7" x14ac:dyDescent="0.3">
      <c r="A48" s="16"/>
      <c r="B48" s="16"/>
      <c r="C48" s="16"/>
      <c r="D48" s="16"/>
      <c r="E48" s="16"/>
      <c r="F48" s="16"/>
      <c r="G48" s="16"/>
    </row>
    <row r="49" spans="1:7" x14ac:dyDescent="0.3">
      <c r="A49" s="16"/>
      <c r="B49" s="16"/>
      <c r="C49" s="16"/>
      <c r="D49" s="16"/>
      <c r="E49" s="16"/>
      <c r="F49" s="16"/>
      <c r="G49" s="16"/>
    </row>
    <row r="50" spans="1:7" x14ac:dyDescent="0.3">
      <c r="A50" s="16"/>
      <c r="B50" s="16"/>
      <c r="C50" s="16"/>
      <c r="D50" s="16"/>
      <c r="E50" s="16"/>
      <c r="F50" s="16"/>
      <c r="G50" s="16"/>
    </row>
    <row r="51" spans="1:7" x14ac:dyDescent="0.3">
      <c r="A51" s="16"/>
      <c r="B51" s="16"/>
      <c r="C51" s="16"/>
      <c r="D51" s="16"/>
      <c r="E51" s="16"/>
      <c r="F51" s="16"/>
      <c r="G51" s="16"/>
    </row>
    <row r="52" spans="1:7" x14ac:dyDescent="0.3">
      <c r="A52" s="4"/>
      <c r="B52" s="11"/>
      <c r="C52" s="11"/>
      <c r="D52" s="11"/>
      <c r="E52" s="11"/>
      <c r="F52" s="14"/>
      <c r="G52" s="11"/>
    </row>
    <row r="53" spans="1:7" x14ac:dyDescent="0.3">
      <c r="A53" s="4"/>
      <c r="B53" s="11"/>
      <c r="C53" s="11"/>
      <c r="D53" s="11"/>
      <c r="E53" s="11"/>
      <c r="F53" s="14"/>
      <c r="G53" s="11"/>
    </row>
    <row r="54" spans="1:7" x14ac:dyDescent="0.3">
      <c r="A54" s="11"/>
      <c r="B54" s="11"/>
      <c r="C54" s="11"/>
      <c r="D54" s="11"/>
      <c r="E54" s="15"/>
      <c r="F54" s="11"/>
      <c r="G54" s="11"/>
    </row>
  </sheetData>
  <mergeCells count="7">
    <mergeCell ref="G2:G3"/>
    <mergeCell ref="A1:G1"/>
    <mergeCell ref="F2:F3"/>
    <mergeCell ref="A2:A3"/>
    <mergeCell ref="B2:C2"/>
    <mergeCell ref="D2:D3"/>
    <mergeCell ref="E2:E3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E5EA8-090C-4AA3-A21D-72993E41040C}">
  <dimension ref="A1:Q30"/>
  <sheetViews>
    <sheetView workbookViewId="0">
      <selection activeCell="M24" sqref="M24"/>
    </sheetView>
  </sheetViews>
  <sheetFormatPr defaultRowHeight="14.4" x14ac:dyDescent="0.3"/>
  <cols>
    <col min="13" max="13" width="11.6640625" bestFit="1" customWidth="1"/>
  </cols>
  <sheetData>
    <row r="1" spans="1:17" x14ac:dyDescent="0.3">
      <c r="A1" s="22" t="s">
        <v>1</v>
      </c>
      <c r="B1" s="22"/>
      <c r="C1" s="22"/>
      <c r="D1" s="22"/>
      <c r="E1" s="22"/>
      <c r="F1" s="22"/>
      <c r="G1" s="22"/>
      <c r="H1" s="22"/>
      <c r="J1" s="22" t="s">
        <v>1</v>
      </c>
      <c r="K1" s="22"/>
      <c r="L1" s="22"/>
      <c r="M1" s="22"/>
      <c r="N1" s="13"/>
      <c r="O1" s="13"/>
      <c r="P1" s="13"/>
      <c r="Q1" s="13"/>
    </row>
    <row r="2" spans="1:17" x14ac:dyDescent="0.3">
      <c r="A2" s="19" t="s">
        <v>3</v>
      </c>
      <c r="B2" s="19" t="s">
        <v>4</v>
      </c>
      <c r="C2" s="19"/>
      <c r="D2" s="19" t="s">
        <v>7</v>
      </c>
      <c r="E2" s="19" t="s">
        <v>8</v>
      </c>
      <c r="F2" s="19" t="s">
        <v>11</v>
      </c>
      <c r="G2" s="19" t="s">
        <v>13</v>
      </c>
      <c r="H2" s="19" t="s">
        <v>14</v>
      </c>
      <c r="J2" s="24" t="s">
        <v>20</v>
      </c>
      <c r="K2" s="24"/>
      <c r="L2" s="24"/>
      <c r="M2" s="8">
        <f>G14 / объём</f>
        <v>169.09300000000007</v>
      </c>
    </row>
    <row r="3" spans="1:17" x14ac:dyDescent="0.3">
      <c r="A3" s="19"/>
      <c r="B3" s="7" t="s">
        <v>5</v>
      </c>
      <c r="C3" s="7" t="s">
        <v>6</v>
      </c>
      <c r="D3" s="19"/>
      <c r="E3" s="19"/>
      <c r="F3" s="19"/>
      <c r="G3" s="19"/>
      <c r="H3" s="19"/>
      <c r="J3" s="24" t="s">
        <v>15</v>
      </c>
      <c r="K3" s="24"/>
      <c r="L3" s="24"/>
      <c r="M3" s="8">
        <f>H14 / объём - POWER(G14 / объём, 2)</f>
        <v>27.762250999981916</v>
      </c>
    </row>
    <row r="4" spans="1:17" x14ac:dyDescent="0.3">
      <c r="A4" s="9">
        <v>1</v>
      </c>
      <c r="B4" s="8">
        <f>MIN(рост)</f>
        <v>157</v>
      </c>
      <c r="C4" s="8">
        <f t="shared" ref="C4:C13" si="0">B4 + шаг_рост</f>
        <v>159.9</v>
      </c>
      <c r="D4" s="8" cm="1">
        <f t="array" ref="D4:D13">FREQUENCY(рост,C4:C12)</f>
        <v>5</v>
      </c>
      <c r="E4" s="8">
        <f t="shared" ref="E4:E13" si="1">D4 / COUNT(рост)</f>
        <v>2.5000000000000001E-2</v>
      </c>
      <c r="F4" s="12">
        <f>(B4 + C4) / 2</f>
        <v>158.44999999999999</v>
      </c>
      <c r="G4" s="8">
        <f>F4 * D4</f>
        <v>792.25</v>
      </c>
      <c r="H4" s="8">
        <f>POWER(F4, 2) * D4</f>
        <v>125532.01249999998</v>
      </c>
      <c r="J4" s="24" t="s">
        <v>16</v>
      </c>
      <c r="K4" s="24"/>
      <c r="L4" s="24"/>
      <c r="M4" s="8">
        <f>объём / (объём - 1) * M3</f>
        <v>27.901759798976798</v>
      </c>
    </row>
    <row r="5" spans="1:17" x14ac:dyDescent="0.3">
      <c r="A5" s="9">
        <v>2</v>
      </c>
      <c r="B5" s="8">
        <f>C4</f>
        <v>159.9</v>
      </c>
      <c r="C5" s="8">
        <f t="shared" si="0"/>
        <v>162.80000000000001</v>
      </c>
      <c r="D5" s="8">
        <v>15</v>
      </c>
      <c r="E5" s="8">
        <f t="shared" si="1"/>
        <v>7.4999999999999997E-2</v>
      </c>
      <c r="F5" s="12">
        <f t="shared" ref="F5:F13" si="2">(B5 + C5) / 2</f>
        <v>161.35000000000002</v>
      </c>
      <c r="G5" s="8">
        <f t="shared" ref="G5:G13" si="3">F5 * D5</f>
        <v>2420.2500000000005</v>
      </c>
      <c r="H5" s="8">
        <f t="shared" ref="H5:H13" si="4">POWER(F5, 2) * D5</f>
        <v>390507.33750000008</v>
      </c>
      <c r="J5" s="23" t="s">
        <v>17</v>
      </c>
      <c r="K5" s="23"/>
      <c r="L5" s="23"/>
      <c r="M5" s="25">
        <f>SQRT(M4)</f>
        <v>5.2822116389800966</v>
      </c>
    </row>
    <row r="6" spans="1:17" x14ac:dyDescent="0.3">
      <c r="A6" s="9">
        <v>3</v>
      </c>
      <c r="B6" s="8">
        <f t="shared" ref="B6:B13" si="5">C5</f>
        <v>162.80000000000001</v>
      </c>
      <c r="C6" s="8">
        <f t="shared" si="0"/>
        <v>165.70000000000002</v>
      </c>
      <c r="D6" s="8">
        <v>39</v>
      </c>
      <c r="E6" s="8">
        <f t="shared" si="1"/>
        <v>0.19500000000000001</v>
      </c>
      <c r="F6" s="12">
        <f t="shared" si="2"/>
        <v>164.25</v>
      </c>
      <c r="G6" s="8">
        <f t="shared" si="3"/>
        <v>6405.75</v>
      </c>
      <c r="H6" s="8">
        <f t="shared" si="4"/>
        <v>1052144.4375</v>
      </c>
      <c r="J6" s="23"/>
      <c r="K6" s="23"/>
      <c r="L6" s="23"/>
      <c r="M6" s="26"/>
    </row>
    <row r="7" spans="1:17" x14ac:dyDescent="0.3">
      <c r="A7" s="9">
        <v>4</v>
      </c>
      <c r="B7" s="8">
        <f t="shared" si="5"/>
        <v>165.70000000000002</v>
      </c>
      <c r="C7" s="8">
        <f t="shared" si="0"/>
        <v>168.60000000000002</v>
      </c>
      <c r="D7" s="8">
        <v>34</v>
      </c>
      <c r="E7" s="8">
        <f t="shared" si="1"/>
        <v>0.17</v>
      </c>
      <c r="F7" s="12">
        <f t="shared" si="2"/>
        <v>167.15000000000003</v>
      </c>
      <c r="G7" s="8">
        <f t="shared" si="3"/>
        <v>5683.1000000000013</v>
      </c>
      <c r="H7" s="8">
        <f t="shared" si="4"/>
        <v>949930.16500000039</v>
      </c>
      <c r="J7" s="23"/>
      <c r="K7" s="23"/>
      <c r="L7" s="23"/>
      <c r="M7" s="27"/>
    </row>
    <row r="8" spans="1:17" x14ac:dyDescent="0.3">
      <c r="A8" s="9">
        <v>5</v>
      </c>
      <c r="B8" s="8">
        <f t="shared" si="5"/>
        <v>168.60000000000002</v>
      </c>
      <c r="C8" s="8">
        <f t="shared" si="0"/>
        <v>171.50000000000003</v>
      </c>
      <c r="D8" s="8">
        <v>48</v>
      </c>
      <c r="E8" s="8">
        <f t="shared" si="1"/>
        <v>0.24</v>
      </c>
      <c r="F8" s="12">
        <f t="shared" si="2"/>
        <v>170.05</v>
      </c>
      <c r="G8" s="8">
        <f t="shared" si="3"/>
        <v>8162.4000000000005</v>
      </c>
      <c r="H8" s="8">
        <f t="shared" si="4"/>
        <v>1388016.12</v>
      </c>
      <c r="J8" s="24" t="s">
        <v>18</v>
      </c>
      <c r="K8" s="24"/>
      <c r="L8" s="24"/>
      <c r="M8" s="8">
        <f>F8</f>
        <v>170.05</v>
      </c>
    </row>
    <row r="9" spans="1:17" x14ac:dyDescent="0.3">
      <c r="A9" s="9">
        <v>6</v>
      </c>
      <c r="B9" s="8">
        <f t="shared" si="5"/>
        <v>171.50000000000003</v>
      </c>
      <c r="C9" s="8">
        <f t="shared" si="0"/>
        <v>174.40000000000003</v>
      </c>
      <c r="D9" s="8">
        <v>28</v>
      </c>
      <c r="E9" s="8">
        <f t="shared" si="1"/>
        <v>0.14000000000000001</v>
      </c>
      <c r="F9" s="12">
        <f t="shared" si="2"/>
        <v>172.95000000000005</v>
      </c>
      <c r="G9" s="8">
        <f t="shared" si="3"/>
        <v>4842.6000000000013</v>
      </c>
      <c r="H9" s="8">
        <f t="shared" si="4"/>
        <v>837527.67000000039</v>
      </c>
    </row>
    <row r="10" spans="1:17" x14ac:dyDescent="0.3">
      <c r="A10" s="9">
        <v>7</v>
      </c>
      <c r="B10" s="8">
        <f t="shared" si="5"/>
        <v>174.40000000000003</v>
      </c>
      <c r="C10" s="8">
        <f t="shared" si="0"/>
        <v>177.30000000000004</v>
      </c>
      <c r="D10" s="8">
        <v>17</v>
      </c>
      <c r="E10" s="8">
        <f t="shared" si="1"/>
        <v>8.5000000000000006E-2</v>
      </c>
      <c r="F10" s="12">
        <f t="shared" si="2"/>
        <v>175.85000000000002</v>
      </c>
      <c r="G10" s="8">
        <f t="shared" si="3"/>
        <v>2989.4500000000003</v>
      </c>
      <c r="H10" s="8">
        <f t="shared" si="4"/>
        <v>525694.78250000009</v>
      </c>
    </row>
    <row r="11" spans="1:17" x14ac:dyDescent="0.3">
      <c r="A11" s="9">
        <v>8</v>
      </c>
      <c r="B11" s="8">
        <f t="shared" si="5"/>
        <v>177.30000000000004</v>
      </c>
      <c r="C11" s="8">
        <f t="shared" si="0"/>
        <v>180.20000000000005</v>
      </c>
      <c r="D11" s="8">
        <v>10</v>
      </c>
      <c r="E11" s="8">
        <f t="shared" si="1"/>
        <v>0.05</v>
      </c>
      <c r="F11" s="12">
        <f t="shared" si="2"/>
        <v>178.75000000000006</v>
      </c>
      <c r="G11" s="8">
        <f t="shared" si="3"/>
        <v>1787.5000000000005</v>
      </c>
      <c r="H11" s="8">
        <f t="shared" si="4"/>
        <v>319515.62500000023</v>
      </c>
    </row>
    <row r="12" spans="1:17" x14ac:dyDescent="0.3">
      <c r="A12" s="9">
        <v>9</v>
      </c>
      <c r="B12" s="8">
        <f t="shared" si="5"/>
        <v>180.20000000000005</v>
      </c>
      <c r="C12" s="8">
        <f t="shared" si="0"/>
        <v>183.10000000000005</v>
      </c>
      <c r="D12" s="8">
        <v>1</v>
      </c>
      <c r="E12" s="8">
        <f t="shared" si="1"/>
        <v>5.0000000000000001E-3</v>
      </c>
      <c r="F12" s="12">
        <f t="shared" si="2"/>
        <v>181.65000000000003</v>
      </c>
      <c r="G12" s="8">
        <f t="shared" si="3"/>
        <v>181.65000000000003</v>
      </c>
      <c r="H12" s="8">
        <f t="shared" si="4"/>
        <v>32996.722500000011</v>
      </c>
    </row>
    <row r="13" spans="1:17" x14ac:dyDescent="0.3">
      <c r="A13" s="9">
        <v>10</v>
      </c>
      <c r="B13" s="8">
        <f t="shared" si="5"/>
        <v>183.10000000000005</v>
      </c>
      <c r="C13" s="8">
        <f t="shared" si="0"/>
        <v>186.00000000000006</v>
      </c>
      <c r="D13" s="8">
        <v>3</v>
      </c>
      <c r="E13" s="8">
        <f t="shared" si="1"/>
        <v>1.4999999999999999E-2</v>
      </c>
      <c r="F13" s="12">
        <f t="shared" si="2"/>
        <v>184.55000000000007</v>
      </c>
      <c r="G13" s="8">
        <f t="shared" si="3"/>
        <v>553.6500000000002</v>
      </c>
      <c r="H13" s="8">
        <f t="shared" si="4"/>
        <v>102176.10750000009</v>
      </c>
    </row>
    <row r="14" spans="1:17" x14ac:dyDescent="0.3">
      <c r="A14" s="8" t="s">
        <v>9</v>
      </c>
      <c r="B14" s="8"/>
      <c r="C14" s="8"/>
      <c r="D14" s="8">
        <f>SUM(_xlfn.ANCHORARRAY(D4))</f>
        <v>200</v>
      </c>
      <c r="E14" s="10">
        <f>SUM(E4:E13)</f>
        <v>1</v>
      </c>
      <c r="F14" s="8"/>
      <c r="G14" s="8">
        <f>SUM(G4:G13)</f>
        <v>33818.600000000013</v>
      </c>
      <c r="H14" s="8">
        <f>SUM(H4:H13)</f>
        <v>5724040.9800000014</v>
      </c>
    </row>
    <row r="17" spans="1:14" x14ac:dyDescent="0.3">
      <c r="A17" s="22" t="s">
        <v>2</v>
      </c>
      <c r="B17" s="22"/>
      <c r="C17" s="22"/>
      <c r="D17" s="22"/>
      <c r="E17" s="22"/>
      <c r="F17" s="22"/>
      <c r="G17" s="22"/>
      <c r="H17" s="22"/>
      <c r="J17" s="22" t="s">
        <v>2</v>
      </c>
      <c r="K17" s="22"/>
      <c r="L17" s="22"/>
      <c r="M17" s="22"/>
    </row>
    <row r="18" spans="1:14" x14ac:dyDescent="0.3">
      <c r="A18" s="19" t="s">
        <v>3</v>
      </c>
      <c r="B18" s="19" t="s">
        <v>4</v>
      </c>
      <c r="C18" s="19"/>
      <c r="D18" s="19" t="s">
        <v>7</v>
      </c>
      <c r="E18" s="19" t="s">
        <v>8</v>
      </c>
      <c r="F18" s="19" t="s">
        <v>11</v>
      </c>
      <c r="G18" s="19" t="s">
        <v>13</v>
      </c>
      <c r="H18" s="19" t="s">
        <v>14</v>
      </c>
      <c r="J18" s="24" t="s">
        <v>20</v>
      </c>
      <c r="K18" s="24"/>
      <c r="L18" s="24"/>
      <c r="M18" s="8">
        <f>G30 / объём</f>
        <v>64.996500000000012</v>
      </c>
    </row>
    <row r="19" spans="1:14" x14ac:dyDescent="0.3">
      <c r="A19" s="19"/>
      <c r="B19" s="7" t="s">
        <v>5</v>
      </c>
      <c r="C19" s="7" t="s">
        <v>6</v>
      </c>
      <c r="D19" s="19"/>
      <c r="E19" s="19"/>
      <c r="F19" s="19"/>
      <c r="G19" s="19"/>
      <c r="H19" s="19"/>
      <c r="J19" s="24" t="s">
        <v>15</v>
      </c>
      <c r="K19" s="24"/>
      <c r="L19" s="24"/>
      <c r="M19" s="8">
        <f>H30 / объём - POWER(G30 / объём, 2)</f>
        <v>39.350787749998744</v>
      </c>
      <c r="N19" s="13"/>
    </row>
    <row r="20" spans="1:14" x14ac:dyDescent="0.3">
      <c r="A20" s="9">
        <v>1</v>
      </c>
      <c r="B20" s="8">
        <f>MIN(вес)</f>
        <v>51</v>
      </c>
      <c r="C20" s="8">
        <f t="shared" ref="C20:C29" si="6">B20 + шаг_вес</f>
        <v>54.1</v>
      </c>
      <c r="D20" s="8" cm="1">
        <f t="array" ref="D20:D29">FREQUENCY(вес,C20:C28)</f>
        <v>8</v>
      </c>
      <c r="E20" s="8">
        <f t="shared" ref="E20:E29" si="7">D20 / COUNT(вес)</f>
        <v>0.04</v>
      </c>
      <c r="F20" s="12">
        <f>(B20 + C20) / 2</f>
        <v>52.55</v>
      </c>
      <c r="G20" s="8">
        <f>F20 * D20</f>
        <v>420.4</v>
      </c>
      <c r="H20" s="8">
        <f>POWER(F20, 2) * D20</f>
        <v>22092.019999999997</v>
      </c>
      <c r="J20" s="24" t="s">
        <v>16</v>
      </c>
      <c r="K20" s="24"/>
      <c r="L20" s="24"/>
      <c r="M20" s="8">
        <f>объём / (объём - 1) * M19</f>
        <v>39.548530402008787</v>
      </c>
    </row>
    <row r="21" spans="1:14" x14ac:dyDescent="0.3">
      <c r="A21" s="9">
        <v>2</v>
      </c>
      <c r="B21" s="8">
        <f>C20</f>
        <v>54.1</v>
      </c>
      <c r="C21" s="8">
        <f t="shared" si="6"/>
        <v>57.2</v>
      </c>
      <c r="D21" s="8">
        <v>18</v>
      </c>
      <c r="E21" s="8">
        <f t="shared" si="7"/>
        <v>0.09</v>
      </c>
      <c r="F21" s="12">
        <f t="shared" ref="F21:F29" si="8">(B21 + C21) / 2</f>
        <v>55.650000000000006</v>
      </c>
      <c r="G21" s="8">
        <f t="shared" ref="G21:G29" si="9">F21 * D21</f>
        <v>1001.7</v>
      </c>
      <c r="H21" s="8">
        <f t="shared" ref="H21:H29" si="10">POWER(F21, 2) * D21</f>
        <v>55744.60500000001</v>
      </c>
      <c r="J21" s="23" t="s">
        <v>17</v>
      </c>
      <c r="K21" s="23"/>
      <c r="L21" s="23"/>
      <c r="M21" s="25">
        <f>SQRT(M20)</f>
        <v>6.2887622313145837</v>
      </c>
    </row>
    <row r="22" spans="1:14" ht="14.4" customHeight="1" x14ac:dyDescent="0.3">
      <c r="A22" s="9">
        <v>3</v>
      </c>
      <c r="B22" s="8">
        <f t="shared" ref="B22:B29" si="11">C21</f>
        <v>57.2</v>
      </c>
      <c r="C22" s="8">
        <f t="shared" si="6"/>
        <v>60.300000000000004</v>
      </c>
      <c r="D22" s="8">
        <v>19</v>
      </c>
      <c r="E22" s="8">
        <f t="shared" si="7"/>
        <v>9.5000000000000001E-2</v>
      </c>
      <c r="F22" s="12">
        <f t="shared" si="8"/>
        <v>58.75</v>
      </c>
      <c r="G22" s="8">
        <f t="shared" si="9"/>
        <v>1116.25</v>
      </c>
      <c r="H22" s="8">
        <f t="shared" si="10"/>
        <v>65579.6875</v>
      </c>
      <c r="J22" s="23"/>
      <c r="K22" s="23"/>
      <c r="L22" s="23"/>
      <c r="M22" s="26"/>
    </row>
    <row r="23" spans="1:14" x14ac:dyDescent="0.3">
      <c r="A23" s="9">
        <v>4</v>
      </c>
      <c r="B23" s="8">
        <f t="shared" si="11"/>
        <v>60.300000000000004</v>
      </c>
      <c r="C23" s="8">
        <f t="shared" si="6"/>
        <v>63.400000000000006</v>
      </c>
      <c r="D23" s="8">
        <v>33</v>
      </c>
      <c r="E23" s="8">
        <f t="shared" si="7"/>
        <v>0.16500000000000001</v>
      </c>
      <c r="F23" s="12">
        <f t="shared" si="8"/>
        <v>61.850000000000009</v>
      </c>
      <c r="G23" s="8">
        <f t="shared" si="9"/>
        <v>2041.0500000000002</v>
      </c>
      <c r="H23" s="8">
        <f t="shared" si="10"/>
        <v>126238.94250000003</v>
      </c>
      <c r="J23" s="23"/>
      <c r="K23" s="23"/>
      <c r="L23" s="23"/>
      <c r="M23" s="27"/>
    </row>
    <row r="24" spans="1:14" x14ac:dyDescent="0.3">
      <c r="A24" s="9">
        <v>5</v>
      </c>
      <c r="B24" s="8">
        <f t="shared" si="11"/>
        <v>63.400000000000006</v>
      </c>
      <c r="C24" s="8">
        <f t="shared" si="6"/>
        <v>66.5</v>
      </c>
      <c r="D24" s="8">
        <v>41</v>
      </c>
      <c r="E24" s="8">
        <f t="shared" si="7"/>
        <v>0.20499999999999999</v>
      </c>
      <c r="F24" s="12">
        <f t="shared" si="8"/>
        <v>64.95</v>
      </c>
      <c r="G24" s="8">
        <f t="shared" si="9"/>
        <v>2662.9500000000003</v>
      </c>
      <c r="H24" s="8">
        <f t="shared" si="10"/>
        <v>172958.60250000001</v>
      </c>
      <c r="J24" s="24" t="s">
        <v>18</v>
      </c>
      <c r="K24" s="24"/>
      <c r="L24" s="24"/>
      <c r="M24" s="8">
        <f>F24</f>
        <v>64.95</v>
      </c>
    </row>
    <row r="25" spans="1:14" x14ac:dyDescent="0.3">
      <c r="A25" s="9">
        <v>6</v>
      </c>
      <c r="B25" s="8">
        <f t="shared" si="11"/>
        <v>66.5</v>
      </c>
      <c r="C25" s="8">
        <f t="shared" si="6"/>
        <v>69.599999999999994</v>
      </c>
      <c r="D25" s="8">
        <v>38</v>
      </c>
      <c r="E25" s="8">
        <f t="shared" si="7"/>
        <v>0.19</v>
      </c>
      <c r="F25" s="12">
        <f t="shared" si="8"/>
        <v>68.05</v>
      </c>
      <c r="G25" s="8">
        <f t="shared" si="9"/>
        <v>2585.9</v>
      </c>
      <c r="H25" s="8">
        <f t="shared" si="10"/>
        <v>175970.495</v>
      </c>
    </row>
    <row r="26" spans="1:14" x14ac:dyDescent="0.3">
      <c r="A26" s="9">
        <v>7</v>
      </c>
      <c r="B26" s="8">
        <f t="shared" si="11"/>
        <v>69.599999999999994</v>
      </c>
      <c r="C26" s="8">
        <f t="shared" si="6"/>
        <v>72.699999999999989</v>
      </c>
      <c r="D26" s="8">
        <v>19</v>
      </c>
      <c r="E26" s="8">
        <f t="shared" si="7"/>
        <v>9.5000000000000001E-2</v>
      </c>
      <c r="F26" s="12">
        <f t="shared" si="8"/>
        <v>71.149999999999991</v>
      </c>
      <c r="G26" s="8">
        <f t="shared" si="9"/>
        <v>1351.85</v>
      </c>
      <c r="H26" s="8">
        <f t="shared" si="10"/>
        <v>96184.127499999973</v>
      </c>
    </row>
    <row r="27" spans="1:14" x14ac:dyDescent="0.3">
      <c r="A27" s="9">
        <v>8</v>
      </c>
      <c r="B27" s="8">
        <f t="shared" si="11"/>
        <v>72.699999999999989</v>
      </c>
      <c r="C27" s="8">
        <f t="shared" si="6"/>
        <v>75.799999999999983</v>
      </c>
      <c r="D27" s="8">
        <v>15</v>
      </c>
      <c r="E27" s="8">
        <f t="shared" si="7"/>
        <v>7.4999999999999997E-2</v>
      </c>
      <c r="F27" s="12">
        <f t="shared" si="8"/>
        <v>74.249999999999986</v>
      </c>
      <c r="G27" s="8">
        <f t="shared" si="9"/>
        <v>1113.7499999999998</v>
      </c>
      <c r="H27" s="8">
        <f t="shared" si="10"/>
        <v>82695.937499999971</v>
      </c>
    </row>
    <row r="28" spans="1:14" x14ac:dyDescent="0.3">
      <c r="A28" s="9">
        <v>9</v>
      </c>
      <c r="B28" s="8">
        <f t="shared" si="11"/>
        <v>75.799999999999983</v>
      </c>
      <c r="C28" s="8">
        <f t="shared" si="6"/>
        <v>78.899999999999977</v>
      </c>
      <c r="D28" s="8">
        <v>6</v>
      </c>
      <c r="E28" s="8">
        <f t="shared" si="7"/>
        <v>0.03</v>
      </c>
      <c r="F28" s="12">
        <f t="shared" si="8"/>
        <v>77.34999999999998</v>
      </c>
      <c r="G28" s="8">
        <f t="shared" si="9"/>
        <v>464.09999999999991</v>
      </c>
      <c r="H28" s="8">
        <f t="shared" si="10"/>
        <v>35898.13499999998</v>
      </c>
    </row>
    <row r="29" spans="1:14" x14ac:dyDescent="0.3">
      <c r="A29" s="9">
        <v>10</v>
      </c>
      <c r="B29" s="8">
        <f t="shared" si="11"/>
        <v>78.899999999999977</v>
      </c>
      <c r="C29" s="8">
        <f t="shared" si="6"/>
        <v>81.999999999999972</v>
      </c>
      <c r="D29" s="8">
        <v>3</v>
      </c>
      <c r="E29" s="8">
        <f t="shared" si="7"/>
        <v>1.4999999999999999E-2</v>
      </c>
      <c r="F29" s="12">
        <f t="shared" si="8"/>
        <v>80.449999999999974</v>
      </c>
      <c r="G29" s="8">
        <f t="shared" si="9"/>
        <v>241.34999999999991</v>
      </c>
      <c r="H29" s="8">
        <f t="shared" si="10"/>
        <v>19416.607499999987</v>
      </c>
    </row>
    <row r="30" spans="1:14" x14ac:dyDescent="0.3">
      <c r="A30" s="8" t="s">
        <v>9</v>
      </c>
      <c r="B30" s="8"/>
      <c r="C30" s="8"/>
      <c r="D30" s="8">
        <f>SUM(_xlfn.ANCHORARRAY(D20))</f>
        <v>200</v>
      </c>
      <c r="E30" s="10">
        <f>SUM(E20:E29)</f>
        <v>0.99999999999999989</v>
      </c>
      <c r="F30" s="8"/>
      <c r="G30" s="8">
        <f>SUM(G20:G29)</f>
        <v>12999.300000000001</v>
      </c>
      <c r="H30" s="8">
        <f>SUM(H20:H29)</f>
        <v>852779.16</v>
      </c>
    </row>
  </sheetData>
  <mergeCells count="30">
    <mergeCell ref="J24:L24"/>
    <mergeCell ref="M5:M7"/>
    <mergeCell ref="M21:M23"/>
    <mergeCell ref="J17:M17"/>
    <mergeCell ref="J1:M1"/>
    <mergeCell ref="J18:L18"/>
    <mergeCell ref="J19:L19"/>
    <mergeCell ref="J20:L20"/>
    <mergeCell ref="J21:L23"/>
    <mergeCell ref="H18:H19"/>
    <mergeCell ref="A17:H17"/>
    <mergeCell ref="A1:H1"/>
    <mergeCell ref="J5:L7"/>
    <mergeCell ref="J2:L2"/>
    <mergeCell ref="J3:L3"/>
    <mergeCell ref="J4:L4"/>
    <mergeCell ref="J8:L8"/>
    <mergeCell ref="A18:A19"/>
    <mergeCell ref="B18:C18"/>
    <mergeCell ref="D18:D19"/>
    <mergeCell ref="E18:E19"/>
    <mergeCell ref="F2:F3"/>
    <mergeCell ref="G2:G3"/>
    <mergeCell ref="F18:F19"/>
    <mergeCell ref="G18:G19"/>
    <mergeCell ref="A2:A3"/>
    <mergeCell ref="B2:C2"/>
    <mergeCell ref="D2:D3"/>
    <mergeCell ref="E2:E3"/>
    <mergeCell ref="H2:H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61343-8B32-49CA-AB4C-D2912BEF6478}">
  <dimension ref="A1:D15"/>
  <sheetViews>
    <sheetView workbookViewId="0">
      <selection activeCell="E24" sqref="E24"/>
    </sheetView>
  </sheetViews>
  <sheetFormatPr defaultRowHeight="14.4" x14ac:dyDescent="0.3"/>
  <sheetData>
    <row r="1" spans="1:4" x14ac:dyDescent="0.3">
      <c r="A1" s="22" t="s">
        <v>1</v>
      </c>
      <c r="B1" s="22"/>
      <c r="C1" s="22"/>
      <c r="D1" s="22"/>
    </row>
    <row r="2" spans="1:4" x14ac:dyDescent="0.3">
      <c r="A2" s="24" t="s">
        <v>20</v>
      </c>
      <c r="B2" s="24"/>
      <c r="C2" s="24"/>
      <c r="D2" s="8">
        <f>AVERAGE(рост)</f>
        <v>168.99</v>
      </c>
    </row>
    <row r="3" spans="1:4" x14ac:dyDescent="0.3">
      <c r="A3" s="24" t="s">
        <v>15</v>
      </c>
      <c r="B3" s="24"/>
      <c r="C3" s="24"/>
      <c r="D3" s="8">
        <f>_xlfn.VAR.S(рост)</f>
        <v>29.05517587939713</v>
      </c>
    </row>
    <row r="4" spans="1:4" x14ac:dyDescent="0.3">
      <c r="A4" s="24" t="s">
        <v>16</v>
      </c>
      <c r="B4" s="24"/>
      <c r="C4" s="24"/>
      <c r="D4" s="8">
        <f>объём  / (объём - 1)  * D3</f>
        <v>29.201181788338822</v>
      </c>
    </row>
    <row r="5" spans="1:4" x14ac:dyDescent="0.3">
      <c r="A5" s="23" t="s">
        <v>17</v>
      </c>
      <c r="B5" s="23"/>
      <c r="C5" s="23"/>
      <c r="D5" s="25">
        <f>SQRT(D4)</f>
        <v>5.403811783208111</v>
      </c>
    </row>
    <row r="6" spans="1:4" x14ac:dyDescent="0.3">
      <c r="A6" s="23"/>
      <c r="B6" s="23"/>
      <c r="C6" s="23"/>
      <c r="D6" s="26"/>
    </row>
    <row r="7" spans="1:4" x14ac:dyDescent="0.3">
      <c r="A7" s="23"/>
      <c r="B7" s="23"/>
      <c r="C7" s="23"/>
      <c r="D7" s="27"/>
    </row>
    <row r="9" spans="1:4" x14ac:dyDescent="0.3">
      <c r="A9" s="22" t="s">
        <v>2</v>
      </c>
      <c r="B9" s="22"/>
      <c r="C9" s="22"/>
      <c r="D9" s="22"/>
    </row>
    <row r="10" spans="1:4" x14ac:dyDescent="0.3">
      <c r="A10" s="24" t="s">
        <v>20</v>
      </c>
      <c r="B10" s="24"/>
      <c r="C10" s="24"/>
      <c r="D10" s="8">
        <f>AVERAGE(вес)</f>
        <v>65.180000000000007</v>
      </c>
    </row>
    <row r="11" spans="1:4" x14ac:dyDescent="0.3">
      <c r="A11" s="24" t="s">
        <v>15</v>
      </c>
      <c r="B11" s="24"/>
      <c r="C11" s="24"/>
      <c r="D11" s="8">
        <f>_xlfn.VAR.S(вес)</f>
        <v>38.037788944723594</v>
      </c>
    </row>
    <row r="12" spans="1:4" x14ac:dyDescent="0.3">
      <c r="A12" s="24" t="s">
        <v>16</v>
      </c>
      <c r="B12" s="24"/>
      <c r="C12" s="24"/>
      <c r="D12" s="8">
        <f>объём  / (объём - 1)  * D11</f>
        <v>38.228933612787529</v>
      </c>
    </row>
    <row r="13" spans="1:4" x14ac:dyDescent="0.3">
      <c r="A13" s="23" t="s">
        <v>17</v>
      </c>
      <c r="B13" s="23"/>
      <c r="C13" s="23"/>
      <c r="D13" s="25">
        <f>SQRT(D12)</f>
        <v>6.1829550873985433</v>
      </c>
    </row>
    <row r="14" spans="1:4" x14ac:dyDescent="0.3">
      <c r="A14" s="23"/>
      <c r="B14" s="23"/>
      <c r="C14" s="23"/>
      <c r="D14" s="26"/>
    </row>
    <row r="15" spans="1:4" x14ac:dyDescent="0.3">
      <c r="A15" s="23"/>
      <c r="B15" s="23"/>
      <c r="C15" s="23"/>
      <c r="D15" s="27"/>
    </row>
  </sheetData>
  <mergeCells count="12">
    <mergeCell ref="A9:D9"/>
    <mergeCell ref="A10:C10"/>
    <mergeCell ref="A11:C11"/>
    <mergeCell ref="A12:C12"/>
    <mergeCell ref="A13:C15"/>
    <mergeCell ref="D13:D15"/>
    <mergeCell ref="A1:D1"/>
    <mergeCell ref="A2:C2"/>
    <mergeCell ref="A3:C3"/>
    <mergeCell ref="A4:C4"/>
    <mergeCell ref="A5:C7"/>
    <mergeCell ref="D5:D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1BC69-85B9-4B32-BCAE-ED2E36938465}">
  <dimension ref="A1:R31"/>
  <sheetViews>
    <sheetView workbookViewId="0">
      <selection activeCell="J19" sqref="J19"/>
    </sheetView>
  </sheetViews>
  <sheetFormatPr defaultRowHeight="14.4" x14ac:dyDescent="0.3"/>
  <sheetData>
    <row r="1" spans="1:18" x14ac:dyDescent="0.3">
      <c r="A1" s="22" t="s">
        <v>1</v>
      </c>
      <c r="B1" s="22"/>
      <c r="C1" s="22"/>
      <c r="D1" s="22"/>
      <c r="E1" s="22"/>
      <c r="F1" s="22"/>
      <c r="G1" s="22"/>
      <c r="H1" s="22"/>
      <c r="J1" s="22" t="s">
        <v>1</v>
      </c>
      <c r="K1" s="22"/>
      <c r="L1" s="22"/>
      <c r="M1" s="22"/>
      <c r="P1" s="21" t="s">
        <v>21</v>
      </c>
      <c r="Q1" s="21"/>
      <c r="R1">
        <v>0.95</v>
      </c>
    </row>
    <row r="2" spans="1:18" x14ac:dyDescent="0.3">
      <c r="A2" s="19" t="s">
        <v>3</v>
      </c>
      <c r="B2" s="19" t="s">
        <v>4</v>
      </c>
      <c r="C2" s="19"/>
      <c r="D2" s="19" t="s">
        <v>7</v>
      </c>
      <c r="E2" s="19" t="s">
        <v>8</v>
      </c>
      <c r="F2" s="19" t="s">
        <v>11</v>
      </c>
      <c r="G2" s="19" t="s">
        <v>13</v>
      </c>
      <c r="H2" s="19" t="s">
        <v>14</v>
      </c>
      <c r="J2" s="24" t="s">
        <v>20</v>
      </c>
      <c r="K2" s="24"/>
      <c r="L2" s="24"/>
      <c r="M2" s="8">
        <f>G14 / объём</f>
        <v>169.09300000000007</v>
      </c>
    </row>
    <row r="3" spans="1:18" x14ac:dyDescent="0.3">
      <c r="A3" s="19"/>
      <c r="B3" s="7" t="s">
        <v>5</v>
      </c>
      <c r="C3" s="7" t="s">
        <v>6</v>
      </c>
      <c r="D3" s="19"/>
      <c r="E3" s="19"/>
      <c r="F3" s="19"/>
      <c r="G3" s="19"/>
      <c r="H3" s="19"/>
      <c r="J3" s="24" t="s">
        <v>15</v>
      </c>
      <c r="K3" s="24"/>
      <c r="L3" s="24"/>
      <c r="M3" s="8">
        <f>H14 / объём - POWER(G14 / объём, 2)</f>
        <v>27.762250999981916</v>
      </c>
      <c r="O3" t="s">
        <v>22</v>
      </c>
      <c r="P3" s="21" t="s">
        <v>23</v>
      </c>
      <c r="Q3" s="21"/>
      <c r="R3">
        <v>36</v>
      </c>
    </row>
    <row r="4" spans="1:18" x14ac:dyDescent="0.3">
      <c r="A4" s="9">
        <v>1</v>
      </c>
      <c r="B4" s="8">
        <f>MIN(рост)</f>
        <v>157</v>
      </c>
      <c r="C4" s="8">
        <f t="shared" ref="C4:C13" si="0">B4 + шаг_рост</f>
        <v>159.9</v>
      </c>
      <c r="D4" s="8" cm="1">
        <f t="array" ref="D4:D13">FREQUENCY(рост,C4:C12)</f>
        <v>5</v>
      </c>
      <c r="E4" s="8">
        <f t="shared" ref="E4:E13" si="1">D4 / COUNT(рост)</f>
        <v>2.5000000000000001E-2</v>
      </c>
      <c r="F4" s="12">
        <f>(B4 + C4) / 2</f>
        <v>158.44999999999999</v>
      </c>
      <c r="G4" s="8">
        <f>F4 * D4</f>
        <v>792.25</v>
      </c>
      <c r="H4" s="8">
        <f>POWER(F4, 2) * D4</f>
        <v>125532.01249999998</v>
      </c>
      <c r="J4" s="24" t="s">
        <v>16</v>
      </c>
      <c r="K4" s="24"/>
      <c r="L4" s="24"/>
      <c r="M4" s="8">
        <f>объём / (объём - 1) * M3</f>
        <v>27.901759798976798</v>
      </c>
      <c r="P4" s="21"/>
      <c r="Q4" s="21"/>
    </row>
    <row r="5" spans="1:18" x14ac:dyDescent="0.3">
      <c r="A5" s="9">
        <v>2</v>
      </c>
      <c r="B5" s="8">
        <f>C4</f>
        <v>159.9</v>
      </c>
      <c r="C5" s="8">
        <f t="shared" si="0"/>
        <v>162.80000000000001</v>
      </c>
      <c r="D5" s="8">
        <v>15</v>
      </c>
      <c r="E5" s="8">
        <f t="shared" si="1"/>
        <v>7.4999999999999997E-2</v>
      </c>
      <c r="F5" s="12">
        <f t="shared" ref="F5:F13" si="2">(B5 + C5) / 2</f>
        <v>161.35000000000002</v>
      </c>
      <c r="G5" s="8">
        <f t="shared" ref="G5:G13" si="3">F5 * D5</f>
        <v>2420.2500000000005</v>
      </c>
      <c r="H5" s="8">
        <f t="shared" ref="H5:H13" si="4">POWER(F5, 2) * D5</f>
        <v>390507.33750000008</v>
      </c>
      <c r="J5" s="23" t="s">
        <v>17</v>
      </c>
      <c r="K5" s="23"/>
      <c r="L5" s="23"/>
      <c r="M5" s="25">
        <f>SQRT(M4)</f>
        <v>5.2822116389800966</v>
      </c>
      <c r="P5" s="21" t="s">
        <v>24</v>
      </c>
      <c r="Q5" s="21"/>
      <c r="R5">
        <f>_xlfn.NORM.S.INV((1+R1)/2)</f>
        <v>1.9599639845400536</v>
      </c>
    </row>
    <row r="6" spans="1:18" x14ac:dyDescent="0.3">
      <c r="A6" s="9">
        <v>3</v>
      </c>
      <c r="B6" s="8">
        <f t="shared" ref="B6:B13" si="5">C5</f>
        <v>162.80000000000001</v>
      </c>
      <c r="C6" s="8">
        <f t="shared" si="0"/>
        <v>165.70000000000002</v>
      </c>
      <c r="D6" s="8">
        <v>39</v>
      </c>
      <c r="E6" s="8">
        <f t="shared" si="1"/>
        <v>0.19500000000000001</v>
      </c>
      <c r="F6" s="12">
        <f t="shared" si="2"/>
        <v>164.25</v>
      </c>
      <c r="G6" s="8">
        <f t="shared" si="3"/>
        <v>6405.75</v>
      </c>
      <c r="H6" s="8">
        <f t="shared" si="4"/>
        <v>1052144.4375</v>
      </c>
      <c r="J6" s="23"/>
      <c r="K6" s="23"/>
      <c r="L6" s="23"/>
      <c r="M6" s="26"/>
      <c r="P6" s="21" t="s">
        <v>25</v>
      </c>
      <c r="Q6" s="21"/>
      <c r="R6">
        <f>M2 - R5 * SQRT(R3) / SQRT(объём)</f>
        <v>168.26145770539026</v>
      </c>
    </row>
    <row r="7" spans="1:18" x14ac:dyDescent="0.3">
      <c r="A7" s="9">
        <v>4</v>
      </c>
      <c r="B7" s="8">
        <f t="shared" si="5"/>
        <v>165.70000000000002</v>
      </c>
      <c r="C7" s="8">
        <f t="shared" si="0"/>
        <v>168.60000000000002</v>
      </c>
      <c r="D7" s="8">
        <v>34</v>
      </c>
      <c r="E7" s="8">
        <f t="shared" si="1"/>
        <v>0.17</v>
      </c>
      <c r="F7" s="12">
        <f t="shared" si="2"/>
        <v>167.15000000000003</v>
      </c>
      <c r="G7" s="8">
        <f t="shared" si="3"/>
        <v>5683.1000000000013</v>
      </c>
      <c r="H7" s="8">
        <f t="shared" si="4"/>
        <v>949930.16500000039</v>
      </c>
      <c r="J7" s="23"/>
      <c r="K7" s="23"/>
      <c r="L7" s="23"/>
      <c r="M7" s="27"/>
      <c r="P7" s="21" t="s">
        <v>26</v>
      </c>
      <c r="Q7" s="21"/>
      <c r="R7">
        <f>M2 + R5 * SQRT(R3) / SQRT(объём)</f>
        <v>169.92454229460989</v>
      </c>
    </row>
    <row r="8" spans="1:18" x14ac:dyDescent="0.3">
      <c r="A8" s="9">
        <v>5</v>
      </c>
      <c r="B8" s="8">
        <f t="shared" si="5"/>
        <v>168.60000000000002</v>
      </c>
      <c r="C8" s="8">
        <f t="shared" si="0"/>
        <v>171.50000000000003</v>
      </c>
      <c r="D8" s="8">
        <v>48</v>
      </c>
      <c r="E8" s="8">
        <f t="shared" si="1"/>
        <v>0.24</v>
      </c>
      <c r="F8" s="12">
        <f t="shared" si="2"/>
        <v>170.05</v>
      </c>
      <c r="G8" s="8">
        <f t="shared" si="3"/>
        <v>8162.4000000000005</v>
      </c>
      <c r="H8" s="8">
        <f t="shared" si="4"/>
        <v>1388016.12</v>
      </c>
      <c r="J8" s="24" t="s">
        <v>18</v>
      </c>
      <c r="K8" s="24"/>
      <c r="L8" s="24"/>
      <c r="M8" s="8">
        <f>F8</f>
        <v>170.05</v>
      </c>
    </row>
    <row r="9" spans="1:18" x14ac:dyDescent="0.3">
      <c r="A9" s="9">
        <v>6</v>
      </c>
      <c r="B9" s="8">
        <f t="shared" si="5"/>
        <v>171.50000000000003</v>
      </c>
      <c r="C9" s="8">
        <f t="shared" si="0"/>
        <v>174.40000000000003</v>
      </c>
      <c r="D9" s="8">
        <v>28</v>
      </c>
      <c r="E9" s="8">
        <f t="shared" si="1"/>
        <v>0.14000000000000001</v>
      </c>
      <c r="F9" s="12">
        <f t="shared" si="2"/>
        <v>172.95000000000005</v>
      </c>
      <c r="G9" s="8">
        <f t="shared" si="3"/>
        <v>4842.6000000000013</v>
      </c>
      <c r="H9" s="8">
        <f t="shared" si="4"/>
        <v>837527.67000000039</v>
      </c>
    </row>
    <row r="10" spans="1:18" x14ac:dyDescent="0.3">
      <c r="A10" s="9">
        <v>7</v>
      </c>
      <c r="B10" s="8">
        <f t="shared" si="5"/>
        <v>174.40000000000003</v>
      </c>
      <c r="C10" s="8">
        <f t="shared" si="0"/>
        <v>177.30000000000004</v>
      </c>
      <c r="D10" s="8">
        <v>17</v>
      </c>
      <c r="E10" s="8">
        <f t="shared" si="1"/>
        <v>8.5000000000000006E-2</v>
      </c>
      <c r="F10" s="12">
        <f t="shared" si="2"/>
        <v>175.85000000000002</v>
      </c>
      <c r="G10" s="8">
        <f t="shared" si="3"/>
        <v>2989.4500000000003</v>
      </c>
      <c r="H10" s="8">
        <f t="shared" si="4"/>
        <v>525694.78250000009</v>
      </c>
      <c r="O10" t="s">
        <v>27</v>
      </c>
      <c r="P10" s="21"/>
      <c r="Q10" s="21"/>
    </row>
    <row r="11" spans="1:18" x14ac:dyDescent="0.3">
      <c r="A11" s="9">
        <v>8</v>
      </c>
      <c r="B11" s="8">
        <f t="shared" si="5"/>
        <v>177.30000000000004</v>
      </c>
      <c r="C11" s="8">
        <f t="shared" si="0"/>
        <v>180.20000000000005</v>
      </c>
      <c r="D11" s="8">
        <v>10</v>
      </c>
      <c r="E11" s="8">
        <f t="shared" si="1"/>
        <v>0.05</v>
      </c>
      <c r="F11" s="12">
        <f t="shared" si="2"/>
        <v>178.75000000000006</v>
      </c>
      <c r="G11" s="8">
        <f t="shared" si="3"/>
        <v>1787.5000000000005</v>
      </c>
      <c r="H11" s="8">
        <f t="shared" si="4"/>
        <v>319515.62500000023</v>
      </c>
      <c r="P11" s="21"/>
      <c r="Q11" s="21"/>
    </row>
    <row r="12" spans="1:18" x14ac:dyDescent="0.3">
      <c r="A12" s="9">
        <v>9</v>
      </c>
      <c r="B12" s="8">
        <f t="shared" si="5"/>
        <v>180.20000000000005</v>
      </c>
      <c r="C12" s="8">
        <f t="shared" si="0"/>
        <v>183.10000000000005</v>
      </c>
      <c r="D12" s="8">
        <v>1</v>
      </c>
      <c r="E12" s="8">
        <f t="shared" si="1"/>
        <v>5.0000000000000001E-3</v>
      </c>
      <c r="F12" s="12">
        <f t="shared" si="2"/>
        <v>181.65000000000003</v>
      </c>
      <c r="G12" s="8">
        <f t="shared" si="3"/>
        <v>181.65000000000003</v>
      </c>
      <c r="H12" s="8">
        <f t="shared" si="4"/>
        <v>32996.722500000011</v>
      </c>
      <c r="P12" s="21" t="s">
        <v>24</v>
      </c>
      <c r="Q12" s="21"/>
      <c r="R12">
        <f>_xlfn.T.INV((1 + R1) / 2, объём - 1)</f>
        <v>1.9719565442517553</v>
      </c>
    </row>
    <row r="13" spans="1:18" x14ac:dyDescent="0.3">
      <c r="A13" s="9">
        <v>10</v>
      </c>
      <c r="B13" s="8">
        <f t="shared" si="5"/>
        <v>183.10000000000005</v>
      </c>
      <c r="C13" s="8">
        <f t="shared" si="0"/>
        <v>186.00000000000006</v>
      </c>
      <c r="D13" s="8">
        <v>3</v>
      </c>
      <c r="E13" s="8">
        <f t="shared" si="1"/>
        <v>1.4999999999999999E-2</v>
      </c>
      <c r="F13" s="12">
        <f t="shared" si="2"/>
        <v>184.55000000000007</v>
      </c>
      <c r="G13" s="8">
        <f t="shared" si="3"/>
        <v>553.6500000000002</v>
      </c>
      <c r="H13" s="8">
        <f t="shared" si="4"/>
        <v>102176.10750000009</v>
      </c>
      <c r="P13" s="21" t="s">
        <v>25</v>
      </c>
      <c r="Q13" s="21"/>
      <c r="R13">
        <f>M2 - R12 * M5 / SQRT(объём)</f>
        <v>168.3564569426608</v>
      </c>
    </row>
    <row r="14" spans="1:18" x14ac:dyDescent="0.3">
      <c r="A14" s="8" t="s">
        <v>9</v>
      </c>
      <c r="B14" s="8"/>
      <c r="C14" s="8"/>
      <c r="D14" s="8">
        <f>SUM(_xlfn.ANCHORARRAY(D4))</f>
        <v>200</v>
      </c>
      <c r="E14" s="10">
        <f>SUM(E4:E13)</f>
        <v>1</v>
      </c>
      <c r="F14" s="8"/>
      <c r="G14" s="8">
        <f>SUM(G4:G13)</f>
        <v>33818.600000000013</v>
      </c>
      <c r="H14" s="8">
        <f>SUM(H4:H13)</f>
        <v>5724040.9800000014</v>
      </c>
      <c r="P14" s="21" t="s">
        <v>26</v>
      </c>
      <c r="Q14" s="21"/>
      <c r="R14">
        <f>M2 + R12 * M5 / SQRT(объём)</f>
        <v>169.82954305733935</v>
      </c>
    </row>
    <row r="17" spans="15:18" x14ac:dyDescent="0.3">
      <c r="O17" t="s">
        <v>28</v>
      </c>
      <c r="P17" s="21"/>
      <c r="Q17" s="21"/>
    </row>
    <row r="18" spans="15:18" x14ac:dyDescent="0.3">
      <c r="P18" s="21"/>
      <c r="Q18" s="21"/>
    </row>
    <row r="19" spans="15:18" x14ac:dyDescent="0.3">
      <c r="P19" s="21" t="s">
        <v>30</v>
      </c>
      <c r="Q19" s="21"/>
      <c r="R19">
        <f>_xlfn.CHISQ.INV((1 - R1) / 2, объём - 1)</f>
        <v>161.82618239364686</v>
      </c>
    </row>
    <row r="20" spans="15:18" x14ac:dyDescent="0.3">
      <c r="P20" s="21" t="s">
        <v>29</v>
      </c>
      <c r="Q20" s="21"/>
      <c r="R20">
        <f>_xlfn.CHISQ.INV((1 + R1) / 2, объём - 1)</f>
        <v>239.9596818276442</v>
      </c>
    </row>
    <row r="21" spans="15:18" x14ac:dyDescent="0.3">
      <c r="P21" s="21" t="s">
        <v>25</v>
      </c>
      <c r="Q21" s="21"/>
      <c r="R21">
        <f>(объём - 1) * M4 / R20</f>
        <v>23.139096358631367</v>
      </c>
    </row>
    <row r="22" spans="15:18" x14ac:dyDescent="0.3">
      <c r="P22" s="21" t="s">
        <v>26</v>
      </c>
      <c r="Q22" s="21"/>
      <c r="R22">
        <f>(объём - 1) * M4 / R19</f>
        <v>34.311198088390221</v>
      </c>
    </row>
    <row r="25" spans="15:18" x14ac:dyDescent="0.3">
      <c r="O25" t="s">
        <v>31</v>
      </c>
      <c r="P25" s="21" t="s">
        <v>32</v>
      </c>
      <c r="Q25" s="21"/>
      <c r="R25">
        <v>170</v>
      </c>
    </row>
    <row r="26" spans="15:18" x14ac:dyDescent="0.3">
      <c r="P26" s="21"/>
      <c r="Q26" s="21"/>
    </row>
    <row r="27" spans="15:18" x14ac:dyDescent="0.3">
      <c r="P27" s="21" t="s">
        <v>33</v>
      </c>
      <c r="Q27" s="21"/>
      <c r="R27" cm="1">
        <f t="array" ref="R27">1 / объём * SUM(POWER(рост - R25, 2))</f>
        <v>29.93</v>
      </c>
    </row>
    <row r="28" spans="15:18" x14ac:dyDescent="0.3">
      <c r="P28" s="21" t="s">
        <v>30</v>
      </c>
      <c r="Q28" s="21"/>
      <c r="R28">
        <f>_xlfn.CHISQ.INV((1 - R1) / 2, объём)</f>
        <v>162.7279825018463</v>
      </c>
    </row>
    <row r="29" spans="15:18" x14ac:dyDescent="0.3">
      <c r="P29" s="21" t="s">
        <v>29</v>
      </c>
      <c r="Q29" s="21"/>
      <c r="R29">
        <f>_xlfn.CHISQ.INV((1 + R1) / 2, объём)</f>
        <v>241.0578955063109</v>
      </c>
    </row>
    <row r="30" spans="15:18" x14ac:dyDescent="0.3">
      <c r="P30" s="21" t="s">
        <v>25</v>
      </c>
      <c r="Q30" s="21"/>
      <c r="R30">
        <f>объём * R27 / R29</f>
        <v>24.832208824470079</v>
      </c>
    </row>
    <row r="31" spans="15:18" x14ac:dyDescent="0.3">
      <c r="P31" s="21" t="s">
        <v>26</v>
      </c>
      <c r="Q31" s="21"/>
      <c r="R31">
        <f>объём * R27 / R28</f>
        <v>36.785314412240581</v>
      </c>
    </row>
  </sheetData>
  <mergeCells count="39">
    <mergeCell ref="P22:Q22"/>
    <mergeCell ref="P13:Q13"/>
    <mergeCell ref="P14:Q14"/>
    <mergeCell ref="P12:Q12"/>
    <mergeCell ref="P7:Q7"/>
    <mergeCell ref="P19:Q19"/>
    <mergeCell ref="P20:Q20"/>
    <mergeCell ref="P10:Q10"/>
    <mergeCell ref="P11:Q11"/>
    <mergeCell ref="P18:Q18"/>
    <mergeCell ref="P17:Q17"/>
    <mergeCell ref="P21:Q21"/>
    <mergeCell ref="P30:Q30"/>
    <mergeCell ref="P31:Q31"/>
    <mergeCell ref="P25:Q25"/>
    <mergeCell ref="P28:Q28"/>
    <mergeCell ref="P29:Q29"/>
    <mergeCell ref="P27:Q27"/>
    <mergeCell ref="P26:Q26"/>
    <mergeCell ref="J4:L4"/>
    <mergeCell ref="J5:L7"/>
    <mergeCell ref="M5:M7"/>
    <mergeCell ref="J8:L8"/>
    <mergeCell ref="P1:Q1"/>
    <mergeCell ref="P3:Q3"/>
    <mergeCell ref="P5:Q5"/>
    <mergeCell ref="P6:Q6"/>
    <mergeCell ref="P4:Q4"/>
    <mergeCell ref="A1:H1"/>
    <mergeCell ref="J1:M1"/>
    <mergeCell ref="A2:A3"/>
    <mergeCell ref="B2:C2"/>
    <mergeCell ref="D2:D3"/>
    <mergeCell ref="E2:E3"/>
    <mergeCell ref="F2:F3"/>
    <mergeCell ref="G2:G3"/>
    <mergeCell ref="H2:H3"/>
    <mergeCell ref="J2:L2"/>
    <mergeCell ref="J3:L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CE06F-5831-4444-87C3-041BAE74BFE5}">
  <dimension ref="A1:M28"/>
  <sheetViews>
    <sheetView topLeftCell="A7" workbookViewId="0">
      <selection activeCell="O22" sqref="O22"/>
    </sheetView>
  </sheetViews>
  <sheetFormatPr defaultRowHeight="14.4" x14ac:dyDescent="0.3"/>
  <sheetData>
    <row r="1" spans="1:13" x14ac:dyDescent="0.3">
      <c r="A1" s="28" t="s">
        <v>1</v>
      </c>
      <c r="B1" s="29"/>
      <c r="C1" s="29"/>
      <c r="D1" s="29"/>
      <c r="E1" s="29"/>
      <c r="F1" s="29"/>
      <c r="G1" s="29"/>
      <c r="H1" s="30"/>
      <c r="J1" s="28" t="s">
        <v>1</v>
      </c>
      <c r="K1" s="29"/>
      <c r="L1" s="29"/>
      <c r="M1" s="30"/>
    </row>
    <row r="2" spans="1:13" x14ac:dyDescent="0.3">
      <c r="A2" s="31" t="s">
        <v>3</v>
      </c>
      <c r="B2" s="33" t="s">
        <v>4</v>
      </c>
      <c r="C2" s="34"/>
      <c r="D2" s="31" t="s">
        <v>7</v>
      </c>
      <c r="E2" s="31" t="s">
        <v>8</v>
      </c>
      <c r="F2" s="31" t="s">
        <v>11</v>
      </c>
      <c r="G2" s="31" t="s">
        <v>13</v>
      </c>
      <c r="H2" s="31" t="s">
        <v>14</v>
      </c>
      <c r="J2" s="35" t="s">
        <v>20</v>
      </c>
      <c r="K2" s="36"/>
      <c r="L2" s="37"/>
      <c r="M2" s="8">
        <f>G14 / объём</f>
        <v>169.09300000000007</v>
      </c>
    </row>
    <row r="3" spans="1:13" x14ac:dyDescent="0.3">
      <c r="A3" s="32"/>
      <c r="B3" s="7" t="s">
        <v>5</v>
      </c>
      <c r="C3" s="7" t="s">
        <v>6</v>
      </c>
      <c r="D3" s="32"/>
      <c r="E3" s="32"/>
      <c r="F3" s="32"/>
      <c r="G3" s="32"/>
      <c r="H3" s="32"/>
      <c r="J3" s="35" t="s">
        <v>15</v>
      </c>
      <c r="K3" s="36"/>
      <c r="L3" s="37"/>
      <c r="M3" s="8">
        <f>H14 / объём - POWER(G14 / объём, 2)</f>
        <v>27.762250999981916</v>
      </c>
    </row>
    <row r="4" spans="1:13" x14ac:dyDescent="0.3">
      <c r="A4" s="9">
        <v>1</v>
      </c>
      <c r="B4" s="8">
        <f>MIN(рост)</f>
        <v>157</v>
      </c>
      <c r="C4" s="8">
        <f t="shared" ref="C4:C13" si="0">B4 + шаг_рост</f>
        <v>159.9</v>
      </c>
      <c r="D4" s="8" cm="1">
        <f t="array" ref="D4:D13">FREQUENCY(рост,C4:C12)</f>
        <v>5</v>
      </c>
      <c r="E4" s="8">
        <f t="shared" ref="E4:E13" si="1">D4 / COUNT(рост)</f>
        <v>2.5000000000000001E-2</v>
      </c>
      <c r="F4" s="12">
        <f>(B4 + C4) / 2</f>
        <v>158.44999999999999</v>
      </c>
      <c r="G4" s="8">
        <f>F4 * D4</f>
        <v>792.25</v>
      </c>
      <c r="H4" s="8">
        <f>POWER(F4, 2) * D4</f>
        <v>125532.01249999998</v>
      </c>
      <c r="J4" s="35" t="s">
        <v>16</v>
      </c>
      <c r="K4" s="36"/>
      <c r="L4" s="37"/>
      <c r="M4" s="8">
        <f>объём / (объём - 1) * M3</f>
        <v>27.901759798976798</v>
      </c>
    </row>
    <row r="5" spans="1:13" x14ac:dyDescent="0.3">
      <c r="A5" s="9">
        <v>2</v>
      </c>
      <c r="B5" s="8">
        <f>C4</f>
        <v>159.9</v>
      </c>
      <c r="C5" s="8">
        <f t="shared" si="0"/>
        <v>162.80000000000001</v>
      </c>
      <c r="D5" s="8">
        <v>15</v>
      </c>
      <c r="E5" s="8">
        <f t="shared" si="1"/>
        <v>7.4999999999999997E-2</v>
      </c>
      <c r="F5" s="12">
        <f t="shared" ref="F5:F13" si="2">(B5 + C5) / 2</f>
        <v>161.35000000000002</v>
      </c>
      <c r="G5" s="8">
        <f t="shared" ref="G5:G13" si="3">F5 * D5</f>
        <v>2420.2500000000005</v>
      </c>
      <c r="H5" s="8">
        <f t="shared" ref="H5:H13" si="4">POWER(F5, 2) * D5</f>
        <v>390507.33750000008</v>
      </c>
      <c r="J5" s="38" t="s">
        <v>17</v>
      </c>
      <c r="K5" s="39"/>
      <c r="L5" s="40"/>
      <c r="M5" s="25">
        <f>SQRT(M4)</f>
        <v>5.2822116389800966</v>
      </c>
    </row>
    <row r="6" spans="1:13" x14ac:dyDescent="0.3">
      <c r="A6" s="9">
        <v>3</v>
      </c>
      <c r="B6" s="8">
        <f t="shared" ref="B6:B13" si="5">C5</f>
        <v>162.80000000000001</v>
      </c>
      <c r="C6" s="8">
        <f t="shared" si="0"/>
        <v>165.70000000000002</v>
      </c>
      <c r="D6" s="8">
        <v>39</v>
      </c>
      <c r="E6" s="8">
        <f t="shared" si="1"/>
        <v>0.19500000000000001</v>
      </c>
      <c r="F6" s="12">
        <f t="shared" si="2"/>
        <v>164.25</v>
      </c>
      <c r="G6" s="8">
        <f t="shared" si="3"/>
        <v>6405.75</v>
      </c>
      <c r="H6" s="8">
        <f t="shared" si="4"/>
        <v>1052144.4375</v>
      </c>
      <c r="J6" s="41"/>
      <c r="K6" s="42"/>
      <c r="L6" s="43"/>
      <c r="M6" s="26"/>
    </row>
    <row r="7" spans="1:13" x14ac:dyDescent="0.3">
      <c r="A7" s="9">
        <v>4</v>
      </c>
      <c r="B7" s="8">
        <f t="shared" si="5"/>
        <v>165.70000000000002</v>
      </c>
      <c r="C7" s="8">
        <f t="shared" si="0"/>
        <v>168.60000000000002</v>
      </c>
      <c r="D7" s="8">
        <v>34</v>
      </c>
      <c r="E7" s="8">
        <f t="shared" si="1"/>
        <v>0.17</v>
      </c>
      <c r="F7" s="12">
        <f t="shared" si="2"/>
        <v>167.15000000000003</v>
      </c>
      <c r="G7" s="8">
        <f t="shared" si="3"/>
        <v>5683.1000000000013</v>
      </c>
      <c r="H7" s="8">
        <f t="shared" si="4"/>
        <v>949930.16500000039</v>
      </c>
      <c r="J7" s="44"/>
      <c r="K7" s="45"/>
      <c r="L7" s="46"/>
      <c r="M7" s="27"/>
    </row>
    <row r="8" spans="1:13" x14ac:dyDescent="0.3">
      <c r="A8" s="9">
        <v>5</v>
      </c>
      <c r="B8" s="8">
        <f t="shared" si="5"/>
        <v>168.60000000000002</v>
      </c>
      <c r="C8" s="8">
        <f t="shared" si="0"/>
        <v>171.50000000000003</v>
      </c>
      <c r="D8" s="8">
        <v>48</v>
      </c>
      <c r="E8" s="8">
        <f t="shared" si="1"/>
        <v>0.24</v>
      </c>
      <c r="F8" s="12">
        <f t="shared" si="2"/>
        <v>170.05</v>
      </c>
      <c r="G8" s="8">
        <f t="shared" si="3"/>
        <v>8162.4000000000005</v>
      </c>
      <c r="H8" s="8">
        <f t="shared" si="4"/>
        <v>1388016.12</v>
      </c>
      <c r="J8" s="35" t="s">
        <v>18</v>
      </c>
      <c r="K8" s="36"/>
      <c r="L8" s="37"/>
      <c r="M8" s="8">
        <f>F8</f>
        <v>170.05</v>
      </c>
    </row>
    <row r="9" spans="1:13" x14ac:dyDescent="0.3">
      <c r="A9" s="9">
        <v>6</v>
      </c>
      <c r="B9" s="8">
        <f t="shared" si="5"/>
        <v>171.50000000000003</v>
      </c>
      <c r="C9" s="8">
        <f t="shared" si="0"/>
        <v>174.40000000000003</v>
      </c>
      <c r="D9" s="8">
        <v>28</v>
      </c>
      <c r="E9" s="8">
        <f t="shared" si="1"/>
        <v>0.14000000000000001</v>
      </c>
      <c r="F9" s="12">
        <f t="shared" si="2"/>
        <v>172.95000000000005</v>
      </c>
      <c r="G9" s="8">
        <f t="shared" si="3"/>
        <v>4842.6000000000013</v>
      </c>
      <c r="H9" s="8">
        <f t="shared" si="4"/>
        <v>837527.67000000039</v>
      </c>
    </row>
    <row r="10" spans="1:13" x14ac:dyDescent="0.3">
      <c r="A10" s="9">
        <v>7</v>
      </c>
      <c r="B10" s="8">
        <f t="shared" si="5"/>
        <v>174.40000000000003</v>
      </c>
      <c r="C10" s="8">
        <f t="shared" si="0"/>
        <v>177.30000000000004</v>
      </c>
      <c r="D10" s="8">
        <v>17</v>
      </c>
      <c r="E10" s="8">
        <f t="shared" si="1"/>
        <v>8.5000000000000006E-2</v>
      </c>
      <c r="F10" s="12">
        <f t="shared" si="2"/>
        <v>175.85000000000002</v>
      </c>
      <c r="G10" s="8">
        <f t="shared" si="3"/>
        <v>2989.4500000000003</v>
      </c>
      <c r="H10" s="8">
        <f t="shared" si="4"/>
        <v>525694.78250000009</v>
      </c>
    </row>
    <row r="11" spans="1:13" x14ac:dyDescent="0.3">
      <c r="A11" s="9">
        <v>8</v>
      </c>
      <c r="B11" s="8">
        <f t="shared" si="5"/>
        <v>177.30000000000004</v>
      </c>
      <c r="C11" s="8">
        <f t="shared" si="0"/>
        <v>180.20000000000005</v>
      </c>
      <c r="D11" s="8">
        <v>10</v>
      </c>
      <c r="E11" s="8">
        <f t="shared" si="1"/>
        <v>0.05</v>
      </c>
      <c r="F11" s="12">
        <f t="shared" si="2"/>
        <v>178.75000000000006</v>
      </c>
      <c r="G11" s="8">
        <f t="shared" si="3"/>
        <v>1787.5000000000005</v>
      </c>
      <c r="H11" s="8">
        <f t="shared" si="4"/>
        <v>319515.62500000023</v>
      </c>
    </row>
    <row r="12" spans="1:13" x14ac:dyDescent="0.3">
      <c r="A12" s="9">
        <v>9</v>
      </c>
      <c r="B12" s="8">
        <f t="shared" si="5"/>
        <v>180.20000000000005</v>
      </c>
      <c r="C12" s="8">
        <f t="shared" si="0"/>
        <v>183.10000000000005</v>
      </c>
      <c r="D12" s="8">
        <v>1</v>
      </c>
      <c r="E12" s="8">
        <f t="shared" si="1"/>
        <v>5.0000000000000001E-3</v>
      </c>
      <c r="F12" s="12">
        <f t="shared" si="2"/>
        <v>181.65000000000003</v>
      </c>
      <c r="G12" s="8">
        <f t="shared" si="3"/>
        <v>181.65000000000003</v>
      </c>
      <c r="H12" s="8">
        <f t="shared" si="4"/>
        <v>32996.722500000011</v>
      </c>
    </row>
    <row r="13" spans="1:13" x14ac:dyDescent="0.3">
      <c r="A13" s="9">
        <v>10</v>
      </c>
      <c r="B13" s="8">
        <f t="shared" si="5"/>
        <v>183.10000000000005</v>
      </c>
      <c r="C13" s="8">
        <f t="shared" si="0"/>
        <v>186.00000000000006</v>
      </c>
      <c r="D13" s="8">
        <v>3</v>
      </c>
      <c r="E13" s="8">
        <f t="shared" si="1"/>
        <v>1.4999999999999999E-2</v>
      </c>
      <c r="F13" s="12">
        <f t="shared" si="2"/>
        <v>184.55000000000007</v>
      </c>
      <c r="G13" s="8">
        <f t="shared" si="3"/>
        <v>553.6500000000002</v>
      </c>
      <c r="H13" s="8">
        <f t="shared" si="4"/>
        <v>102176.10750000009</v>
      </c>
    </row>
    <row r="14" spans="1:13" x14ac:dyDescent="0.3">
      <c r="A14" s="8" t="s">
        <v>9</v>
      </c>
      <c r="B14" s="8"/>
      <c r="C14" s="8"/>
      <c r="D14" s="8">
        <f>SUM(_xlfn.ANCHORARRAY(D4))</f>
        <v>200</v>
      </c>
      <c r="E14" s="10">
        <f>SUM(E4:E13)</f>
        <v>1</v>
      </c>
      <c r="F14" s="8"/>
      <c r="G14" s="8">
        <f>SUM(G4:G13)</f>
        <v>33818.600000000013</v>
      </c>
      <c r="H14" s="8">
        <f>SUM(H4:H13)</f>
        <v>5724040.9800000014</v>
      </c>
    </row>
    <row r="17" spans="1:12" x14ac:dyDescent="0.3">
      <c r="A17" s="22" t="s">
        <v>1</v>
      </c>
      <c r="B17" s="22"/>
      <c r="C17" s="22"/>
      <c r="D17" s="22"/>
      <c r="E17" s="22"/>
      <c r="F17" s="22"/>
      <c r="G17" s="22"/>
      <c r="H17" s="22"/>
      <c r="I17" s="22"/>
      <c r="K17" s="8" t="s">
        <v>44</v>
      </c>
      <c r="L17" s="8">
        <v>0.05</v>
      </c>
    </row>
    <row r="18" spans="1:12" x14ac:dyDescent="0.3">
      <c r="A18" s="19" t="s">
        <v>3</v>
      </c>
      <c r="B18" s="19" t="s">
        <v>4</v>
      </c>
      <c r="C18" s="19"/>
      <c r="D18" s="19" t="s">
        <v>7</v>
      </c>
      <c r="E18" s="49" t="s">
        <v>38</v>
      </c>
      <c r="F18" s="49" t="s">
        <v>37</v>
      </c>
      <c r="G18" s="19" t="s">
        <v>39</v>
      </c>
      <c r="H18" s="47" t="s">
        <v>41</v>
      </c>
      <c r="I18" s="48" t="s">
        <v>40</v>
      </c>
      <c r="K18" s="8"/>
      <c r="L18" s="8"/>
    </row>
    <row r="19" spans="1:12" x14ac:dyDescent="0.3">
      <c r="A19" s="19"/>
      <c r="B19" s="7" t="s">
        <v>5</v>
      </c>
      <c r="C19" s="7" t="s">
        <v>6</v>
      </c>
      <c r="D19" s="19"/>
      <c r="E19" s="49"/>
      <c r="F19" s="49"/>
      <c r="G19" s="19"/>
      <c r="H19" s="47"/>
      <c r="I19" s="48"/>
      <c r="K19" s="8" t="s">
        <v>42</v>
      </c>
      <c r="L19" s="8">
        <f>COUNT(A20:A27) - 2 - 1</f>
        <v>5</v>
      </c>
    </row>
    <row r="20" spans="1:12" x14ac:dyDescent="0.3">
      <c r="A20" s="9">
        <v>1</v>
      </c>
      <c r="B20" s="8" t="s">
        <v>36</v>
      </c>
      <c r="C20" s="8">
        <f>MIN(рост) + шаг_рост</f>
        <v>159.9</v>
      </c>
      <c r="D20" s="8" cm="1">
        <f t="array" ref="D20:D27">FREQUENCY(рост,C20:C27)</f>
        <v>5</v>
      </c>
      <c r="E20" s="8">
        <v>0</v>
      </c>
      <c r="F20" s="12">
        <f t="shared" ref="F20:F26" si="6">_xlfn.NORM.S.DIST((C20-$M$2)/$M$5, 1)</f>
        <v>4.0897079239884615E-2</v>
      </c>
      <c r="G20" s="8">
        <f>F20 - E20</f>
        <v>4.0897079239884615E-2</v>
      </c>
      <c r="H20" s="8">
        <f t="shared" ref="H20:H27" si="7">объём * G20</f>
        <v>8.179415847976923</v>
      </c>
      <c r="I20" s="8">
        <f t="shared" ref="I20:I27" si="8">POWER(D20 - H20, 2) / объём</f>
        <v>5.0543425671834077E-2</v>
      </c>
      <c r="K20" s="8" t="s">
        <v>43</v>
      </c>
      <c r="L20" s="8">
        <f>SUM(I20:I27)</f>
        <v>1.1318682411321195</v>
      </c>
    </row>
    <row r="21" spans="1:12" x14ac:dyDescent="0.3">
      <c r="A21" s="9">
        <v>2</v>
      </c>
      <c r="B21" s="8">
        <f>C20</f>
        <v>159.9</v>
      </c>
      <c r="C21" s="8">
        <f t="shared" ref="C21:C26" si="9">B21 + шаг_рост</f>
        <v>162.80000000000001</v>
      </c>
      <c r="D21" s="8">
        <v>15</v>
      </c>
      <c r="E21" s="12">
        <f t="shared" ref="E21:E27" si="10">_xlfn.NORM.S.DIST((B21-$M$2)/$M$5, 1)</f>
        <v>4.0897079239884615E-2</v>
      </c>
      <c r="F21" s="12">
        <f t="shared" si="6"/>
        <v>0.11675672599343126</v>
      </c>
      <c r="G21" s="8">
        <f t="shared" ref="G21:G27" si="11">F21 - E21</f>
        <v>7.5859646753546645E-2</v>
      </c>
      <c r="H21" s="8">
        <f t="shared" si="7"/>
        <v>15.171929350709329</v>
      </c>
      <c r="I21" s="8">
        <f t="shared" si="8"/>
        <v>1.4779850817665669E-4</v>
      </c>
      <c r="K21" s="8" t="s">
        <v>45</v>
      </c>
      <c r="L21" s="8">
        <f>_xlfn.CHISQ.INV.RT(L17, L19)</f>
        <v>11.070497693516353</v>
      </c>
    </row>
    <row r="22" spans="1:12" x14ac:dyDescent="0.3">
      <c r="A22" s="9">
        <v>3</v>
      </c>
      <c r="B22" s="8">
        <f t="shared" ref="B22:B27" si="12">C21</f>
        <v>162.80000000000001</v>
      </c>
      <c r="C22" s="8">
        <f t="shared" si="9"/>
        <v>165.70000000000002</v>
      </c>
      <c r="D22" s="8">
        <v>39</v>
      </c>
      <c r="E22" s="12">
        <f t="shared" si="10"/>
        <v>0.11675672599343126</v>
      </c>
      <c r="F22" s="12">
        <f t="shared" si="6"/>
        <v>0.26032473845146703</v>
      </c>
      <c r="G22" s="8">
        <f t="shared" si="11"/>
        <v>0.14356801245803577</v>
      </c>
      <c r="H22" s="8">
        <f t="shared" si="7"/>
        <v>28.713602491607155</v>
      </c>
      <c r="I22" s="8">
        <f t="shared" si="8"/>
        <v>0.52904986850335267</v>
      </c>
    </row>
    <row r="23" spans="1:12" x14ac:dyDescent="0.3">
      <c r="A23" s="9">
        <v>4</v>
      </c>
      <c r="B23" s="8">
        <f t="shared" si="12"/>
        <v>165.70000000000002</v>
      </c>
      <c r="C23" s="8">
        <f t="shared" si="9"/>
        <v>168.60000000000002</v>
      </c>
      <c r="D23" s="8">
        <v>34</v>
      </c>
      <c r="E23" s="12">
        <f t="shared" si="10"/>
        <v>0.26032473845146703</v>
      </c>
      <c r="F23" s="12">
        <f t="shared" si="6"/>
        <v>0.46281985848000051</v>
      </c>
      <c r="G23" s="8">
        <f t="shared" si="11"/>
        <v>0.20249512002853348</v>
      </c>
      <c r="H23" s="8">
        <f t="shared" si="7"/>
        <v>40.499024005706694</v>
      </c>
      <c r="I23" s="8">
        <f t="shared" si="8"/>
        <v>0.21118656513375941</v>
      </c>
    </row>
    <row r="24" spans="1:12" x14ac:dyDescent="0.3">
      <c r="A24" s="9">
        <v>5</v>
      </c>
      <c r="B24" s="8">
        <f t="shared" si="12"/>
        <v>168.60000000000002</v>
      </c>
      <c r="C24" s="8">
        <f t="shared" si="9"/>
        <v>171.50000000000003</v>
      </c>
      <c r="D24" s="8">
        <v>48</v>
      </c>
      <c r="E24" s="12">
        <f t="shared" si="10"/>
        <v>0.46281985848000051</v>
      </c>
      <c r="F24" s="12">
        <f t="shared" si="6"/>
        <v>0.67569006958121602</v>
      </c>
      <c r="G24" s="8">
        <f t="shared" si="11"/>
        <v>0.21287021110121551</v>
      </c>
      <c r="H24" s="8">
        <f t="shared" si="7"/>
        <v>42.574042220243101</v>
      </c>
      <c r="I24" s="8">
        <f t="shared" si="8"/>
        <v>0.14720508913852209</v>
      </c>
      <c r="K24" t="s">
        <v>46</v>
      </c>
    </row>
    <row r="25" spans="1:12" x14ac:dyDescent="0.3">
      <c r="A25" s="9">
        <v>6</v>
      </c>
      <c r="B25" s="8">
        <f t="shared" si="12"/>
        <v>171.50000000000003</v>
      </c>
      <c r="C25" s="8">
        <f t="shared" si="9"/>
        <v>174.40000000000003</v>
      </c>
      <c r="D25" s="8">
        <v>28</v>
      </c>
      <c r="E25" s="12">
        <f t="shared" si="10"/>
        <v>0.67569006958121602</v>
      </c>
      <c r="F25" s="12">
        <f t="shared" si="6"/>
        <v>0.84247760182947773</v>
      </c>
      <c r="G25" s="8">
        <f t="shared" si="11"/>
        <v>0.16678753224826171</v>
      </c>
      <c r="H25" s="8">
        <f t="shared" si="7"/>
        <v>33.357506449652341</v>
      </c>
      <c r="I25" s="8">
        <f t="shared" si="8"/>
        <v>0.14351437679033216</v>
      </c>
      <c r="K25" t="s">
        <v>47</v>
      </c>
    </row>
    <row r="26" spans="1:12" x14ac:dyDescent="0.3">
      <c r="A26" s="9">
        <v>7</v>
      </c>
      <c r="B26" s="8">
        <f t="shared" si="12"/>
        <v>174.40000000000003</v>
      </c>
      <c r="C26" s="8">
        <f t="shared" si="9"/>
        <v>177.30000000000004</v>
      </c>
      <c r="D26" s="8">
        <v>17</v>
      </c>
      <c r="E26" s="12">
        <f t="shared" si="10"/>
        <v>0.84247760182947773</v>
      </c>
      <c r="F26" s="12">
        <f t="shared" si="6"/>
        <v>0.93987263090862205</v>
      </c>
      <c r="G26" s="8">
        <f t="shared" si="11"/>
        <v>9.7395029079144324E-2</v>
      </c>
      <c r="H26" s="8">
        <f t="shared" si="7"/>
        <v>19.479005815828863</v>
      </c>
      <c r="I26" s="8">
        <f t="shared" si="8"/>
        <v>3.0727349174566636E-2</v>
      </c>
    </row>
    <row r="27" spans="1:12" x14ac:dyDescent="0.3">
      <c r="A27" s="9">
        <v>8</v>
      </c>
      <c r="B27" s="8">
        <f t="shared" si="12"/>
        <v>177.30000000000004</v>
      </c>
      <c r="C27" s="8" t="s">
        <v>35</v>
      </c>
      <c r="D27" s="8">
        <v>14</v>
      </c>
      <c r="E27" s="12">
        <f t="shared" si="10"/>
        <v>0.93987263090862205</v>
      </c>
      <c r="F27" s="12">
        <v>1</v>
      </c>
      <c r="G27" s="8">
        <f t="shared" si="11"/>
        <v>6.0127369091377947E-2</v>
      </c>
      <c r="H27" s="8">
        <f t="shared" si="7"/>
        <v>12.025473818275589</v>
      </c>
      <c r="I27" s="8">
        <f t="shared" si="8"/>
        <v>1.9493768211575901E-2</v>
      </c>
    </row>
    <row r="28" spans="1:12" x14ac:dyDescent="0.3">
      <c r="A28" s="8" t="s">
        <v>9</v>
      </c>
      <c r="B28" s="8"/>
      <c r="C28" s="8"/>
      <c r="D28" s="8">
        <f>SUM(_xlfn.ANCHORARRAY(D20))</f>
        <v>200</v>
      </c>
      <c r="E28" s="10"/>
      <c r="F28" s="8"/>
      <c r="G28" s="8">
        <f>SUM(G20:G27)</f>
        <v>1</v>
      </c>
      <c r="H28" s="8"/>
      <c r="I28" s="8"/>
    </row>
  </sheetData>
  <mergeCells count="24">
    <mergeCell ref="J4:L4"/>
    <mergeCell ref="J5:L7"/>
    <mergeCell ref="M5:M7"/>
    <mergeCell ref="J8:L8"/>
    <mergeCell ref="H18:H19"/>
    <mergeCell ref="I18:I19"/>
    <mergeCell ref="A17:I17"/>
    <mergeCell ref="A18:A19"/>
    <mergeCell ref="B18:C18"/>
    <mergeCell ref="D18:D19"/>
    <mergeCell ref="E18:E19"/>
    <mergeCell ref="F18:F19"/>
    <mergeCell ref="G18:G19"/>
    <mergeCell ref="A1:H1"/>
    <mergeCell ref="J1:M1"/>
    <mergeCell ref="A2:A3"/>
    <mergeCell ref="B2:C2"/>
    <mergeCell ref="D2:D3"/>
    <mergeCell ref="E2:E3"/>
    <mergeCell ref="F2:F3"/>
    <mergeCell ref="G2:G3"/>
    <mergeCell ref="H2:H3"/>
    <mergeCell ref="J2:L2"/>
    <mergeCell ref="J3:L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60561-C6D6-46AE-95C3-666703EEA9EA}">
  <dimension ref="A1"/>
  <sheetViews>
    <sheetView workbookViewId="0">
      <selection activeCell="F21" sqref="F21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D2870-9325-49D5-BAB5-D92DD3E6F58A}">
  <dimension ref="A1:T30"/>
  <sheetViews>
    <sheetView topLeftCell="A10" workbookViewId="0">
      <selection activeCell="T17" sqref="T17"/>
    </sheetView>
  </sheetViews>
  <sheetFormatPr defaultRowHeight="14.4" x14ac:dyDescent="0.3"/>
  <sheetData>
    <row r="1" spans="1:20" x14ac:dyDescent="0.3">
      <c r="A1" s="22" t="s">
        <v>1</v>
      </c>
      <c r="B1" s="22"/>
      <c r="C1" s="22"/>
      <c r="D1" s="22"/>
      <c r="G1" s="8"/>
      <c r="H1" s="8" t="s">
        <v>49</v>
      </c>
      <c r="I1" s="8" cm="1">
        <f t="array" ref="I1:R2">TRANSPOSE(B18:C27)</f>
        <v>51</v>
      </c>
      <c r="J1" s="8">
        <v>54.1</v>
      </c>
      <c r="K1" s="8">
        <v>57.2</v>
      </c>
      <c r="L1" s="8">
        <v>60.300000000000004</v>
      </c>
      <c r="M1" s="8">
        <v>63.400000000000006</v>
      </c>
      <c r="N1" s="8">
        <v>66.5</v>
      </c>
      <c r="O1" s="8">
        <v>69.599999999999994</v>
      </c>
      <c r="P1" s="8">
        <v>72.699999999999989</v>
      </c>
      <c r="Q1" s="8">
        <v>75.799999999999983</v>
      </c>
      <c r="R1" s="8">
        <v>78.899999999999977</v>
      </c>
      <c r="S1" s="19" t="s">
        <v>50</v>
      </c>
    </row>
    <row r="2" spans="1:20" x14ac:dyDescent="0.3">
      <c r="A2" s="19" t="s">
        <v>3</v>
      </c>
      <c r="B2" s="19" t="s">
        <v>4</v>
      </c>
      <c r="C2" s="19"/>
      <c r="D2" s="19" t="s">
        <v>11</v>
      </c>
      <c r="G2" s="8" t="s">
        <v>48</v>
      </c>
      <c r="H2" s="8"/>
      <c r="I2" s="8">
        <v>54.1</v>
      </c>
      <c r="J2" s="8">
        <v>57.2</v>
      </c>
      <c r="K2" s="8">
        <v>60.300000000000004</v>
      </c>
      <c r="L2" s="8">
        <v>63.400000000000006</v>
      </c>
      <c r="M2" s="8">
        <v>66.5</v>
      </c>
      <c r="N2" s="8">
        <v>69.599999999999994</v>
      </c>
      <c r="O2" s="8">
        <v>72.699999999999989</v>
      </c>
      <c r="P2" s="8">
        <v>75.799999999999983</v>
      </c>
      <c r="Q2" s="8">
        <v>78.899999999999977</v>
      </c>
      <c r="R2" s="8">
        <v>81.999999999999972</v>
      </c>
      <c r="S2" s="19"/>
    </row>
    <row r="3" spans="1:20" x14ac:dyDescent="0.3">
      <c r="A3" s="19"/>
      <c r="B3" s="7" t="s">
        <v>5</v>
      </c>
      <c r="C3" s="7" t="s">
        <v>6</v>
      </c>
      <c r="D3" s="19"/>
      <c r="G3" s="8" cm="1">
        <f t="array" ref="G3:H12">B4:C13</f>
        <v>157</v>
      </c>
      <c r="H3" s="8">
        <v>159.9</v>
      </c>
      <c r="I3" s="8">
        <f>COUNTIFS(рост, "&gt;=" &amp; G3, рост, "&lt;" &amp; H3, вес, "&gt;=" &amp; $I$1, вес, "&lt;" &amp; $I$2)</f>
        <v>5</v>
      </c>
      <c r="J3" s="8">
        <f t="shared" ref="J3:Q3" si="0">COUNTIFS(рост, "&gt;=" &amp; $G$3, рост, "&lt;" &amp; $H$3, вес, "&gt;=" &amp; J1, вес, "&lt;" &amp; J2)</f>
        <v>0</v>
      </c>
      <c r="K3" s="8">
        <f t="shared" si="0"/>
        <v>0</v>
      </c>
      <c r="L3" s="8">
        <f t="shared" si="0"/>
        <v>0</v>
      </c>
      <c r="M3" s="8">
        <f t="shared" si="0"/>
        <v>0</v>
      </c>
      <c r="N3" s="8">
        <f t="shared" si="0"/>
        <v>0</v>
      </c>
      <c r="O3" s="8">
        <f t="shared" si="0"/>
        <v>0</v>
      </c>
      <c r="P3" s="8">
        <f t="shared" si="0"/>
        <v>0</v>
      </c>
      <c r="Q3" s="8">
        <f t="shared" si="0"/>
        <v>0</v>
      </c>
      <c r="R3" s="8">
        <f>COUNTIFS(рост, "&gt;=" &amp; $G$3, рост, "&lt;" &amp; $H$3, вес, "&gt;=" &amp; R1, вес, "&lt;=" &amp; R2)</f>
        <v>0</v>
      </c>
      <c r="S3" s="10">
        <f>SUM(I3:R3)</f>
        <v>5</v>
      </c>
    </row>
    <row r="4" spans="1:20" x14ac:dyDescent="0.3">
      <c r="A4" s="9">
        <v>1</v>
      </c>
      <c r="B4" s="8">
        <f>MIN(рост)</f>
        <v>157</v>
      </c>
      <c r="C4" s="8">
        <f t="shared" ref="C4:C12" si="1">B4 + шаг_рост</f>
        <v>159.9</v>
      </c>
      <c r="D4" s="8">
        <v>158.44999999999999</v>
      </c>
      <c r="G4" s="8">
        <v>159.9</v>
      </c>
      <c r="H4" s="8">
        <v>162.80000000000001</v>
      </c>
      <c r="I4" s="8">
        <f t="shared" ref="I4:Q4" si="2">COUNTIFS(рост, "&gt;=" &amp; $G$4, рост, "&lt;" &amp; $H$4, вес, "&gt;=" &amp; I1, вес, "&lt;" &amp; I2)</f>
        <v>3</v>
      </c>
      <c r="J4" s="8">
        <f t="shared" si="2"/>
        <v>12</v>
      </c>
      <c r="K4" s="8">
        <f t="shared" si="2"/>
        <v>0</v>
      </c>
      <c r="L4" s="8">
        <f t="shared" si="2"/>
        <v>0</v>
      </c>
      <c r="M4" s="8">
        <f t="shared" si="2"/>
        <v>0</v>
      </c>
      <c r="N4" s="8">
        <f t="shared" si="2"/>
        <v>0</v>
      </c>
      <c r="O4" s="8">
        <f t="shared" si="2"/>
        <v>0</v>
      </c>
      <c r="P4" s="8">
        <f t="shared" si="2"/>
        <v>0</v>
      </c>
      <c r="Q4" s="8">
        <f t="shared" si="2"/>
        <v>0</v>
      </c>
      <c r="R4" s="8">
        <f>COUNTIFS(рост, "&gt;=" &amp; $G$4, рост, "&lt;" &amp; $H$4, вес, "&gt;=" &amp; R1, вес, "&lt;=" &amp; R2)</f>
        <v>0</v>
      </c>
      <c r="S4" s="10">
        <f t="shared" ref="S4:S12" si="3">SUM(I4:R4)</f>
        <v>15</v>
      </c>
    </row>
    <row r="5" spans="1:20" x14ac:dyDescent="0.3">
      <c r="A5" s="9">
        <v>2</v>
      </c>
      <c r="B5" s="8">
        <f>C4</f>
        <v>159.9</v>
      </c>
      <c r="C5" s="8">
        <f t="shared" si="1"/>
        <v>162.80000000000001</v>
      </c>
      <c r="D5" s="8">
        <v>161.35000000000002</v>
      </c>
      <c r="G5" s="8">
        <v>162.80000000000001</v>
      </c>
      <c r="H5" s="8">
        <v>165.70000000000002</v>
      </c>
      <c r="I5" s="8">
        <f t="shared" ref="I5:Q5" si="4">COUNTIFS(рост, "&gt;=" &amp; $G$5, рост, "&lt;" &amp; $H$5, вес, "&gt;=" &amp; I1, вес, "&lt;" &amp; I2)</f>
        <v>0</v>
      </c>
      <c r="J5" s="8">
        <f t="shared" si="4"/>
        <v>6</v>
      </c>
      <c r="K5" s="8">
        <f t="shared" si="4"/>
        <v>19</v>
      </c>
      <c r="L5" s="8">
        <f t="shared" si="4"/>
        <v>14</v>
      </c>
      <c r="M5" s="8">
        <f t="shared" si="4"/>
        <v>0</v>
      </c>
      <c r="N5" s="8">
        <f t="shared" si="4"/>
        <v>0</v>
      </c>
      <c r="O5" s="8">
        <f t="shared" si="4"/>
        <v>0</v>
      </c>
      <c r="P5" s="8">
        <f t="shared" si="4"/>
        <v>0</v>
      </c>
      <c r="Q5" s="8">
        <f t="shared" si="4"/>
        <v>0</v>
      </c>
      <c r="R5" s="8">
        <f>COUNTIFS(рост, "&gt;=" &amp; $G$5, рост, "&lt;" &amp; $H$5, вес, "&gt;=" &amp; R1, вес, "&lt;=" &amp; R2)</f>
        <v>0</v>
      </c>
      <c r="S5" s="10">
        <f t="shared" si="3"/>
        <v>39</v>
      </c>
    </row>
    <row r="6" spans="1:20" x14ac:dyDescent="0.3">
      <c r="A6" s="9">
        <v>3</v>
      </c>
      <c r="B6" s="8">
        <f t="shared" ref="B6:B13" si="5">C5</f>
        <v>162.80000000000001</v>
      </c>
      <c r="C6" s="8">
        <f t="shared" si="1"/>
        <v>165.70000000000002</v>
      </c>
      <c r="D6" s="8">
        <v>164.25</v>
      </c>
      <c r="G6" s="8">
        <v>165.70000000000002</v>
      </c>
      <c r="H6" s="8">
        <v>168.60000000000002</v>
      </c>
      <c r="I6" s="8">
        <f t="shared" ref="I6:Q6" si="6">COUNTIFS(рост, "&gt;=" &amp; $G$6, рост, "&lt;" &amp; $H$6, вес, "&gt;=" &amp; I1, вес, "&lt;" &amp; I2)</f>
        <v>0</v>
      </c>
      <c r="J6" s="8">
        <f t="shared" si="6"/>
        <v>0</v>
      </c>
      <c r="K6" s="8">
        <f t="shared" si="6"/>
        <v>0</v>
      </c>
      <c r="L6" s="8">
        <f t="shared" si="6"/>
        <v>19</v>
      </c>
      <c r="M6" s="8">
        <f t="shared" si="6"/>
        <v>15</v>
      </c>
      <c r="N6" s="8">
        <f t="shared" si="6"/>
        <v>0</v>
      </c>
      <c r="O6" s="8">
        <f t="shared" si="6"/>
        <v>0</v>
      </c>
      <c r="P6" s="8">
        <f t="shared" si="6"/>
        <v>0</v>
      </c>
      <c r="Q6" s="8">
        <f t="shared" si="6"/>
        <v>0</v>
      </c>
      <c r="R6" s="8">
        <f>COUNTIFS(рост, "&gt;=" &amp; $G$6, рост, "&lt;" &amp; $H$6, вес, "&gt;=" &amp; R1, вес, "&lt;=" &amp; R2)</f>
        <v>0</v>
      </c>
      <c r="S6" s="10">
        <f t="shared" si="3"/>
        <v>34</v>
      </c>
    </row>
    <row r="7" spans="1:20" x14ac:dyDescent="0.3">
      <c r="A7" s="9">
        <v>4</v>
      </c>
      <c r="B7" s="8">
        <f t="shared" si="5"/>
        <v>165.70000000000002</v>
      </c>
      <c r="C7" s="8">
        <f t="shared" si="1"/>
        <v>168.60000000000002</v>
      </c>
      <c r="D7" s="8">
        <v>167.15000000000003</v>
      </c>
      <c r="G7" s="8">
        <v>168.60000000000002</v>
      </c>
      <c r="H7" s="8">
        <v>171.50000000000003</v>
      </c>
      <c r="I7" s="8">
        <f t="shared" ref="I7:Q7" si="7">COUNTIFS(рост, "&gt;=" &amp; $G$7, рост, "&lt;" &amp; $H$7, вес, "&gt;=" &amp; I1, вес, "&lt;" &amp; I2)</f>
        <v>0</v>
      </c>
      <c r="J7" s="8">
        <f t="shared" si="7"/>
        <v>0</v>
      </c>
      <c r="K7" s="8">
        <f t="shared" si="7"/>
        <v>0</v>
      </c>
      <c r="L7" s="8">
        <f t="shared" si="7"/>
        <v>0</v>
      </c>
      <c r="M7" s="8">
        <f t="shared" si="7"/>
        <v>26</v>
      </c>
      <c r="N7" s="8">
        <f t="shared" si="7"/>
        <v>22</v>
      </c>
      <c r="O7" s="8">
        <f t="shared" si="7"/>
        <v>0</v>
      </c>
      <c r="P7" s="8">
        <f t="shared" si="7"/>
        <v>0</v>
      </c>
      <c r="Q7" s="8">
        <f t="shared" si="7"/>
        <v>0</v>
      </c>
      <c r="R7" s="8">
        <f>COUNTIFS(рост, "&gt;=" &amp; $G$7, рост, "&lt;" &amp; $H$7, вес, "&gt;=" &amp; R1, вес, "&lt;=" &amp; R2)</f>
        <v>0</v>
      </c>
      <c r="S7" s="10">
        <f t="shared" si="3"/>
        <v>48</v>
      </c>
    </row>
    <row r="8" spans="1:20" x14ac:dyDescent="0.3">
      <c r="A8" s="9">
        <v>5</v>
      </c>
      <c r="B8" s="8">
        <f t="shared" si="5"/>
        <v>168.60000000000002</v>
      </c>
      <c r="C8" s="8">
        <f t="shared" si="1"/>
        <v>171.50000000000003</v>
      </c>
      <c r="D8" s="8">
        <v>170.05</v>
      </c>
      <c r="G8" s="8">
        <v>171.50000000000003</v>
      </c>
      <c r="H8" s="8">
        <v>174.40000000000003</v>
      </c>
      <c r="I8" s="8">
        <f t="shared" ref="I8:Q8" si="8">COUNTIFS(рост, "&gt;=" &amp; $G$8, рост, "&lt;" &amp; $H$8, вес, "&gt;=" &amp; I1, вес, "&lt;" &amp; I2)</f>
        <v>0</v>
      </c>
      <c r="J8" s="8">
        <f t="shared" si="8"/>
        <v>0</v>
      </c>
      <c r="K8" s="8">
        <f t="shared" si="8"/>
        <v>0</v>
      </c>
      <c r="L8" s="8">
        <f t="shared" si="8"/>
        <v>0</v>
      </c>
      <c r="M8" s="8">
        <f t="shared" si="8"/>
        <v>0</v>
      </c>
      <c r="N8" s="8">
        <f t="shared" si="8"/>
        <v>16</v>
      </c>
      <c r="O8" s="8">
        <f t="shared" si="8"/>
        <v>12</v>
      </c>
      <c r="P8" s="8">
        <f t="shared" si="8"/>
        <v>0</v>
      </c>
      <c r="Q8" s="8">
        <f t="shared" si="8"/>
        <v>0</v>
      </c>
      <c r="R8" s="8">
        <f>COUNTIFS(рост, "&gt;=" &amp; $G$8, рост, "&lt;" &amp; $H$8, вес, "&gt;=" &amp; R1, вес, "&lt;=" &amp; R2)</f>
        <v>0</v>
      </c>
      <c r="S8" s="10">
        <f t="shared" si="3"/>
        <v>28</v>
      </c>
    </row>
    <row r="9" spans="1:20" x14ac:dyDescent="0.3">
      <c r="A9" s="9">
        <v>6</v>
      </c>
      <c r="B9" s="8">
        <f t="shared" si="5"/>
        <v>171.50000000000003</v>
      </c>
      <c r="C9" s="8">
        <f t="shared" si="1"/>
        <v>174.40000000000003</v>
      </c>
      <c r="D9" s="8">
        <v>172.95000000000005</v>
      </c>
      <c r="G9" s="8">
        <v>174.40000000000003</v>
      </c>
      <c r="H9" s="8">
        <v>177.30000000000004</v>
      </c>
      <c r="I9" s="8">
        <f t="shared" ref="I9:Q9" si="9">COUNTIFS(рост, "&gt;=" &amp; $G$9, рост, "&lt;" &amp; $H$9, вес, "&gt;=" &amp; I1, вес, "&lt;" &amp; I2)</f>
        <v>0</v>
      </c>
      <c r="J9" s="8">
        <f t="shared" si="9"/>
        <v>0</v>
      </c>
      <c r="K9" s="8">
        <f t="shared" si="9"/>
        <v>0</v>
      </c>
      <c r="L9" s="8">
        <f t="shared" si="9"/>
        <v>0</v>
      </c>
      <c r="M9" s="8">
        <f t="shared" si="9"/>
        <v>0</v>
      </c>
      <c r="N9" s="8">
        <f t="shared" si="9"/>
        <v>0</v>
      </c>
      <c r="O9" s="8">
        <f t="shared" si="9"/>
        <v>7</v>
      </c>
      <c r="P9" s="8">
        <f t="shared" si="9"/>
        <v>10</v>
      </c>
      <c r="Q9" s="8">
        <f t="shared" si="9"/>
        <v>0</v>
      </c>
      <c r="R9" s="8">
        <f>COUNTIFS(рост, "&gt;=" &amp; $G$9, рост, "&lt;" &amp; $H$9, вес, "&gt;=" &amp; R1, вес, "&lt;=" &amp; R2)</f>
        <v>0</v>
      </c>
      <c r="S9" s="10">
        <f t="shared" si="3"/>
        <v>17</v>
      </c>
    </row>
    <row r="10" spans="1:20" x14ac:dyDescent="0.3">
      <c r="A10" s="9">
        <v>7</v>
      </c>
      <c r="B10" s="8">
        <f t="shared" si="5"/>
        <v>174.40000000000003</v>
      </c>
      <c r="C10" s="8">
        <f t="shared" si="1"/>
        <v>177.30000000000004</v>
      </c>
      <c r="D10" s="8">
        <v>175.85000000000002</v>
      </c>
      <c r="G10" s="8">
        <v>177.30000000000004</v>
      </c>
      <c r="H10" s="8">
        <v>180.20000000000005</v>
      </c>
      <c r="I10" s="8">
        <f t="shared" ref="I10:Q10" si="10">COUNTIFS(рост, "&gt;=" &amp; $G$10, рост, "&lt;" &amp; $H$10, вес, "&gt;=" &amp; I1, вес, "&lt;" &amp; I2)</f>
        <v>0</v>
      </c>
      <c r="J10" s="8">
        <f t="shared" si="10"/>
        <v>0</v>
      </c>
      <c r="K10" s="8">
        <f t="shared" si="10"/>
        <v>0</v>
      </c>
      <c r="L10" s="8">
        <f t="shared" si="10"/>
        <v>0</v>
      </c>
      <c r="M10" s="8">
        <f t="shared" si="10"/>
        <v>0</v>
      </c>
      <c r="N10" s="8">
        <f t="shared" si="10"/>
        <v>0</v>
      </c>
      <c r="O10" s="8">
        <f t="shared" si="10"/>
        <v>0</v>
      </c>
      <c r="P10" s="8">
        <f t="shared" si="10"/>
        <v>5</v>
      </c>
      <c r="Q10" s="8">
        <f t="shared" si="10"/>
        <v>5</v>
      </c>
      <c r="R10" s="8">
        <f>COUNTIFS(рост, "&gt;=" &amp; $G$10, рост, "&lt;" &amp; $H$10, вес, "&gt;=" &amp; R1, вес, "&lt;=" &amp; R2)</f>
        <v>0</v>
      </c>
      <c r="S10" s="10">
        <f t="shared" si="3"/>
        <v>10</v>
      </c>
    </row>
    <row r="11" spans="1:20" x14ac:dyDescent="0.3">
      <c r="A11" s="9">
        <v>8</v>
      </c>
      <c r="B11" s="8">
        <f t="shared" si="5"/>
        <v>177.30000000000004</v>
      </c>
      <c r="C11" s="8">
        <f t="shared" si="1"/>
        <v>180.20000000000005</v>
      </c>
      <c r="D11" s="8">
        <v>178.75000000000006</v>
      </c>
      <c r="G11" s="8">
        <v>180.20000000000005</v>
      </c>
      <c r="H11" s="8">
        <v>183.10000000000005</v>
      </c>
      <c r="I11" s="8">
        <f t="shared" ref="I11:Q11" si="11">COUNTIFS(рост, "&gt;=" &amp; $G$11, рост, "&lt;" &amp; $H$11, вес, "&gt;=" &amp; I1, вес, "&lt;" &amp; I2)</f>
        <v>0</v>
      </c>
      <c r="J11" s="8">
        <f t="shared" si="11"/>
        <v>0</v>
      </c>
      <c r="K11" s="8">
        <f t="shared" si="11"/>
        <v>0</v>
      </c>
      <c r="L11" s="8">
        <f t="shared" si="11"/>
        <v>0</v>
      </c>
      <c r="M11" s="8">
        <f t="shared" si="11"/>
        <v>0</v>
      </c>
      <c r="N11" s="8">
        <f t="shared" si="11"/>
        <v>0</v>
      </c>
      <c r="O11" s="8">
        <f t="shared" si="11"/>
        <v>0</v>
      </c>
      <c r="P11" s="8">
        <f t="shared" si="11"/>
        <v>0</v>
      </c>
      <c r="Q11" s="8">
        <f t="shared" si="11"/>
        <v>1</v>
      </c>
      <c r="R11" s="8">
        <f>COUNTIFS(рост, "&gt;=" &amp; $G$11, рост, "&lt;" &amp; $H$11, вес, "&gt;=" &amp; R1, вес, "&lt;=" &amp; R2)</f>
        <v>0</v>
      </c>
      <c r="S11" s="10">
        <f t="shared" si="3"/>
        <v>1</v>
      </c>
    </row>
    <row r="12" spans="1:20" x14ac:dyDescent="0.3">
      <c r="A12" s="9">
        <v>9</v>
      </c>
      <c r="B12" s="8">
        <f t="shared" si="5"/>
        <v>180.20000000000005</v>
      </c>
      <c r="C12" s="8">
        <f t="shared" si="1"/>
        <v>183.10000000000005</v>
      </c>
      <c r="D12" s="8">
        <v>181.65000000000003</v>
      </c>
      <c r="G12" s="8">
        <v>183.10000000000005</v>
      </c>
      <c r="H12" s="8">
        <v>187.00000000000006</v>
      </c>
      <c r="I12" s="8">
        <f t="shared" ref="I12:Q12" si="12">COUNTIFS(рост, "&gt;=" &amp; $G$12, рост, "&lt;=" &amp; $H$12, вес, "&gt;=" &amp; I1, вес, "&lt;" &amp; I2)</f>
        <v>0</v>
      </c>
      <c r="J12" s="8">
        <f t="shared" si="12"/>
        <v>0</v>
      </c>
      <c r="K12" s="8">
        <f t="shared" si="12"/>
        <v>0</v>
      </c>
      <c r="L12" s="8">
        <f t="shared" si="12"/>
        <v>0</v>
      </c>
      <c r="M12" s="8">
        <f t="shared" si="12"/>
        <v>0</v>
      </c>
      <c r="N12" s="8">
        <f t="shared" si="12"/>
        <v>0</v>
      </c>
      <c r="O12" s="8">
        <f t="shared" si="12"/>
        <v>0</v>
      </c>
      <c r="P12" s="8">
        <f t="shared" si="12"/>
        <v>0</v>
      </c>
      <c r="Q12" s="8">
        <f t="shared" si="12"/>
        <v>0</v>
      </c>
      <c r="R12" s="8">
        <f>COUNTIFS(рост, "&gt;=" &amp; $G$12, рост, "&lt;=" &amp; $H$12, вес, "&gt;=" &amp; R1, вес, "&lt;=" &amp; R2)</f>
        <v>3</v>
      </c>
      <c r="S12" s="10">
        <f t="shared" si="3"/>
        <v>3</v>
      </c>
    </row>
    <row r="13" spans="1:20" x14ac:dyDescent="0.3">
      <c r="A13" s="9">
        <v>10</v>
      </c>
      <c r="B13" s="8">
        <f t="shared" si="5"/>
        <v>183.10000000000005</v>
      </c>
      <c r="C13" s="8">
        <f>B13 + шаг_рост +1</f>
        <v>187.00000000000006</v>
      </c>
      <c r="D13" s="8">
        <v>184.55000000000007</v>
      </c>
      <c r="G13" s="50" t="s">
        <v>51</v>
      </c>
      <c r="H13" s="50"/>
      <c r="I13" s="8">
        <f>SUM(I3:I12)</f>
        <v>8</v>
      </c>
      <c r="J13" s="8">
        <f t="shared" ref="J13:R13" si="13">SUM(J3:J12)</f>
        <v>18</v>
      </c>
      <c r="K13" s="8">
        <f t="shared" si="13"/>
        <v>19</v>
      </c>
      <c r="L13" s="8">
        <f t="shared" si="13"/>
        <v>33</v>
      </c>
      <c r="M13" s="8">
        <f t="shared" si="13"/>
        <v>41</v>
      </c>
      <c r="N13" s="8">
        <f t="shared" si="13"/>
        <v>38</v>
      </c>
      <c r="O13" s="8">
        <f t="shared" si="13"/>
        <v>19</v>
      </c>
      <c r="P13" s="8">
        <f t="shared" si="13"/>
        <v>15</v>
      </c>
      <c r="Q13" s="8">
        <f t="shared" si="13"/>
        <v>6</v>
      </c>
      <c r="R13" s="8">
        <f t="shared" si="13"/>
        <v>3</v>
      </c>
      <c r="S13" s="8">
        <f>SUM(I13:R13)</f>
        <v>200</v>
      </c>
    </row>
    <row r="15" spans="1:20" x14ac:dyDescent="0.3">
      <c r="A15" s="22" t="s">
        <v>2</v>
      </c>
      <c r="B15" s="22"/>
      <c r="C15" s="22"/>
      <c r="D15" s="22"/>
      <c r="G15" s="8"/>
      <c r="H15" s="12" t="s">
        <v>49</v>
      </c>
      <c r="I15" s="8" cm="1">
        <f t="array" ref="I15:R15">TRANSPOSE(D18:D27)</f>
        <v>52.55</v>
      </c>
      <c r="J15" s="8">
        <v>55.650000000000006</v>
      </c>
      <c r="K15" s="8">
        <v>58.75</v>
      </c>
      <c r="L15" s="8">
        <v>61.850000000000009</v>
      </c>
      <c r="M15" s="8">
        <v>64.95</v>
      </c>
      <c r="N15" s="8">
        <v>68.05</v>
      </c>
      <c r="O15" s="8">
        <v>71.149999999999991</v>
      </c>
      <c r="P15" s="8">
        <v>74.249999999999986</v>
      </c>
      <c r="Q15" s="8">
        <v>77.34999999999998</v>
      </c>
      <c r="R15" s="8">
        <v>80.449999999999974</v>
      </c>
      <c r="S15" s="12" t="s">
        <v>50</v>
      </c>
      <c r="T15" s="12" t="s">
        <v>53</v>
      </c>
    </row>
    <row r="16" spans="1:20" x14ac:dyDescent="0.3">
      <c r="A16" s="19" t="s">
        <v>3</v>
      </c>
      <c r="B16" s="19" t="s">
        <v>4</v>
      </c>
      <c r="C16" s="19"/>
      <c r="D16" s="19" t="s">
        <v>11</v>
      </c>
      <c r="G16" s="12" t="s">
        <v>48</v>
      </c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</row>
    <row r="17" spans="1:20" x14ac:dyDescent="0.3">
      <c r="A17" s="19"/>
      <c r="B17" s="7" t="s">
        <v>5</v>
      </c>
      <c r="C17" s="7" t="s">
        <v>6</v>
      </c>
      <c r="D17" s="19"/>
      <c r="G17" s="8" cm="1">
        <f t="array" ref="G17:G26">D4:D13</f>
        <v>158.44999999999999</v>
      </c>
      <c r="H17" s="8"/>
      <c r="I17" s="8">
        <v>5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5</v>
      </c>
      <c r="T17" s="8">
        <f>1 / S17 * SUMPRODUCT($I$15:$R$15, I17:R17)</f>
        <v>52.550000000000004</v>
      </c>
    </row>
    <row r="18" spans="1:20" x14ac:dyDescent="0.3">
      <c r="A18" s="9">
        <v>1</v>
      </c>
      <c r="B18" s="8">
        <f>MIN(вес)</f>
        <v>51</v>
      </c>
      <c r="C18" s="8">
        <f t="shared" ref="C18:C27" si="14">B18 + шаг_вес</f>
        <v>54.1</v>
      </c>
      <c r="D18" s="8">
        <v>52.55</v>
      </c>
      <c r="G18" s="8">
        <v>161.35000000000002</v>
      </c>
      <c r="H18" s="8"/>
      <c r="I18" s="8">
        <v>3</v>
      </c>
      <c r="J18" s="8">
        <v>12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15</v>
      </c>
      <c r="T18" s="8">
        <f>1 / S18 * SUMPRODUCT($I$15:$R$15, I18:R18)</f>
        <v>55.03</v>
      </c>
    </row>
    <row r="19" spans="1:20" x14ac:dyDescent="0.3">
      <c r="A19" s="9">
        <v>2</v>
      </c>
      <c r="B19" s="8">
        <f>C18</f>
        <v>54.1</v>
      </c>
      <c r="C19" s="8">
        <f t="shared" si="14"/>
        <v>57.2</v>
      </c>
      <c r="D19" s="8">
        <v>55.650000000000006</v>
      </c>
      <c r="G19" s="8">
        <v>164.25</v>
      </c>
      <c r="H19" s="8"/>
      <c r="I19" s="8">
        <v>0</v>
      </c>
      <c r="J19" s="8">
        <v>6</v>
      </c>
      <c r="K19" s="8">
        <v>19</v>
      </c>
      <c r="L19" s="8">
        <v>14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39</v>
      </c>
      <c r="T19" s="8">
        <f t="shared" ref="T19:T26" si="15">1 / S19 * SUMPRODUCT($I$15:$R$15, I19:R19)</f>
        <v>59.385897435897441</v>
      </c>
    </row>
    <row r="20" spans="1:20" x14ac:dyDescent="0.3">
      <c r="A20" s="9">
        <v>3</v>
      </c>
      <c r="B20" s="8">
        <f t="shared" ref="B20:B27" si="16">C19</f>
        <v>57.2</v>
      </c>
      <c r="C20" s="8">
        <f t="shared" si="14"/>
        <v>60.300000000000004</v>
      </c>
      <c r="D20" s="8">
        <v>58.75</v>
      </c>
      <c r="G20" s="8">
        <v>167.15000000000003</v>
      </c>
      <c r="H20" s="8"/>
      <c r="I20" s="8">
        <v>0</v>
      </c>
      <c r="J20" s="8">
        <v>0</v>
      </c>
      <c r="K20" s="8">
        <v>0</v>
      </c>
      <c r="L20" s="8">
        <v>19</v>
      </c>
      <c r="M20" s="8">
        <v>15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34</v>
      </c>
      <c r="T20" s="8">
        <f t="shared" si="15"/>
        <v>63.21764705882353</v>
      </c>
    </row>
    <row r="21" spans="1:20" x14ac:dyDescent="0.3">
      <c r="A21" s="9">
        <v>4</v>
      </c>
      <c r="B21" s="8">
        <f t="shared" si="16"/>
        <v>60.300000000000004</v>
      </c>
      <c r="C21" s="8">
        <f t="shared" si="14"/>
        <v>63.400000000000006</v>
      </c>
      <c r="D21" s="8">
        <v>61.850000000000009</v>
      </c>
      <c r="G21" s="8">
        <v>170.05</v>
      </c>
      <c r="H21" s="8"/>
      <c r="I21" s="8">
        <v>0</v>
      </c>
      <c r="J21" s="8">
        <v>0</v>
      </c>
      <c r="K21" s="8">
        <v>0</v>
      </c>
      <c r="L21" s="8">
        <v>0</v>
      </c>
      <c r="M21" s="8">
        <v>26</v>
      </c>
      <c r="N21" s="8">
        <v>22</v>
      </c>
      <c r="O21" s="8">
        <v>0</v>
      </c>
      <c r="P21" s="8">
        <v>0</v>
      </c>
      <c r="Q21" s="8">
        <v>0</v>
      </c>
      <c r="R21" s="8">
        <v>0</v>
      </c>
      <c r="S21" s="8">
        <v>48</v>
      </c>
      <c r="T21" s="8">
        <f>1 / S21 * SUMPRODUCT($I$15:$R$15, I21:R21)</f>
        <v>66.370833333333337</v>
      </c>
    </row>
    <row r="22" spans="1:20" x14ac:dyDescent="0.3">
      <c r="A22" s="9">
        <v>5</v>
      </c>
      <c r="B22" s="8">
        <f t="shared" si="16"/>
        <v>63.400000000000006</v>
      </c>
      <c r="C22" s="8">
        <f t="shared" si="14"/>
        <v>66.5</v>
      </c>
      <c r="D22" s="8">
        <v>64.95</v>
      </c>
      <c r="G22" s="8">
        <v>172.95000000000005</v>
      </c>
      <c r="H22" s="8"/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16</v>
      </c>
      <c r="O22" s="8">
        <v>12</v>
      </c>
      <c r="P22" s="8">
        <v>0</v>
      </c>
      <c r="Q22" s="8">
        <v>0</v>
      </c>
      <c r="R22" s="8">
        <v>0</v>
      </c>
      <c r="S22" s="8">
        <v>28</v>
      </c>
      <c r="T22" s="8">
        <f t="shared" si="15"/>
        <v>69.378571428571419</v>
      </c>
    </row>
    <row r="23" spans="1:20" x14ac:dyDescent="0.3">
      <c r="A23" s="9">
        <v>6</v>
      </c>
      <c r="B23" s="8">
        <f t="shared" si="16"/>
        <v>66.5</v>
      </c>
      <c r="C23" s="8">
        <f t="shared" si="14"/>
        <v>69.599999999999994</v>
      </c>
      <c r="D23" s="8">
        <v>68.05</v>
      </c>
      <c r="G23" s="8">
        <v>175.85000000000002</v>
      </c>
      <c r="H23" s="8"/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7</v>
      </c>
      <c r="P23" s="8">
        <v>10</v>
      </c>
      <c r="Q23" s="8">
        <v>0</v>
      </c>
      <c r="R23" s="8">
        <v>0</v>
      </c>
      <c r="S23" s="8">
        <v>17</v>
      </c>
      <c r="T23" s="8">
        <f t="shared" si="15"/>
        <v>72.973529411764687</v>
      </c>
    </row>
    <row r="24" spans="1:20" x14ac:dyDescent="0.3">
      <c r="A24" s="9">
        <v>7</v>
      </c>
      <c r="B24" s="8">
        <f t="shared" si="16"/>
        <v>69.599999999999994</v>
      </c>
      <c r="C24" s="8">
        <f t="shared" si="14"/>
        <v>72.699999999999989</v>
      </c>
      <c r="D24" s="8">
        <v>71.149999999999991</v>
      </c>
      <c r="G24" s="8">
        <v>178.75000000000006</v>
      </c>
      <c r="H24" s="8"/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5</v>
      </c>
      <c r="Q24" s="8">
        <v>5</v>
      </c>
      <c r="R24" s="8">
        <v>0</v>
      </c>
      <c r="S24" s="8">
        <v>10</v>
      </c>
      <c r="T24" s="8">
        <f t="shared" si="15"/>
        <v>75.799999999999983</v>
      </c>
    </row>
    <row r="25" spans="1:20" x14ac:dyDescent="0.3">
      <c r="A25" s="9">
        <v>8</v>
      </c>
      <c r="B25" s="8">
        <f t="shared" si="16"/>
        <v>72.699999999999989</v>
      </c>
      <c r="C25" s="8">
        <f t="shared" si="14"/>
        <v>75.799999999999983</v>
      </c>
      <c r="D25" s="8">
        <v>74.249999999999986</v>
      </c>
      <c r="G25" s="8">
        <v>181.65000000000003</v>
      </c>
      <c r="H25" s="8"/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1</v>
      </c>
      <c r="R25" s="8">
        <v>0</v>
      </c>
      <c r="S25" s="8">
        <v>1</v>
      </c>
      <c r="T25" s="8">
        <f t="shared" si="15"/>
        <v>77.34999999999998</v>
      </c>
    </row>
    <row r="26" spans="1:20" x14ac:dyDescent="0.3">
      <c r="A26" s="9">
        <v>9</v>
      </c>
      <c r="B26" s="8">
        <f t="shared" si="16"/>
        <v>75.799999999999983</v>
      </c>
      <c r="C26" s="8">
        <f t="shared" si="14"/>
        <v>78.899999999999977</v>
      </c>
      <c r="D26" s="8">
        <v>77.34999999999998</v>
      </c>
      <c r="G26" s="8">
        <v>184.55000000000007</v>
      </c>
      <c r="H26" s="8"/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3</v>
      </c>
      <c r="S26" s="8">
        <v>3</v>
      </c>
      <c r="T26" s="8">
        <f t="shared" si="15"/>
        <v>80.44999999999996</v>
      </c>
    </row>
    <row r="27" spans="1:20" x14ac:dyDescent="0.3">
      <c r="A27" s="9">
        <v>10</v>
      </c>
      <c r="B27" s="8">
        <f t="shared" si="16"/>
        <v>78.899999999999977</v>
      </c>
      <c r="C27" s="8">
        <f t="shared" si="14"/>
        <v>81.999999999999972</v>
      </c>
      <c r="D27" s="8">
        <v>80.449999999999974</v>
      </c>
      <c r="G27" s="12" t="s">
        <v>51</v>
      </c>
      <c r="H27" s="17"/>
      <c r="I27" s="8">
        <v>8</v>
      </c>
      <c r="J27" s="8">
        <v>18</v>
      </c>
      <c r="K27" s="8">
        <v>19</v>
      </c>
      <c r="L27" s="8">
        <v>33</v>
      </c>
      <c r="M27" s="8">
        <v>41</v>
      </c>
      <c r="N27" s="8">
        <v>38</v>
      </c>
      <c r="O27" s="8">
        <v>19</v>
      </c>
      <c r="P27" s="8">
        <v>15</v>
      </c>
      <c r="Q27" s="8">
        <v>6</v>
      </c>
      <c r="R27" s="8">
        <v>3</v>
      </c>
      <c r="S27" s="8">
        <v>200</v>
      </c>
      <c r="T27" s="8">
        <f>1 / объём * SUMPRODUCT(S17:S26, T17:T26)</f>
        <v>64.996500000000012</v>
      </c>
    </row>
    <row r="28" spans="1:20" x14ac:dyDescent="0.3">
      <c r="G28" s="12" t="s">
        <v>52</v>
      </c>
      <c r="H28" s="8"/>
      <c r="I28" s="8">
        <f xml:space="preserve"> 1 / I27 * SUMPRODUCT(_xlfn.ANCHORARRAY($G$17), I17:I26)</f>
        <v>159.53750000000002</v>
      </c>
      <c r="J28" s="8">
        <f t="shared" ref="J28:R28" si="17" xml:space="preserve"> 1 / J27 * SUMPRODUCT(_xlfn.ANCHORARRAY($G$17), J17:J26)</f>
        <v>162.31666666666666</v>
      </c>
      <c r="K28" s="8">
        <f t="shared" si="17"/>
        <v>164.25</v>
      </c>
      <c r="L28" s="8">
        <f t="shared" si="17"/>
        <v>165.91969696969699</v>
      </c>
      <c r="M28" s="8">
        <f t="shared" si="17"/>
        <v>168.98902439024394</v>
      </c>
      <c r="N28" s="8">
        <f t="shared" si="17"/>
        <v>171.27105263157895</v>
      </c>
      <c r="O28" s="8">
        <f t="shared" si="17"/>
        <v>174.01842105263162</v>
      </c>
      <c r="P28" s="8">
        <f t="shared" si="17"/>
        <v>176.81666666666669</v>
      </c>
      <c r="Q28" s="8">
        <f t="shared" si="17"/>
        <v>179.23333333333338</v>
      </c>
      <c r="R28" s="8">
        <f t="shared" si="17"/>
        <v>184.55000000000007</v>
      </c>
      <c r="S28" s="8">
        <f>1 / объём * SUMPRODUCT(I27:R27, I28:R28)</f>
        <v>169.09300000000005</v>
      </c>
      <c r="T28" s="8"/>
    </row>
    <row r="30" spans="1:20" x14ac:dyDescent="0.3">
      <c r="G30" t="s">
        <v>66</v>
      </c>
    </row>
  </sheetData>
  <mergeCells count="10">
    <mergeCell ref="S1:S2"/>
    <mergeCell ref="G13:H13"/>
    <mergeCell ref="D16:D17"/>
    <mergeCell ref="A15:D15"/>
    <mergeCell ref="A1:D1"/>
    <mergeCell ref="A16:A17"/>
    <mergeCell ref="B16:C16"/>
    <mergeCell ref="A2:A3"/>
    <mergeCell ref="B2:C2"/>
    <mergeCell ref="D2:D3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520DA-EA23-4C40-B83F-F699E7703488}">
  <dimension ref="A1:P24"/>
  <sheetViews>
    <sheetView tabSelected="1" workbookViewId="0">
      <selection activeCell="C17" sqref="C17"/>
    </sheetView>
  </sheetViews>
  <sheetFormatPr defaultRowHeight="14.4" x14ac:dyDescent="0.3"/>
  <sheetData>
    <row r="1" spans="1:16" x14ac:dyDescent="0.3">
      <c r="A1" s="8"/>
      <c r="B1" s="8" t="s">
        <v>49</v>
      </c>
      <c r="C1" s="8">
        <v>52.55</v>
      </c>
      <c r="D1" s="8">
        <v>55.650000000000006</v>
      </c>
      <c r="E1" s="8">
        <v>58.75</v>
      </c>
      <c r="F1" s="8">
        <v>61.850000000000009</v>
      </c>
      <c r="G1" s="8">
        <v>64.95</v>
      </c>
      <c r="H1" s="8">
        <v>68.05</v>
      </c>
      <c r="I1" s="8">
        <v>71.149999999999991</v>
      </c>
      <c r="J1" s="8">
        <v>74.249999999999986</v>
      </c>
      <c r="K1" s="8">
        <v>77.34999999999998</v>
      </c>
      <c r="L1" s="8">
        <v>80.449999999999974</v>
      </c>
      <c r="M1" s="8" t="s">
        <v>50</v>
      </c>
      <c r="N1" s="8" t="s">
        <v>53</v>
      </c>
      <c r="O1" s="8" t="s">
        <v>54</v>
      </c>
      <c r="P1" s="8" t="s">
        <v>56</v>
      </c>
    </row>
    <row r="2" spans="1:16" x14ac:dyDescent="0.3">
      <c r="A2" s="8" t="s">
        <v>48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</row>
    <row r="3" spans="1:16" x14ac:dyDescent="0.3">
      <c r="A3" s="8">
        <v>158.44999999999999</v>
      </c>
      <c r="B3" s="8"/>
      <c r="C3" s="8">
        <v>5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5</v>
      </c>
      <c r="N3" s="8">
        <v>52.550000000000004</v>
      </c>
      <c r="O3" s="8">
        <v>2761.5024999999996</v>
      </c>
      <c r="P3" s="8">
        <v>0</v>
      </c>
    </row>
    <row r="4" spans="1:16" x14ac:dyDescent="0.3">
      <c r="A4" s="8">
        <v>161.35000000000002</v>
      </c>
      <c r="B4" s="8"/>
      <c r="C4" s="8">
        <v>3</v>
      </c>
      <c r="D4" s="8">
        <v>12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15</v>
      </c>
      <c r="N4" s="8">
        <v>55.03</v>
      </c>
      <c r="O4" s="8">
        <v>3029.8385000000003</v>
      </c>
      <c r="P4" s="8">
        <v>1.5376000000001113</v>
      </c>
    </row>
    <row r="5" spans="1:16" x14ac:dyDescent="0.3">
      <c r="A5" s="8">
        <v>164.25</v>
      </c>
      <c r="B5" s="8"/>
      <c r="C5" s="8">
        <v>0</v>
      </c>
      <c r="D5" s="8">
        <v>6</v>
      </c>
      <c r="E5" s="8">
        <v>19</v>
      </c>
      <c r="F5" s="8">
        <v>14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39</v>
      </c>
      <c r="N5" s="8">
        <v>59.385897435897441</v>
      </c>
      <c r="O5" s="8">
        <v>3531.208653846154</v>
      </c>
      <c r="P5" s="8">
        <v>4.5238395792239317</v>
      </c>
    </row>
    <row r="6" spans="1:16" x14ac:dyDescent="0.3">
      <c r="A6" s="8">
        <v>167.15000000000003</v>
      </c>
      <c r="B6" s="8"/>
      <c r="C6" s="8">
        <v>0</v>
      </c>
      <c r="D6" s="8">
        <v>0</v>
      </c>
      <c r="E6" s="8">
        <v>0</v>
      </c>
      <c r="F6" s="8">
        <v>19</v>
      </c>
      <c r="G6" s="8">
        <v>15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34</v>
      </c>
      <c r="N6" s="8">
        <v>63.21764705882353</v>
      </c>
      <c r="O6" s="8">
        <v>3998.8401470588242</v>
      </c>
      <c r="P6" s="8">
        <v>2.3692474048448275</v>
      </c>
    </row>
    <row r="7" spans="1:16" x14ac:dyDescent="0.3">
      <c r="A7" s="8">
        <v>170.05</v>
      </c>
      <c r="B7" s="8"/>
      <c r="C7" s="8">
        <v>0</v>
      </c>
      <c r="D7" s="8">
        <v>0</v>
      </c>
      <c r="E7" s="8">
        <v>0</v>
      </c>
      <c r="F7" s="8">
        <v>0</v>
      </c>
      <c r="G7" s="8">
        <v>26</v>
      </c>
      <c r="H7" s="8">
        <v>22</v>
      </c>
      <c r="I7" s="8">
        <v>0</v>
      </c>
      <c r="J7" s="8">
        <v>0</v>
      </c>
      <c r="K7" s="8">
        <v>0</v>
      </c>
      <c r="L7" s="8">
        <v>0</v>
      </c>
      <c r="M7" s="8">
        <v>48</v>
      </c>
      <c r="N7" s="8">
        <v>66.370833333333337</v>
      </c>
      <c r="O7" s="8">
        <v>4407.4733333333334</v>
      </c>
      <c r="P7" s="8">
        <v>2.3858159722221899</v>
      </c>
    </row>
    <row r="8" spans="1:16" x14ac:dyDescent="0.3">
      <c r="A8" s="8">
        <v>172.95000000000005</v>
      </c>
      <c r="B8" s="8"/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16</v>
      </c>
      <c r="I8" s="8">
        <v>12</v>
      </c>
      <c r="J8" s="8">
        <v>0</v>
      </c>
      <c r="K8" s="8">
        <v>0</v>
      </c>
      <c r="L8" s="8">
        <v>0</v>
      </c>
      <c r="M8" s="8">
        <v>28</v>
      </c>
      <c r="N8" s="8">
        <v>69.378571428571419</v>
      </c>
      <c r="O8" s="8">
        <v>4815.739642857141</v>
      </c>
      <c r="P8" s="8">
        <v>2.3534693877545578</v>
      </c>
    </row>
    <row r="9" spans="1:16" x14ac:dyDescent="0.3">
      <c r="A9" s="8">
        <v>175.85000000000002</v>
      </c>
      <c r="B9" s="8"/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7</v>
      </c>
      <c r="J9" s="8">
        <v>10</v>
      </c>
      <c r="K9" s="8">
        <v>0</v>
      </c>
      <c r="L9" s="8">
        <v>0</v>
      </c>
      <c r="M9" s="8">
        <v>17</v>
      </c>
      <c r="N9" s="8">
        <v>72.973529411764687</v>
      </c>
      <c r="O9" s="8">
        <v>5327.4636764705865</v>
      </c>
      <c r="P9" s="8">
        <v>2.3276816609004527</v>
      </c>
    </row>
    <row r="10" spans="1:16" x14ac:dyDescent="0.3">
      <c r="A10" s="8">
        <v>178.75000000000006</v>
      </c>
      <c r="B10" s="8"/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5</v>
      </c>
      <c r="K10" s="8">
        <v>5</v>
      </c>
      <c r="L10" s="8">
        <v>0</v>
      </c>
      <c r="M10" s="8">
        <v>10</v>
      </c>
      <c r="N10" s="8">
        <v>75.799999999999983</v>
      </c>
      <c r="O10" s="8">
        <v>5748.0424999999987</v>
      </c>
      <c r="P10" s="8">
        <v>2.402500000001055</v>
      </c>
    </row>
    <row r="11" spans="1:16" x14ac:dyDescent="0.3">
      <c r="A11" s="8">
        <v>181.65000000000003</v>
      </c>
      <c r="B11" s="8"/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1</v>
      </c>
      <c r="L11" s="8">
        <v>0</v>
      </c>
      <c r="M11" s="8">
        <v>1</v>
      </c>
      <c r="N11" s="8">
        <v>77.34999999999998</v>
      </c>
      <c r="O11" s="8">
        <v>5983.0224999999973</v>
      </c>
      <c r="P11" s="8">
        <v>0</v>
      </c>
    </row>
    <row r="12" spans="1:16" x14ac:dyDescent="0.3">
      <c r="A12" s="8">
        <v>184.55000000000007</v>
      </c>
      <c r="B12" s="8"/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3</v>
      </c>
      <c r="M12" s="8">
        <v>3</v>
      </c>
      <c r="N12" s="8">
        <v>80.44999999999996</v>
      </c>
      <c r="O12" s="8">
        <v>6472.2024999999958</v>
      </c>
      <c r="P12" s="8">
        <v>0</v>
      </c>
    </row>
    <row r="13" spans="1:16" x14ac:dyDescent="0.3">
      <c r="A13" s="8" t="s">
        <v>51</v>
      </c>
      <c r="B13" s="8"/>
      <c r="C13" s="8">
        <v>8</v>
      </c>
      <c r="D13" s="8">
        <v>18</v>
      </c>
      <c r="E13" s="8">
        <v>19</v>
      </c>
      <c r="F13" s="8">
        <v>33</v>
      </c>
      <c r="G13" s="8">
        <v>41</v>
      </c>
      <c r="H13" s="8">
        <v>38</v>
      </c>
      <c r="I13" s="8">
        <v>19</v>
      </c>
      <c r="J13" s="8">
        <v>15</v>
      </c>
      <c r="K13" s="8">
        <v>6</v>
      </c>
      <c r="L13" s="8">
        <v>3</v>
      </c>
      <c r="M13" s="8">
        <v>200</v>
      </c>
      <c r="N13" s="8">
        <v>64.996500000000012</v>
      </c>
      <c r="O13" s="8"/>
      <c r="P13" s="8">
        <v>2.6203002655678507</v>
      </c>
    </row>
    <row r="14" spans="1:16" x14ac:dyDescent="0.3">
      <c r="A14" s="8" t="s">
        <v>52</v>
      </c>
      <c r="B14" s="8"/>
      <c r="C14" s="8">
        <v>159.53750000000002</v>
      </c>
      <c r="D14" s="8">
        <v>162.31666666666666</v>
      </c>
      <c r="E14" s="8">
        <v>164.25</v>
      </c>
      <c r="F14" s="8">
        <v>165.91969696969699</v>
      </c>
      <c r="G14" s="8">
        <v>168.98902439024394</v>
      </c>
      <c r="H14" s="8">
        <v>171.27105263157895</v>
      </c>
      <c r="I14" s="8">
        <v>174.01842105263162</v>
      </c>
      <c r="J14" s="8">
        <v>176.81666666666669</v>
      </c>
      <c r="K14" s="8">
        <v>179.23333333333338</v>
      </c>
      <c r="L14" s="8">
        <v>184.55000000000007</v>
      </c>
      <c r="M14" s="8">
        <v>169.09300000000005</v>
      </c>
      <c r="N14" s="8"/>
      <c r="O14" s="8"/>
      <c r="P14" s="8"/>
    </row>
    <row r="15" spans="1:16" x14ac:dyDescent="0.3">
      <c r="A15" s="8" t="s">
        <v>55</v>
      </c>
      <c r="B15" s="8"/>
      <c r="C15" s="8">
        <v>25454.184999999998</v>
      </c>
      <c r="D15" s="8">
        <v>26348.569166666668</v>
      </c>
      <c r="E15" s="8">
        <v>26978.0625</v>
      </c>
      <c r="F15" s="8">
        <v>27531.400075757585</v>
      </c>
      <c r="G15" s="8">
        <v>28559.241524390254</v>
      </c>
      <c r="H15" s="8">
        <v>29335.823552631588</v>
      </c>
      <c r="I15" s="8">
        <v>30284.367763157908</v>
      </c>
      <c r="J15" s="8">
        <v>31266.002500000013</v>
      </c>
      <c r="K15" s="8">
        <v>32125.755833333351</v>
      </c>
      <c r="L15" s="8">
        <v>34058.702500000029</v>
      </c>
      <c r="M15" s="8"/>
      <c r="N15" s="8"/>
      <c r="O15" s="8"/>
      <c r="P15" s="8"/>
    </row>
    <row r="16" spans="1:16" x14ac:dyDescent="0.3">
      <c r="A16" s="8" t="s">
        <v>56</v>
      </c>
      <c r="B16" s="8"/>
      <c r="C16" s="8">
        <v>1.9710937499912689</v>
      </c>
      <c r="D16" s="8">
        <v>1.8688888888900692</v>
      </c>
      <c r="E16" s="8">
        <v>0</v>
      </c>
      <c r="F16" s="8">
        <v>2.0542332415097917</v>
      </c>
      <c r="G16" s="8">
        <v>1.9511600237929088</v>
      </c>
      <c r="H16" s="8">
        <v>2.0500831024983199</v>
      </c>
      <c r="I16" s="8">
        <v>1.9568975069232692</v>
      </c>
      <c r="J16" s="8">
        <v>1.8688888888937072</v>
      </c>
      <c r="K16" s="8">
        <v>1.1680555555576575</v>
      </c>
      <c r="L16" s="8">
        <v>0</v>
      </c>
      <c r="M16" s="8">
        <v>1.7366094256925682</v>
      </c>
      <c r="N16" s="8"/>
      <c r="O16" s="8"/>
      <c r="P16" s="8"/>
    </row>
    <row r="18" spans="1:5" x14ac:dyDescent="0.3">
      <c r="A18" s="8" t="s">
        <v>53</v>
      </c>
      <c r="B18" s="8">
        <v>64.996500000000012</v>
      </c>
      <c r="D18" s="8" t="s">
        <v>52</v>
      </c>
      <c r="E18" s="8">
        <v>169.09300000000005</v>
      </c>
    </row>
    <row r="19" spans="1:5" x14ac:dyDescent="0.3">
      <c r="A19" s="8" t="s">
        <v>57</v>
      </c>
      <c r="B19" s="8">
        <v>2.6203002655678507</v>
      </c>
      <c r="D19" s="8" t="s">
        <v>57</v>
      </c>
      <c r="E19" s="8">
        <v>1.7366094256925682</v>
      </c>
    </row>
    <row r="20" spans="1:5" x14ac:dyDescent="0.3">
      <c r="A20" s="8" t="s">
        <v>58</v>
      </c>
      <c r="B20" s="8">
        <v>36.730487484432153</v>
      </c>
      <c r="D20" s="8" t="s">
        <v>58</v>
      </c>
      <c r="E20" s="8">
        <v>26.025641574308651</v>
      </c>
    </row>
    <row r="21" spans="1:5" x14ac:dyDescent="0.3">
      <c r="A21" s="8" t="s">
        <v>59</v>
      </c>
      <c r="B21" s="8">
        <v>39.350787749998744</v>
      </c>
      <c r="D21" s="8" t="s">
        <v>59</v>
      </c>
      <c r="E21" s="8">
        <v>27.762250999981916</v>
      </c>
    </row>
    <row r="22" spans="1:5" x14ac:dyDescent="0.3">
      <c r="A22" s="8" t="s">
        <v>60</v>
      </c>
      <c r="B22" s="8">
        <v>39.350787750000002</v>
      </c>
      <c r="D22" s="8" t="s">
        <v>60</v>
      </c>
      <c r="E22" s="8">
        <v>27.762251000001218</v>
      </c>
    </row>
    <row r="24" spans="1:5" x14ac:dyDescent="0.3">
      <c r="A24" t="s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4CE4F-3A35-40D7-822E-B7B4E8309130}">
  <dimension ref="A1:E12"/>
  <sheetViews>
    <sheetView workbookViewId="0">
      <selection activeCell="A6" sqref="A6"/>
    </sheetView>
  </sheetViews>
  <sheetFormatPr defaultRowHeight="14.4" x14ac:dyDescent="0.3"/>
  <sheetData>
    <row r="1" spans="1:5" x14ac:dyDescent="0.3">
      <c r="A1" s="8" t="s">
        <v>57</v>
      </c>
      <c r="B1" s="8">
        <v>2.6203002655678507</v>
      </c>
    </row>
    <row r="2" spans="1:5" x14ac:dyDescent="0.3">
      <c r="A2" s="8" t="s">
        <v>58</v>
      </c>
      <c r="B2" s="8">
        <v>36.730487484432153</v>
      </c>
    </row>
    <row r="3" spans="1:5" x14ac:dyDescent="0.3">
      <c r="A3" s="11"/>
      <c r="B3" s="11"/>
    </row>
    <row r="4" spans="1:5" x14ac:dyDescent="0.3">
      <c r="A4" s="8" t="s">
        <v>44</v>
      </c>
      <c r="B4" s="8">
        <v>0.05</v>
      </c>
      <c r="D4" s="11"/>
      <c r="E4" s="11"/>
    </row>
    <row r="5" spans="1:5" x14ac:dyDescent="0.3">
      <c r="A5" s="8" t="s">
        <v>64</v>
      </c>
      <c r="B5" s="8">
        <v>200</v>
      </c>
    </row>
    <row r="6" spans="1:5" x14ac:dyDescent="0.3">
      <c r="A6" s="8" t="s">
        <v>65</v>
      </c>
      <c r="B6" s="8">
        <v>10</v>
      </c>
    </row>
    <row r="8" spans="1:5" x14ac:dyDescent="0.3">
      <c r="A8" t="s">
        <v>62</v>
      </c>
    </row>
    <row r="9" spans="1:5" x14ac:dyDescent="0.3">
      <c r="A9" s="8" t="s">
        <v>43</v>
      </c>
      <c r="B9" s="8">
        <f xml:space="preserve"> (объём - B6) / (B6 - 1) * B2 / B1</f>
        <v>295.92845241386107</v>
      </c>
    </row>
    <row r="10" spans="1:5" x14ac:dyDescent="0.3">
      <c r="A10" s="8" t="s">
        <v>45</v>
      </c>
      <c r="B10" s="8">
        <f>_xlfn.F.INV.RT(B4, B6 - 1, объём - B6)</f>
        <v>1.9294247566488121</v>
      </c>
    </row>
    <row r="12" spans="1:5" x14ac:dyDescent="0.3">
      <c r="A12" t="s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7692A-F5E0-478F-8E76-36823EC96697}">
  <dimension ref="A1:O25"/>
  <sheetViews>
    <sheetView topLeftCell="A4" workbookViewId="0">
      <selection activeCell="J22" sqref="J22"/>
    </sheetView>
  </sheetViews>
  <sheetFormatPr defaultRowHeight="14.4" x14ac:dyDescent="0.3"/>
  <sheetData>
    <row r="1" spans="1:15" x14ac:dyDescent="0.3">
      <c r="A1" s="8"/>
      <c r="B1" s="8" t="s">
        <v>49</v>
      </c>
      <c r="C1" s="8">
        <v>52.55</v>
      </c>
      <c r="D1" s="8">
        <v>55.650000000000006</v>
      </c>
      <c r="E1" s="8">
        <v>58.75</v>
      </c>
      <c r="F1" s="8">
        <v>61.850000000000009</v>
      </c>
      <c r="G1" s="8">
        <v>64.95</v>
      </c>
      <c r="H1" s="8">
        <v>68.05</v>
      </c>
      <c r="I1" s="8">
        <v>71.149999999999991</v>
      </c>
      <c r="J1" s="8">
        <v>74.249999999999986</v>
      </c>
      <c r="K1" s="8">
        <v>77.34999999999998</v>
      </c>
      <c r="L1" s="8">
        <v>80.449999999999974</v>
      </c>
      <c r="M1" s="8" t="s">
        <v>50</v>
      </c>
      <c r="N1" s="8" t="s">
        <v>67</v>
      </c>
      <c r="O1" s="8" t="s">
        <v>53</v>
      </c>
    </row>
    <row r="2" spans="1:15" x14ac:dyDescent="0.3">
      <c r="A2" s="8" t="s">
        <v>48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</row>
    <row r="3" spans="1:15" x14ac:dyDescent="0.3">
      <c r="A3" s="8">
        <v>158.44999999999999</v>
      </c>
      <c r="B3" s="8"/>
      <c r="C3" s="8">
        <v>5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5</v>
      </c>
      <c r="N3" s="8">
        <f>O3 * M3</f>
        <v>262.75</v>
      </c>
      <c r="O3" s="8">
        <v>52.550000000000004</v>
      </c>
    </row>
    <row r="4" spans="1:15" x14ac:dyDescent="0.3">
      <c r="A4" s="8">
        <v>161.35000000000002</v>
      </c>
      <c r="B4" s="8"/>
      <c r="C4" s="8">
        <v>3</v>
      </c>
      <c r="D4" s="8">
        <v>12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15</v>
      </c>
      <c r="N4" s="8">
        <f t="shared" ref="N4:N12" si="0">O4 * M4</f>
        <v>825.45</v>
      </c>
      <c r="O4" s="8">
        <v>55.03</v>
      </c>
    </row>
    <row r="5" spans="1:15" x14ac:dyDescent="0.3">
      <c r="A5" s="8">
        <v>164.25</v>
      </c>
      <c r="B5" s="8"/>
      <c r="C5" s="8">
        <v>0</v>
      </c>
      <c r="D5" s="8">
        <v>6</v>
      </c>
      <c r="E5" s="8">
        <v>19</v>
      </c>
      <c r="F5" s="8">
        <v>14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39</v>
      </c>
      <c r="N5" s="8">
        <f t="shared" si="0"/>
        <v>2316.0500000000002</v>
      </c>
      <c r="O5" s="8">
        <v>59.385897435897441</v>
      </c>
    </row>
    <row r="6" spans="1:15" x14ac:dyDescent="0.3">
      <c r="A6" s="8">
        <v>167.15000000000003</v>
      </c>
      <c r="B6" s="8"/>
      <c r="C6" s="8">
        <v>0</v>
      </c>
      <c r="D6" s="8">
        <v>0</v>
      </c>
      <c r="E6" s="8">
        <v>0</v>
      </c>
      <c r="F6" s="8">
        <v>19</v>
      </c>
      <c r="G6" s="8">
        <v>15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34</v>
      </c>
      <c r="N6" s="8">
        <f t="shared" si="0"/>
        <v>2149.4</v>
      </c>
      <c r="O6" s="8">
        <v>63.21764705882353</v>
      </c>
    </row>
    <row r="7" spans="1:15" x14ac:dyDescent="0.3">
      <c r="A7" s="8">
        <v>170.05</v>
      </c>
      <c r="B7" s="8"/>
      <c r="C7" s="8">
        <v>0</v>
      </c>
      <c r="D7" s="8">
        <v>0</v>
      </c>
      <c r="E7" s="8">
        <v>0</v>
      </c>
      <c r="F7" s="8">
        <v>0</v>
      </c>
      <c r="G7" s="8">
        <v>26</v>
      </c>
      <c r="H7" s="8">
        <v>22</v>
      </c>
      <c r="I7" s="8">
        <v>0</v>
      </c>
      <c r="J7" s="8">
        <v>0</v>
      </c>
      <c r="K7" s="8">
        <v>0</v>
      </c>
      <c r="L7" s="8">
        <v>0</v>
      </c>
      <c r="M7" s="8">
        <v>48</v>
      </c>
      <c r="N7" s="8">
        <f t="shared" si="0"/>
        <v>3185.8</v>
      </c>
      <c r="O7" s="8">
        <v>66.370833333333337</v>
      </c>
    </row>
    <row r="8" spans="1:15" x14ac:dyDescent="0.3">
      <c r="A8" s="8">
        <v>172.95000000000005</v>
      </c>
      <c r="B8" s="8"/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16</v>
      </c>
      <c r="I8" s="8">
        <v>12</v>
      </c>
      <c r="J8" s="8">
        <v>0</v>
      </c>
      <c r="K8" s="8">
        <v>0</v>
      </c>
      <c r="L8" s="8">
        <v>0</v>
      </c>
      <c r="M8" s="8">
        <v>28</v>
      </c>
      <c r="N8" s="8">
        <f t="shared" si="0"/>
        <v>1942.5999999999997</v>
      </c>
      <c r="O8" s="8">
        <v>69.378571428571419</v>
      </c>
    </row>
    <row r="9" spans="1:15" x14ac:dyDescent="0.3">
      <c r="A9" s="8">
        <v>175.85000000000002</v>
      </c>
      <c r="B9" s="8"/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7</v>
      </c>
      <c r="J9" s="8">
        <v>10</v>
      </c>
      <c r="K9" s="8">
        <v>0</v>
      </c>
      <c r="L9" s="8">
        <v>0</v>
      </c>
      <c r="M9" s="8">
        <v>17</v>
      </c>
      <c r="N9" s="8">
        <f t="shared" si="0"/>
        <v>1240.5499999999997</v>
      </c>
      <c r="O9" s="8">
        <v>72.973529411764687</v>
      </c>
    </row>
    <row r="10" spans="1:15" x14ac:dyDescent="0.3">
      <c r="A10" s="8">
        <v>178.75000000000006</v>
      </c>
      <c r="B10" s="8"/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5</v>
      </c>
      <c r="K10" s="8">
        <v>5</v>
      </c>
      <c r="L10" s="8">
        <v>0</v>
      </c>
      <c r="M10" s="8">
        <v>10</v>
      </c>
      <c r="N10" s="8">
        <f t="shared" si="0"/>
        <v>757.99999999999977</v>
      </c>
      <c r="O10" s="8">
        <v>75.799999999999983</v>
      </c>
    </row>
    <row r="11" spans="1:15" x14ac:dyDescent="0.3">
      <c r="A11" s="8">
        <v>181.65000000000003</v>
      </c>
      <c r="B11" s="8"/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1</v>
      </c>
      <c r="L11" s="8">
        <v>0</v>
      </c>
      <c r="M11" s="8">
        <v>1</v>
      </c>
      <c r="N11" s="8">
        <f t="shared" si="0"/>
        <v>77.34999999999998</v>
      </c>
      <c r="O11" s="8">
        <v>77.34999999999998</v>
      </c>
    </row>
    <row r="12" spans="1:15" x14ac:dyDescent="0.3">
      <c r="A12" s="8">
        <v>184.55000000000007</v>
      </c>
      <c r="B12" s="8"/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3</v>
      </c>
      <c r="M12" s="8">
        <v>3</v>
      </c>
      <c r="N12" s="8">
        <f t="shared" si="0"/>
        <v>241.34999999999988</v>
      </c>
      <c r="O12" s="8">
        <v>80.44999999999996</v>
      </c>
    </row>
    <row r="13" spans="1:15" x14ac:dyDescent="0.3">
      <c r="A13" s="8" t="s">
        <v>51</v>
      </c>
      <c r="B13" s="8"/>
      <c r="C13" s="8">
        <v>8</v>
      </c>
      <c r="D13" s="8">
        <v>18</v>
      </c>
      <c r="E13" s="8">
        <v>19</v>
      </c>
      <c r="F13" s="8">
        <v>33</v>
      </c>
      <c r="G13" s="8">
        <v>41</v>
      </c>
      <c r="H13" s="8">
        <v>38</v>
      </c>
      <c r="I13" s="8">
        <v>19</v>
      </c>
      <c r="J13" s="8">
        <v>15</v>
      </c>
      <c r="K13" s="8">
        <v>6</v>
      </c>
      <c r="L13" s="8">
        <v>3</v>
      </c>
      <c r="M13" s="8">
        <v>200</v>
      </c>
      <c r="N13" s="8"/>
      <c r="O13" s="8">
        <v>64.996500000000012</v>
      </c>
    </row>
    <row r="16" spans="1:15" x14ac:dyDescent="0.3">
      <c r="A16" s="8" t="s">
        <v>68</v>
      </c>
      <c r="B16" s="8" cm="1">
        <f t="array" ref="B16" xml:space="preserve"> 1 / объём * SUM(A3:A12 * N3:N12)</f>
        <v>11022.277325000001</v>
      </c>
    </row>
    <row r="17" spans="1:3" x14ac:dyDescent="0.3">
      <c r="A17" s="8" t="s">
        <v>52</v>
      </c>
      <c r="B17" s="8">
        <v>169.09300000000007</v>
      </c>
    </row>
    <row r="18" spans="1:3" x14ac:dyDescent="0.3">
      <c r="A18" s="8" t="s">
        <v>53</v>
      </c>
      <c r="B18" s="8">
        <v>64.996500000000012</v>
      </c>
    </row>
    <row r="19" spans="1:3" x14ac:dyDescent="0.3">
      <c r="A19" s="8" t="s">
        <v>69</v>
      </c>
      <c r="B19" s="8">
        <f>SQRT(27.7622509999819)</f>
        <v>5.2689895615745819</v>
      </c>
    </row>
    <row r="20" spans="1:3" x14ac:dyDescent="0.3">
      <c r="A20" s="8" t="s">
        <v>70</v>
      </c>
      <c r="B20" s="8">
        <f>SQRT(64.9965)</f>
        <v>8.0620406845909685</v>
      </c>
    </row>
    <row r="21" spans="1:3" x14ac:dyDescent="0.3">
      <c r="A21" s="8" t="s">
        <v>71</v>
      </c>
      <c r="B21" s="8">
        <f xml:space="preserve"> (B16 - B18 * B17) / (B20 * B19)</f>
        <v>0.74917710358287937</v>
      </c>
      <c r="C21" t="s">
        <v>72</v>
      </c>
    </row>
    <row r="24" spans="1:3" x14ac:dyDescent="0.3">
      <c r="A24" s="8" t="s">
        <v>73</v>
      </c>
      <c r="B24" s="8">
        <f>B20 / B19 * B21</f>
        <v>1.1463101641150786</v>
      </c>
    </row>
    <row r="25" spans="1:3" x14ac:dyDescent="0.3">
      <c r="A25" s="8" t="s">
        <v>32</v>
      </c>
      <c r="B25" s="8">
        <f>B18 - B24 * B17</f>
        <v>-128.83652458071106</v>
      </c>
      <c r="C25" t="s">
        <v>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D4AE8-379B-4BFE-9575-C864CC6F2206}">
  <dimension ref="A1:K10"/>
  <sheetViews>
    <sheetView workbookViewId="0">
      <selection activeCell="N15" sqref="N15"/>
    </sheetView>
  </sheetViews>
  <sheetFormatPr defaultRowHeight="14.4" x14ac:dyDescent="0.3"/>
  <sheetData>
    <row r="1" spans="1:11" x14ac:dyDescent="0.3">
      <c r="A1" s="8" t="s">
        <v>73</v>
      </c>
      <c r="B1" s="8">
        <v>1.1463101641150786</v>
      </c>
    </row>
    <row r="2" spans="1:11" x14ac:dyDescent="0.3">
      <c r="A2" s="8" t="s">
        <v>32</v>
      </c>
      <c r="B2" s="8">
        <v>-128.83652458071106</v>
      </c>
    </row>
    <row r="5" spans="1:11" x14ac:dyDescent="0.3">
      <c r="A5" s="8" t="s">
        <v>52</v>
      </c>
      <c r="B5" s="8">
        <v>159.53750000000002</v>
      </c>
      <c r="C5" s="8">
        <v>162.31666666666666</v>
      </c>
      <c r="D5" s="8">
        <v>164.25</v>
      </c>
      <c r="E5" s="8">
        <v>165.91969696969699</v>
      </c>
      <c r="F5" s="8">
        <v>168.98902439024394</v>
      </c>
      <c r="G5" s="8">
        <v>171.27105263157895</v>
      </c>
      <c r="H5" s="8">
        <v>174.01842105263162</v>
      </c>
      <c r="I5" s="8">
        <v>176.81666666666669</v>
      </c>
      <c r="J5" s="8">
        <v>179.23333333333338</v>
      </c>
      <c r="K5" s="8">
        <v>184.55000000000007</v>
      </c>
    </row>
    <row r="6" spans="1:11" x14ac:dyDescent="0.3">
      <c r="A6" s="8" t="s">
        <v>53</v>
      </c>
      <c r="B6" s="8">
        <v>52.550000000000004</v>
      </c>
      <c r="C6" s="8">
        <v>55.03</v>
      </c>
      <c r="D6" s="8">
        <v>59.385897435897441</v>
      </c>
      <c r="E6" s="8">
        <v>63.21764705882353</v>
      </c>
      <c r="F6" s="8">
        <v>66.370833333333337</v>
      </c>
      <c r="G6" s="8">
        <v>69.378571428571419</v>
      </c>
      <c r="H6" s="8">
        <v>72.973529411764687</v>
      </c>
      <c r="I6" s="8">
        <v>75.799999999999983</v>
      </c>
      <c r="J6" s="8">
        <v>77.34999999999998</v>
      </c>
      <c r="K6" s="8">
        <v>80.44999999999996</v>
      </c>
    </row>
    <row r="9" spans="1:11" x14ac:dyDescent="0.3">
      <c r="A9" s="8">
        <v>150</v>
      </c>
      <c r="B9" s="8">
        <f>B1 * A9 + B2</f>
        <v>43.11000003655073</v>
      </c>
    </row>
    <row r="10" spans="1:11" x14ac:dyDescent="0.3">
      <c r="A10" s="8">
        <v>200</v>
      </c>
      <c r="B10" s="8">
        <f>B1 * A10 + B2</f>
        <v>100.42550824230466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BD619-FDF4-41E8-9C8D-71EF43F936D0}">
  <dimension ref="A1:B7"/>
  <sheetViews>
    <sheetView workbookViewId="0">
      <selection activeCell="A7" sqref="A7"/>
    </sheetView>
  </sheetViews>
  <sheetFormatPr defaultRowHeight="14.4" x14ac:dyDescent="0.3"/>
  <sheetData>
    <row r="1" spans="1:2" x14ac:dyDescent="0.3">
      <c r="A1" t="s">
        <v>58</v>
      </c>
      <c r="B1">
        <v>36.730487484432153</v>
      </c>
    </row>
    <row r="2" spans="1:2" x14ac:dyDescent="0.3">
      <c r="A2" t="s">
        <v>59</v>
      </c>
      <c r="B2">
        <v>39.350787749998744</v>
      </c>
    </row>
    <row r="5" spans="1:2" x14ac:dyDescent="0.3">
      <c r="A5" t="s">
        <v>74</v>
      </c>
      <c r="B5">
        <f>SQRT(B1 / B2)</f>
        <v>0.96613236443007955</v>
      </c>
    </row>
    <row r="6" spans="1:2" x14ac:dyDescent="0.3">
      <c r="A6" t="s">
        <v>71</v>
      </c>
      <c r="B6">
        <v>0.74917710358287937</v>
      </c>
    </row>
    <row r="7" spans="1:2" x14ac:dyDescent="0.3">
      <c r="A7" t="s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28466-91FB-4073-9C0F-58F7879AC5FD}">
  <dimension ref="A1:I25"/>
  <sheetViews>
    <sheetView topLeftCell="A7" workbookViewId="0">
      <selection activeCell="F26" sqref="F26"/>
    </sheetView>
  </sheetViews>
  <sheetFormatPr defaultRowHeight="14.4" x14ac:dyDescent="0.3"/>
  <sheetData>
    <row r="1" spans="1:9" x14ac:dyDescent="0.3">
      <c r="A1" t="s">
        <v>22</v>
      </c>
      <c r="E1" s="8" t="s">
        <v>73</v>
      </c>
      <c r="F1" s="8" cm="1">
        <f t="array" ref="F1:G5">LINEST(вес, рост, 1, 1)</f>
        <v>1.1334110460430527</v>
      </c>
      <c r="G1" s="8">
        <v>-126.35513267081546</v>
      </c>
      <c r="H1" s="8" t="s">
        <v>32</v>
      </c>
    </row>
    <row r="2" spans="1:9" x14ac:dyDescent="0.3">
      <c r="B2" t="s">
        <v>84</v>
      </c>
      <c r="E2" s="8" t="s">
        <v>76</v>
      </c>
      <c r="F2" s="8">
        <v>1.1132006695779038E-2</v>
      </c>
      <c r="G2" s="8">
        <v>1.8821497725611382</v>
      </c>
      <c r="H2" s="8" t="s">
        <v>79</v>
      </c>
      <c r="I2" t="s">
        <v>85</v>
      </c>
    </row>
    <row r="3" spans="1:9" x14ac:dyDescent="0.3">
      <c r="B3" t="s">
        <v>83</v>
      </c>
      <c r="E3" s="8" t="s">
        <v>77</v>
      </c>
      <c r="F3" s="8">
        <v>0.98125780930583295</v>
      </c>
      <c r="G3" s="8">
        <v>0.84647035216092059</v>
      </c>
      <c r="H3" s="8" t="s">
        <v>80</v>
      </c>
      <c r="I3" t="s">
        <v>82</v>
      </c>
    </row>
    <row r="4" spans="1:9" x14ac:dyDescent="0.3">
      <c r="E4" s="8" t="s">
        <v>78</v>
      </c>
      <c r="F4" s="8">
        <v>10366.400033642867</v>
      </c>
      <c r="G4" s="8">
        <v>198</v>
      </c>
      <c r="H4" s="8" t="s">
        <v>81</v>
      </c>
    </row>
    <row r="5" spans="1:9" x14ac:dyDescent="0.3">
      <c r="E5" s="8"/>
      <c r="F5" s="8">
        <v>7427.6506126966842</v>
      </c>
      <c r="G5" s="8">
        <v>141.86938730331173</v>
      </c>
      <c r="H5" s="8"/>
    </row>
    <row r="6" spans="1:9" x14ac:dyDescent="0.3">
      <c r="B6" t="s">
        <v>89</v>
      </c>
      <c r="E6" s="8" t="s">
        <v>87</v>
      </c>
      <c r="F6" s="8">
        <f>F5 / объём</f>
        <v>37.138253063483418</v>
      </c>
      <c r="G6" s="8">
        <f>G5 / объём</f>
        <v>0.70934693651655867</v>
      </c>
      <c r="H6" s="8" t="s">
        <v>88</v>
      </c>
      <c r="I6" t="s">
        <v>90</v>
      </c>
    </row>
    <row r="7" spans="1:9" x14ac:dyDescent="0.3">
      <c r="B7" t="s">
        <v>101</v>
      </c>
      <c r="E7" t="s">
        <v>100</v>
      </c>
    </row>
    <row r="10" spans="1:9" x14ac:dyDescent="0.3">
      <c r="A10" t="s">
        <v>27</v>
      </c>
      <c r="B10" s="24" t="s">
        <v>1</v>
      </c>
      <c r="C10" s="24"/>
      <c r="D10" s="24"/>
      <c r="E10" s="24"/>
      <c r="F10" s="8">
        <v>180</v>
      </c>
    </row>
    <row r="11" spans="1:9" x14ac:dyDescent="0.3">
      <c r="B11" s="24" t="s">
        <v>86</v>
      </c>
      <c r="C11" s="24"/>
      <c r="D11" s="24"/>
      <c r="E11" s="24"/>
      <c r="F11" s="8">
        <f>G1 + F1 * F10</f>
        <v>77.658855616934005</v>
      </c>
    </row>
    <row r="12" spans="1:9" x14ac:dyDescent="0.3">
      <c r="B12" s="24" t="s">
        <v>92</v>
      </c>
      <c r="C12" s="24"/>
      <c r="D12" s="24"/>
      <c r="E12" s="24"/>
      <c r="F12" s="8" cm="1">
        <f t="array" ref="F12">AVERAGE((рост - AVERAGE(рост)) * (рост - AVERAGE(рост)))</f>
        <v>28.909900000000142</v>
      </c>
    </row>
    <row r="13" spans="1:9" x14ac:dyDescent="0.3">
      <c r="B13" s="24" t="s">
        <v>91</v>
      </c>
      <c r="C13" s="24"/>
      <c r="D13" s="24"/>
      <c r="E13" s="24"/>
      <c r="F13" s="8">
        <f>G3 * SQRT(1 + 1 / объём + POWER(F10 - AVERAGE(рост), 2) / (объём * F12))</f>
        <v>0.85738929480905157</v>
      </c>
    </row>
    <row r="15" spans="1:9" x14ac:dyDescent="0.3">
      <c r="B15" t="s">
        <v>93</v>
      </c>
      <c r="G15">
        <f>_xlfn.T.INV.2T(1 - 0.95, объём - 2)</f>
        <v>1.9720174778363073</v>
      </c>
    </row>
    <row r="16" spans="1:9" x14ac:dyDescent="0.3">
      <c r="B16" t="s">
        <v>94</v>
      </c>
      <c r="F16" s="18" t="s">
        <v>95</v>
      </c>
      <c r="G16">
        <f xml:space="preserve"> F11 - F13 * G15</f>
        <v>75.968068942260814</v>
      </c>
      <c r="H16">
        <f xml:space="preserve"> F11 + F13 * G15</f>
        <v>79.349642291607196</v>
      </c>
      <c r="I16" t="s">
        <v>96</v>
      </c>
    </row>
    <row r="19" spans="1:4" x14ac:dyDescent="0.3">
      <c r="A19" t="s">
        <v>28</v>
      </c>
      <c r="B19" s="8" t="s">
        <v>32</v>
      </c>
      <c r="C19" s="8">
        <f>$G$1 - $G$15 *$G$2</f>
        <v>-130.06676491821165</v>
      </c>
      <c r="D19" s="8">
        <f>$G$1 + $G$15 *$G$2</f>
        <v>-122.64350042341927</v>
      </c>
    </row>
    <row r="20" spans="1:4" x14ac:dyDescent="0.3">
      <c r="B20" s="8" t="s">
        <v>73</v>
      </c>
      <c r="C20" s="8">
        <f>$F$1 - $G$15 * $F$2</f>
        <v>1.1114585342755856</v>
      </c>
      <c r="D20" s="8">
        <f>$F$1 + $G$15 * $F$2</f>
        <v>1.1553635578105197</v>
      </c>
    </row>
    <row r="23" spans="1:4" x14ac:dyDescent="0.3">
      <c r="A23" t="s">
        <v>31</v>
      </c>
      <c r="B23" s="8" t="s">
        <v>78</v>
      </c>
      <c r="C23" s="8">
        <f>F4</f>
        <v>10366.400033642867</v>
      </c>
      <c r="D23" t="s">
        <v>97</v>
      </c>
    </row>
    <row r="24" spans="1:4" x14ac:dyDescent="0.3">
      <c r="B24" s="8" t="s">
        <v>45</v>
      </c>
      <c r="C24" s="8">
        <f>_xlfn.F.INV.RT(0.05, 1, объём - 2)</f>
        <v>3.8888529328918917</v>
      </c>
    </row>
    <row r="25" spans="1:4" x14ac:dyDescent="0.3">
      <c r="B25" t="s">
        <v>98</v>
      </c>
    </row>
  </sheetData>
  <mergeCells count="4">
    <mergeCell ref="B10:E10"/>
    <mergeCell ref="B11:E11"/>
    <mergeCell ref="B12:E12"/>
    <mergeCell ref="B13:E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16</vt:i4>
      </vt:variant>
      <vt:variant>
        <vt:lpstr>Именованные диапазоны</vt:lpstr>
      </vt:variant>
      <vt:variant>
        <vt:i4>8</vt:i4>
      </vt:variant>
    </vt:vector>
  </HeadingPairs>
  <TitlesOfParts>
    <vt:vector size="24" baseType="lpstr"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вес</vt:lpstr>
      <vt:lpstr>курс_несорт</vt:lpstr>
      <vt:lpstr>объём</vt:lpstr>
      <vt:lpstr>объём_выб</vt:lpstr>
      <vt:lpstr>прибыль_несорт</vt:lpstr>
      <vt:lpstr>рост</vt:lpstr>
      <vt:lpstr>шаг_вес</vt:lpstr>
      <vt:lpstr>шаг_рост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 Stupnikov</dc:creator>
  <cp:lastModifiedBy>?????? ????</cp:lastModifiedBy>
  <dcterms:created xsi:type="dcterms:W3CDTF">2015-06-05T18:17:20Z</dcterms:created>
  <dcterms:modified xsi:type="dcterms:W3CDTF">2022-11-28T18:21:58Z</dcterms:modified>
</cp:coreProperties>
</file>